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4"/>
  <workbookPr/>
  <mc:AlternateContent xmlns:mc="http://schemas.openxmlformats.org/markup-compatibility/2006">
    <mc:Choice Requires="x15">
      <x15ac:absPath xmlns:x15ac="http://schemas.microsoft.com/office/spreadsheetml/2010/11/ac" url="/Users/ldraucker/Documents/Climate, Energy &amp; Buildings/"/>
    </mc:Choice>
  </mc:AlternateContent>
  <xr:revisionPtr revIDLastSave="0" documentId="13_ncr:1_{AD02DD2E-1D29-F549-93E3-56399D34A066}" xr6:coauthVersionLast="36" xr6:coauthVersionMax="36" xr10:uidLastSave="{00000000-0000-0000-0000-000000000000}"/>
  <bookViews>
    <workbookView minimized="1" xWindow="3380" yWindow="-6520" windowWidth="45020" windowHeight="21040" tabRatio="953" xr2:uid="{00000000-000D-0000-FFFF-FFFF00000000}"/>
  </bookViews>
  <sheets>
    <sheet name="Updated" sheetId="8" r:id="rId1"/>
    <sheet name="T&amp;D &amp; ELC EF" sheetId="2" r:id="rId2"/>
    <sheet name="Degree day data" sheetId="22" r:id="rId3"/>
    <sheet name="T5" sheetId="20" r:id="rId4"/>
    <sheet name="Electricity Main" sheetId="18" r:id="rId5"/>
    <sheet name="Electricity Small" sheetId="19" r:id="rId6"/>
    <sheet name="Bulk Fuels" sheetId="3" r:id="rId7"/>
    <sheet name="Gasoline" sheetId="4" r:id="rId8"/>
    <sheet name="Wex FY17" sheetId="6" r:id="rId9"/>
    <sheet name="Wex FY16" sheetId="7" r:id="rId10"/>
    <sheet name="Oil Small" sheetId="17" r:id="rId11"/>
    <sheet name="CoGen Diesel #2" sheetId="16" r:id="rId12"/>
    <sheet name="NG Main" sheetId="15" r:id="rId13"/>
    <sheet name="NG Cogen" sheetId="14" r:id="rId14"/>
    <sheet name="NG Small" sheetId="13" r:id="rId15"/>
    <sheet name="Sheet1" sheetId="21" r:id="rId16"/>
    <sheet name="Propane Gas" sheetId="11" r:id="rId17"/>
    <sheet name="Heat Plant Oil #6" sheetId="10" r:id="rId18"/>
    <sheet name="Wood Pellets" sheetId="9" r:id="rId19"/>
  </sheets>
  <externalReferences>
    <externalReference r:id="rId20"/>
  </externalReferences>
  <definedNames>
    <definedName name="_xlnm.Print_Area" localSheetId="6">'Bulk Fuels'!$A$120:$J$139</definedName>
    <definedName name="_xlnm.Print_Area" localSheetId="11">'CoGen Diesel #2'!$7:$8</definedName>
    <definedName name="_xlnm.Print_Area" localSheetId="4">'Electricity Main'!$B$20:$E$22</definedName>
    <definedName name="_xlnm.Print_Area" localSheetId="5">'Electricity Small'!$A$3960:$F$4019</definedName>
    <definedName name="_xlnm.Print_Area" localSheetId="7">Gasoline!$J$218:$V$232</definedName>
    <definedName name="_xlnm.Print_Area" localSheetId="17">'Heat Plant Oil #6'!$35:$36</definedName>
    <definedName name="_xlnm.Print_Area" localSheetId="13">'NG Cogen'!$A$65:$L$117</definedName>
    <definedName name="_xlnm.Print_Area" localSheetId="12">'NG Main'!$A$65:$L$117</definedName>
    <definedName name="_xlnm.Print_Area" localSheetId="14">'NG Small'!$A$2727:$F$2750</definedName>
    <definedName name="_xlnm.Print_Area" localSheetId="10">'Oil Small'!$A$857:$H$862</definedName>
    <definedName name="_xlnm.Print_Area" localSheetId="16">'Propane Gas'!$A$212:$F$216</definedName>
    <definedName name="_xlnm.Print_Area" localSheetId="18">'Wood Pellets'!#REF!</definedName>
    <definedName name="_xlnm.Print_Titles" localSheetId="11">'CoGen Diesel #2'!$2:$2</definedName>
    <definedName name="_xlnm.Print_Titles" localSheetId="4">'Electricity Main'!$2:$2</definedName>
    <definedName name="_xlnm.Print_Titles" localSheetId="5">'Electricity Small'!$2:$2</definedName>
    <definedName name="_xlnm.Print_Titles" localSheetId="17">'Heat Plant Oil #6'!$2:$2</definedName>
    <definedName name="_xlnm.Print_Titles" localSheetId="13">'NG Cogen'!$2:$2</definedName>
    <definedName name="_xlnm.Print_Titles" localSheetId="12">'NG Main'!$2:$2</definedName>
    <definedName name="_xlnm.Print_Titles" localSheetId="14">'NG Small'!$1:$1</definedName>
    <definedName name="_xlnm.Print_Titles" localSheetId="10">'Oil Small'!$1:$1</definedName>
    <definedName name="_xlnm.Print_Titles" localSheetId="16">'Propane Gas'!$2:$2</definedName>
    <definedName name="_xlnm.Print_Titles" localSheetId="18">'Wood Pellets'!$2:$2</definedName>
  </definedNames>
  <calcPr calcId="181029"/>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I44" i="8" l="1"/>
  <c r="H44" i="8"/>
  <c r="G44" i="8"/>
  <c r="F44" i="8"/>
  <c r="E44" i="8"/>
  <c r="D44" i="8"/>
  <c r="C44" i="8"/>
  <c r="B44" i="8"/>
  <c r="Q44" i="8" l="1"/>
  <c r="S44" i="8" s="1"/>
  <c r="Q43" i="8"/>
  <c r="R44" i="8"/>
  <c r="R43" i="8"/>
  <c r="M44" i="8"/>
  <c r="K44" i="8"/>
  <c r="J44" i="8"/>
  <c r="AD8" i="8" l="1"/>
  <c r="L44" i="8" s="1"/>
  <c r="AF12" i="8" l="1"/>
  <c r="AE12" i="8"/>
  <c r="AF11" i="8"/>
  <c r="AF10" i="8" s="1"/>
  <c r="AE11" i="8"/>
  <c r="AF9" i="8"/>
  <c r="AF8" i="8"/>
  <c r="AF7" i="8"/>
  <c r="AE7" i="8"/>
  <c r="AF6" i="8"/>
  <c r="AE6" i="8"/>
  <c r="AF5" i="8"/>
  <c r="AE5" i="8"/>
  <c r="C43" i="2"/>
  <c r="C45" i="2"/>
  <c r="C46" i="2"/>
  <c r="C47" i="2"/>
  <c r="C48" i="2"/>
  <c r="C49" i="2"/>
  <c r="C50" i="2"/>
  <c r="C51" i="2"/>
  <c r="C52" i="2"/>
  <c r="AD17" i="8"/>
  <c r="AD16" i="8"/>
  <c r="AF16" i="8" s="1"/>
  <c r="U43" i="8" l="1"/>
  <c r="U44" i="8"/>
  <c r="AE16" i="8"/>
  <c r="AF17" i="8"/>
  <c r="AD24" i="8"/>
  <c r="N44" i="8"/>
  <c r="T44" i="8" s="1"/>
  <c r="AE17" i="8"/>
  <c r="AF4" i="8"/>
  <c r="AF14" i="8" s="1"/>
  <c r="J73" i="22"/>
  <c r="J74" i="22" s="1"/>
  <c r="C5" i="22" l="1"/>
  <c r="C3" i="22"/>
  <c r="C30" i="22"/>
  <c r="B30" i="22"/>
  <c r="D30" i="22" s="1"/>
  <c r="C43" i="22"/>
  <c r="C4" i="22" s="1"/>
  <c r="B43" i="22"/>
  <c r="D43" i="22" s="1"/>
  <c r="C56" i="22"/>
  <c r="B56" i="22"/>
  <c r="D56" i="22" s="1"/>
  <c r="C69" i="22"/>
  <c r="C6" i="22" s="1"/>
  <c r="B69" i="22"/>
  <c r="D69" i="22" s="1"/>
  <c r="C82" i="22"/>
  <c r="C7" i="22" s="1"/>
  <c r="B82" i="22"/>
  <c r="D82" i="22" s="1"/>
  <c r="C95" i="22"/>
  <c r="C8" i="22" s="1"/>
  <c r="B95" i="22"/>
  <c r="D95" i="22" s="1"/>
  <c r="C108" i="22"/>
  <c r="C9" i="22" s="1"/>
  <c r="B108" i="22"/>
  <c r="D108" i="22" s="1"/>
  <c r="C121" i="22"/>
  <c r="C10" i="22" s="1"/>
  <c r="B121" i="22"/>
  <c r="B10" i="22" s="1"/>
  <c r="D10" i="22" s="1"/>
  <c r="D121" i="22" l="1"/>
  <c r="B4" i="22"/>
  <c r="D4" i="22" s="1"/>
  <c r="B6" i="22"/>
  <c r="D6" i="22" s="1"/>
  <c r="B8" i="22"/>
  <c r="D8" i="22" s="1"/>
  <c r="B3" i="22"/>
  <c r="D3" i="22" s="1"/>
  <c r="B5" i="22"/>
  <c r="D5" i="22" s="1"/>
  <c r="B7" i="22"/>
  <c r="D7" i="22" s="1"/>
  <c r="B9" i="22"/>
  <c r="D9" i="22" s="1"/>
  <c r="AQ26" i="8"/>
  <c r="AQ27" i="8" s="1"/>
  <c r="AA30" i="8" l="1"/>
  <c r="AB23" i="8"/>
  <c r="L43" i="8" l="1"/>
  <c r="O13" i="20" l="1"/>
  <c r="E129" i="20"/>
  <c r="S11" i="20" s="1"/>
  <c r="E116" i="20"/>
  <c r="R11" i="20" s="1"/>
  <c r="E103" i="20"/>
  <c r="E90" i="20"/>
  <c r="P11" i="20" s="1"/>
  <c r="E77" i="20"/>
  <c r="O11" i="20" s="1"/>
  <c r="E64" i="20"/>
  <c r="N11" i="20" s="1"/>
  <c r="N13" i="20" s="1"/>
  <c r="L16" i="8" s="1"/>
  <c r="E50" i="20"/>
  <c r="E36" i="20"/>
  <c r="L11" i="20" s="1"/>
  <c r="E23" i="20"/>
  <c r="K11" i="20" s="1"/>
  <c r="S13" i="20"/>
  <c r="R13" i="20"/>
  <c r="Q11" i="20"/>
  <c r="Q13" i="20"/>
  <c r="P13" i="20"/>
  <c r="M11" i="20"/>
  <c r="AC8" i="8"/>
  <c r="F4598" i="19"/>
  <c r="F4627" i="19"/>
  <c r="E4598" i="19"/>
  <c r="E4601" i="19"/>
  <c r="E4627" i="19"/>
  <c r="G4622" i="19"/>
  <c r="F4537" i="19"/>
  <c r="F4572" i="19" s="1"/>
  <c r="F4566" i="19"/>
  <c r="E4537" i="19"/>
  <c r="E4540" i="19"/>
  <c r="E4566" i="19" s="1"/>
  <c r="G4561" i="19"/>
  <c r="F4475" i="19"/>
  <c r="F4504" i="19"/>
  <c r="E4475" i="19"/>
  <c r="E4478" i="19"/>
  <c r="E4496" i="19"/>
  <c r="G4499" i="19"/>
  <c r="F4413" i="19"/>
  <c r="F4442" i="19"/>
  <c r="E4413" i="19"/>
  <c r="E4442" i="19"/>
  <c r="G4437" i="19"/>
  <c r="F4351" i="19"/>
  <c r="F4386" i="19" s="1"/>
  <c r="F4380" i="19"/>
  <c r="E4338" i="19"/>
  <c r="E4339" i="19"/>
  <c r="G4339" i="19" s="1"/>
  <c r="E4340" i="19"/>
  <c r="G4340" i="19" s="1"/>
  <c r="E4341" i="19"/>
  <c r="G4341" i="19" s="1"/>
  <c r="E4343" i="19"/>
  <c r="E4349" i="19"/>
  <c r="G4349" i="19" s="1"/>
  <c r="E4354" i="19"/>
  <c r="E4369" i="19"/>
  <c r="G4369" i="19" s="1"/>
  <c r="E4371" i="19"/>
  <c r="G4371" i="19" s="1"/>
  <c r="E4379" i="19"/>
  <c r="G4379" i="19"/>
  <c r="G4378" i="19"/>
  <c r="G4377" i="19"/>
  <c r="G4376" i="19"/>
  <c r="G4375" i="19"/>
  <c r="G4374" i="19"/>
  <c r="G4373" i="19"/>
  <c r="G4372" i="19"/>
  <c r="G4370" i="19"/>
  <c r="G4368" i="19"/>
  <c r="G4367" i="19"/>
  <c r="G4366" i="19"/>
  <c r="G4365" i="19"/>
  <c r="G4364" i="19"/>
  <c r="G4363" i="19"/>
  <c r="G4362" i="19"/>
  <c r="G4361" i="19"/>
  <c r="G4360" i="19"/>
  <c r="G4359" i="19"/>
  <c r="G4358" i="19"/>
  <c r="G4357" i="19"/>
  <c r="G4356" i="19"/>
  <c r="G4355" i="19"/>
  <c r="G4353" i="19"/>
  <c r="G4350" i="19"/>
  <c r="G4348" i="19"/>
  <c r="G4347" i="19"/>
  <c r="G4346" i="19"/>
  <c r="G4345" i="19"/>
  <c r="G4344" i="19"/>
  <c r="G4343" i="19"/>
  <c r="G4342" i="19"/>
  <c r="G4338" i="19"/>
  <c r="G4337" i="19"/>
  <c r="G4335" i="19"/>
  <c r="G4334" i="19"/>
  <c r="G4333" i="19"/>
  <c r="G4332" i="19"/>
  <c r="G4331" i="19"/>
  <c r="G4330" i="19"/>
  <c r="G4329" i="19"/>
  <c r="G4328" i="19"/>
  <c r="G4327" i="19"/>
  <c r="G4326" i="19"/>
  <c r="F4290" i="19"/>
  <c r="F4318" i="19"/>
  <c r="E4265" i="19"/>
  <c r="E4266" i="19"/>
  <c r="E4267" i="19"/>
  <c r="E4268" i="19"/>
  <c r="E4269" i="19"/>
  <c r="E4270" i="19"/>
  <c r="E4271" i="19"/>
  <c r="E4272" i="19"/>
  <c r="E4273" i="19"/>
  <c r="E4274" i="19"/>
  <c r="E4276" i="19"/>
  <c r="E4277" i="19"/>
  <c r="E4278" i="19"/>
  <c r="E4279" i="19"/>
  <c r="E4280" i="19"/>
  <c r="E4281" i="19"/>
  <c r="E4282" i="19"/>
  <c r="E4283" i="19"/>
  <c r="E4284" i="19"/>
  <c r="E4285" i="19"/>
  <c r="E4287" i="19"/>
  <c r="E4288" i="19"/>
  <c r="E4289" i="19"/>
  <c r="E4292" i="19"/>
  <c r="E4293" i="19"/>
  <c r="E4294" i="19"/>
  <c r="E4295" i="19"/>
  <c r="E4296" i="19"/>
  <c r="E4297" i="19"/>
  <c r="E4298" i="19"/>
  <c r="E4300" i="19"/>
  <c r="E4302" i="19"/>
  <c r="E4303" i="19"/>
  <c r="E4304" i="19"/>
  <c r="E4305" i="19"/>
  <c r="E4306" i="19"/>
  <c r="E4308" i="19"/>
  <c r="E4309" i="19"/>
  <c r="E4310" i="19"/>
  <c r="E4312" i="19"/>
  <c r="E4313" i="19"/>
  <c r="E4315" i="19"/>
  <c r="E4316" i="19"/>
  <c r="E4317" i="19"/>
  <c r="F4229" i="19"/>
  <c r="F4257" i="19"/>
  <c r="E4229" i="19"/>
  <c r="E4257" i="19"/>
  <c r="F4168" i="19"/>
  <c r="F4196" i="19"/>
  <c r="E4168" i="19"/>
  <c r="E4171" i="19"/>
  <c r="E4195" i="19"/>
  <c r="F4107" i="19"/>
  <c r="F4135" i="19"/>
  <c r="E4107" i="19"/>
  <c r="E4110" i="19"/>
  <c r="E4135" i="19" s="1"/>
  <c r="F4046" i="19"/>
  <c r="F4074" i="19"/>
  <c r="E4033" i="19"/>
  <c r="E4046" i="19" s="1"/>
  <c r="E4049" i="19"/>
  <c r="E4066" i="19"/>
  <c r="E4067" i="19"/>
  <c r="F3983" i="19"/>
  <c r="F3984" i="19" s="1"/>
  <c r="F3987" i="19"/>
  <c r="F4001" i="19"/>
  <c r="E3984" i="19"/>
  <c r="E4019" i="19" s="1"/>
  <c r="E3987" i="19"/>
  <c r="E4013" i="19" s="1"/>
  <c r="E4001" i="19"/>
  <c r="G4008" i="19"/>
  <c r="F3910" i="19"/>
  <c r="F3911" i="19"/>
  <c r="F3912" i="19"/>
  <c r="F3913" i="19"/>
  <c r="F3915" i="19"/>
  <c r="F3921" i="19"/>
  <c r="F3926" i="19"/>
  <c r="F3938" i="19"/>
  <c r="F3941" i="19"/>
  <c r="F3943" i="19"/>
  <c r="F3951" i="19"/>
  <c r="E3910" i="19"/>
  <c r="E3911" i="19"/>
  <c r="E3912" i="19"/>
  <c r="E3913" i="19"/>
  <c r="E3915" i="19"/>
  <c r="E3921" i="19"/>
  <c r="E3926" i="19"/>
  <c r="E3938" i="19"/>
  <c r="E3941" i="19"/>
  <c r="E3943" i="19"/>
  <c r="E3951" i="19"/>
  <c r="G3947" i="19"/>
  <c r="E3860" i="19"/>
  <c r="E3863" i="19"/>
  <c r="E3889" i="19" s="1"/>
  <c r="G3884" i="19"/>
  <c r="E3799" i="19"/>
  <c r="E3802" i="19"/>
  <c r="E3828" i="19" s="1"/>
  <c r="G3823" i="19"/>
  <c r="E3737" i="19"/>
  <c r="E3740" i="19"/>
  <c r="E3766" i="19" s="1"/>
  <c r="E3772" i="19" s="1"/>
  <c r="E3758" i="19"/>
  <c r="G3761" i="19"/>
  <c r="E3675" i="19"/>
  <c r="E3704" i="19"/>
  <c r="G3699" i="19"/>
  <c r="E3600" i="19"/>
  <c r="E3601" i="19"/>
  <c r="E3602" i="19"/>
  <c r="E3603" i="19"/>
  <c r="E3605" i="19"/>
  <c r="E3611" i="19"/>
  <c r="G3611" i="19" s="1"/>
  <c r="E3616" i="19"/>
  <c r="E3631" i="19"/>
  <c r="E3633" i="19"/>
  <c r="E3641" i="19"/>
  <c r="G3641" i="19" s="1"/>
  <c r="G3640" i="19"/>
  <c r="G3639" i="19"/>
  <c r="G3638" i="19"/>
  <c r="G3637" i="19"/>
  <c r="G3636" i="19"/>
  <c r="G3635" i="19"/>
  <c r="G3634" i="19"/>
  <c r="G3632" i="19"/>
  <c r="G3631" i="19"/>
  <c r="G3630" i="19"/>
  <c r="G3629" i="19"/>
  <c r="G3628" i="19"/>
  <c r="G3627" i="19"/>
  <c r="G3626" i="19"/>
  <c r="G3625" i="19"/>
  <c r="G3624" i="19"/>
  <c r="G3623" i="19"/>
  <c r="G3622" i="19"/>
  <c r="G3621" i="19"/>
  <c r="G3620" i="19"/>
  <c r="G3619" i="19"/>
  <c r="G3618" i="19"/>
  <c r="G3617" i="19"/>
  <c r="G3615" i="19"/>
  <c r="G3612" i="19"/>
  <c r="G3610" i="19"/>
  <c r="G3609" i="19"/>
  <c r="G3608" i="19"/>
  <c r="G3607" i="19"/>
  <c r="G3606" i="19"/>
  <c r="G3605" i="19"/>
  <c r="G3604" i="19"/>
  <c r="G3603" i="19"/>
  <c r="G3602" i="19"/>
  <c r="G3600" i="19"/>
  <c r="G3599" i="19"/>
  <c r="G3597" i="19"/>
  <c r="G3596" i="19"/>
  <c r="G3595" i="19"/>
  <c r="G3594" i="19"/>
  <c r="G3593" i="19"/>
  <c r="G3592" i="19"/>
  <c r="G3591" i="19"/>
  <c r="G3590" i="19"/>
  <c r="G3589" i="19"/>
  <c r="G3588" i="19"/>
  <c r="E3527" i="19"/>
  <c r="E3528" i="19"/>
  <c r="E3529" i="19"/>
  <c r="E3530" i="19"/>
  <c r="E3531" i="19"/>
  <c r="E3532" i="19"/>
  <c r="E3533" i="19"/>
  <c r="E3534" i="19"/>
  <c r="E3535" i="19"/>
  <c r="E3536" i="19"/>
  <c r="E3538" i="19"/>
  <c r="E3539" i="19"/>
  <c r="E3540" i="19"/>
  <c r="E3541" i="19"/>
  <c r="E3542" i="19"/>
  <c r="E3543" i="19"/>
  <c r="E3544" i="19"/>
  <c r="E3545" i="19"/>
  <c r="E3546" i="19"/>
  <c r="E3547" i="19"/>
  <c r="E3549" i="19"/>
  <c r="E3550" i="19"/>
  <c r="E3551" i="19"/>
  <c r="E3554" i="19"/>
  <c r="E3555" i="19"/>
  <c r="E3556" i="19"/>
  <c r="E3557" i="19"/>
  <c r="E3558" i="19"/>
  <c r="E3559" i="19"/>
  <c r="E3560" i="19"/>
  <c r="E3562" i="19"/>
  <c r="E3564" i="19"/>
  <c r="E3565" i="19"/>
  <c r="E3566" i="19"/>
  <c r="E3567" i="19"/>
  <c r="E3568" i="19"/>
  <c r="E3570" i="19"/>
  <c r="E3571" i="19"/>
  <c r="E3572" i="19"/>
  <c r="E3574" i="19"/>
  <c r="E3575" i="19"/>
  <c r="E3577" i="19"/>
  <c r="E3578" i="19"/>
  <c r="E3579" i="19"/>
  <c r="E3491" i="19"/>
  <c r="E3525" i="19" s="1"/>
  <c r="E3519" i="19"/>
  <c r="E3430" i="19"/>
  <c r="E3433" i="19"/>
  <c r="E3458" i="19" s="1"/>
  <c r="E3464" i="19" s="1"/>
  <c r="E3457" i="19"/>
  <c r="E3369" i="19"/>
  <c r="E3372" i="19"/>
  <c r="E3397" i="19" s="1"/>
  <c r="E3403" i="19" s="1"/>
  <c r="E3295" i="19"/>
  <c r="E3308" i="19" s="1"/>
  <c r="E3311" i="19"/>
  <c r="E3328" i="19"/>
  <c r="E3329" i="19"/>
  <c r="E3235" i="19"/>
  <c r="E3247" i="19" s="1"/>
  <c r="E3237" i="19"/>
  <c r="E3250" i="19"/>
  <c r="E3262" i="19"/>
  <c r="E3274" i="19"/>
  <c r="E3173" i="19"/>
  <c r="E3174" i="19"/>
  <c r="E3175" i="19"/>
  <c r="E3176" i="19"/>
  <c r="E3178" i="19"/>
  <c r="E3184" i="19"/>
  <c r="E3189" i="19"/>
  <c r="E3204" i="19"/>
  <c r="E3206" i="19"/>
  <c r="E3213" i="19"/>
  <c r="E3214" i="19"/>
  <c r="E3124" i="19"/>
  <c r="E3127" i="19"/>
  <c r="E3145" i="19"/>
  <c r="E3064" i="19"/>
  <c r="E3067" i="19"/>
  <c r="E3092" i="19" s="1"/>
  <c r="E2991" i="19"/>
  <c r="E2993" i="19"/>
  <c r="E2996" i="19"/>
  <c r="E3022" i="19"/>
  <c r="E3024" i="19"/>
  <c r="E3031" i="19"/>
  <c r="E2931" i="19"/>
  <c r="E2944" i="19" s="1"/>
  <c r="E2933" i="19"/>
  <c r="E2936" i="19"/>
  <c r="E2951" i="19"/>
  <c r="E2962" i="19"/>
  <c r="E2964" i="19"/>
  <c r="E2965" i="19"/>
  <c r="E2971" i="19"/>
  <c r="E2871" i="19"/>
  <c r="G2871" i="19" s="1"/>
  <c r="E2872" i="19"/>
  <c r="E2873" i="19"/>
  <c r="E2874" i="19"/>
  <c r="E2876" i="19"/>
  <c r="G2876" i="19" s="1"/>
  <c r="E2882" i="19"/>
  <c r="G2882" i="19" s="1"/>
  <c r="E2891" i="19"/>
  <c r="E2902" i="19"/>
  <c r="E2904" i="19"/>
  <c r="E2912" i="19" s="1"/>
  <c r="E2911" i="19"/>
  <c r="G2911" i="19" s="1"/>
  <c r="G2910" i="19"/>
  <c r="G2909" i="19"/>
  <c r="G2908" i="19"/>
  <c r="G2907" i="19"/>
  <c r="G2906" i="19"/>
  <c r="G2905" i="19"/>
  <c r="G2903" i="19"/>
  <c r="G2902" i="19"/>
  <c r="G2901" i="19"/>
  <c r="G2900" i="19"/>
  <c r="G2899" i="19"/>
  <c r="G2898" i="19"/>
  <c r="G2897" i="19"/>
  <c r="G2896" i="19"/>
  <c r="G2895" i="19"/>
  <c r="G2894" i="19"/>
  <c r="G2893" i="19"/>
  <c r="G2892" i="19"/>
  <c r="G2891" i="19"/>
  <c r="G2890" i="19"/>
  <c r="G2889" i="19"/>
  <c r="G2888" i="19"/>
  <c r="G2887" i="19"/>
  <c r="G2886" i="19"/>
  <c r="G2883" i="19"/>
  <c r="G2881" i="19"/>
  <c r="G2880" i="19"/>
  <c r="G2879" i="19"/>
  <c r="G2878" i="19"/>
  <c r="G2877" i="19"/>
  <c r="G2875" i="19"/>
  <c r="G2874" i="19"/>
  <c r="G2873" i="19"/>
  <c r="G2870" i="19"/>
  <c r="G2869" i="19"/>
  <c r="G2868" i="19"/>
  <c r="G2867" i="19"/>
  <c r="G2866" i="19"/>
  <c r="G2865" i="19"/>
  <c r="G2864" i="19"/>
  <c r="G2863" i="19"/>
  <c r="G2862" i="19"/>
  <c r="G2861" i="19"/>
  <c r="G2860" i="19"/>
  <c r="E2800" i="19"/>
  <c r="E2801" i="19"/>
  <c r="E2802" i="19"/>
  <c r="E2803" i="19"/>
  <c r="E2804" i="19"/>
  <c r="E2805" i="19"/>
  <c r="E2806" i="19"/>
  <c r="E2807" i="19"/>
  <c r="E2808" i="19"/>
  <c r="E2809" i="19"/>
  <c r="E2810" i="19"/>
  <c r="E2811" i="19"/>
  <c r="E2812" i="19"/>
  <c r="E2813" i="19"/>
  <c r="E2814" i="19"/>
  <c r="E2815" i="19"/>
  <c r="E2816" i="19"/>
  <c r="E2817" i="19"/>
  <c r="E2818" i="19"/>
  <c r="E2819" i="19"/>
  <c r="E2821" i="19"/>
  <c r="E2822" i="19"/>
  <c r="E2823" i="19"/>
  <c r="E2826" i="19"/>
  <c r="E2827" i="19"/>
  <c r="E2828" i="19"/>
  <c r="E2829" i="19"/>
  <c r="E2830" i="19"/>
  <c r="E2831" i="19"/>
  <c r="E2832" i="19"/>
  <c r="E2834" i="19"/>
  <c r="E2836" i="19"/>
  <c r="E2837" i="19"/>
  <c r="E2838" i="19"/>
  <c r="E2839" i="19"/>
  <c r="E2840" i="19"/>
  <c r="E2842" i="19"/>
  <c r="E2843" i="19"/>
  <c r="E2844" i="19"/>
  <c r="E2846" i="19"/>
  <c r="E2847" i="19"/>
  <c r="E2849" i="19"/>
  <c r="E2850" i="19"/>
  <c r="E2851" i="19"/>
  <c r="E2751" i="19"/>
  <c r="E2753" i="19"/>
  <c r="E2756" i="19"/>
  <c r="E2782" i="19"/>
  <c r="E2784" i="19"/>
  <c r="E2791" i="19"/>
  <c r="E2691" i="19"/>
  <c r="E2692" i="19"/>
  <c r="E2693" i="19"/>
  <c r="E2694" i="19"/>
  <c r="E2696" i="19"/>
  <c r="E2702" i="19"/>
  <c r="E2711" i="19"/>
  <c r="E2722" i="19"/>
  <c r="E2724" i="19"/>
  <c r="E2731" i="19"/>
  <c r="E2631" i="19"/>
  <c r="E2632" i="19"/>
  <c r="E2633" i="19"/>
  <c r="E2634" i="19"/>
  <c r="E2636" i="19"/>
  <c r="E2642" i="19"/>
  <c r="E2651" i="19"/>
  <c r="E2662" i="19"/>
  <c r="E2664" i="19"/>
  <c r="E2671" i="19"/>
  <c r="E2571" i="19"/>
  <c r="E2572" i="19"/>
  <c r="E2573" i="19"/>
  <c r="E2574" i="19"/>
  <c r="E2576" i="19"/>
  <c r="E2582" i="19"/>
  <c r="E2591" i="19"/>
  <c r="E2602" i="19"/>
  <c r="E2604" i="19"/>
  <c r="E2605" i="19"/>
  <c r="E2611" i="19"/>
  <c r="E2511" i="19"/>
  <c r="E2512" i="19"/>
  <c r="E2513" i="19"/>
  <c r="E2514" i="19"/>
  <c r="E2516" i="19"/>
  <c r="E2522" i="19"/>
  <c r="E2531" i="19"/>
  <c r="E2542" i="19"/>
  <c r="E2544" i="19"/>
  <c r="E2551" i="19"/>
  <c r="E2451" i="19"/>
  <c r="E2452" i="19"/>
  <c r="E2453" i="19"/>
  <c r="E2454" i="19"/>
  <c r="E2456" i="19"/>
  <c r="E2462" i="19"/>
  <c r="E2471" i="19"/>
  <c r="E2482" i="19"/>
  <c r="E2492" i="19" s="1"/>
  <c r="E2484" i="19"/>
  <c r="E2491" i="19"/>
  <c r="E2389" i="19"/>
  <c r="E2390" i="19"/>
  <c r="E2391" i="19"/>
  <c r="E2392" i="19"/>
  <c r="E2395" i="19"/>
  <c r="E2401" i="19"/>
  <c r="E2410" i="19"/>
  <c r="E2420" i="19"/>
  <c r="E2422" i="19"/>
  <c r="E2429" i="19"/>
  <c r="E2329" i="19"/>
  <c r="E2331" i="19"/>
  <c r="E2335" i="19"/>
  <c r="E2360" i="19"/>
  <c r="E2362" i="19"/>
  <c r="E2369" i="19"/>
  <c r="E2269" i="19"/>
  <c r="E2270" i="19"/>
  <c r="E2271" i="19"/>
  <c r="E2272" i="19"/>
  <c r="E2275" i="19"/>
  <c r="E2281" i="19"/>
  <c r="E2290" i="19"/>
  <c r="E2300" i="19"/>
  <c r="E2302" i="19"/>
  <c r="E2303" i="19"/>
  <c r="E2309" i="19"/>
  <c r="E2209" i="19"/>
  <c r="E2210" i="19"/>
  <c r="E2211" i="19"/>
  <c r="E2215" i="19"/>
  <c r="E2230" i="19"/>
  <c r="E2240" i="19"/>
  <c r="E2242" i="19"/>
  <c r="E2249" i="19"/>
  <c r="E2149" i="19"/>
  <c r="E2150" i="19"/>
  <c r="E2151" i="19"/>
  <c r="E2152" i="19"/>
  <c r="E2155" i="19"/>
  <c r="E2161" i="19"/>
  <c r="E2170" i="19"/>
  <c r="E2177" i="19"/>
  <c r="E2180" i="19"/>
  <c r="E2182" i="19"/>
  <c r="E2189" i="19"/>
  <c r="E2089" i="19"/>
  <c r="E2091" i="19"/>
  <c r="E2095" i="19"/>
  <c r="E2120" i="19"/>
  <c r="E2122" i="19"/>
  <c r="E2129" i="19"/>
  <c r="E2029" i="19"/>
  <c r="E2031" i="19"/>
  <c r="E2033" i="19"/>
  <c r="E2035" i="19"/>
  <c r="E2060" i="19"/>
  <c r="E2062" i="19"/>
  <c r="E2069" i="19"/>
  <c r="E1969" i="19"/>
  <c r="E1970" i="19"/>
  <c r="E1971" i="19"/>
  <c r="E1972" i="19"/>
  <c r="E1973" i="19"/>
  <c r="E1975" i="19"/>
  <c r="E1981" i="19"/>
  <c r="E1990" i="19"/>
  <c r="E2000" i="19"/>
  <c r="E2002" i="19"/>
  <c r="E2009" i="19"/>
  <c r="E1906" i="19"/>
  <c r="E1907" i="19"/>
  <c r="E1908" i="19"/>
  <c r="E1909" i="19"/>
  <c r="E1910" i="19"/>
  <c r="E1912" i="19"/>
  <c r="E1917" i="19"/>
  <c r="E1936" i="19"/>
  <c r="E1938" i="19"/>
  <c r="E1945" i="19"/>
  <c r="E1950" i="19"/>
  <c r="H1950" i="19"/>
  <c r="E1843" i="19"/>
  <c r="E1844" i="19"/>
  <c r="E1845" i="19"/>
  <c r="E1846" i="19"/>
  <c r="E1847" i="19"/>
  <c r="E1849" i="19"/>
  <c r="E1854" i="19"/>
  <c r="E1863" i="19"/>
  <c r="E1873" i="19"/>
  <c r="E1875" i="19"/>
  <c r="E1882" i="19"/>
  <c r="E1887" i="19"/>
  <c r="H1887" i="19"/>
  <c r="E1780" i="19"/>
  <c r="E1781" i="19"/>
  <c r="E1782" i="19"/>
  <c r="E1783" i="19"/>
  <c r="E1784" i="19"/>
  <c r="E1786" i="19"/>
  <c r="E1791" i="19"/>
  <c r="E1800" i="19"/>
  <c r="E1810" i="19"/>
  <c r="E1812" i="19"/>
  <c r="E1819" i="19"/>
  <c r="E1824" i="19"/>
  <c r="H1824" i="19"/>
  <c r="E1717" i="19"/>
  <c r="E1718" i="19"/>
  <c r="E1719" i="19"/>
  <c r="E1720" i="19"/>
  <c r="E1721" i="19"/>
  <c r="E1723" i="19"/>
  <c r="E1728" i="19"/>
  <c r="E1737" i="19"/>
  <c r="E1747" i="19"/>
  <c r="E1749" i="19"/>
  <c r="E1756" i="19"/>
  <c r="E1761" i="19"/>
  <c r="H1761" i="19"/>
  <c r="E1652" i="19"/>
  <c r="E1653" i="19"/>
  <c r="E1654" i="19"/>
  <c r="E1655" i="19"/>
  <c r="E1656" i="19"/>
  <c r="E1658" i="19"/>
  <c r="E1663" i="19"/>
  <c r="E1672" i="19"/>
  <c r="E1682" i="19"/>
  <c r="E1684" i="19"/>
  <c r="E1691" i="19"/>
  <c r="E1696" i="19"/>
  <c r="H1696" i="19"/>
  <c r="E1589" i="19"/>
  <c r="E1590" i="19"/>
  <c r="E1591" i="19"/>
  <c r="E1592" i="19"/>
  <c r="E1593" i="19"/>
  <c r="E1595" i="19"/>
  <c r="E1600" i="19"/>
  <c r="E1609" i="19"/>
  <c r="E1619" i="19"/>
  <c r="E1621" i="19"/>
  <c r="E1628" i="19"/>
  <c r="E1633" i="19"/>
  <c r="H1633" i="19"/>
  <c r="E1526" i="19"/>
  <c r="E1527" i="19"/>
  <c r="E1528" i="19"/>
  <c r="E1529" i="19"/>
  <c r="E1530" i="19"/>
  <c r="E1532" i="19"/>
  <c r="E1537" i="19"/>
  <c r="E1546" i="19"/>
  <c r="E1556" i="19"/>
  <c r="E1558" i="19"/>
  <c r="E1565" i="19"/>
  <c r="E1570" i="19"/>
  <c r="H1570" i="19"/>
  <c r="E1463" i="19"/>
  <c r="E1464" i="19"/>
  <c r="E1465" i="19"/>
  <c r="E1467" i="19"/>
  <c r="E1469" i="19"/>
  <c r="E1493" i="19"/>
  <c r="E1495" i="19"/>
  <c r="E1502" i="19"/>
  <c r="E1507" i="19"/>
  <c r="H1507" i="19"/>
  <c r="E1399" i="19"/>
  <c r="E1400" i="19"/>
  <c r="E1401" i="19"/>
  <c r="E1402" i="19"/>
  <c r="E1403" i="19"/>
  <c r="E1405" i="19"/>
  <c r="E1410" i="19"/>
  <c r="E1419" i="19"/>
  <c r="E1426" i="19"/>
  <c r="E1429" i="19"/>
  <c r="E1431" i="19"/>
  <c r="E1439" i="19"/>
  <c r="E1444" i="19"/>
  <c r="H1444" i="19"/>
  <c r="H1382" i="19"/>
  <c r="E1382" i="19"/>
  <c r="E1363" i="19"/>
  <c r="E1365" i="19"/>
  <c r="E1367" i="19"/>
  <c r="E1373" i="19"/>
  <c r="E1329" i="19"/>
  <c r="E1331" i="19"/>
  <c r="E1333" i="19"/>
  <c r="E1335" i="19"/>
  <c r="H1312" i="19"/>
  <c r="E1312" i="19"/>
  <c r="E1283" i="19"/>
  <c r="E1293" i="19"/>
  <c r="E1295" i="19"/>
  <c r="E1297" i="19"/>
  <c r="E1303" i="19"/>
  <c r="E1258" i="19"/>
  <c r="E1259" i="19"/>
  <c r="E1260" i="19"/>
  <c r="E1261" i="19"/>
  <c r="E1262" i="19"/>
  <c r="E1264" i="19"/>
  <c r="E1269" i="19"/>
  <c r="H1241" i="19"/>
  <c r="E1220" i="19"/>
  <c r="E1230" i="19"/>
  <c r="E1232" i="19"/>
  <c r="E1240" i="19"/>
  <c r="E1195" i="19"/>
  <c r="E1196" i="19"/>
  <c r="E1197" i="19"/>
  <c r="E1198" i="19"/>
  <c r="E1199" i="19"/>
  <c r="E1201" i="19"/>
  <c r="E1206" i="19"/>
  <c r="H1178" i="19"/>
  <c r="E1167" i="19"/>
  <c r="E1169" i="19"/>
  <c r="E1177" i="19"/>
  <c r="E1130" i="19"/>
  <c r="E1132" i="19"/>
  <c r="E1134" i="19"/>
  <c r="E1137" i="19"/>
  <c r="E1092" i="19"/>
  <c r="E1102" i="19"/>
  <c r="E1104" i="19"/>
  <c r="E1106" i="19"/>
  <c r="E1112" i="19"/>
  <c r="H1113" i="19"/>
  <c r="E1065" i="19"/>
  <c r="E1066" i="19"/>
  <c r="E1067" i="19"/>
  <c r="E1068" i="19"/>
  <c r="E1069" i="19"/>
  <c r="E1072" i="19"/>
  <c r="E1078" i="19"/>
  <c r="E1030" i="19"/>
  <c r="E1048" i="19" s="1"/>
  <c r="J1048" i="19" s="1"/>
  <c r="H1048" i="19"/>
  <c r="E1000" i="19"/>
  <c r="E1001" i="19"/>
  <c r="E1002" i="19"/>
  <c r="E1003" i="19"/>
  <c r="E1004" i="19"/>
  <c r="E1007" i="19"/>
  <c r="E1009" i="19"/>
  <c r="E1013" i="19"/>
  <c r="E1015" i="19"/>
  <c r="E1016" i="19"/>
  <c r="E962" i="19"/>
  <c r="E983" i="19" s="1"/>
  <c r="J983" i="19" s="1"/>
  <c r="E975" i="19"/>
  <c r="H983" i="19"/>
  <c r="E861" i="19"/>
  <c r="E927" i="19" s="1"/>
  <c r="E933" i="19"/>
  <c r="E934" i="19"/>
  <c r="E935" i="19"/>
  <c r="E936" i="19"/>
  <c r="E937" i="19"/>
  <c r="E940" i="19"/>
  <c r="E942" i="19"/>
  <c r="E946" i="19"/>
  <c r="E948" i="19"/>
  <c r="E949" i="19"/>
  <c r="E890" i="19"/>
  <c r="E891" i="19"/>
  <c r="E892" i="19"/>
  <c r="E893" i="19"/>
  <c r="E894" i="19"/>
  <c r="E896" i="19"/>
  <c r="E897" i="19"/>
  <c r="E898" i="19"/>
  <c r="E899" i="19"/>
  <c r="E900" i="19"/>
  <c r="E901" i="19"/>
  <c r="E902" i="19"/>
  <c r="E903" i="19"/>
  <c r="E904" i="19"/>
  <c r="E905" i="19"/>
  <c r="E906" i="19"/>
  <c r="E907" i="19"/>
  <c r="E908" i="19"/>
  <c r="E909" i="19"/>
  <c r="E910" i="19"/>
  <c r="E911" i="19"/>
  <c r="E912" i="19"/>
  <c r="E913" i="19"/>
  <c r="H914" i="19"/>
  <c r="E856" i="19"/>
  <c r="E857" i="19"/>
  <c r="E858" i="19"/>
  <c r="E859" i="19"/>
  <c r="E860" i="19"/>
  <c r="E862" i="19"/>
  <c r="E863" i="19"/>
  <c r="E864" i="19"/>
  <c r="E865" i="19"/>
  <c r="E866" i="19"/>
  <c r="E867" i="19"/>
  <c r="E868" i="19"/>
  <c r="E869" i="19"/>
  <c r="E870" i="19"/>
  <c r="E871" i="19"/>
  <c r="E873" i="19"/>
  <c r="E874" i="19"/>
  <c r="E875" i="19"/>
  <c r="E876" i="19"/>
  <c r="E877" i="19"/>
  <c r="E878" i="19"/>
  <c r="E879" i="19"/>
  <c r="E880" i="19"/>
  <c r="E882" i="19"/>
  <c r="E883" i="19"/>
  <c r="E839" i="19"/>
  <c r="E850" i="19" s="1"/>
  <c r="J850" i="19" s="1"/>
  <c r="H850" i="19"/>
  <c r="E803" i="19"/>
  <c r="E805" i="19"/>
  <c r="E810" i="19"/>
  <c r="E812" i="19"/>
  <c r="E816" i="19"/>
  <c r="E819" i="19"/>
  <c r="E768" i="19"/>
  <c r="E786" i="19" s="1"/>
  <c r="J786" i="19" s="1"/>
  <c r="E775" i="19"/>
  <c r="H786" i="19"/>
  <c r="E739" i="19"/>
  <c r="E740" i="19"/>
  <c r="E741" i="19"/>
  <c r="E742" i="19"/>
  <c r="E743" i="19"/>
  <c r="E746" i="19"/>
  <c r="E748" i="19"/>
  <c r="E752" i="19"/>
  <c r="E754" i="19"/>
  <c r="E755" i="19"/>
  <c r="E704" i="19"/>
  <c r="E711" i="19"/>
  <c r="E722" i="19"/>
  <c r="J722" i="19" s="1"/>
  <c r="H722" i="19"/>
  <c r="E675" i="19"/>
  <c r="E676" i="19"/>
  <c r="E677" i="19"/>
  <c r="E679" i="19"/>
  <c r="E682" i="19"/>
  <c r="E684" i="19"/>
  <c r="E688" i="19"/>
  <c r="E691" i="19"/>
  <c r="H628" i="19"/>
  <c r="H658" i="19"/>
  <c r="J658" i="19"/>
  <c r="E640" i="19"/>
  <c r="E658" i="19" s="1"/>
  <c r="E648" i="19"/>
  <c r="E611" i="19"/>
  <c r="E612" i="19"/>
  <c r="E613" i="19"/>
  <c r="E614" i="19"/>
  <c r="E615" i="19"/>
  <c r="E618" i="19"/>
  <c r="E620" i="19"/>
  <c r="E624" i="19"/>
  <c r="E626" i="19"/>
  <c r="E627" i="19"/>
  <c r="H564" i="19"/>
  <c r="H594" i="19"/>
  <c r="E594" i="19"/>
  <c r="E547" i="19"/>
  <c r="E549" i="19"/>
  <c r="E551" i="19"/>
  <c r="E554" i="19"/>
  <c r="E556" i="19"/>
  <c r="E560" i="19"/>
  <c r="E563" i="19"/>
  <c r="H500" i="19"/>
  <c r="H530" i="19"/>
  <c r="E512" i="19"/>
  <c r="E530" i="19" s="1"/>
  <c r="E488" i="19"/>
  <c r="E490" i="19"/>
  <c r="E498" i="19"/>
  <c r="E474" i="19"/>
  <c r="E470" i="19"/>
  <c r="H434" i="19"/>
  <c r="H464" i="19"/>
  <c r="E446" i="19"/>
  <c r="E464" i="19" s="1"/>
  <c r="E423" i="19"/>
  <c r="E424" i="19"/>
  <c r="E425" i="19"/>
  <c r="H275" i="19"/>
  <c r="H331" i="19" s="1"/>
  <c r="J358" i="19" s="1"/>
  <c r="H358" i="19"/>
  <c r="H410" i="19" s="1"/>
  <c r="E386" i="19"/>
  <c r="E387" i="19"/>
  <c r="E388" i="19"/>
  <c r="E389" i="19"/>
  <c r="E390" i="19"/>
  <c r="E391" i="19"/>
  <c r="E393" i="19"/>
  <c r="E394" i="19"/>
  <c r="E395" i="19"/>
  <c r="E396" i="19"/>
  <c r="E397" i="19"/>
  <c r="E398" i="19"/>
  <c r="E399" i="19"/>
  <c r="E401" i="19"/>
  <c r="E402" i="19"/>
  <c r="E403" i="19"/>
  <c r="E404" i="19"/>
  <c r="E406" i="19"/>
  <c r="E407" i="19"/>
  <c r="E409" i="19"/>
  <c r="E361" i="19"/>
  <c r="E362" i="19"/>
  <c r="E363" i="19"/>
  <c r="E364" i="19"/>
  <c r="E365" i="19"/>
  <c r="E366" i="19"/>
  <c r="E367" i="19"/>
  <c r="E368" i="19"/>
  <c r="E369" i="19"/>
  <c r="E370" i="19"/>
  <c r="E371" i="19"/>
  <c r="E372" i="19"/>
  <c r="E373" i="19"/>
  <c r="E374" i="19"/>
  <c r="E376" i="19"/>
  <c r="E377" i="19"/>
  <c r="E378" i="19"/>
  <c r="E380" i="19"/>
  <c r="E381" i="19"/>
  <c r="E340" i="19"/>
  <c r="E353" i="19"/>
  <c r="E356" i="19"/>
  <c r="E327" i="19"/>
  <c r="E331" i="19" s="1"/>
  <c r="E284" i="19"/>
  <c r="E302" i="19" s="1"/>
  <c r="E292" i="19"/>
  <c r="E271" i="19"/>
  <c r="E275" i="19" s="1"/>
  <c r="E242" i="19"/>
  <c r="E246" i="19" s="1"/>
  <c r="E199" i="19"/>
  <c r="E201" i="19"/>
  <c r="E208" i="19"/>
  <c r="E211" i="19"/>
  <c r="E214" i="19"/>
  <c r="E157" i="19"/>
  <c r="E159" i="19"/>
  <c r="E166" i="19"/>
  <c r="E169" i="19"/>
  <c r="E113" i="19"/>
  <c r="E116" i="19"/>
  <c r="E124" i="19"/>
  <c r="E127" i="19"/>
  <c r="E130" i="19"/>
  <c r="E69" i="19"/>
  <c r="E72" i="19"/>
  <c r="E79" i="19"/>
  <c r="E82" i="19"/>
  <c r="E85" i="19"/>
  <c r="E25" i="19"/>
  <c r="E28" i="19"/>
  <c r="E35" i="19"/>
  <c r="E38" i="19"/>
  <c r="E42" i="19"/>
  <c r="E315" i="18"/>
  <c r="E317" i="18" s="1"/>
  <c r="D317" i="18"/>
  <c r="E313" i="18"/>
  <c r="D313" i="18"/>
  <c r="E309" i="18"/>
  <c r="D309" i="18"/>
  <c r="E305" i="18"/>
  <c r="D305" i="18"/>
  <c r="E301" i="18"/>
  <c r="D301" i="18"/>
  <c r="E297" i="18"/>
  <c r="D297" i="18"/>
  <c r="E293" i="18"/>
  <c r="D293" i="18"/>
  <c r="I287" i="18"/>
  <c r="I288" i="18"/>
  <c r="I289" i="18" s="1"/>
  <c r="I290" i="18" s="1"/>
  <c r="I286" i="18"/>
  <c r="H287" i="18"/>
  <c r="H289" i="18" s="1"/>
  <c r="H288" i="18"/>
  <c r="H286" i="18"/>
  <c r="I282" i="18" s="1"/>
  <c r="E289" i="18"/>
  <c r="D289" i="18"/>
  <c r="E285" i="18"/>
  <c r="D285" i="18"/>
  <c r="E281" i="18"/>
  <c r="D281" i="18"/>
  <c r="E277" i="18"/>
  <c r="D277" i="18"/>
  <c r="E273" i="18"/>
  <c r="D273" i="18"/>
  <c r="E265" i="18"/>
  <c r="E267" i="18" s="1"/>
  <c r="D267" i="18"/>
  <c r="E263" i="18"/>
  <c r="D263" i="18"/>
  <c r="E259" i="18"/>
  <c r="D259" i="18"/>
  <c r="E255" i="18"/>
  <c r="D255" i="18"/>
  <c r="E251" i="18"/>
  <c r="D251" i="18"/>
  <c r="E247" i="18"/>
  <c r="D247" i="18"/>
  <c r="E243" i="18"/>
  <c r="D243" i="18"/>
  <c r="I237" i="18"/>
  <c r="I239" i="18" s="1"/>
  <c r="I240" i="18" s="1"/>
  <c r="I238" i="18"/>
  <c r="I236" i="18"/>
  <c r="H237" i="18"/>
  <c r="H239" i="18" s="1"/>
  <c r="H238" i="18"/>
  <c r="H236" i="18"/>
  <c r="I232" i="18" s="1"/>
  <c r="E239" i="18"/>
  <c r="D239" i="18"/>
  <c r="E235" i="18"/>
  <c r="D235" i="18"/>
  <c r="E231" i="18"/>
  <c r="D231" i="18"/>
  <c r="E227" i="18"/>
  <c r="D227" i="18"/>
  <c r="E223" i="18"/>
  <c r="D223" i="18"/>
  <c r="AA16" i="8" s="1"/>
  <c r="E216" i="18"/>
  <c r="D216" i="18"/>
  <c r="E212" i="18"/>
  <c r="D212" i="18"/>
  <c r="E208" i="18"/>
  <c r="D208" i="18"/>
  <c r="E204" i="18"/>
  <c r="D204" i="18"/>
  <c r="E200" i="18"/>
  <c r="D200" i="18"/>
  <c r="E196" i="18"/>
  <c r="D196" i="18"/>
  <c r="E192" i="18"/>
  <c r="D192" i="18"/>
  <c r="I186" i="18"/>
  <c r="I187" i="18"/>
  <c r="I185" i="18"/>
  <c r="H186" i="18"/>
  <c r="H187" i="18"/>
  <c r="H185" i="18"/>
  <c r="I181" i="18" s="1"/>
  <c r="E188" i="18"/>
  <c r="D188" i="18"/>
  <c r="E184" i="18"/>
  <c r="D184" i="18"/>
  <c r="E180" i="18"/>
  <c r="D180" i="18"/>
  <c r="E176" i="18"/>
  <c r="D176" i="18"/>
  <c r="E172" i="18"/>
  <c r="D172" i="18"/>
  <c r="E165" i="18"/>
  <c r="E166" i="18" s="1"/>
  <c r="E164" i="18"/>
  <c r="D118" i="18"/>
  <c r="D122" i="18"/>
  <c r="D126" i="18"/>
  <c r="D130" i="18"/>
  <c r="D134" i="18"/>
  <c r="D138" i="18"/>
  <c r="D142" i="18"/>
  <c r="D146" i="18"/>
  <c r="D150" i="18"/>
  <c r="D154" i="18"/>
  <c r="D158" i="18"/>
  <c r="D162" i="18"/>
  <c r="D68" i="18"/>
  <c r="D72" i="18"/>
  <c r="D76" i="18"/>
  <c r="D80" i="18"/>
  <c r="D84" i="18"/>
  <c r="D86" i="18"/>
  <c r="D88" i="18" s="1"/>
  <c r="D92" i="18"/>
  <c r="D94" i="18"/>
  <c r="D96" i="18" s="1"/>
  <c r="D98" i="18"/>
  <c r="D100" i="18" s="1"/>
  <c r="D104" i="18"/>
  <c r="D108" i="18"/>
  <c r="D112" i="18"/>
  <c r="E162" i="18"/>
  <c r="E158" i="18"/>
  <c r="E154" i="18"/>
  <c r="E150" i="18"/>
  <c r="E146" i="18"/>
  <c r="E142" i="18"/>
  <c r="E138" i="18"/>
  <c r="E134" i="18"/>
  <c r="E130" i="18"/>
  <c r="E126" i="18"/>
  <c r="E122" i="18"/>
  <c r="E118" i="18"/>
  <c r="E112" i="18"/>
  <c r="E108" i="18"/>
  <c r="E104" i="18"/>
  <c r="E100" i="18"/>
  <c r="E96" i="18"/>
  <c r="E92" i="18"/>
  <c r="E88" i="18"/>
  <c r="E84" i="18"/>
  <c r="E80" i="18"/>
  <c r="E76" i="18"/>
  <c r="E72" i="18"/>
  <c r="E68" i="18"/>
  <c r="E62" i="18"/>
  <c r="D62" i="18"/>
  <c r="E58" i="18"/>
  <c r="D58" i="18"/>
  <c r="E54" i="18"/>
  <c r="D54" i="18"/>
  <c r="E50" i="18"/>
  <c r="D50" i="18"/>
  <c r="E44" i="18"/>
  <c r="E46" i="18" s="1"/>
  <c r="D46" i="18"/>
  <c r="E42" i="18"/>
  <c r="D42" i="18"/>
  <c r="E38" i="18"/>
  <c r="D38" i="18"/>
  <c r="E34" i="18"/>
  <c r="D34" i="18"/>
  <c r="E30" i="18"/>
  <c r="D30" i="18"/>
  <c r="E26" i="18"/>
  <c r="D26" i="18"/>
  <c r="E22" i="18"/>
  <c r="D22" i="18"/>
  <c r="E18" i="18"/>
  <c r="D18" i="18"/>
  <c r="E14" i="18"/>
  <c r="D14" i="18"/>
  <c r="E10" i="18"/>
  <c r="D10" i="18"/>
  <c r="E6" i="18"/>
  <c r="D6" i="18"/>
  <c r="H963" i="17"/>
  <c r="F963" i="17"/>
  <c r="H956" i="17"/>
  <c r="F956" i="17"/>
  <c r="H947" i="17"/>
  <c r="F947" i="17"/>
  <c r="H937" i="17"/>
  <c r="F937" i="17"/>
  <c r="H925" i="17"/>
  <c r="F925" i="17"/>
  <c r="H914" i="17"/>
  <c r="F914" i="17"/>
  <c r="H897" i="17"/>
  <c r="F897" i="17"/>
  <c r="H886" i="17"/>
  <c r="F886" i="17"/>
  <c r="H874" i="17"/>
  <c r="F874" i="17"/>
  <c r="H865" i="17"/>
  <c r="F865" i="17"/>
  <c r="H858" i="17"/>
  <c r="F858" i="17"/>
  <c r="F849" i="17"/>
  <c r="F842" i="17"/>
  <c r="F833" i="17"/>
  <c r="F823" i="17"/>
  <c r="F811" i="17"/>
  <c r="F800" i="17"/>
  <c r="F783" i="17"/>
  <c r="F772" i="17"/>
  <c r="F760" i="17"/>
  <c r="F751" i="17"/>
  <c r="F744" i="17"/>
  <c r="F735" i="17"/>
  <c r="F728" i="17"/>
  <c r="F715" i="17"/>
  <c r="E714" i="17"/>
  <c r="E713" i="17"/>
  <c r="E712" i="17"/>
  <c r="E711" i="17"/>
  <c r="E710" i="17"/>
  <c r="E709" i="17"/>
  <c r="F703" i="17"/>
  <c r="F690" i="17"/>
  <c r="F677" i="17"/>
  <c r="F665" i="17"/>
  <c r="F655" i="17"/>
  <c r="F643" i="17"/>
  <c r="F636" i="17"/>
  <c r="F627" i="17"/>
  <c r="F620" i="17"/>
  <c r="F608" i="17"/>
  <c r="F594" i="17"/>
  <c r="F579" i="17"/>
  <c r="F563" i="17"/>
  <c r="F552" i="17"/>
  <c r="F540" i="17"/>
  <c r="F528" i="17"/>
  <c r="F520" i="17"/>
  <c r="F513" i="17"/>
  <c r="F496" i="17"/>
  <c r="F467" i="17"/>
  <c r="F420" i="17"/>
  <c r="F369" i="17"/>
  <c r="F336" i="17"/>
  <c r="F307" i="17"/>
  <c r="F295" i="17"/>
  <c r="F288" i="17"/>
  <c r="F279" i="17"/>
  <c r="F266" i="17"/>
  <c r="F256" i="17"/>
  <c r="F236" i="17"/>
  <c r="F212" i="17"/>
  <c r="F177" i="17"/>
  <c r="F137" i="17"/>
  <c r="F105" i="17"/>
  <c r="F111" i="17" s="1"/>
  <c r="F59" i="17"/>
  <c r="F74" i="17"/>
  <c r="F87" i="17" s="1"/>
  <c r="F81" i="17"/>
  <c r="I59" i="17"/>
  <c r="F48" i="17"/>
  <c r="F41" i="17"/>
  <c r="F36" i="17"/>
  <c r="F29" i="17"/>
  <c r="F23" i="17"/>
  <c r="F25" i="17" s="1"/>
  <c r="F17" i="17"/>
  <c r="G62" i="16"/>
  <c r="I62" i="16" s="1"/>
  <c r="J62" i="16"/>
  <c r="K62" i="16"/>
  <c r="L62" i="16"/>
  <c r="M62" i="16"/>
  <c r="D62" i="16"/>
  <c r="F61" i="16"/>
  <c r="G59" i="16"/>
  <c r="J59" i="16" s="1"/>
  <c r="I59" i="16"/>
  <c r="L59" i="16"/>
  <c r="M59" i="16"/>
  <c r="D59" i="16"/>
  <c r="F58" i="16"/>
  <c r="F57" i="16"/>
  <c r="F56" i="16"/>
  <c r="F55" i="16"/>
  <c r="G51" i="16"/>
  <c r="D51" i="16"/>
  <c r="F50" i="16"/>
  <c r="G46" i="16"/>
  <c r="I46" i="16"/>
  <c r="J46" i="16"/>
  <c r="K46" i="16"/>
  <c r="L46" i="16"/>
  <c r="M46" i="16"/>
  <c r="D46" i="16"/>
  <c r="F45" i="16"/>
  <c r="G43" i="16"/>
  <c r="L43" i="16" s="1"/>
  <c r="D43" i="16"/>
  <c r="F42" i="16"/>
  <c r="F41" i="16"/>
  <c r="F40" i="16"/>
  <c r="F39" i="16"/>
  <c r="G35" i="16"/>
  <c r="I35" i="16" s="1"/>
  <c r="J35" i="16"/>
  <c r="K35" i="16"/>
  <c r="L35" i="16"/>
  <c r="M35" i="16"/>
  <c r="N35" i="16"/>
  <c r="D35" i="16"/>
  <c r="F34" i="16"/>
  <c r="G29" i="16"/>
  <c r="D32" i="16"/>
  <c r="F31" i="16"/>
  <c r="F30" i="16"/>
  <c r="G27" i="16"/>
  <c r="I27" i="16"/>
  <c r="J27" i="16"/>
  <c r="K27" i="16"/>
  <c r="L27" i="16"/>
  <c r="M27" i="16"/>
  <c r="N27" i="16"/>
  <c r="D27" i="16"/>
  <c r="F26" i="16"/>
  <c r="G24" i="16"/>
  <c r="L24" i="16"/>
  <c r="D24" i="16"/>
  <c r="F23" i="16"/>
  <c r="G17" i="16"/>
  <c r="G19" i="16" s="1"/>
  <c r="K19" i="16" s="1"/>
  <c r="D19" i="16"/>
  <c r="F18" i="16"/>
  <c r="F17" i="16"/>
  <c r="F16" i="16"/>
  <c r="G14" i="16"/>
  <c r="M14" i="16"/>
  <c r="D14" i="16"/>
  <c r="F13" i="16"/>
  <c r="F12" i="16"/>
  <c r="G8" i="16"/>
  <c r="K8" i="16" s="1"/>
  <c r="I8" i="16"/>
  <c r="L8" i="16"/>
  <c r="M8" i="16"/>
  <c r="N8" i="16"/>
  <c r="D8" i="16"/>
  <c r="F7" i="16"/>
  <c r="G5" i="16"/>
  <c r="J5" i="16" s="1"/>
  <c r="I5" i="16"/>
  <c r="K5" i="16"/>
  <c r="L5" i="16"/>
  <c r="M5" i="16"/>
  <c r="D5" i="16"/>
  <c r="F4" i="16"/>
  <c r="F3" i="16"/>
  <c r="G358" i="15"/>
  <c r="G359" i="15" s="1"/>
  <c r="G357" i="15"/>
  <c r="D347" i="15"/>
  <c r="D358" i="15" s="1"/>
  <c r="D357" i="15"/>
  <c r="D354" i="15"/>
  <c r="G354" i="15" s="1"/>
  <c r="D357" i="14"/>
  <c r="D351" i="15"/>
  <c r="G352" i="15" s="1"/>
  <c r="F348" i="15"/>
  <c r="K347" i="15"/>
  <c r="G347" i="15" s="1"/>
  <c r="K346" i="15"/>
  <c r="F344" i="15"/>
  <c r="K343" i="15"/>
  <c r="G343" i="15" s="1"/>
  <c r="K342" i="15"/>
  <c r="F340" i="15"/>
  <c r="K339" i="15"/>
  <c r="G339" i="15" s="1"/>
  <c r="K338" i="15"/>
  <c r="F336" i="15"/>
  <c r="K335" i="15"/>
  <c r="G335" i="15" s="1"/>
  <c r="K334" i="15"/>
  <c r="F332" i="15"/>
  <c r="K331" i="15"/>
  <c r="G331" i="15" s="1"/>
  <c r="K330" i="15"/>
  <c r="F328" i="15"/>
  <c r="K327" i="15"/>
  <c r="G327" i="15" s="1"/>
  <c r="K326" i="15"/>
  <c r="F324" i="15"/>
  <c r="K323" i="15"/>
  <c r="G323" i="15" s="1"/>
  <c r="K322" i="15"/>
  <c r="F320" i="15"/>
  <c r="K319" i="15"/>
  <c r="G319" i="15" s="1"/>
  <c r="K318" i="15"/>
  <c r="F316" i="15"/>
  <c r="K315" i="15"/>
  <c r="G315" i="15" s="1"/>
  <c r="K314" i="15"/>
  <c r="F312" i="15"/>
  <c r="K311" i="15"/>
  <c r="G311" i="15" s="1"/>
  <c r="K310" i="15"/>
  <c r="F308" i="15"/>
  <c r="K307" i="15"/>
  <c r="G307" i="15" s="1"/>
  <c r="K306" i="15"/>
  <c r="F304" i="15"/>
  <c r="K303" i="15"/>
  <c r="G303" i="15" s="1"/>
  <c r="K302" i="15"/>
  <c r="D297" i="15"/>
  <c r="G297" i="15"/>
  <c r="D294" i="15"/>
  <c r="G295" i="15" s="1"/>
  <c r="D290" i="15"/>
  <c r="K290" i="15"/>
  <c r="K289" i="14"/>
  <c r="K289" i="15"/>
  <c r="F287" i="15"/>
  <c r="K286" i="15"/>
  <c r="G286" i="15" s="1"/>
  <c r="K285" i="14"/>
  <c r="F283" i="15"/>
  <c r="K282" i="15"/>
  <c r="G282" i="15"/>
  <c r="K281" i="14"/>
  <c r="K281" i="15" s="1"/>
  <c r="F279" i="15"/>
  <c r="K278" i="15"/>
  <c r="G278" i="15"/>
  <c r="K277" i="14"/>
  <c r="K277" i="15"/>
  <c r="F275" i="15"/>
  <c r="K274" i="15"/>
  <c r="G274" i="15" s="1"/>
  <c r="K273" i="14"/>
  <c r="K273" i="15"/>
  <c r="F271" i="15"/>
  <c r="K270" i="15"/>
  <c r="G270" i="15" s="1"/>
  <c r="K269" i="14"/>
  <c r="K269" i="15" s="1"/>
  <c r="F267" i="15"/>
  <c r="K266" i="15"/>
  <c r="G266" i="15"/>
  <c r="K265" i="14"/>
  <c r="K265" i="15" s="1"/>
  <c r="F263" i="15"/>
  <c r="K262" i="15"/>
  <c r="G262" i="15"/>
  <c r="K261" i="14"/>
  <c r="K261" i="15"/>
  <c r="F259" i="15"/>
  <c r="K258" i="15"/>
  <c r="G258" i="15" s="1"/>
  <c r="K257" i="14"/>
  <c r="K257" i="15"/>
  <c r="F255" i="15"/>
  <c r="K254" i="15"/>
  <c r="G254" i="15" s="1"/>
  <c r="K253" i="14"/>
  <c r="F251" i="15"/>
  <c r="K250" i="15"/>
  <c r="G250" i="15"/>
  <c r="K249" i="14"/>
  <c r="K249" i="15" s="1"/>
  <c r="F247" i="15"/>
  <c r="K246" i="15"/>
  <c r="G246" i="15"/>
  <c r="K245" i="14"/>
  <c r="K245" i="15"/>
  <c r="G240" i="15"/>
  <c r="G239" i="15"/>
  <c r="D240" i="15"/>
  <c r="D241" i="15" s="1"/>
  <c r="D239" i="15"/>
  <c r="D236" i="15"/>
  <c r="G236" i="15" s="1"/>
  <c r="D233" i="15"/>
  <c r="G234" i="15" s="1"/>
  <c r="F230" i="15"/>
  <c r="K229" i="15"/>
  <c r="G229" i="15"/>
  <c r="K228" i="14"/>
  <c r="K228" i="15" s="1"/>
  <c r="F226" i="15"/>
  <c r="K225" i="15"/>
  <c r="G225" i="15"/>
  <c r="K224" i="14"/>
  <c r="K224" i="15"/>
  <c r="F222" i="15"/>
  <c r="K221" i="15"/>
  <c r="G221" i="15" s="1"/>
  <c r="K220" i="14"/>
  <c r="K220" i="15"/>
  <c r="F218" i="15"/>
  <c r="K217" i="15"/>
  <c r="G217" i="15" s="1"/>
  <c r="K216" i="14"/>
  <c r="F214" i="15"/>
  <c r="K213" i="15"/>
  <c r="G213" i="15"/>
  <c r="K212" i="14"/>
  <c r="K212" i="15" s="1"/>
  <c r="F210" i="15"/>
  <c r="K209" i="15"/>
  <c r="G209" i="15"/>
  <c r="K208" i="14"/>
  <c r="K208" i="15"/>
  <c r="F206" i="15"/>
  <c r="K205" i="15"/>
  <c r="G205" i="15" s="1"/>
  <c r="K204" i="14"/>
  <c r="K204" i="15"/>
  <c r="F202" i="15"/>
  <c r="K201" i="15"/>
  <c r="G201" i="15" s="1"/>
  <c r="K200" i="14"/>
  <c r="F198" i="15"/>
  <c r="K197" i="15"/>
  <c r="G197" i="15" s="1"/>
  <c r="K196" i="14"/>
  <c r="K196" i="15" s="1"/>
  <c r="F194" i="15"/>
  <c r="K193" i="15"/>
  <c r="G193" i="15" s="1"/>
  <c r="K192" i="14"/>
  <c r="K192" i="15" s="1"/>
  <c r="F190" i="15"/>
  <c r="K189" i="15"/>
  <c r="G189" i="15" s="1"/>
  <c r="K188" i="14"/>
  <c r="K188" i="15" s="1"/>
  <c r="F186" i="15"/>
  <c r="K185" i="15"/>
  <c r="G185" i="15"/>
  <c r="K184" i="14"/>
  <c r="K184" i="15"/>
  <c r="G179" i="15"/>
  <c r="G180" i="15" s="1"/>
  <c r="G178" i="15"/>
  <c r="D179" i="15"/>
  <c r="D180" i="15" s="1"/>
  <c r="D178" i="15"/>
  <c r="D175" i="15"/>
  <c r="D175" i="14"/>
  <c r="D172" i="15"/>
  <c r="G173" i="15" s="1"/>
  <c r="F169" i="15"/>
  <c r="K168" i="15"/>
  <c r="G168" i="15"/>
  <c r="K167" i="14"/>
  <c r="F165" i="15"/>
  <c r="K164" i="15"/>
  <c r="G164" i="15"/>
  <c r="K163" i="14"/>
  <c r="K163" i="15" s="1"/>
  <c r="F161" i="15"/>
  <c r="K160" i="15"/>
  <c r="G160" i="15"/>
  <c r="K159" i="14"/>
  <c r="K159" i="15"/>
  <c r="F157" i="15"/>
  <c r="K156" i="15"/>
  <c r="G156" i="15" s="1"/>
  <c r="K155" i="14"/>
  <c r="K155" i="15"/>
  <c r="F153" i="15"/>
  <c r="K152" i="15"/>
  <c r="G152" i="15" s="1"/>
  <c r="K151" i="14"/>
  <c r="K151" i="15" s="1"/>
  <c r="F149" i="15"/>
  <c r="K148" i="15"/>
  <c r="G148" i="15"/>
  <c r="K147" i="14"/>
  <c r="K147" i="15" s="1"/>
  <c r="F145" i="15"/>
  <c r="K144" i="15"/>
  <c r="G144" i="15"/>
  <c r="K143" i="14"/>
  <c r="K143" i="15"/>
  <c r="F141" i="15"/>
  <c r="K140" i="15"/>
  <c r="G140" i="15" s="1"/>
  <c r="K139" i="14"/>
  <c r="K139" i="15"/>
  <c r="F137" i="15"/>
  <c r="K136" i="15"/>
  <c r="G136" i="15" s="1"/>
  <c r="K135" i="14"/>
  <c r="F133" i="15"/>
  <c r="K132" i="15"/>
  <c r="G132" i="15" s="1"/>
  <c r="K131" i="14"/>
  <c r="F129" i="15"/>
  <c r="K128" i="15"/>
  <c r="G128" i="15" s="1"/>
  <c r="K127" i="14"/>
  <c r="F125" i="15"/>
  <c r="K124" i="15"/>
  <c r="G124" i="15" s="1"/>
  <c r="K123" i="14"/>
  <c r="D119" i="15"/>
  <c r="G119" i="15" s="1"/>
  <c r="D119" i="14"/>
  <c r="D116" i="15"/>
  <c r="G117" i="15" s="1"/>
  <c r="E113" i="15"/>
  <c r="K112" i="15"/>
  <c r="G112" i="15"/>
  <c r="K111" i="14"/>
  <c r="K111" i="15" s="1"/>
  <c r="E109" i="15"/>
  <c r="K108" i="15"/>
  <c r="G108" i="15" s="1"/>
  <c r="K107" i="14"/>
  <c r="E105" i="15"/>
  <c r="K104" i="15"/>
  <c r="G104" i="15" s="1"/>
  <c r="K103" i="14"/>
  <c r="E101" i="15"/>
  <c r="K100" i="15"/>
  <c r="G100" i="15"/>
  <c r="K99" i="14"/>
  <c r="K99" i="15"/>
  <c r="E97" i="15"/>
  <c r="K96" i="15"/>
  <c r="G96" i="15" s="1"/>
  <c r="K95" i="14"/>
  <c r="D95" i="15"/>
  <c r="E93" i="15"/>
  <c r="K92" i="15"/>
  <c r="G92" i="15" s="1"/>
  <c r="K91" i="14"/>
  <c r="D91" i="15"/>
  <c r="E89" i="15"/>
  <c r="K88" i="15"/>
  <c r="G88" i="15" s="1"/>
  <c r="K87" i="14"/>
  <c r="K87" i="15" s="1"/>
  <c r="E85" i="15"/>
  <c r="K84" i="15"/>
  <c r="G84" i="15" s="1"/>
  <c r="K83" i="14"/>
  <c r="K83" i="15"/>
  <c r="E81" i="15"/>
  <c r="K80" i="15"/>
  <c r="G80" i="15" s="1"/>
  <c r="K79" i="14"/>
  <c r="K79" i="15"/>
  <c r="E77" i="15"/>
  <c r="K76" i="15"/>
  <c r="G76" i="15" s="1"/>
  <c r="K75" i="14"/>
  <c r="K75" i="15" s="1"/>
  <c r="E73" i="15"/>
  <c r="K72" i="15"/>
  <c r="G72" i="15"/>
  <c r="K71" i="14"/>
  <c r="F69" i="15"/>
  <c r="E69" i="15"/>
  <c r="K68" i="15"/>
  <c r="G68" i="15" s="1"/>
  <c r="K67" i="14"/>
  <c r="K67" i="15"/>
  <c r="F63" i="15"/>
  <c r="E62" i="15"/>
  <c r="K61" i="15"/>
  <c r="G61" i="15"/>
  <c r="K60" i="14"/>
  <c r="K60" i="15" s="1"/>
  <c r="E58" i="15"/>
  <c r="K57" i="15"/>
  <c r="G57" i="15"/>
  <c r="K56" i="14"/>
  <c r="K56" i="15" s="1"/>
  <c r="E54" i="15"/>
  <c r="K53" i="15"/>
  <c r="G53" i="15" s="1"/>
  <c r="K52" i="15"/>
  <c r="E50" i="15"/>
  <c r="K49" i="15"/>
  <c r="G49" i="15" s="1"/>
  <c r="K48" i="15"/>
  <c r="E46" i="15"/>
  <c r="K45" i="15"/>
  <c r="G45" i="15" s="1"/>
  <c r="K44" i="15"/>
  <c r="E42" i="15"/>
  <c r="K41" i="15"/>
  <c r="K40" i="15"/>
  <c r="G40" i="15" s="1"/>
  <c r="E38" i="15"/>
  <c r="K37" i="15"/>
  <c r="K36" i="14"/>
  <c r="K36" i="15" s="1"/>
  <c r="E34" i="15"/>
  <c r="K33" i="15"/>
  <c r="K32" i="15"/>
  <c r="E30" i="15"/>
  <c r="K29" i="15"/>
  <c r="G28" i="15" s="1"/>
  <c r="E26" i="15"/>
  <c r="E22" i="15"/>
  <c r="E18" i="15"/>
  <c r="G16" i="15"/>
  <c r="E14" i="15"/>
  <c r="E10" i="15"/>
  <c r="E6" i="15"/>
  <c r="G358" i="14"/>
  <c r="D358" i="14"/>
  <c r="G357" i="14"/>
  <c r="D354" i="14"/>
  <c r="F354" i="14" s="1"/>
  <c r="D351" i="14"/>
  <c r="F352" i="14" s="1"/>
  <c r="F348" i="14"/>
  <c r="L347" i="14"/>
  <c r="G347" i="14"/>
  <c r="K346" i="14"/>
  <c r="L346" i="14" s="1"/>
  <c r="F344" i="14"/>
  <c r="L343" i="14"/>
  <c r="G343" i="14"/>
  <c r="K342" i="14"/>
  <c r="L342" i="14" s="1"/>
  <c r="F340" i="14"/>
  <c r="L339" i="14"/>
  <c r="G339" i="14"/>
  <c r="K338" i="14"/>
  <c r="L338" i="14" s="1"/>
  <c r="F336" i="14"/>
  <c r="L335" i="14"/>
  <c r="G335" i="14"/>
  <c r="K334" i="14"/>
  <c r="L334" i="14"/>
  <c r="F332" i="14"/>
  <c r="L331" i="14"/>
  <c r="G331" i="14"/>
  <c r="K330" i="14"/>
  <c r="L330" i="14" s="1"/>
  <c r="F328" i="14"/>
  <c r="L327" i="14"/>
  <c r="G327" i="14"/>
  <c r="K326" i="14"/>
  <c r="L326" i="14" s="1"/>
  <c r="F324" i="14"/>
  <c r="L323" i="14"/>
  <c r="G323" i="14"/>
  <c r="K322" i="14"/>
  <c r="L322" i="14" s="1"/>
  <c r="F320" i="14"/>
  <c r="L319" i="14"/>
  <c r="G319" i="14"/>
  <c r="K318" i="14"/>
  <c r="L318" i="14" s="1"/>
  <c r="F316" i="14"/>
  <c r="L315" i="14"/>
  <c r="G315" i="14"/>
  <c r="K314" i="14"/>
  <c r="L314" i="14"/>
  <c r="F312" i="14"/>
  <c r="L311" i="14"/>
  <c r="G311" i="14"/>
  <c r="K310" i="14"/>
  <c r="L310" i="14" s="1"/>
  <c r="F308" i="14"/>
  <c r="L307" i="14"/>
  <c r="G307" i="14"/>
  <c r="K306" i="14"/>
  <c r="L306" i="14" s="1"/>
  <c r="F304" i="14"/>
  <c r="L303" i="14"/>
  <c r="G303" i="14"/>
  <c r="K302" i="14"/>
  <c r="L302" i="14" s="1"/>
  <c r="D297" i="14"/>
  <c r="F297" i="14"/>
  <c r="D294" i="14"/>
  <c r="F295" i="14" s="1"/>
  <c r="F291" i="14"/>
  <c r="L290" i="14"/>
  <c r="L289" i="14"/>
  <c r="F287" i="14"/>
  <c r="L286" i="14"/>
  <c r="G286" i="14"/>
  <c r="F283" i="14"/>
  <c r="L282" i="14"/>
  <c r="G282" i="14"/>
  <c r="L281" i="14"/>
  <c r="F279" i="14"/>
  <c r="L278" i="14"/>
  <c r="G278" i="14"/>
  <c r="L277" i="14"/>
  <c r="F275" i="14"/>
  <c r="L274" i="14"/>
  <c r="G274" i="14"/>
  <c r="L273" i="14"/>
  <c r="F271" i="14"/>
  <c r="L270" i="14"/>
  <c r="G270" i="14"/>
  <c r="L269" i="14"/>
  <c r="F267" i="14"/>
  <c r="L266" i="14"/>
  <c r="G266" i="14"/>
  <c r="L265" i="14"/>
  <c r="F263" i="14"/>
  <c r="L262" i="14"/>
  <c r="G262" i="14"/>
  <c r="L261" i="14"/>
  <c r="F259" i="14"/>
  <c r="L258" i="14"/>
  <c r="G258" i="14"/>
  <c r="L257" i="14"/>
  <c r="F255" i="14"/>
  <c r="L254" i="14"/>
  <c r="G254" i="14"/>
  <c r="F251" i="14"/>
  <c r="L250" i="14"/>
  <c r="G250" i="14"/>
  <c r="L249" i="14"/>
  <c r="F247" i="14"/>
  <c r="L246" i="14"/>
  <c r="G246" i="14"/>
  <c r="L245" i="14"/>
  <c r="G240" i="14"/>
  <c r="D240" i="14"/>
  <c r="G239" i="14"/>
  <c r="D172" i="14"/>
  <c r="D239" i="14" s="1"/>
  <c r="D236" i="14"/>
  <c r="F236" i="14" s="1"/>
  <c r="D233" i="14"/>
  <c r="F234" i="14" s="1"/>
  <c r="F230" i="14"/>
  <c r="L229" i="14"/>
  <c r="G229" i="14"/>
  <c r="L228" i="14"/>
  <c r="F226" i="14"/>
  <c r="L225" i="14"/>
  <c r="G225" i="14"/>
  <c r="L224" i="14"/>
  <c r="F222" i="14"/>
  <c r="L221" i="14"/>
  <c r="G221" i="14"/>
  <c r="L220" i="14"/>
  <c r="F218" i="14"/>
  <c r="L217" i="14"/>
  <c r="G217" i="14"/>
  <c r="F214" i="14"/>
  <c r="L213" i="14"/>
  <c r="G213" i="14"/>
  <c r="L212" i="14"/>
  <c r="F210" i="14"/>
  <c r="L209" i="14"/>
  <c r="G209" i="14"/>
  <c r="L208" i="14"/>
  <c r="F206" i="14"/>
  <c r="L205" i="14"/>
  <c r="G205" i="14"/>
  <c r="L204" i="14"/>
  <c r="F202" i="14"/>
  <c r="L201" i="14"/>
  <c r="G201" i="14"/>
  <c r="F198" i="14"/>
  <c r="L197" i="14"/>
  <c r="G197" i="14"/>
  <c r="L196" i="14"/>
  <c r="F194" i="14"/>
  <c r="L193" i="14"/>
  <c r="G193" i="14"/>
  <c r="L192" i="14"/>
  <c r="F190" i="14"/>
  <c r="L189" i="14"/>
  <c r="G189" i="14"/>
  <c r="L188" i="14"/>
  <c r="F186" i="14"/>
  <c r="L185" i="14"/>
  <c r="G185" i="14"/>
  <c r="L184" i="14"/>
  <c r="G179" i="14"/>
  <c r="D179" i="14"/>
  <c r="G178" i="14"/>
  <c r="D178" i="14"/>
  <c r="F175" i="14"/>
  <c r="F169" i="14"/>
  <c r="L168" i="14"/>
  <c r="G168" i="14"/>
  <c r="F165" i="14"/>
  <c r="L164" i="14"/>
  <c r="G164" i="14"/>
  <c r="L163" i="14"/>
  <c r="F161" i="14"/>
  <c r="L160" i="14"/>
  <c r="G160" i="14"/>
  <c r="L159" i="14"/>
  <c r="F157" i="14"/>
  <c r="L156" i="14"/>
  <c r="G156" i="14"/>
  <c r="L155" i="14"/>
  <c r="F153" i="14"/>
  <c r="L152" i="14"/>
  <c r="G152" i="14"/>
  <c r="L151" i="14"/>
  <c r="F149" i="14"/>
  <c r="L148" i="14"/>
  <c r="G148" i="14"/>
  <c r="L147" i="14"/>
  <c r="F145" i="14"/>
  <c r="L144" i="14"/>
  <c r="G144" i="14"/>
  <c r="L143" i="14"/>
  <c r="F141" i="14"/>
  <c r="L140" i="14"/>
  <c r="G140" i="14"/>
  <c r="L139" i="14"/>
  <c r="F137" i="14"/>
  <c r="L136" i="14"/>
  <c r="G136" i="14"/>
  <c r="F133" i="14"/>
  <c r="L132" i="14"/>
  <c r="G132" i="14"/>
  <c r="F129" i="14"/>
  <c r="L128" i="14"/>
  <c r="G128" i="14"/>
  <c r="F125" i="14"/>
  <c r="L124" i="14"/>
  <c r="G124" i="14"/>
  <c r="E119" i="14"/>
  <c r="D116" i="14"/>
  <c r="F117" i="14"/>
  <c r="F113" i="14"/>
  <c r="E113" i="14"/>
  <c r="L112" i="14"/>
  <c r="G112" i="14"/>
  <c r="L111" i="14"/>
  <c r="F109" i="14"/>
  <c r="E109" i="14"/>
  <c r="L108" i="14"/>
  <c r="G108" i="14"/>
  <c r="F105" i="14"/>
  <c r="E105" i="14"/>
  <c r="L104" i="14"/>
  <c r="G104" i="14"/>
  <c r="F101" i="14"/>
  <c r="E101" i="14"/>
  <c r="L100" i="14"/>
  <c r="G100" i="14"/>
  <c r="L99" i="14"/>
  <c r="F97" i="14"/>
  <c r="E97" i="14"/>
  <c r="L96" i="14"/>
  <c r="G96" i="14"/>
  <c r="D95" i="14"/>
  <c r="F93" i="14"/>
  <c r="E93" i="14"/>
  <c r="L92" i="14"/>
  <c r="G92" i="14"/>
  <c r="D91" i="14"/>
  <c r="F89" i="14"/>
  <c r="E89" i="14"/>
  <c r="L88" i="14"/>
  <c r="G88" i="14"/>
  <c r="L87" i="14"/>
  <c r="F85" i="14"/>
  <c r="E85" i="14"/>
  <c r="L84" i="14"/>
  <c r="G84" i="14"/>
  <c r="L83" i="14"/>
  <c r="F81" i="14"/>
  <c r="E81" i="14"/>
  <c r="L80" i="14"/>
  <c r="G80" i="14"/>
  <c r="L79" i="14"/>
  <c r="F77" i="14"/>
  <c r="E77" i="14"/>
  <c r="L76" i="14"/>
  <c r="G76" i="14"/>
  <c r="L75" i="14"/>
  <c r="F73" i="14"/>
  <c r="E73" i="14"/>
  <c r="L72" i="14"/>
  <c r="G72" i="14"/>
  <c r="F69" i="14"/>
  <c r="E69" i="14"/>
  <c r="L68" i="14"/>
  <c r="G68" i="14"/>
  <c r="L67" i="14"/>
  <c r="F63" i="14"/>
  <c r="F62" i="14"/>
  <c r="E62" i="14"/>
  <c r="L61" i="14"/>
  <c r="G61" i="14"/>
  <c r="L60" i="14"/>
  <c r="F58" i="14"/>
  <c r="E58" i="14"/>
  <c r="L57" i="14"/>
  <c r="G57" i="14"/>
  <c r="L56" i="14"/>
  <c r="F54" i="14"/>
  <c r="E54" i="14"/>
  <c r="L53" i="14"/>
  <c r="G53" i="14"/>
  <c r="K52" i="14"/>
  <c r="L52" i="14"/>
  <c r="F50" i="14"/>
  <c r="E50" i="14"/>
  <c r="L49" i="14"/>
  <c r="G49" i="14"/>
  <c r="G48" i="14" s="1"/>
  <c r="L48" i="14"/>
  <c r="F46" i="14"/>
  <c r="E46" i="14"/>
  <c r="L45" i="14"/>
  <c r="G45" i="14"/>
  <c r="G44" i="14" s="1"/>
  <c r="F42" i="14"/>
  <c r="E42" i="14"/>
  <c r="K41" i="14"/>
  <c r="G40" i="14" s="1"/>
  <c r="F38" i="14"/>
  <c r="E38" i="14"/>
  <c r="K37" i="14"/>
  <c r="G36" i="14" s="1"/>
  <c r="F34" i="14"/>
  <c r="E34" i="14"/>
  <c r="K33" i="14"/>
  <c r="G32" i="14" s="1"/>
  <c r="F30" i="14"/>
  <c r="E30" i="14"/>
  <c r="K29" i="14"/>
  <c r="G28" i="14" s="1"/>
  <c r="K28" i="14"/>
  <c r="F26" i="14"/>
  <c r="E26" i="14"/>
  <c r="F22" i="14"/>
  <c r="E22" i="14"/>
  <c r="F18" i="14"/>
  <c r="E18" i="14"/>
  <c r="G16" i="14"/>
  <c r="E14" i="14"/>
  <c r="E10" i="14"/>
  <c r="E6" i="14"/>
  <c r="F3159" i="13"/>
  <c r="F3177" i="13"/>
  <c r="F3183" i="13"/>
  <c r="D3149" i="13"/>
  <c r="D3159" i="13" s="1"/>
  <c r="D3177" i="13"/>
  <c r="D3183" i="13"/>
  <c r="F3114" i="13"/>
  <c r="F3138" i="13" s="1"/>
  <c r="F3132" i="13"/>
  <c r="D3114" i="13"/>
  <c r="D3138" i="13" s="1"/>
  <c r="D3132" i="13"/>
  <c r="F3068" i="13"/>
  <c r="F3086" i="13"/>
  <c r="D3068" i="13"/>
  <c r="D3092" i="13" s="1"/>
  <c r="D3086" i="13"/>
  <c r="F3022" i="13"/>
  <c r="F3040" i="13"/>
  <c r="F3046" i="13" s="1"/>
  <c r="D3022" i="13"/>
  <c r="D3046" i="13" s="1"/>
  <c r="D3040" i="13"/>
  <c r="F2976" i="13"/>
  <c r="F2994" i="13"/>
  <c r="D2976" i="13"/>
  <c r="D2994" i="13"/>
  <c r="D3000" i="13"/>
  <c r="F2930" i="13"/>
  <c r="F2954" i="13" s="1"/>
  <c r="F2948" i="13"/>
  <c r="D2930" i="13"/>
  <c r="D2954" i="13" s="1"/>
  <c r="D2948" i="13"/>
  <c r="F2884" i="13"/>
  <c r="F2902" i="13"/>
  <c r="D2884" i="13"/>
  <c r="D2908" i="13" s="1"/>
  <c r="D2902" i="13"/>
  <c r="F2838" i="13"/>
  <c r="F2856" i="13"/>
  <c r="F2862" i="13" s="1"/>
  <c r="D2838" i="13"/>
  <c r="D2862" i="13" s="1"/>
  <c r="D2856" i="13"/>
  <c r="F2792" i="13"/>
  <c r="F2810" i="13"/>
  <c r="D2792" i="13"/>
  <c r="D2801" i="13"/>
  <c r="D2810" i="13"/>
  <c r="F2746" i="13"/>
  <c r="F2770" i="13" s="1"/>
  <c r="F2764" i="13"/>
  <c r="D2746" i="13"/>
  <c r="D2770" i="13" s="1"/>
  <c r="D2764" i="13"/>
  <c r="F2701" i="13"/>
  <c r="F2719" i="13"/>
  <c r="D2701" i="13"/>
  <c r="D2725" i="13" s="1"/>
  <c r="D2719" i="13"/>
  <c r="F2656" i="13"/>
  <c r="F2674" i="13"/>
  <c r="F2680" i="13" s="1"/>
  <c r="D2656" i="13"/>
  <c r="D2674" i="13"/>
  <c r="D2680" i="13"/>
  <c r="D2599" i="13"/>
  <c r="D2609" i="13" s="1"/>
  <c r="D2633" i="13" s="1"/>
  <c r="D2627" i="13"/>
  <c r="D2564" i="13"/>
  <c r="D2582" i="13"/>
  <c r="D2518" i="13"/>
  <c r="D2542" i="13" s="1"/>
  <c r="D2536" i="13"/>
  <c r="D2472" i="13"/>
  <c r="D2490" i="13"/>
  <c r="D2496" i="13" s="1"/>
  <c r="D2426" i="13"/>
  <c r="D2444" i="13"/>
  <c r="D2450" i="13"/>
  <c r="D2380" i="13"/>
  <c r="D2404" i="13" s="1"/>
  <c r="D2398" i="13"/>
  <c r="D2334" i="13"/>
  <c r="D2352" i="13"/>
  <c r="D2288" i="13"/>
  <c r="D2312" i="13" s="1"/>
  <c r="D2306" i="13"/>
  <c r="D2242" i="13"/>
  <c r="D2266" i="13" s="1"/>
  <c r="D2251" i="13"/>
  <c r="D2260" i="13" s="1"/>
  <c r="D2196" i="13"/>
  <c r="D2214" i="13"/>
  <c r="D2150" i="13"/>
  <c r="D2168" i="13"/>
  <c r="D2105" i="13"/>
  <c r="D2129" i="13" s="1"/>
  <c r="D2123" i="13"/>
  <c r="D2066" i="13"/>
  <c r="D2080" i="13"/>
  <c r="D2082" i="13"/>
  <c r="D2029" i="13"/>
  <c r="D2043" i="13"/>
  <c r="D2045" i="13"/>
  <c r="D1984" i="13"/>
  <c r="D2008" i="13" s="1"/>
  <c r="D2002" i="13"/>
  <c r="D1939" i="13"/>
  <c r="D1957" i="13"/>
  <c r="D1881" i="13"/>
  <c r="D1899" i="13"/>
  <c r="D1911" i="13"/>
  <c r="D1836" i="13"/>
  <c r="D1860" i="13"/>
  <c r="D1791" i="13"/>
  <c r="D1815" i="13"/>
  <c r="D1821" i="13" s="1"/>
  <c r="D1746" i="13"/>
  <c r="D1776" i="13" s="1"/>
  <c r="D1770" i="13"/>
  <c r="D1701" i="13"/>
  <c r="D1725" i="13"/>
  <c r="D1656" i="13"/>
  <c r="D1686" i="13" s="1"/>
  <c r="D1680" i="13"/>
  <c r="D1611" i="13"/>
  <c r="D1635" i="13"/>
  <c r="D1566" i="13"/>
  <c r="D1596" i="13" s="1"/>
  <c r="D1590" i="13"/>
  <c r="D1519" i="13"/>
  <c r="D1543" i="13"/>
  <c r="D1474" i="13"/>
  <c r="D1504" i="13" s="1"/>
  <c r="D1498" i="13"/>
  <c r="D1429" i="13"/>
  <c r="D1437" i="13"/>
  <c r="D1453" i="13" s="1"/>
  <c r="D1459" i="13" s="1"/>
  <c r="D1441" i="13"/>
  <c r="D1384" i="13"/>
  <c r="D1408" i="13"/>
  <c r="D1414" i="13" s="1"/>
  <c r="D1339" i="13"/>
  <c r="D1363" i="13"/>
  <c r="D1369" i="13"/>
  <c r="D1294" i="13"/>
  <c r="D1324" i="13" s="1"/>
  <c r="D1318" i="13"/>
  <c r="D1249" i="13"/>
  <c r="D1273" i="13"/>
  <c r="D1204" i="13"/>
  <c r="D1234" i="13" s="1"/>
  <c r="D1228" i="13"/>
  <c r="D1159" i="13"/>
  <c r="D1189" i="13" s="1"/>
  <c r="D1183" i="13"/>
  <c r="D1114" i="13"/>
  <c r="D1138" i="13"/>
  <c r="D1069" i="13"/>
  <c r="D1099" i="13" s="1"/>
  <c r="D1093" i="13"/>
  <c r="D1025" i="13"/>
  <c r="D1049" i="13"/>
  <c r="D1055" i="13" s="1"/>
  <c r="D978" i="13"/>
  <c r="D987" i="13"/>
  <c r="D1002" i="13"/>
  <c r="D1008" i="13" s="1"/>
  <c r="D923" i="13"/>
  <c r="D932" i="13"/>
  <c r="D934" i="13"/>
  <c r="D940" i="13"/>
  <c r="D941" i="13"/>
  <c r="D946" i="13"/>
  <c r="D949" i="13"/>
  <c r="D950" i="13"/>
  <c r="D890" i="13"/>
  <c r="D914" i="13"/>
  <c r="D846" i="13"/>
  <c r="D876" i="13" s="1"/>
  <c r="D870" i="13"/>
  <c r="D802" i="13"/>
  <c r="D826" i="13"/>
  <c r="D832" i="13" s="1"/>
  <c r="D759" i="13"/>
  <c r="D789" i="13" s="1"/>
  <c r="D783" i="13"/>
  <c r="D716" i="13"/>
  <c r="D740" i="13"/>
  <c r="D674" i="13"/>
  <c r="D697" i="13"/>
  <c r="D703" i="13"/>
  <c r="D632" i="13"/>
  <c r="D661" i="13" s="1"/>
  <c r="D655" i="13"/>
  <c r="D590" i="13"/>
  <c r="D613" i="13"/>
  <c r="D551" i="13"/>
  <c r="D572" i="13"/>
  <c r="D512" i="13"/>
  <c r="D533" i="13"/>
  <c r="D539" i="13" s="1"/>
  <c r="D454" i="13"/>
  <c r="D470" i="13"/>
  <c r="D491" i="13"/>
  <c r="D497" i="13" s="1"/>
  <c r="D414" i="13"/>
  <c r="D430" i="13"/>
  <c r="D436" i="13"/>
  <c r="D374" i="13"/>
  <c r="D396" i="13" s="1"/>
  <c r="D390" i="13"/>
  <c r="D334" i="13"/>
  <c r="D350" i="13"/>
  <c r="D292" i="13"/>
  <c r="D315" i="13" s="1"/>
  <c r="D309" i="13"/>
  <c r="D250" i="13"/>
  <c r="D273" i="13" s="1"/>
  <c r="D267" i="13"/>
  <c r="D226" i="13"/>
  <c r="D232" i="13" s="1"/>
  <c r="F409" i="11"/>
  <c r="E409" i="11"/>
  <c r="G408" i="11"/>
  <c r="F406" i="11"/>
  <c r="E406" i="11"/>
  <c r="G405" i="11"/>
  <c r="F403" i="11"/>
  <c r="E403" i="11"/>
  <c r="G402" i="11"/>
  <c r="G401" i="11"/>
  <c r="G400" i="11"/>
  <c r="F398" i="11"/>
  <c r="E398" i="11"/>
  <c r="G397" i="11"/>
  <c r="G396" i="11"/>
  <c r="G395" i="11"/>
  <c r="G394" i="11"/>
  <c r="G393" i="11"/>
  <c r="G392" i="11"/>
  <c r="G391" i="11"/>
  <c r="F389" i="11"/>
  <c r="E389" i="11"/>
  <c r="G388" i="11"/>
  <c r="G387" i="11"/>
  <c r="G386" i="11"/>
  <c r="G385" i="11"/>
  <c r="G384" i="11"/>
  <c r="G383" i="11"/>
  <c r="G382" i="11"/>
  <c r="G381" i="11"/>
  <c r="G380" i="11"/>
  <c r="F378" i="11"/>
  <c r="E378" i="11"/>
  <c r="G377" i="11"/>
  <c r="G376" i="11"/>
  <c r="G375" i="11"/>
  <c r="G374" i="11"/>
  <c r="F372" i="11"/>
  <c r="E372" i="11"/>
  <c r="G371" i="11"/>
  <c r="G370" i="11"/>
  <c r="G369" i="11"/>
  <c r="G368" i="11"/>
  <c r="G367" i="11"/>
  <c r="F365" i="11"/>
  <c r="E365" i="11"/>
  <c r="G364" i="11"/>
  <c r="G363" i="11"/>
  <c r="G362" i="11"/>
  <c r="G361" i="11"/>
  <c r="G360" i="11"/>
  <c r="G359" i="11"/>
  <c r="G358" i="11"/>
  <c r="G357" i="11"/>
  <c r="G356" i="11"/>
  <c r="G355" i="11"/>
  <c r="G354" i="11"/>
  <c r="G353" i="11"/>
  <c r="F351" i="11"/>
  <c r="E351" i="11"/>
  <c r="G350" i="11"/>
  <c r="G349" i="11"/>
  <c r="F347" i="11"/>
  <c r="E347" i="11"/>
  <c r="G346" i="11"/>
  <c r="F344" i="11"/>
  <c r="E344" i="11"/>
  <c r="G343" i="11"/>
  <c r="F341" i="11"/>
  <c r="E341" i="11"/>
  <c r="G340" i="11"/>
  <c r="G339" i="11"/>
  <c r="E335" i="11"/>
  <c r="G334" i="11"/>
  <c r="E332" i="11"/>
  <c r="G331" i="11"/>
  <c r="E329" i="11"/>
  <c r="G328" i="11"/>
  <c r="G327" i="11"/>
  <c r="G326" i="11"/>
  <c r="E324" i="11"/>
  <c r="G323" i="11"/>
  <c r="G322" i="11"/>
  <c r="G321" i="11"/>
  <c r="G320" i="11"/>
  <c r="G319" i="11"/>
  <c r="G318" i="11"/>
  <c r="G317" i="11"/>
  <c r="E315" i="11"/>
  <c r="G314" i="11"/>
  <c r="G313" i="11"/>
  <c r="G312" i="11"/>
  <c r="G311" i="11"/>
  <c r="G310" i="11"/>
  <c r="G309" i="11"/>
  <c r="G308" i="11"/>
  <c r="G307" i="11"/>
  <c r="G306" i="11"/>
  <c r="E304" i="11"/>
  <c r="G303" i="11"/>
  <c r="G302" i="11"/>
  <c r="G301" i="11"/>
  <c r="G300" i="11"/>
  <c r="E298" i="11"/>
  <c r="G297" i="11"/>
  <c r="G296" i="11"/>
  <c r="G295" i="11"/>
  <c r="G294" i="11"/>
  <c r="G293" i="11"/>
  <c r="E291" i="11"/>
  <c r="G290" i="11"/>
  <c r="G289" i="11"/>
  <c r="G288" i="11"/>
  <c r="G287" i="11"/>
  <c r="G286" i="11"/>
  <c r="G285" i="11"/>
  <c r="G284" i="11"/>
  <c r="G283" i="11"/>
  <c r="G282" i="11"/>
  <c r="G281" i="11"/>
  <c r="G280" i="11"/>
  <c r="G279" i="11"/>
  <c r="E277" i="11"/>
  <c r="G276" i="11"/>
  <c r="G275" i="11"/>
  <c r="E273" i="11"/>
  <c r="G272" i="11"/>
  <c r="E270" i="11"/>
  <c r="G269" i="11"/>
  <c r="E265" i="11"/>
  <c r="E260" i="11"/>
  <c r="E257" i="11"/>
  <c r="E252" i="11"/>
  <c r="E249" i="11"/>
  <c r="E243" i="11"/>
  <c r="E237" i="11"/>
  <c r="E228" i="11"/>
  <c r="E224" i="11"/>
  <c r="E210" i="11"/>
  <c r="E206" i="11"/>
  <c r="E203" i="11"/>
  <c r="E198" i="11"/>
  <c r="E195" i="11"/>
  <c r="E191" i="11"/>
  <c r="E182" i="11"/>
  <c r="E176" i="11"/>
  <c r="E172" i="11"/>
  <c r="E166" i="11"/>
  <c r="E160" i="11"/>
  <c r="E148" i="11"/>
  <c r="E143" i="11"/>
  <c r="E140" i="11"/>
  <c r="E133" i="11"/>
  <c r="E128" i="11"/>
  <c r="E124" i="11"/>
  <c r="E119" i="11"/>
  <c r="E113" i="11"/>
  <c r="E106" i="11"/>
  <c r="E92" i="11"/>
  <c r="E87" i="11"/>
  <c r="E78" i="11"/>
  <c r="E74" i="11"/>
  <c r="E71" i="11"/>
  <c r="E65" i="11"/>
  <c r="E60" i="11"/>
  <c r="E54" i="11"/>
  <c r="E49" i="11"/>
  <c r="E43" i="11"/>
  <c r="E39" i="11"/>
  <c r="E35" i="11"/>
  <c r="E29" i="11"/>
  <c r="E18" i="11"/>
  <c r="E11" i="11"/>
  <c r="E7" i="11"/>
  <c r="O7" i="8" s="1"/>
  <c r="G110" i="10"/>
  <c r="I110" i="10"/>
  <c r="J110" i="10"/>
  <c r="K110" i="10"/>
  <c r="L110" i="10"/>
  <c r="M110" i="10"/>
  <c r="D108" i="10"/>
  <c r="F108" i="10" s="1"/>
  <c r="D110" i="10"/>
  <c r="F109" i="10"/>
  <c r="G104" i="10"/>
  <c r="I104" i="10"/>
  <c r="K104" i="10"/>
  <c r="M104" i="10"/>
  <c r="D102" i="10"/>
  <c r="F102" i="10" s="1"/>
  <c r="F103" i="10"/>
  <c r="G98" i="10"/>
  <c r="J98" i="10" s="1"/>
  <c r="L98" i="10"/>
  <c r="D98" i="10"/>
  <c r="F97" i="10"/>
  <c r="G95" i="10"/>
  <c r="L95" i="10" s="1"/>
  <c r="D95" i="10"/>
  <c r="U8" i="8" s="1"/>
  <c r="F94" i="10"/>
  <c r="F93" i="10"/>
  <c r="F92" i="10"/>
  <c r="F91" i="10"/>
  <c r="F90" i="10"/>
  <c r="F89" i="10"/>
  <c r="F88" i="10"/>
  <c r="F87" i="10"/>
  <c r="F86" i="10"/>
  <c r="G78" i="10"/>
  <c r="G82" i="10" s="1"/>
  <c r="D82" i="10"/>
  <c r="F81" i="10"/>
  <c r="F80" i="10"/>
  <c r="F79" i="10"/>
  <c r="F77" i="10"/>
  <c r="G75" i="10"/>
  <c r="K75" i="10" s="1"/>
  <c r="M75" i="10"/>
  <c r="D75" i="10"/>
  <c r="F74" i="10"/>
  <c r="F73" i="10"/>
  <c r="F72" i="10"/>
  <c r="F71" i="10"/>
  <c r="F70" i="10"/>
  <c r="G68" i="10"/>
  <c r="I68" i="10" s="1"/>
  <c r="M68" i="10"/>
  <c r="D63" i="10"/>
  <c r="D68" i="10"/>
  <c r="F67" i="10"/>
  <c r="F66" i="10"/>
  <c r="F65" i="10"/>
  <c r="F64" i="10"/>
  <c r="F63" i="10"/>
  <c r="F62" i="10"/>
  <c r="F61" i="10"/>
  <c r="F60" i="10"/>
  <c r="F59" i="10"/>
  <c r="F58" i="10"/>
  <c r="F57" i="10"/>
  <c r="G55" i="10"/>
  <c r="J55" i="10" s="1"/>
  <c r="I55" i="10"/>
  <c r="L55" i="10"/>
  <c r="D55" i="10"/>
  <c r="R8" i="8" s="1"/>
  <c r="F54" i="10"/>
  <c r="F53" i="10"/>
  <c r="G49" i="10"/>
  <c r="J49" i="10" s="1"/>
  <c r="I49" i="10"/>
  <c r="L49" i="10"/>
  <c r="M49" i="10"/>
  <c r="D49" i="10"/>
  <c r="F48" i="10"/>
  <c r="F47" i="10"/>
  <c r="F46" i="10"/>
  <c r="G44" i="10"/>
  <c r="L44" i="10"/>
  <c r="D44" i="10"/>
  <c r="F43" i="10"/>
  <c r="F42" i="10"/>
  <c r="G36" i="10"/>
  <c r="L36" i="10"/>
  <c r="D36" i="10"/>
  <c r="F35" i="10"/>
  <c r="G32" i="10"/>
  <c r="J32" i="10" s="1"/>
  <c r="I32" i="10"/>
  <c r="L32" i="10"/>
  <c r="D32" i="10"/>
  <c r="F31" i="10"/>
  <c r="F29" i="10"/>
  <c r="F28" i="10"/>
  <c r="F27" i="10"/>
  <c r="F26" i="10"/>
  <c r="G24" i="10"/>
  <c r="I24" i="10" s="1"/>
  <c r="K24" i="10"/>
  <c r="L24" i="10"/>
  <c r="D24" i="10"/>
  <c r="F23" i="10"/>
  <c r="F22" i="10"/>
  <c r="F21" i="10"/>
  <c r="F20" i="10"/>
  <c r="F19" i="10"/>
  <c r="F18" i="10"/>
  <c r="F17" i="10"/>
  <c r="F16" i="10"/>
  <c r="F15" i="10"/>
  <c r="F14" i="10"/>
  <c r="G11" i="10"/>
  <c r="K11" i="10" s="1"/>
  <c r="I11" i="10"/>
  <c r="J11" i="10"/>
  <c r="M11" i="10"/>
  <c r="N11" i="10"/>
  <c r="D11" i="10"/>
  <c r="F10" i="10"/>
  <c r="F9" i="10"/>
  <c r="F8" i="10"/>
  <c r="F7" i="10"/>
  <c r="F6" i="10"/>
  <c r="F5" i="10"/>
  <c r="G44" i="9"/>
  <c r="C44" i="9"/>
  <c r="G40" i="9"/>
  <c r="C40" i="9"/>
  <c r="G33" i="9"/>
  <c r="C33" i="9"/>
  <c r="G29" i="9"/>
  <c r="C29" i="9"/>
  <c r="G23" i="9"/>
  <c r="C23" i="9"/>
  <c r="G20" i="9"/>
  <c r="C20" i="9"/>
  <c r="G17" i="9"/>
  <c r="C17" i="9"/>
  <c r="G14" i="9"/>
  <c r="C14" i="9"/>
  <c r="G8" i="9"/>
  <c r="C8" i="9"/>
  <c r="U9" i="8" s="1"/>
  <c r="W9" i="8" s="1"/>
  <c r="E7" i="9"/>
  <c r="M36" i="8"/>
  <c r="Y44" i="8" s="1"/>
  <c r="J36" i="8"/>
  <c r="W44" i="8" s="1"/>
  <c r="W8" i="8"/>
  <c r="T9" i="8"/>
  <c r="Q9" i="8"/>
  <c r="M38" i="8"/>
  <c r="J38" i="8"/>
  <c r="L38" i="8"/>
  <c r="K38" i="8"/>
  <c r="N5" i="8"/>
  <c r="N6" i="8"/>
  <c r="B38" i="8" s="1"/>
  <c r="N7" i="8"/>
  <c r="N8" i="8"/>
  <c r="N9" i="8"/>
  <c r="N11" i="8"/>
  <c r="N12" i="8"/>
  <c r="M37" i="8"/>
  <c r="J37" i="8"/>
  <c r="W37" i="8" s="1"/>
  <c r="L37" i="8"/>
  <c r="I5" i="8"/>
  <c r="K6" i="8"/>
  <c r="B37" i="8" s="1"/>
  <c r="K7" i="8"/>
  <c r="K8" i="8"/>
  <c r="K9" i="8"/>
  <c r="K11" i="8"/>
  <c r="K12" i="8"/>
  <c r="L36" i="8"/>
  <c r="F5" i="8"/>
  <c r="K36" i="8" s="1"/>
  <c r="H6" i="8"/>
  <c r="B36" i="8" s="1"/>
  <c r="H7" i="8"/>
  <c r="H8" i="8"/>
  <c r="H9" i="8"/>
  <c r="H11" i="8"/>
  <c r="H12" i="8"/>
  <c r="M16" i="8"/>
  <c r="E8" i="8"/>
  <c r="AE8" i="8" s="1"/>
  <c r="M5" i="8"/>
  <c r="M6" i="8"/>
  <c r="M7" i="8"/>
  <c r="J6" i="8"/>
  <c r="J7" i="8"/>
  <c r="G5" i="8"/>
  <c r="G6" i="8"/>
  <c r="G7" i="8"/>
  <c r="M12" i="8"/>
  <c r="J12" i="8"/>
  <c r="G12" i="8"/>
  <c r="M11" i="8"/>
  <c r="J11" i="8"/>
  <c r="G11" i="8"/>
  <c r="E9" i="8"/>
  <c r="P9" i="8" s="1"/>
  <c r="X914" i="6"/>
  <c r="AT913" i="6"/>
  <c r="AS913" i="6"/>
  <c r="A913" i="6"/>
  <c r="AT912" i="6"/>
  <c r="AS912" i="6"/>
  <c r="A912" i="6"/>
  <c r="AT911" i="6"/>
  <c r="AS911" i="6"/>
  <c r="A911" i="6"/>
  <c r="AT910" i="6"/>
  <c r="AS910" i="6"/>
  <c r="A910" i="6"/>
  <c r="AT909" i="6"/>
  <c r="AS909" i="6"/>
  <c r="A909" i="6"/>
  <c r="AT908" i="6"/>
  <c r="AS908" i="6"/>
  <c r="A908" i="6"/>
  <c r="AT907" i="6"/>
  <c r="AS907" i="6"/>
  <c r="A907" i="6"/>
  <c r="AT906" i="6"/>
  <c r="AS906" i="6"/>
  <c r="A906" i="6"/>
  <c r="AT905" i="6"/>
  <c r="AS905" i="6"/>
  <c r="A905" i="6"/>
  <c r="AT904" i="6"/>
  <c r="AS904" i="6"/>
  <c r="A904" i="6"/>
  <c r="AT903" i="6"/>
  <c r="AS903" i="6"/>
  <c r="A903" i="6"/>
  <c r="AT902" i="6"/>
  <c r="AS902" i="6"/>
  <c r="A902" i="6"/>
  <c r="AT901" i="6"/>
  <c r="AS901" i="6"/>
  <c r="A901" i="6"/>
  <c r="AT900" i="6"/>
  <c r="AS900" i="6"/>
  <c r="A900" i="6"/>
  <c r="AT899" i="6"/>
  <c r="AS899" i="6"/>
  <c r="A899" i="6"/>
  <c r="AT898" i="6"/>
  <c r="AS898" i="6"/>
  <c r="A898" i="6"/>
  <c r="AT897" i="6"/>
  <c r="AS897" i="6"/>
  <c r="A897" i="6"/>
  <c r="AT896" i="6"/>
  <c r="AS896" i="6"/>
  <c r="A896" i="6"/>
  <c r="AT895" i="6"/>
  <c r="AS895" i="6"/>
  <c r="A895" i="6"/>
  <c r="AT894" i="6"/>
  <c r="AS894" i="6"/>
  <c r="A894" i="6"/>
  <c r="AT893" i="6"/>
  <c r="AS893" i="6"/>
  <c r="A893" i="6"/>
  <c r="AT892" i="6"/>
  <c r="AS892" i="6"/>
  <c r="A892" i="6"/>
  <c r="AT891" i="6"/>
  <c r="AS891" i="6"/>
  <c r="A891" i="6"/>
  <c r="AT890" i="6"/>
  <c r="AS890" i="6"/>
  <c r="A890" i="6"/>
  <c r="AT889" i="6"/>
  <c r="AS889" i="6"/>
  <c r="A889" i="6"/>
  <c r="AT888" i="6"/>
  <c r="AS888" i="6"/>
  <c r="A888" i="6"/>
  <c r="AT887" i="6"/>
  <c r="AS887" i="6"/>
  <c r="A887" i="6"/>
  <c r="AT886" i="6"/>
  <c r="AS886" i="6"/>
  <c r="A886" i="6"/>
  <c r="AT885" i="6"/>
  <c r="AS885" i="6"/>
  <c r="A885" i="6"/>
  <c r="AT884" i="6"/>
  <c r="AS884" i="6"/>
  <c r="A884" i="6"/>
  <c r="AT883" i="6"/>
  <c r="AS883" i="6"/>
  <c r="A883" i="6"/>
  <c r="AT882" i="6"/>
  <c r="AS882" i="6"/>
  <c r="A882" i="6"/>
  <c r="AT881" i="6"/>
  <c r="AS881" i="6"/>
  <c r="A881" i="6"/>
  <c r="AT880" i="6"/>
  <c r="AS880" i="6"/>
  <c r="A880" i="6"/>
  <c r="AT879" i="6"/>
  <c r="AS879" i="6"/>
  <c r="A879" i="6"/>
  <c r="AT878" i="6"/>
  <c r="AS878" i="6"/>
  <c r="A878" i="6"/>
  <c r="AT877" i="6"/>
  <c r="AS877" i="6"/>
  <c r="A877" i="6"/>
  <c r="AT876" i="6"/>
  <c r="AS876" i="6"/>
  <c r="A876" i="6"/>
  <c r="AT875" i="6"/>
  <c r="AS875" i="6"/>
  <c r="A875" i="6"/>
  <c r="AT874" i="6"/>
  <c r="AS874" i="6"/>
  <c r="A874" i="6"/>
  <c r="AT873" i="6"/>
  <c r="AS873" i="6"/>
  <c r="A873" i="6"/>
  <c r="AT872" i="6"/>
  <c r="AS872" i="6"/>
  <c r="A872" i="6"/>
  <c r="AT871" i="6"/>
  <c r="AS871" i="6"/>
  <c r="A871" i="6"/>
  <c r="AT870" i="6"/>
  <c r="AS870" i="6"/>
  <c r="A870" i="6"/>
  <c r="AT869" i="6"/>
  <c r="AS869" i="6"/>
  <c r="A869" i="6"/>
  <c r="AT868" i="6"/>
  <c r="AS868" i="6"/>
  <c r="A868" i="6"/>
  <c r="AT867" i="6"/>
  <c r="AS867" i="6"/>
  <c r="A867" i="6"/>
  <c r="AT866" i="6"/>
  <c r="AS866" i="6"/>
  <c r="A866" i="6"/>
  <c r="AT865" i="6"/>
  <c r="AS865" i="6"/>
  <c r="A865" i="6"/>
  <c r="AT864" i="6"/>
  <c r="AS864" i="6"/>
  <c r="A864" i="6"/>
  <c r="AT863" i="6"/>
  <c r="AS863" i="6"/>
  <c r="A863" i="6"/>
  <c r="AT862" i="6"/>
  <c r="AS862" i="6"/>
  <c r="A862" i="6"/>
  <c r="AT861" i="6"/>
  <c r="AS861" i="6"/>
  <c r="A861" i="6"/>
  <c r="AT860" i="6"/>
  <c r="AS860" i="6"/>
  <c r="A860" i="6"/>
  <c r="AT859" i="6"/>
  <c r="AS859" i="6"/>
  <c r="A859" i="6"/>
  <c r="AT858" i="6"/>
  <c r="AS858" i="6"/>
  <c r="A858" i="6"/>
  <c r="AT857" i="6"/>
  <c r="AS857" i="6"/>
  <c r="A857" i="6"/>
  <c r="AT856" i="6"/>
  <c r="AS856" i="6"/>
  <c r="A856" i="6"/>
  <c r="AT855" i="6"/>
  <c r="AS855" i="6"/>
  <c r="A855" i="6"/>
  <c r="AT854" i="6"/>
  <c r="AS854" i="6"/>
  <c r="A854" i="6"/>
  <c r="AT853" i="6"/>
  <c r="AS853" i="6"/>
  <c r="A853" i="6"/>
  <c r="AT852" i="6"/>
  <c r="AS852" i="6"/>
  <c r="A852" i="6"/>
  <c r="AT851" i="6"/>
  <c r="AS851" i="6"/>
  <c r="A851" i="6"/>
  <c r="AT850" i="6"/>
  <c r="AS850" i="6"/>
  <c r="A850" i="6"/>
  <c r="AT849" i="6"/>
  <c r="AS849" i="6"/>
  <c r="A849" i="6"/>
  <c r="AT848" i="6"/>
  <c r="AS848" i="6"/>
  <c r="A848" i="6"/>
  <c r="AT847" i="6"/>
  <c r="AS847" i="6"/>
  <c r="A847" i="6"/>
  <c r="AT846" i="6"/>
  <c r="AS846" i="6"/>
  <c r="A846" i="6"/>
  <c r="AT845" i="6"/>
  <c r="AS845" i="6"/>
  <c r="A845" i="6"/>
  <c r="AT844" i="6"/>
  <c r="AS844" i="6"/>
  <c r="A844" i="6"/>
  <c r="AT843" i="6"/>
  <c r="AS843" i="6"/>
  <c r="A843" i="6"/>
  <c r="AT842" i="6"/>
  <c r="AS842" i="6"/>
  <c r="A842" i="6"/>
  <c r="AT841" i="6"/>
  <c r="AS841" i="6"/>
  <c r="A841" i="6"/>
  <c r="AT840" i="6"/>
  <c r="AS840" i="6"/>
  <c r="A840" i="6"/>
  <c r="AT839" i="6"/>
  <c r="AS839" i="6"/>
  <c r="A839" i="6"/>
  <c r="AT838" i="6"/>
  <c r="AS838" i="6"/>
  <c r="A838" i="6"/>
  <c r="AT837" i="6"/>
  <c r="AS837" i="6"/>
  <c r="A837" i="6"/>
  <c r="AT836" i="6"/>
  <c r="AS836" i="6"/>
  <c r="A836" i="6"/>
  <c r="AT835" i="6"/>
  <c r="AS835" i="6"/>
  <c r="A835" i="6"/>
  <c r="AT834" i="6"/>
  <c r="AS834" i="6"/>
  <c r="A834" i="6"/>
  <c r="AT833" i="6"/>
  <c r="AS833" i="6"/>
  <c r="A833" i="6"/>
  <c r="AT832" i="6"/>
  <c r="AS832" i="6"/>
  <c r="A832" i="6"/>
  <c r="AT831" i="6"/>
  <c r="AS831" i="6"/>
  <c r="A831" i="6"/>
  <c r="AT830" i="6"/>
  <c r="AS830" i="6"/>
  <c r="A830" i="6"/>
  <c r="AT829" i="6"/>
  <c r="AS829" i="6"/>
  <c r="A829" i="6"/>
  <c r="AT828" i="6"/>
  <c r="AS828" i="6"/>
  <c r="A828" i="6"/>
  <c r="AT827" i="6"/>
  <c r="AS827" i="6"/>
  <c r="A827" i="6"/>
  <c r="AT826" i="6"/>
  <c r="AS826" i="6"/>
  <c r="A826" i="6"/>
  <c r="AT825" i="6"/>
  <c r="AS825" i="6"/>
  <c r="A825" i="6"/>
  <c r="AT824" i="6"/>
  <c r="AS824" i="6"/>
  <c r="A824" i="6"/>
  <c r="AT823" i="6"/>
  <c r="AS823" i="6"/>
  <c r="A823" i="6"/>
  <c r="AT822" i="6"/>
  <c r="AS822" i="6"/>
  <c r="A822" i="6"/>
  <c r="AT821" i="6"/>
  <c r="AS821" i="6"/>
  <c r="A821" i="6"/>
  <c r="AT820" i="6"/>
  <c r="AS820" i="6"/>
  <c r="A820" i="6"/>
  <c r="AT819" i="6"/>
  <c r="AS819" i="6"/>
  <c r="A819" i="6"/>
  <c r="AT818" i="6"/>
  <c r="AS818" i="6"/>
  <c r="A818" i="6"/>
  <c r="AT817" i="6"/>
  <c r="AS817" i="6"/>
  <c r="A817" i="6"/>
  <c r="AT816" i="6"/>
  <c r="AS816" i="6"/>
  <c r="A816" i="6"/>
  <c r="AT815" i="6"/>
  <c r="AS815" i="6"/>
  <c r="A815" i="6"/>
  <c r="AT814" i="6"/>
  <c r="AS814" i="6"/>
  <c r="A814" i="6"/>
  <c r="AT813" i="6"/>
  <c r="AS813" i="6"/>
  <c r="A813" i="6"/>
  <c r="AT812" i="6"/>
  <c r="AS812" i="6"/>
  <c r="A812" i="6"/>
  <c r="AT811" i="6"/>
  <c r="AS811" i="6"/>
  <c r="A811" i="6"/>
  <c r="AT810" i="6"/>
  <c r="AS810" i="6"/>
  <c r="A810" i="6"/>
  <c r="AT809" i="6"/>
  <c r="AS809" i="6"/>
  <c r="A809" i="6"/>
  <c r="AT808" i="6"/>
  <c r="AS808" i="6"/>
  <c r="A808" i="6"/>
  <c r="AT807" i="6"/>
  <c r="AS807" i="6"/>
  <c r="A807" i="6"/>
  <c r="AT806" i="6"/>
  <c r="AS806" i="6"/>
  <c r="A806" i="6"/>
  <c r="AT805" i="6"/>
  <c r="AS805" i="6"/>
  <c r="A805" i="6"/>
  <c r="AT804" i="6"/>
  <c r="AS804" i="6"/>
  <c r="A804" i="6"/>
  <c r="AT803" i="6"/>
  <c r="AS803" i="6"/>
  <c r="A803" i="6"/>
  <c r="AT802" i="6"/>
  <c r="AS802" i="6"/>
  <c r="A802" i="6"/>
  <c r="AT801" i="6"/>
  <c r="AS801" i="6"/>
  <c r="A801" i="6"/>
  <c r="AT800" i="6"/>
  <c r="AS800" i="6"/>
  <c r="A800" i="6"/>
  <c r="AT799" i="6"/>
  <c r="AS799" i="6"/>
  <c r="A799" i="6"/>
  <c r="AT798" i="6"/>
  <c r="AS798" i="6"/>
  <c r="A798" i="6"/>
  <c r="AT797" i="6"/>
  <c r="AS797" i="6"/>
  <c r="A797" i="6"/>
  <c r="AT796" i="6"/>
  <c r="AS796" i="6"/>
  <c r="A796" i="6"/>
  <c r="AT795" i="6"/>
  <c r="AS795" i="6"/>
  <c r="A795" i="6"/>
  <c r="AT794" i="6"/>
  <c r="AS794" i="6"/>
  <c r="A794" i="6"/>
  <c r="AT793" i="6"/>
  <c r="AS793" i="6"/>
  <c r="A793" i="6"/>
  <c r="AT792" i="6"/>
  <c r="AS792" i="6"/>
  <c r="A792" i="6"/>
  <c r="AT791" i="6"/>
  <c r="AS791" i="6"/>
  <c r="A791" i="6"/>
  <c r="AT790" i="6"/>
  <c r="AS790" i="6"/>
  <c r="A790" i="6"/>
  <c r="AT789" i="6"/>
  <c r="AS789" i="6"/>
  <c r="A789" i="6"/>
  <c r="AT788" i="6"/>
  <c r="AS788" i="6"/>
  <c r="A788" i="6"/>
  <c r="AT787" i="6"/>
  <c r="AS787" i="6"/>
  <c r="A787" i="6"/>
  <c r="AT786" i="6"/>
  <c r="AS786" i="6"/>
  <c r="A786" i="6"/>
  <c r="AT785" i="6"/>
  <c r="AS785" i="6"/>
  <c r="A785" i="6"/>
  <c r="AT784" i="6"/>
  <c r="AS784" i="6"/>
  <c r="A784" i="6"/>
  <c r="AT783" i="6"/>
  <c r="AS783" i="6"/>
  <c r="A783" i="6"/>
  <c r="AT782" i="6"/>
  <c r="AS782" i="6"/>
  <c r="A782" i="6"/>
  <c r="AT781" i="6"/>
  <c r="AS781" i="6"/>
  <c r="A781" i="6"/>
  <c r="AT780" i="6"/>
  <c r="AS780" i="6"/>
  <c r="A780" i="6"/>
  <c r="AT779" i="6"/>
  <c r="AS779" i="6"/>
  <c r="A779" i="6"/>
  <c r="AT778" i="6"/>
  <c r="AS778" i="6"/>
  <c r="A778" i="6"/>
  <c r="AT777" i="6"/>
  <c r="AS777" i="6"/>
  <c r="A777" i="6"/>
  <c r="AT776" i="6"/>
  <c r="AS776" i="6"/>
  <c r="A776" i="6"/>
  <c r="AT775" i="6"/>
  <c r="AS775" i="6"/>
  <c r="A775" i="6"/>
  <c r="AT774" i="6"/>
  <c r="AS774" i="6"/>
  <c r="A774" i="6"/>
  <c r="AT773" i="6"/>
  <c r="AS773" i="6"/>
  <c r="A773" i="6"/>
  <c r="AT772" i="6"/>
  <c r="AS772" i="6"/>
  <c r="A772" i="6"/>
  <c r="AT771" i="6"/>
  <c r="AS771" i="6"/>
  <c r="A771" i="6"/>
  <c r="AT770" i="6"/>
  <c r="AS770" i="6"/>
  <c r="A770" i="6"/>
  <c r="AT769" i="6"/>
  <c r="AS769" i="6"/>
  <c r="A769" i="6"/>
  <c r="AT768" i="6"/>
  <c r="AS768" i="6"/>
  <c r="A768" i="6"/>
  <c r="AT767" i="6"/>
  <c r="AS767" i="6"/>
  <c r="A767" i="6"/>
  <c r="AT766" i="6"/>
  <c r="AS766" i="6"/>
  <c r="A766" i="6"/>
  <c r="AT765" i="6"/>
  <c r="AS765" i="6"/>
  <c r="A765" i="6"/>
  <c r="AT764" i="6"/>
  <c r="AS764" i="6"/>
  <c r="A764" i="6"/>
  <c r="AT763" i="6"/>
  <c r="AS763" i="6"/>
  <c r="A763" i="6"/>
  <c r="AT762" i="6"/>
  <c r="AS762" i="6"/>
  <c r="A762" i="6"/>
  <c r="AT761" i="6"/>
  <c r="AS761" i="6"/>
  <c r="A761" i="6"/>
  <c r="AT760" i="6"/>
  <c r="AS760" i="6"/>
  <c r="A760" i="6"/>
  <c r="AT759" i="6"/>
  <c r="AS759" i="6"/>
  <c r="A759" i="6"/>
  <c r="AT758" i="6"/>
  <c r="AS758" i="6"/>
  <c r="A758" i="6"/>
  <c r="AT757" i="6"/>
  <c r="AS757" i="6"/>
  <c r="A757" i="6"/>
  <c r="AT756" i="6"/>
  <c r="AS756" i="6"/>
  <c r="A756" i="6"/>
  <c r="AT755" i="6"/>
  <c r="AS755" i="6"/>
  <c r="A755" i="6"/>
  <c r="AT754" i="6"/>
  <c r="AS754" i="6"/>
  <c r="A754" i="6"/>
  <c r="AT753" i="6"/>
  <c r="AS753" i="6"/>
  <c r="A753" i="6"/>
  <c r="AT752" i="6"/>
  <c r="AS752" i="6"/>
  <c r="A752" i="6"/>
  <c r="AT751" i="6"/>
  <c r="AS751" i="6"/>
  <c r="A751" i="6"/>
  <c r="AT750" i="6"/>
  <c r="AS750" i="6"/>
  <c r="A750" i="6"/>
  <c r="AT749" i="6"/>
  <c r="AS749" i="6"/>
  <c r="A749" i="6"/>
  <c r="AT748" i="6"/>
  <c r="AS748" i="6"/>
  <c r="A748" i="6"/>
  <c r="AT747" i="6"/>
  <c r="AS747" i="6"/>
  <c r="A747" i="6"/>
  <c r="AT746" i="6"/>
  <c r="AS746" i="6"/>
  <c r="A746" i="6"/>
  <c r="AT745" i="6"/>
  <c r="AS745" i="6"/>
  <c r="A745" i="6"/>
  <c r="AT744" i="6"/>
  <c r="AS744" i="6"/>
  <c r="A744" i="6"/>
  <c r="AT743" i="6"/>
  <c r="AS743" i="6"/>
  <c r="A743" i="6"/>
  <c r="AT742" i="6"/>
  <c r="AS742" i="6"/>
  <c r="A742" i="6"/>
  <c r="AT741" i="6"/>
  <c r="AS741" i="6"/>
  <c r="A741" i="6"/>
  <c r="AT740" i="6"/>
  <c r="AS740" i="6"/>
  <c r="A740" i="6"/>
  <c r="AT739" i="6"/>
  <c r="AS739" i="6"/>
  <c r="A739" i="6"/>
  <c r="AT738" i="6"/>
  <c r="AS738" i="6"/>
  <c r="A738" i="6"/>
  <c r="AT737" i="6"/>
  <c r="AS737" i="6"/>
  <c r="A737" i="6"/>
  <c r="AT736" i="6"/>
  <c r="AS736" i="6"/>
  <c r="A736" i="6"/>
  <c r="AT735" i="6"/>
  <c r="AS735" i="6"/>
  <c r="A735" i="6"/>
  <c r="AT734" i="6"/>
  <c r="AS734" i="6"/>
  <c r="A734" i="6"/>
  <c r="AT733" i="6"/>
  <c r="AS733" i="6"/>
  <c r="A733" i="6"/>
  <c r="AT732" i="6"/>
  <c r="AS732" i="6"/>
  <c r="A732" i="6"/>
  <c r="AT731" i="6"/>
  <c r="AS731" i="6"/>
  <c r="A731" i="6"/>
  <c r="AT730" i="6"/>
  <c r="AS730" i="6"/>
  <c r="A730" i="6"/>
  <c r="AT729" i="6"/>
  <c r="AS729" i="6"/>
  <c r="A729" i="6"/>
  <c r="AT728" i="6"/>
  <c r="AS728" i="6"/>
  <c r="A728" i="6"/>
  <c r="AT727" i="6"/>
  <c r="AS727" i="6"/>
  <c r="A727" i="6"/>
  <c r="AT726" i="6"/>
  <c r="AS726" i="6"/>
  <c r="A726" i="6"/>
  <c r="AT725" i="6"/>
  <c r="AS725" i="6"/>
  <c r="A725" i="6"/>
  <c r="AT724" i="6"/>
  <c r="AS724" i="6"/>
  <c r="A724" i="6"/>
  <c r="AT723" i="6"/>
  <c r="AS723" i="6"/>
  <c r="A723" i="6"/>
  <c r="AT722" i="6"/>
  <c r="AS722" i="6"/>
  <c r="A722" i="6"/>
  <c r="AT721" i="6"/>
  <c r="AS721" i="6"/>
  <c r="A721" i="6"/>
  <c r="AT720" i="6"/>
  <c r="AS720" i="6"/>
  <c r="A720" i="6"/>
  <c r="AT719" i="6"/>
  <c r="AS719" i="6"/>
  <c r="A719" i="6"/>
  <c r="AT718" i="6"/>
  <c r="AS718" i="6"/>
  <c r="A718" i="6"/>
  <c r="AT717" i="6"/>
  <c r="AS717" i="6"/>
  <c r="A717" i="6"/>
  <c r="AT716" i="6"/>
  <c r="AS716" i="6"/>
  <c r="A716" i="6"/>
  <c r="AT715" i="6"/>
  <c r="AS715" i="6"/>
  <c r="A715" i="6"/>
  <c r="AT714" i="6"/>
  <c r="AS714" i="6"/>
  <c r="A714" i="6"/>
  <c r="AT713" i="6"/>
  <c r="AS713" i="6"/>
  <c r="A713" i="6"/>
  <c r="AT712" i="6"/>
  <c r="AS712" i="6"/>
  <c r="A712" i="6"/>
  <c r="AT711" i="6"/>
  <c r="AS711" i="6"/>
  <c r="A711" i="6"/>
  <c r="AT710" i="6"/>
  <c r="AS710" i="6"/>
  <c r="A710" i="6"/>
  <c r="AT709" i="6"/>
  <c r="AS709" i="6"/>
  <c r="A709" i="6"/>
  <c r="AT708" i="6"/>
  <c r="AS708" i="6"/>
  <c r="A708" i="6"/>
  <c r="AT707" i="6"/>
  <c r="AS707" i="6"/>
  <c r="A707" i="6"/>
  <c r="AT706" i="6"/>
  <c r="AS706" i="6"/>
  <c r="A706" i="6"/>
  <c r="AT705" i="6"/>
  <c r="AS705" i="6"/>
  <c r="A705" i="6"/>
  <c r="AT704" i="6"/>
  <c r="AS704" i="6"/>
  <c r="A704" i="6"/>
  <c r="AT703" i="6"/>
  <c r="AS703" i="6"/>
  <c r="A703" i="6"/>
  <c r="AT702" i="6"/>
  <c r="AS702" i="6"/>
  <c r="A702" i="6"/>
  <c r="AT701" i="6"/>
  <c r="AS701" i="6"/>
  <c r="A701" i="6"/>
  <c r="AT700" i="6"/>
  <c r="AS700" i="6"/>
  <c r="A700" i="6"/>
  <c r="AT699" i="6"/>
  <c r="AS699" i="6"/>
  <c r="A699" i="6"/>
  <c r="AT698" i="6"/>
  <c r="AS698" i="6"/>
  <c r="A698" i="6"/>
  <c r="AT697" i="6"/>
  <c r="AS697" i="6"/>
  <c r="A697" i="6"/>
  <c r="AT696" i="6"/>
  <c r="AS696" i="6"/>
  <c r="A696" i="6"/>
  <c r="AT695" i="6"/>
  <c r="AS695" i="6"/>
  <c r="A695" i="6"/>
  <c r="AT694" i="6"/>
  <c r="AS694" i="6"/>
  <c r="A694" i="6"/>
  <c r="AT693" i="6"/>
  <c r="AS693" i="6"/>
  <c r="A693" i="6"/>
  <c r="AT692" i="6"/>
  <c r="AS692" i="6"/>
  <c r="A692" i="6"/>
  <c r="AT691" i="6"/>
  <c r="AS691" i="6"/>
  <c r="A691" i="6"/>
  <c r="AT690" i="6"/>
  <c r="AS690" i="6"/>
  <c r="A690" i="6"/>
  <c r="AT689" i="6"/>
  <c r="AS689" i="6"/>
  <c r="A689" i="6"/>
  <c r="AT688" i="6"/>
  <c r="AS688" i="6"/>
  <c r="A688" i="6"/>
  <c r="AT687" i="6"/>
  <c r="AS687" i="6"/>
  <c r="A687" i="6"/>
  <c r="AT686" i="6"/>
  <c r="AS686" i="6"/>
  <c r="A686" i="6"/>
  <c r="AT685" i="6"/>
  <c r="AS685" i="6"/>
  <c r="A685" i="6"/>
  <c r="AT684" i="6"/>
  <c r="AS684" i="6"/>
  <c r="A684" i="6"/>
  <c r="AT683" i="6"/>
  <c r="AS683" i="6"/>
  <c r="A683" i="6"/>
  <c r="AT682" i="6"/>
  <c r="AS682" i="6"/>
  <c r="A682" i="6"/>
  <c r="AT681" i="6"/>
  <c r="AS681" i="6"/>
  <c r="A681" i="6"/>
  <c r="AT680" i="6"/>
  <c r="AS680" i="6"/>
  <c r="A680" i="6"/>
  <c r="AT679" i="6"/>
  <c r="AS679" i="6"/>
  <c r="A679" i="6"/>
  <c r="AT678" i="6"/>
  <c r="AS678" i="6"/>
  <c r="A678" i="6"/>
  <c r="AT677" i="6"/>
  <c r="AS677" i="6"/>
  <c r="A677" i="6"/>
  <c r="AT676" i="6"/>
  <c r="AS676" i="6"/>
  <c r="A676" i="6"/>
  <c r="AT675" i="6"/>
  <c r="AS675" i="6"/>
  <c r="A675" i="6"/>
  <c r="AT674" i="6"/>
  <c r="AS674" i="6"/>
  <c r="A674" i="6"/>
  <c r="AT673" i="6"/>
  <c r="AS673" i="6"/>
  <c r="A673" i="6"/>
  <c r="AT672" i="6"/>
  <c r="AS672" i="6"/>
  <c r="A672" i="6"/>
  <c r="AT671" i="6"/>
  <c r="AS671" i="6"/>
  <c r="A671" i="6"/>
  <c r="AT670" i="6"/>
  <c r="AS670" i="6"/>
  <c r="A670" i="6"/>
  <c r="AT669" i="6"/>
  <c r="AS669" i="6"/>
  <c r="A669" i="6"/>
  <c r="AT668" i="6"/>
  <c r="AS668" i="6"/>
  <c r="A668" i="6"/>
  <c r="AT667" i="6"/>
  <c r="AS667" i="6"/>
  <c r="A667" i="6"/>
  <c r="AT666" i="6"/>
  <c r="AS666" i="6"/>
  <c r="A666" i="6"/>
  <c r="AT665" i="6"/>
  <c r="AS665" i="6"/>
  <c r="A665" i="6"/>
  <c r="AT664" i="6"/>
  <c r="AS664" i="6"/>
  <c r="A664" i="6"/>
  <c r="AT663" i="6"/>
  <c r="AS663" i="6"/>
  <c r="A663" i="6"/>
  <c r="AT662" i="6"/>
  <c r="AS662" i="6"/>
  <c r="A662" i="6"/>
  <c r="AT661" i="6"/>
  <c r="AS661" i="6"/>
  <c r="A661" i="6"/>
  <c r="AT660" i="6"/>
  <c r="AS660" i="6"/>
  <c r="A660" i="6"/>
  <c r="AT659" i="6"/>
  <c r="AS659" i="6"/>
  <c r="A659" i="6"/>
  <c r="AT658" i="6"/>
  <c r="AS658" i="6"/>
  <c r="A658" i="6"/>
  <c r="AT657" i="6"/>
  <c r="AS657" i="6"/>
  <c r="A657" i="6"/>
  <c r="AT656" i="6"/>
  <c r="AS656" i="6"/>
  <c r="A656" i="6"/>
  <c r="AT655" i="6"/>
  <c r="AS655" i="6"/>
  <c r="A655" i="6"/>
  <c r="AT654" i="6"/>
  <c r="AS654" i="6"/>
  <c r="A654" i="6"/>
  <c r="AT653" i="6"/>
  <c r="AS653" i="6"/>
  <c r="A653" i="6"/>
  <c r="AT652" i="6"/>
  <c r="AS652" i="6"/>
  <c r="A652" i="6"/>
  <c r="AT651" i="6"/>
  <c r="AS651" i="6"/>
  <c r="A651" i="6"/>
  <c r="AT650" i="6"/>
  <c r="AS650" i="6"/>
  <c r="A650" i="6"/>
  <c r="AT649" i="6"/>
  <c r="AS649" i="6"/>
  <c r="A649" i="6"/>
  <c r="AT648" i="6"/>
  <c r="AS648" i="6"/>
  <c r="A648" i="6"/>
  <c r="AT647" i="6"/>
  <c r="AS647" i="6"/>
  <c r="A647" i="6"/>
  <c r="AT646" i="6"/>
  <c r="AS646" i="6"/>
  <c r="A646" i="6"/>
  <c r="AT645" i="6"/>
  <c r="AS645" i="6"/>
  <c r="A645" i="6"/>
  <c r="AT644" i="6"/>
  <c r="AS644" i="6"/>
  <c r="A644" i="6"/>
  <c r="AT643" i="6"/>
  <c r="AS643" i="6"/>
  <c r="A643" i="6"/>
  <c r="AT642" i="6"/>
  <c r="AS642" i="6"/>
  <c r="A642" i="6"/>
  <c r="AT641" i="6"/>
  <c r="AS641" i="6"/>
  <c r="A641" i="6"/>
  <c r="AT640" i="6"/>
  <c r="AS640" i="6"/>
  <c r="A640" i="6"/>
  <c r="AT639" i="6"/>
  <c r="AS639" i="6"/>
  <c r="A639" i="6"/>
  <c r="AT638" i="6"/>
  <c r="AS638" i="6"/>
  <c r="A638" i="6"/>
  <c r="AT637" i="6"/>
  <c r="AS637" i="6"/>
  <c r="A637" i="6"/>
  <c r="AT636" i="6"/>
  <c r="AS636" i="6"/>
  <c r="A636" i="6"/>
  <c r="AT635" i="6"/>
  <c r="AS635" i="6"/>
  <c r="A635" i="6"/>
  <c r="AT634" i="6"/>
  <c r="AS634" i="6"/>
  <c r="A634" i="6"/>
  <c r="AT633" i="6"/>
  <c r="AS633" i="6"/>
  <c r="A633" i="6"/>
  <c r="AT632" i="6"/>
  <c r="AS632" i="6"/>
  <c r="A632" i="6"/>
  <c r="AT631" i="6"/>
  <c r="AS631" i="6"/>
  <c r="A631" i="6"/>
  <c r="AT630" i="6"/>
  <c r="AS630" i="6"/>
  <c r="A630" i="6"/>
  <c r="AT629" i="6"/>
  <c r="AS629" i="6"/>
  <c r="A629" i="6"/>
  <c r="AT628" i="6"/>
  <c r="AS628" i="6"/>
  <c r="A628" i="6"/>
  <c r="AT627" i="6"/>
  <c r="AS627" i="6"/>
  <c r="A627" i="6"/>
  <c r="AT626" i="6"/>
  <c r="AS626" i="6"/>
  <c r="A626" i="6"/>
  <c r="AT625" i="6"/>
  <c r="AS625" i="6"/>
  <c r="A625" i="6"/>
  <c r="AT624" i="6"/>
  <c r="AS624" i="6"/>
  <c r="A624" i="6"/>
  <c r="AT623" i="6"/>
  <c r="AS623" i="6"/>
  <c r="A623" i="6"/>
  <c r="AT622" i="6"/>
  <c r="AS622" i="6"/>
  <c r="A622" i="6"/>
  <c r="AT621" i="6"/>
  <c r="AS621" i="6"/>
  <c r="A621" i="6"/>
  <c r="AT620" i="6"/>
  <c r="AS620" i="6"/>
  <c r="A620" i="6"/>
  <c r="AT619" i="6"/>
  <c r="AS619" i="6"/>
  <c r="A619" i="6"/>
  <c r="AT618" i="6"/>
  <c r="AS618" i="6"/>
  <c r="A618" i="6"/>
  <c r="AT617" i="6"/>
  <c r="AS617" i="6"/>
  <c r="A617" i="6"/>
  <c r="AT616" i="6"/>
  <c r="AS616" i="6"/>
  <c r="A616" i="6"/>
  <c r="AT615" i="6"/>
  <c r="AS615" i="6"/>
  <c r="A615" i="6"/>
  <c r="AT614" i="6"/>
  <c r="AS614" i="6"/>
  <c r="A614" i="6"/>
  <c r="AT613" i="6"/>
  <c r="AS613" i="6"/>
  <c r="A613" i="6"/>
  <c r="AT612" i="6"/>
  <c r="AS612" i="6"/>
  <c r="A612" i="6"/>
  <c r="AT611" i="6"/>
  <c r="AS611" i="6"/>
  <c r="A611" i="6"/>
  <c r="AT610" i="6"/>
  <c r="AS610" i="6"/>
  <c r="A610" i="6"/>
  <c r="AT609" i="6"/>
  <c r="AS609" i="6"/>
  <c r="A609" i="6"/>
  <c r="AT608" i="6"/>
  <c r="AS608" i="6"/>
  <c r="A608" i="6"/>
  <c r="AT607" i="6"/>
  <c r="AS607" i="6"/>
  <c r="A607" i="6"/>
  <c r="AT606" i="6"/>
  <c r="AS606" i="6"/>
  <c r="A606" i="6"/>
  <c r="AT605" i="6"/>
  <c r="AS605" i="6"/>
  <c r="A605" i="6"/>
  <c r="AT604" i="6"/>
  <c r="AS604" i="6"/>
  <c r="A604" i="6"/>
  <c r="AT603" i="6"/>
  <c r="AS603" i="6"/>
  <c r="A603" i="6"/>
  <c r="AT602" i="6"/>
  <c r="AS602" i="6"/>
  <c r="A602" i="6"/>
  <c r="AT601" i="6"/>
  <c r="AS601" i="6"/>
  <c r="A601" i="6"/>
  <c r="AT600" i="6"/>
  <c r="AS600" i="6"/>
  <c r="A600" i="6"/>
  <c r="AT599" i="6"/>
  <c r="AS599" i="6"/>
  <c r="A599" i="6"/>
  <c r="AT598" i="6"/>
  <c r="AS598" i="6"/>
  <c r="A598" i="6"/>
  <c r="AT597" i="6"/>
  <c r="AS597" i="6"/>
  <c r="A597" i="6"/>
  <c r="AT596" i="6"/>
  <c r="AS596" i="6"/>
  <c r="A596" i="6"/>
  <c r="AT595" i="6"/>
  <c r="AS595" i="6"/>
  <c r="A595" i="6"/>
  <c r="AT594" i="6"/>
  <c r="AS594" i="6"/>
  <c r="A594" i="6"/>
  <c r="AT593" i="6"/>
  <c r="AS593" i="6"/>
  <c r="A593" i="6"/>
  <c r="AT592" i="6"/>
  <c r="AS592" i="6"/>
  <c r="A592" i="6"/>
  <c r="AT591" i="6"/>
  <c r="AS591" i="6"/>
  <c r="A591" i="6"/>
  <c r="AT590" i="6"/>
  <c r="AS590" i="6"/>
  <c r="A590" i="6"/>
  <c r="AT589" i="6"/>
  <c r="AS589" i="6"/>
  <c r="A589" i="6"/>
  <c r="AT588" i="6"/>
  <c r="AS588" i="6"/>
  <c r="A588" i="6"/>
  <c r="AT587" i="6"/>
  <c r="AS587" i="6"/>
  <c r="A587" i="6"/>
  <c r="AT586" i="6"/>
  <c r="AS586" i="6"/>
  <c r="A586" i="6"/>
  <c r="AT585" i="6"/>
  <c r="AS585" i="6"/>
  <c r="A585" i="6"/>
  <c r="AT584" i="6"/>
  <c r="AS584" i="6"/>
  <c r="A584" i="6"/>
  <c r="AT583" i="6"/>
  <c r="AS583" i="6"/>
  <c r="A583" i="6"/>
  <c r="AT582" i="6"/>
  <c r="AS582" i="6"/>
  <c r="A582" i="6"/>
  <c r="AT581" i="6"/>
  <c r="AS581" i="6"/>
  <c r="A581" i="6"/>
  <c r="AT580" i="6"/>
  <c r="AS580" i="6"/>
  <c r="A580" i="6"/>
  <c r="AT579" i="6"/>
  <c r="AS579" i="6"/>
  <c r="A579" i="6"/>
  <c r="AT578" i="6"/>
  <c r="AS578" i="6"/>
  <c r="A578" i="6"/>
  <c r="AT577" i="6"/>
  <c r="AS577" i="6"/>
  <c r="A577" i="6"/>
  <c r="AT576" i="6"/>
  <c r="AS576" i="6"/>
  <c r="A576" i="6"/>
  <c r="AT575" i="6"/>
  <c r="AS575" i="6"/>
  <c r="A575" i="6"/>
  <c r="AT574" i="6"/>
  <c r="AS574" i="6"/>
  <c r="A574" i="6"/>
  <c r="AT573" i="6"/>
  <c r="AS573" i="6"/>
  <c r="A573" i="6"/>
  <c r="AT572" i="6"/>
  <c r="AS572" i="6"/>
  <c r="A572" i="6"/>
  <c r="AT571" i="6"/>
  <c r="AS571" i="6"/>
  <c r="A571" i="6"/>
  <c r="AT570" i="6"/>
  <c r="AS570" i="6"/>
  <c r="A570" i="6"/>
  <c r="AT569" i="6"/>
  <c r="AS569" i="6"/>
  <c r="A569" i="6"/>
  <c r="AT568" i="6"/>
  <c r="AS568" i="6"/>
  <c r="A568" i="6"/>
  <c r="AT567" i="6"/>
  <c r="AS567" i="6"/>
  <c r="A567" i="6"/>
  <c r="AT566" i="6"/>
  <c r="AS566" i="6"/>
  <c r="A566" i="6"/>
  <c r="AT565" i="6"/>
  <c r="AS565" i="6"/>
  <c r="A565" i="6"/>
  <c r="AT564" i="6"/>
  <c r="AS564" i="6"/>
  <c r="A564" i="6"/>
  <c r="AT563" i="6"/>
  <c r="AS563" i="6"/>
  <c r="A563" i="6"/>
  <c r="AT562" i="6"/>
  <c r="AS562" i="6"/>
  <c r="A562" i="6"/>
  <c r="AT561" i="6"/>
  <c r="AS561" i="6"/>
  <c r="A561" i="6"/>
  <c r="AT560" i="6"/>
  <c r="AS560" i="6"/>
  <c r="A560" i="6"/>
  <c r="AT559" i="6"/>
  <c r="AS559" i="6"/>
  <c r="A559" i="6"/>
  <c r="AT558" i="6"/>
  <c r="AS558" i="6"/>
  <c r="A558" i="6"/>
  <c r="AT557" i="6"/>
  <c r="AS557" i="6"/>
  <c r="A557" i="6"/>
  <c r="AT556" i="6"/>
  <c r="AS556" i="6"/>
  <c r="A556" i="6"/>
  <c r="AT555" i="6"/>
  <c r="AS555" i="6"/>
  <c r="A555" i="6"/>
  <c r="AT554" i="6"/>
  <c r="AS554" i="6"/>
  <c r="A554" i="6"/>
  <c r="AT553" i="6"/>
  <c r="AS553" i="6"/>
  <c r="A553" i="6"/>
  <c r="AT552" i="6"/>
  <c r="AS552" i="6"/>
  <c r="A552" i="6"/>
  <c r="AT551" i="6"/>
  <c r="AS551" i="6"/>
  <c r="A551" i="6"/>
  <c r="AT550" i="6"/>
  <c r="AS550" i="6"/>
  <c r="A550" i="6"/>
  <c r="AT549" i="6"/>
  <c r="AS549" i="6"/>
  <c r="A549" i="6"/>
  <c r="AT548" i="6"/>
  <c r="AS548" i="6"/>
  <c r="A548" i="6"/>
  <c r="AT547" i="6"/>
  <c r="AS547" i="6"/>
  <c r="A547" i="6"/>
  <c r="AT546" i="6"/>
  <c r="AS546" i="6"/>
  <c r="A546" i="6"/>
  <c r="AT545" i="6"/>
  <c r="AS545" i="6"/>
  <c r="A545" i="6"/>
  <c r="AT544" i="6"/>
  <c r="AS544" i="6"/>
  <c r="A544" i="6"/>
  <c r="AT543" i="6"/>
  <c r="AS543" i="6"/>
  <c r="A543" i="6"/>
  <c r="AT542" i="6"/>
  <c r="AS542" i="6"/>
  <c r="A542" i="6"/>
  <c r="AT541" i="6"/>
  <c r="AS541" i="6"/>
  <c r="A541" i="6"/>
  <c r="AT540" i="6"/>
  <c r="AS540" i="6"/>
  <c r="A540" i="6"/>
  <c r="AT539" i="6"/>
  <c r="AS539" i="6"/>
  <c r="A539" i="6"/>
  <c r="AT538" i="6"/>
  <c r="AS538" i="6"/>
  <c r="A538" i="6"/>
  <c r="AT537" i="6"/>
  <c r="AS537" i="6"/>
  <c r="A537" i="6"/>
  <c r="AT536" i="6"/>
  <c r="AS536" i="6"/>
  <c r="A536" i="6"/>
  <c r="AT535" i="6"/>
  <c r="AS535" i="6"/>
  <c r="A535" i="6"/>
  <c r="AT534" i="6"/>
  <c r="AS534" i="6"/>
  <c r="A534" i="6"/>
  <c r="AT533" i="6"/>
  <c r="AS533" i="6"/>
  <c r="A533" i="6"/>
  <c r="AT532" i="6"/>
  <c r="AS532" i="6"/>
  <c r="A532" i="6"/>
  <c r="AT531" i="6"/>
  <c r="AS531" i="6"/>
  <c r="A531" i="6"/>
  <c r="AT530" i="6"/>
  <c r="AS530" i="6"/>
  <c r="A530" i="6"/>
  <c r="AT529" i="6"/>
  <c r="AS529" i="6"/>
  <c r="A529" i="6"/>
  <c r="AT528" i="6"/>
  <c r="AS528" i="6"/>
  <c r="A528" i="6"/>
  <c r="AT527" i="6"/>
  <c r="AS527" i="6"/>
  <c r="A527" i="6"/>
  <c r="AT526" i="6"/>
  <c r="AS526" i="6"/>
  <c r="A526" i="6"/>
  <c r="AT525" i="6"/>
  <c r="AS525" i="6"/>
  <c r="A525" i="6"/>
  <c r="AT524" i="6"/>
  <c r="AS524" i="6"/>
  <c r="A524" i="6"/>
  <c r="AT523" i="6"/>
  <c r="AS523" i="6"/>
  <c r="A523" i="6"/>
  <c r="AT522" i="6"/>
  <c r="AS522" i="6"/>
  <c r="A522" i="6"/>
  <c r="AT521" i="6"/>
  <c r="AS521" i="6"/>
  <c r="A521" i="6"/>
  <c r="AT520" i="6"/>
  <c r="AS520" i="6"/>
  <c r="A520" i="6"/>
  <c r="AT519" i="6"/>
  <c r="AS519" i="6"/>
  <c r="A519" i="6"/>
  <c r="AT518" i="6"/>
  <c r="AS518" i="6"/>
  <c r="A518" i="6"/>
  <c r="AT517" i="6"/>
  <c r="AS517" i="6"/>
  <c r="A517" i="6"/>
  <c r="AT516" i="6"/>
  <c r="AS516" i="6"/>
  <c r="A516" i="6"/>
  <c r="AT515" i="6"/>
  <c r="AS515" i="6"/>
  <c r="A515" i="6"/>
  <c r="AT514" i="6"/>
  <c r="AS514" i="6"/>
  <c r="A514" i="6"/>
  <c r="AT513" i="6"/>
  <c r="AS513" i="6"/>
  <c r="A513" i="6"/>
  <c r="AT512" i="6"/>
  <c r="AS512" i="6"/>
  <c r="A512" i="6"/>
  <c r="AT511" i="6"/>
  <c r="AS511" i="6"/>
  <c r="A511" i="6"/>
  <c r="AT510" i="6"/>
  <c r="AS510" i="6"/>
  <c r="A510" i="6"/>
  <c r="AT509" i="6"/>
  <c r="AS509" i="6"/>
  <c r="A509" i="6"/>
  <c r="AT508" i="6"/>
  <c r="AS508" i="6"/>
  <c r="A508" i="6"/>
  <c r="AT507" i="6"/>
  <c r="AS507" i="6"/>
  <c r="A507" i="6"/>
  <c r="AT506" i="6"/>
  <c r="AS506" i="6"/>
  <c r="A506" i="6"/>
  <c r="AT505" i="6"/>
  <c r="AS505" i="6"/>
  <c r="A505" i="6"/>
  <c r="AT504" i="6"/>
  <c r="AS504" i="6"/>
  <c r="A504" i="6"/>
  <c r="AT503" i="6"/>
  <c r="AS503" i="6"/>
  <c r="A503" i="6"/>
  <c r="AT502" i="6"/>
  <c r="AS502" i="6"/>
  <c r="A502" i="6"/>
  <c r="AT501" i="6"/>
  <c r="AS501" i="6"/>
  <c r="A501" i="6"/>
  <c r="AT500" i="6"/>
  <c r="AS500" i="6"/>
  <c r="A500" i="6"/>
  <c r="AT499" i="6"/>
  <c r="AS499" i="6"/>
  <c r="A499" i="6"/>
  <c r="AT498" i="6"/>
  <c r="AS498" i="6"/>
  <c r="A498" i="6"/>
  <c r="AT497" i="6"/>
  <c r="AS497" i="6"/>
  <c r="A497" i="6"/>
  <c r="AT496" i="6"/>
  <c r="AS496" i="6"/>
  <c r="A496" i="6"/>
  <c r="AT495" i="6"/>
  <c r="AS495" i="6"/>
  <c r="A495" i="6"/>
  <c r="AT494" i="6"/>
  <c r="AS494" i="6"/>
  <c r="A494" i="6"/>
  <c r="AT493" i="6"/>
  <c r="AS493" i="6"/>
  <c r="A493" i="6"/>
  <c r="AT492" i="6"/>
  <c r="AS492" i="6"/>
  <c r="A492" i="6"/>
  <c r="AT491" i="6"/>
  <c r="AS491" i="6"/>
  <c r="A491" i="6"/>
  <c r="AT490" i="6"/>
  <c r="AS490" i="6"/>
  <c r="A490" i="6"/>
  <c r="AT489" i="6"/>
  <c r="AS489" i="6"/>
  <c r="A489" i="6"/>
  <c r="AT488" i="6"/>
  <c r="AS488" i="6"/>
  <c r="A488" i="6"/>
  <c r="AT487" i="6"/>
  <c r="AS487" i="6"/>
  <c r="A487" i="6"/>
  <c r="AT486" i="6"/>
  <c r="AS486" i="6"/>
  <c r="A486" i="6"/>
  <c r="AT485" i="6"/>
  <c r="AS485" i="6"/>
  <c r="A485" i="6"/>
  <c r="AT484" i="6"/>
  <c r="AS484" i="6"/>
  <c r="A484" i="6"/>
  <c r="AT483" i="6"/>
  <c r="AS483" i="6"/>
  <c r="A483" i="6"/>
  <c r="AT482" i="6"/>
  <c r="AS482" i="6"/>
  <c r="A482" i="6"/>
  <c r="AT481" i="6"/>
  <c r="AS481" i="6"/>
  <c r="A481" i="6"/>
  <c r="AT480" i="6"/>
  <c r="AS480" i="6"/>
  <c r="A480" i="6"/>
  <c r="AT479" i="6"/>
  <c r="AS479" i="6"/>
  <c r="A479" i="6"/>
  <c r="AT478" i="6"/>
  <c r="AS478" i="6"/>
  <c r="A478" i="6"/>
  <c r="AT477" i="6"/>
  <c r="AS477" i="6"/>
  <c r="A477" i="6"/>
  <c r="AT476" i="6"/>
  <c r="AS476" i="6"/>
  <c r="A476" i="6"/>
  <c r="AT475" i="6"/>
  <c r="AS475" i="6"/>
  <c r="A475" i="6"/>
  <c r="AT474" i="6"/>
  <c r="AS474" i="6"/>
  <c r="A474" i="6"/>
  <c r="AT473" i="6"/>
  <c r="AS473" i="6"/>
  <c r="A473" i="6"/>
  <c r="AT472" i="6"/>
  <c r="AS472" i="6"/>
  <c r="A472" i="6"/>
  <c r="AT471" i="6"/>
  <c r="AS471" i="6"/>
  <c r="A471" i="6"/>
  <c r="AT470" i="6"/>
  <c r="AS470" i="6"/>
  <c r="A470" i="6"/>
  <c r="AT469" i="6"/>
  <c r="AS469" i="6"/>
  <c r="A469" i="6"/>
  <c r="AT468" i="6"/>
  <c r="AS468" i="6"/>
  <c r="A468" i="6"/>
  <c r="AT467" i="6"/>
  <c r="AS467" i="6"/>
  <c r="A467" i="6"/>
  <c r="AT466" i="6"/>
  <c r="AS466" i="6"/>
  <c r="A466" i="6"/>
  <c r="AT465" i="6"/>
  <c r="AS465" i="6"/>
  <c r="A465" i="6"/>
  <c r="AT464" i="6"/>
  <c r="AS464" i="6"/>
  <c r="A464" i="6"/>
  <c r="AT463" i="6"/>
  <c r="AS463" i="6"/>
  <c r="A463" i="6"/>
  <c r="AT462" i="6"/>
  <c r="AS462" i="6"/>
  <c r="A462" i="6"/>
  <c r="AT461" i="6"/>
  <c r="AS461" i="6"/>
  <c r="A461" i="6"/>
  <c r="AT460" i="6"/>
  <c r="AS460" i="6"/>
  <c r="A460" i="6"/>
  <c r="AT459" i="6"/>
  <c r="AS459" i="6"/>
  <c r="A459" i="6"/>
  <c r="AT458" i="6"/>
  <c r="AS458" i="6"/>
  <c r="A458" i="6"/>
  <c r="X655" i="7"/>
  <c r="AK654" i="7"/>
  <c r="A654" i="7"/>
  <c r="AK653" i="7"/>
  <c r="A653" i="7"/>
  <c r="AK652" i="7"/>
  <c r="A652" i="7"/>
  <c r="AK651" i="7"/>
  <c r="A651" i="7"/>
  <c r="AK650" i="7"/>
  <c r="A650" i="7"/>
  <c r="AK649" i="7"/>
  <c r="A649" i="7"/>
  <c r="AK648" i="7"/>
  <c r="A648" i="7"/>
  <c r="AK647" i="7"/>
  <c r="A647" i="7"/>
  <c r="AK646" i="7"/>
  <c r="A646" i="7"/>
  <c r="AK645" i="7"/>
  <c r="A645" i="7"/>
  <c r="AK644" i="7"/>
  <c r="A644" i="7"/>
  <c r="AK643" i="7"/>
  <c r="A643" i="7"/>
  <c r="AK642" i="7"/>
  <c r="A642" i="7"/>
  <c r="AK641" i="7"/>
  <c r="A641" i="7"/>
  <c r="AK640" i="7"/>
  <c r="A640" i="7"/>
  <c r="AK639" i="7"/>
  <c r="A639" i="7"/>
  <c r="AK638" i="7"/>
  <c r="A638" i="7"/>
  <c r="AK637" i="7"/>
  <c r="A637" i="7"/>
  <c r="AK636" i="7"/>
  <c r="A636" i="7"/>
  <c r="AK635" i="7"/>
  <c r="A635" i="7"/>
  <c r="AK634" i="7"/>
  <c r="A634" i="7"/>
  <c r="AK633" i="7"/>
  <c r="A633" i="7"/>
  <c r="AK632" i="7"/>
  <c r="A632" i="7"/>
  <c r="AK631" i="7"/>
  <c r="A631" i="7"/>
  <c r="AK630" i="7"/>
  <c r="A630" i="7"/>
  <c r="AK629" i="7"/>
  <c r="A629" i="7"/>
  <c r="AK628" i="7"/>
  <c r="A628" i="7"/>
  <c r="AK627" i="7"/>
  <c r="A627" i="7"/>
  <c r="AK626" i="7"/>
  <c r="A626" i="7"/>
  <c r="AK625" i="7"/>
  <c r="A625" i="7"/>
  <c r="AK624" i="7"/>
  <c r="A624" i="7"/>
  <c r="AK623" i="7"/>
  <c r="A623" i="7"/>
  <c r="AK622" i="7"/>
  <c r="A622" i="7"/>
  <c r="AK621" i="7"/>
  <c r="A621" i="7"/>
  <c r="AK620" i="7"/>
  <c r="A620" i="7"/>
  <c r="AK619" i="7"/>
  <c r="A619" i="7"/>
  <c r="AK618" i="7"/>
  <c r="A618" i="7"/>
  <c r="AK617" i="7"/>
  <c r="A617" i="7"/>
  <c r="AK616" i="7"/>
  <c r="A616" i="7"/>
  <c r="AK615" i="7"/>
  <c r="A615" i="7"/>
  <c r="AK614" i="7"/>
  <c r="A614" i="7"/>
  <c r="AK613" i="7"/>
  <c r="A613" i="7"/>
  <c r="AK612" i="7"/>
  <c r="A612" i="7"/>
  <c r="AK611" i="7"/>
  <c r="A611" i="7"/>
  <c r="AK610" i="7"/>
  <c r="A610" i="7"/>
  <c r="AK609" i="7"/>
  <c r="A609" i="7"/>
  <c r="AK608" i="7"/>
  <c r="A608" i="7"/>
  <c r="AK607" i="7"/>
  <c r="A607" i="7"/>
  <c r="AK606" i="7"/>
  <c r="A606" i="7"/>
  <c r="AK605" i="7"/>
  <c r="A605" i="7"/>
  <c r="AK604" i="7"/>
  <c r="A604" i="7"/>
  <c r="AK603" i="7"/>
  <c r="A603" i="7"/>
  <c r="AK602" i="7"/>
  <c r="A602" i="7"/>
  <c r="AK601" i="7"/>
  <c r="A601" i="7"/>
  <c r="AK600" i="7"/>
  <c r="A600" i="7"/>
  <c r="AK599" i="7"/>
  <c r="A599" i="7"/>
  <c r="AK598" i="7"/>
  <c r="A598" i="7"/>
  <c r="AK597" i="7"/>
  <c r="A597" i="7"/>
  <c r="AK596" i="7"/>
  <c r="A596" i="7"/>
  <c r="AK595" i="7"/>
  <c r="A595" i="7"/>
  <c r="AK594" i="7"/>
  <c r="A594" i="7"/>
  <c r="AK593" i="7"/>
  <c r="A593" i="7"/>
  <c r="AK592" i="7"/>
  <c r="A592" i="7"/>
  <c r="AK591" i="7"/>
  <c r="A591" i="7"/>
  <c r="AK590" i="7"/>
  <c r="A590" i="7"/>
  <c r="AK589" i="7"/>
  <c r="A589" i="7"/>
  <c r="AK588" i="7"/>
  <c r="A588" i="7"/>
  <c r="AK587" i="7"/>
  <c r="A587" i="7"/>
  <c r="AK586" i="7"/>
  <c r="A586" i="7"/>
  <c r="AK585" i="7"/>
  <c r="A585" i="7"/>
  <c r="AK584" i="7"/>
  <c r="A584" i="7"/>
  <c r="AK583" i="7"/>
  <c r="A583" i="7"/>
  <c r="AK582" i="7"/>
  <c r="A582" i="7"/>
  <c r="AK581" i="7"/>
  <c r="A581" i="7"/>
  <c r="AK580" i="7"/>
  <c r="A580" i="7"/>
  <c r="AK579" i="7"/>
  <c r="A579" i="7"/>
  <c r="AK578" i="7"/>
  <c r="A578" i="7"/>
  <c r="AK577" i="7"/>
  <c r="A577" i="7"/>
  <c r="AK576" i="7"/>
  <c r="A576" i="7"/>
  <c r="AK575" i="7"/>
  <c r="A575" i="7"/>
  <c r="AK574" i="7"/>
  <c r="A574" i="7"/>
  <c r="AK573" i="7"/>
  <c r="A573" i="7"/>
  <c r="AK572" i="7"/>
  <c r="A572" i="7"/>
  <c r="AK571" i="7"/>
  <c r="A571" i="7"/>
  <c r="AK570" i="7"/>
  <c r="A570" i="7"/>
  <c r="AK569" i="7"/>
  <c r="A569" i="7"/>
  <c r="AK568" i="7"/>
  <c r="A568" i="7"/>
  <c r="AK567" i="7"/>
  <c r="A567" i="7"/>
  <c r="AK566" i="7"/>
  <c r="A566" i="7"/>
  <c r="AK565" i="7"/>
  <c r="A565" i="7"/>
  <c r="AK564" i="7"/>
  <c r="A564" i="7"/>
  <c r="AK563" i="7"/>
  <c r="A563" i="7"/>
  <c r="AK562" i="7"/>
  <c r="A562" i="7"/>
  <c r="AK561" i="7"/>
  <c r="A561" i="7"/>
  <c r="AK560" i="7"/>
  <c r="A560" i="7"/>
  <c r="AK559" i="7"/>
  <c r="A559" i="7"/>
  <c r="AK558" i="7"/>
  <c r="A558" i="7"/>
  <c r="AK557" i="7"/>
  <c r="A557" i="7"/>
  <c r="AK556" i="7"/>
  <c r="A556" i="7"/>
  <c r="AK555" i="7"/>
  <c r="A555" i="7"/>
  <c r="AK554" i="7"/>
  <c r="A554" i="7"/>
  <c r="AK553" i="7"/>
  <c r="A553" i="7"/>
  <c r="AK552" i="7"/>
  <c r="A552" i="7"/>
  <c r="AK551" i="7"/>
  <c r="A551" i="7"/>
  <c r="AK550" i="7"/>
  <c r="A550" i="7"/>
  <c r="AK549" i="7"/>
  <c r="A549" i="7"/>
  <c r="AK548" i="7"/>
  <c r="A548" i="7"/>
  <c r="AK547" i="7"/>
  <c r="A547" i="7"/>
  <c r="AK546" i="7"/>
  <c r="A546" i="7"/>
  <c r="AK545" i="7"/>
  <c r="A545" i="7"/>
  <c r="AK544" i="7"/>
  <c r="A544" i="7"/>
  <c r="AK543" i="7"/>
  <c r="A543" i="7"/>
  <c r="AK542" i="7"/>
  <c r="A542" i="7"/>
  <c r="AK541" i="7"/>
  <c r="A541" i="7"/>
  <c r="AK540" i="7"/>
  <c r="A540" i="7"/>
  <c r="AK539" i="7"/>
  <c r="A539" i="7"/>
  <c r="AK538" i="7"/>
  <c r="A538" i="7"/>
  <c r="AK537" i="7"/>
  <c r="A537" i="7"/>
  <c r="AK536" i="7"/>
  <c r="A536" i="7"/>
  <c r="AK535" i="7"/>
  <c r="A535" i="7"/>
  <c r="AK534" i="7"/>
  <c r="A534" i="7"/>
  <c r="AK533" i="7"/>
  <c r="A533" i="7"/>
  <c r="AK532" i="7"/>
  <c r="A532" i="7"/>
  <c r="AK531" i="7"/>
  <c r="A531" i="7"/>
  <c r="AK530" i="7"/>
  <c r="A530" i="7"/>
  <c r="AK529" i="7"/>
  <c r="A529" i="7"/>
  <c r="AK528" i="7"/>
  <c r="A528" i="7"/>
  <c r="AK527" i="7"/>
  <c r="A527" i="7"/>
  <c r="AK526" i="7"/>
  <c r="A526" i="7"/>
  <c r="AK525" i="7"/>
  <c r="A525" i="7"/>
  <c r="AK524" i="7"/>
  <c r="A524" i="7"/>
  <c r="AK523" i="7"/>
  <c r="A523" i="7"/>
  <c r="AK522" i="7"/>
  <c r="A522" i="7"/>
  <c r="AK521" i="7"/>
  <c r="A521" i="7"/>
  <c r="AK520" i="7"/>
  <c r="A520" i="7"/>
  <c r="AK519" i="7"/>
  <c r="A519" i="7"/>
  <c r="AK518" i="7"/>
  <c r="A518" i="7"/>
  <c r="AK517" i="7"/>
  <c r="A517" i="7"/>
  <c r="AK516" i="7"/>
  <c r="A516" i="7"/>
  <c r="AK515" i="7"/>
  <c r="A515" i="7"/>
  <c r="AK514" i="7"/>
  <c r="A514" i="7"/>
  <c r="AK513" i="7"/>
  <c r="A513" i="7"/>
  <c r="AK512" i="7"/>
  <c r="A512" i="7"/>
  <c r="AK511" i="7"/>
  <c r="A511" i="7"/>
  <c r="AK510" i="7"/>
  <c r="A510" i="7"/>
  <c r="AK509" i="7"/>
  <c r="A509" i="7"/>
  <c r="AK508" i="7"/>
  <c r="A508" i="7"/>
  <c r="AK507" i="7"/>
  <c r="A507" i="7"/>
  <c r="AK506" i="7"/>
  <c r="A506" i="7"/>
  <c r="AK505" i="7"/>
  <c r="A505" i="7"/>
  <c r="AK504" i="7"/>
  <c r="A504" i="7"/>
  <c r="AK503" i="7"/>
  <c r="A503" i="7"/>
  <c r="AK502" i="7"/>
  <c r="A502" i="7"/>
  <c r="AK501" i="7"/>
  <c r="A501" i="7"/>
  <c r="AK500" i="7"/>
  <c r="A500" i="7"/>
  <c r="AK499" i="7"/>
  <c r="A499" i="7"/>
  <c r="AK498" i="7"/>
  <c r="A498" i="7"/>
  <c r="AK497" i="7"/>
  <c r="A497" i="7"/>
  <c r="AK496" i="7"/>
  <c r="A496" i="7"/>
  <c r="AK495" i="7"/>
  <c r="A495" i="7"/>
  <c r="AK494" i="7"/>
  <c r="A494" i="7"/>
  <c r="AK493" i="7"/>
  <c r="A493" i="7"/>
  <c r="AK492" i="7"/>
  <c r="A492" i="7"/>
  <c r="AK491" i="7"/>
  <c r="A491" i="7"/>
  <c r="AK490" i="7"/>
  <c r="A490" i="7"/>
  <c r="AK489" i="7"/>
  <c r="A489" i="7"/>
  <c r="AK488" i="7"/>
  <c r="A488" i="7"/>
  <c r="AK487" i="7"/>
  <c r="A487" i="7"/>
  <c r="AK486" i="7"/>
  <c r="A486" i="7"/>
  <c r="AK485" i="7"/>
  <c r="A485" i="7"/>
  <c r="AK484" i="7"/>
  <c r="A484" i="7"/>
  <c r="AK483" i="7"/>
  <c r="A483" i="7"/>
  <c r="AK482" i="7"/>
  <c r="A482" i="7"/>
  <c r="AK481" i="7"/>
  <c r="A481" i="7"/>
  <c r="AK480" i="7"/>
  <c r="A480" i="7"/>
  <c r="AK479" i="7"/>
  <c r="A479" i="7"/>
  <c r="AK478" i="7"/>
  <c r="A478" i="7"/>
  <c r="AK477" i="7"/>
  <c r="A477" i="7"/>
  <c r="AK476" i="7"/>
  <c r="A476" i="7"/>
  <c r="AK475" i="7"/>
  <c r="A475" i="7"/>
  <c r="AK474" i="7"/>
  <c r="A474" i="7"/>
  <c r="AK473" i="7"/>
  <c r="A473" i="7"/>
  <c r="AK472" i="7"/>
  <c r="A472" i="7"/>
  <c r="AK471" i="7"/>
  <c r="A471" i="7"/>
  <c r="AK470" i="7"/>
  <c r="A470" i="7"/>
  <c r="AK469" i="7"/>
  <c r="A469" i="7"/>
  <c r="AK468" i="7"/>
  <c r="A468" i="7"/>
  <c r="AK467" i="7"/>
  <c r="A467" i="7"/>
  <c r="AK466" i="7"/>
  <c r="A466" i="7"/>
  <c r="AK465" i="7"/>
  <c r="A465" i="7"/>
  <c r="AK464" i="7"/>
  <c r="A464" i="7"/>
  <c r="AK463" i="7"/>
  <c r="A463" i="7"/>
  <c r="AK462" i="7"/>
  <c r="A462" i="7"/>
  <c r="AK461" i="7"/>
  <c r="A461" i="7"/>
  <c r="AK460" i="7"/>
  <c r="A460" i="7"/>
  <c r="AK459" i="7"/>
  <c r="A459" i="7"/>
  <c r="AK458" i="7"/>
  <c r="A458" i="7"/>
  <c r="AK457" i="7"/>
  <c r="A457" i="7"/>
  <c r="AK456" i="7"/>
  <c r="A456" i="7"/>
  <c r="AK455" i="7"/>
  <c r="A455" i="7"/>
  <c r="AK454" i="7"/>
  <c r="A454" i="7"/>
  <c r="AK453" i="7"/>
  <c r="A453" i="7"/>
  <c r="AK452" i="7"/>
  <c r="A452" i="7"/>
  <c r="AK451" i="7"/>
  <c r="A451" i="7"/>
  <c r="AK450" i="7"/>
  <c r="A450" i="7"/>
  <c r="AK449" i="7"/>
  <c r="A449" i="7"/>
  <c r="AK448" i="7"/>
  <c r="A448" i="7"/>
  <c r="AK447" i="7"/>
  <c r="A447" i="7"/>
  <c r="AK446" i="7"/>
  <c r="A446" i="7"/>
  <c r="AK445" i="7"/>
  <c r="A445" i="7"/>
  <c r="AK444" i="7"/>
  <c r="A444" i="7"/>
  <c r="AK443" i="7"/>
  <c r="A443" i="7"/>
  <c r="AK442" i="7"/>
  <c r="A442" i="7"/>
  <c r="AK441" i="7"/>
  <c r="A441" i="7"/>
  <c r="AK440" i="7"/>
  <c r="A440" i="7"/>
  <c r="AK439" i="7"/>
  <c r="A439" i="7"/>
  <c r="AK438" i="7"/>
  <c r="A438" i="7"/>
  <c r="AK437" i="7"/>
  <c r="A437" i="7"/>
  <c r="AK436" i="7"/>
  <c r="A436" i="7"/>
  <c r="AK435" i="7"/>
  <c r="A435" i="7"/>
  <c r="AK434" i="7"/>
  <c r="A434" i="7"/>
  <c r="AK433" i="7"/>
  <c r="A433" i="7"/>
  <c r="AK432" i="7"/>
  <c r="A432" i="7"/>
  <c r="AK431" i="7"/>
  <c r="A431" i="7"/>
  <c r="AK430" i="7"/>
  <c r="A430" i="7"/>
  <c r="AK429" i="7"/>
  <c r="A429" i="7"/>
  <c r="AK428" i="7"/>
  <c r="A428" i="7"/>
  <c r="AK427" i="7"/>
  <c r="A427" i="7"/>
  <c r="AK426" i="7"/>
  <c r="A426" i="7"/>
  <c r="AK425" i="7"/>
  <c r="A425" i="7"/>
  <c r="AK424" i="7"/>
  <c r="A424" i="7"/>
  <c r="AK423" i="7"/>
  <c r="A423" i="7"/>
  <c r="AK422" i="7"/>
  <c r="A422" i="7"/>
  <c r="AK421" i="7"/>
  <c r="A421" i="7"/>
  <c r="AK420" i="7"/>
  <c r="A420" i="7"/>
  <c r="AK419" i="7"/>
  <c r="A419" i="7"/>
  <c r="AK418" i="7"/>
  <c r="A418" i="7"/>
  <c r="AK417" i="7"/>
  <c r="A417" i="7"/>
  <c r="AK416" i="7"/>
  <c r="A416" i="7"/>
  <c r="AK415" i="7"/>
  <c r="A415" i="7"/>
  <c r="AK414" i="7"/>
  <c r="A414" i="7"/>
  <c r="AK413" i="7"/>
  <c r="A413" i="7"/>
  <c r="AK412" i="7"/>
  <c r="A412" i="7"/>
  <c r="AK411" i="7"/>
  <c r="A411" i="7"/>
  <c r="AK410" i="7"/>
  <c r="A410" i="7"/>
  <c r="AK409" i="7"/>
  <c r="A409" i="7"/>
  <c r="AK408" i="7"/>
  <c r="A408" i="7"/>
  <c r="AK407" i="7"/>
  <c r="A407" i="7"/>
  <c r="AK406" i="7"/>
  <c r="A406" i="7"/>
  <c r="AK405" i="7"/>
  <c r="A405" i="7"/>
  <c r="AK404" i="7"/>
  <c r="A404" i="7"/>
  <c r="AK403" i="7"/>
  <c r="A403" i="7"/>
  <c r="AK402" i="7"/>
  <c r="A402" i="7"/>
  <c r="AK401" i="7"/>
  <c r="A401" i="7"/>
  <c r="AK400" i="7"/>
  <c r="A400" i="7"/>
  <c r="AK399" i="7"/>
  <c r="A399" i="7"/>
  <c r="AK398" i="7"/>
  <c r="A398" i="7"/>
  <c r="AK397" i="7"/>
  <c r="A397" i="7"/>
  <c r="AK396" i="7"/>
  <c r="A396" i="7"/>
  <c r="AK395" i="7"/>
  <c r="A395" i="7"/>
  <c r="AK394" i="7"/>
  <c r="A394" i="7"/>
  <c r="AK393" i="7"/>
  <c r="A393" i="7"/>
  <c r="AK392" i="7"/>
  <c r="A392" i="7"/>
  <c r="AK391" i="7"/>
  <c r="A391" i="7"/>
  <c r="AK390" i="7"/>
  <c r="A390" i="7"/>
  <c r="AK389" i="7"/>
  <c r="A389" i="7"/>
  <c r="AK388" i="7"/>
  <c r="A388" i="7"/>
  <c r="AK387" i="7"/>
  <c r="A387" i="7"/>
  <c r="AK386" i="7"/>
  <c r="A386" i="7"/>
  <c r="AK385" i="7"/>
  <c r="A385" i="7"/>
  <c r="AK384" i="7"/>
  <c r="A384" i="7"/>
  <c r="AK383" i="7"/>
  <c r="A383" i="7"/>
  <c r="AK382" i="7"/>
  <c r="A382" i="7"/>
  <c r="AK381" i="7"/>
  <c r="A381" i="7"/>
  <c r="AK380" i="7"/>
  <c r="A380" i="7"/>
  <c r="AK379" i="7"/>
  <c r="A379" i="7"/>
  <c r="AK378" i="7"/>
  <c r="A378" i="7"/>
  <c r="AK377" i="7"/>
  <c r="A377" i="7"/>
  <c r="AK376" i="7"/>
  <c r="A376" i="7"/>
  <c r="AK375" i="7"/>
  <c r="A375" i="7"/>
  <c r="AK374" i="7"/>
  <c r="A374" i="7"/>
  <c r="AK373" i="7"/>
  <c r="A373" i="7"/>
  <c r="AK372" i="7"/>
  <c r="A372" i="7"/>
  <c r="AK371" i="7"/>
  <c r="A371" i="7"/>
  <c r="AK370" i="7"/>
  <c r="A370" i="7"/>
  <c r="AK369" i="7"/>
  <c r="A369" i="7"/>
  <c r="AK368" i="7"/>
  <c r="A368" i="7"/>
  <c r="AK367" i="7"/>
  <c r="A367" i="7"/>
  <c r="AK366" i="7"/>
  <c r="A366" i="7"/>
  <c r="AK365" i="7"/>
  <c r="A365" i="7"/>
  <c r="AK364" i="7"/>
  <c r="A364" i="7"/>
  <c r="AK363" i="7"/>
  <c r="A363" i="7"/>
  <c r="AK362" i="7"/>
  <c r="A362" i="7"/>
  <c r="AK361" i="7"/>
  <c r="A361" i="7"/>
  <c r="AK360" i="7"/>
  <c r="A360" i="7"/>
  <c r="AK359" i="7"/>
  <c r="A359" i="7"/>
  <c r="AK358" i="7"/>
  <c r="A358" i="7"/>
  <c r="AK357" i="7"/>
  <c r="A357" i="7"/>
  <c r="AK356" i="7"/>
  <c r="A356" i="7"/>
  <c r="AK355" i="7"/>
  <c r="A355" i="7"/>
  <c r="AK354" i="7"/>
  <c r="A354" i="7"/>
  <c r="AK353" i="7"/>
  <c r="A353" i="7"/>
  <c r="AK352" i="7"/>
  <c r="A352" i="7"/>
  <c r="AK351" i="7"/>
  <c r="A351" i="7"/>
  <c r="AK350" i="7"/>
  <c r="A350" i="7"/>
  <c r="AK349" i="7"/>
  <c r="A349" i="7"/>
  <c r="AK348" i="7"/>
  <c r="A348" i="7"/>
  <c r="AK347" i="7"/>
  <c r="A347" i="7"/>
  <c r="AK346" i="7"/>
  <c r="A346" i="7"/>
  <c r="AK345" i="7"/>
  <c r="A345" i="7"/>
  <c r="AK344" i="7"/>
  <c r="A344" i="7"/>
  <c r="AK343" i="7"/>
  <c r="A343" i="7"/>
  <c r="AK342" i="7"/>
  <c r="A342" i="7"/>
  <c r="AK341" i="7"/>
  <c r="A341" i="7"/>
  <c r="AK340" i="7"/>
  <c r="A340" i="7"/>
  <c r="AK339" i="7"/>
  <c r="A339" i="7"/>
  <c r="AK338" i="7"/>
  <c r="A338" i="7"/>
  <c r="AK337" i="7"/>
  <c r="A337" i="7"/>
  <c r="AK336" i="7"/>
  <c r="A336" i="7"/>
  <c r="AK335" i="7"/>
  <c r="A335" i="7"/>
  <c r="AK334" i="7"/>
  <c r="A334" i="7"/>
  <c r="AK333" i="7"/>
  <c r="A333" i="7"/>
  <c r="AK332" i="7"/>
  <c r="A332" i="7"/>
  <c r="AK331" i="7"/>
  <c r="A331" i="7"/>
  <c r="AK330" i="7"/>
  <c r="A330" i="7"/>
  <c r="AK329" i="7"/>
  <c r="A329" i="7"/>
  <c r="AK328" i="7"/>
  <c r="A328" i="7"/>
  <c r="AK327" i="7"/>
  <c r="A327" i="7"/>
  <c r="AK326" i="7"/>
  <c r="A326" i="7"/>
  <c r="AK325" i="7"/>
  <c r="A325" i="7"/>
  <c r="AK324" i="7"/>
  <c r="A324" i="7"/>
  <c r="AK323" i="7"/>
  <c r="A323" i="7"/>
  <c r="AK322" i="7"/>
  <c r="A322" i="7"/>
  <c r="AK321" i="7"/>
  <c r="A321" i="7"/>
  <c r="AK320" i="7"/>
  <c r="A320" i="7"/>
  <c r="AK319" i="7"/>
  <c r="A319" i="7"/>
  <c r="AK318" i="7"/>
  <c r="A318" i="7"/>
  <c r="AK317" i="7"/>
  <c r="A317" i="7"/>
  <c r="AK316" i="7"/>
  <c r="A316" i="7"/>
  <c r="AK315" i="7"/>
  <c r="A315" i="7"/>
  <c r="AK314" i="7"/>
  <c r="A314" i="7"/>
  <c r="AK313" i="7"/>
  <c r="A313" i="7"/>
  <c r="AK312" i="7"/>
  <c r="A312" i="7"/>
  <c r="AK311" i="7"/>
  <c r="A311" i="7"/>
  <c r="AK310" i="7"/>
  <c r="A310" i="7"/>
  <c r="AK309" i="7"/>
  <c r="A309" i="7"/>
  <c r="AK308" i="7"/>
  <c r="A308" i="7"/>
  <c r="AK307" i="7"/>
  <c r="A307" i="7"/>
  <c r="AK306" i="7"/>
  <c r="A306" i="7"/>
  <c r="AK305" i="7"/>
  <c r="A305" i="7"/>
  <c r="AK304" i="7"/>
  <c r="A304" i="7"/>
  <c r="AK303" i="7"/>
  <c r="A303" i="7"/>
  <c r="AK302" i="7"/>
  <c r="A302" i="7"/>
  <c r="AK301" i="7"/>
  <c r="A301" i="7"/>
  <c r="AK300" i="7"/>
  <c r="A300" i="7"/>
  <c r="AK299" i="7"/>
  <c r="A299" i="7"/>
  <c r="AK298" i="7"/>
  <c r="A298" i="7"/>
  <c r="AK297" i="7"/>
  <c r="A297" i="7"/>
  <c r="AK296" i="7"/>
  <c r="A296" i="7"/>
  <c r="AK295" i="7"/>
  <c r="A295" i="7"/>
  <c r="AK294" i="7"/>
  <c r="A294" i="7"/>
  <c r="AK293" i="7"/>
  <c r="A293" i="7"/>
  <c r="AK292" i="7"/>
  <c r="A292" i="7"/>
  <c r="AK291" i="7"/>
  <c r="A291" i="7"/>
  <c r="AK290" i="7"/>
  <c r="A290" i="7"/>
  <c r="AK289" i="7"/>
  <c r="A289" i="7"/>
  <c r="AK288" i="7"/>
  <c r="A288" i="7"/>
  <c r="AK287" i="7"/>
  <c r="A287" i="7"/>
  <c r="AK286" i="7"/>
  <c r="A286" i="7"/>
  <c r="AK285" i="7"/>
  <c r="A285" i="7"/>
  <c r="AK284" i="7"/>
  <c r="A284" i="7"/>
  <c r="AK283" i="7"/>
  <c r="A283" i="7"/>
  <c r="AK282" i="7"/>
  <c r="A282" i="7"/>
  <c r="AK281" i="7"/>
  <c r="A281" i="7"/>
  <c r="AK280" i="7"/>
  <c r="A280" i="7"/>
  <c r="AK279" i="7"/>
  <c r="A279" i="7"/>
  <c r="AK278" i="7"/>
  <c r="A278" i="7"/>
  <c r="AK277" i="7"/>
  <c r="A277" i="7"/>
  <c r="AK276" i="7"/>
  <c r="A276" i="7"/>
  <c r="AK275" i="7"/>
  <c r="A275" i="7"/>
  <c r="AK274" i="7"/>
  <c r="A274" i="7"/>
  <c r="AK273" i="7"/>
  <c r="A273" i="7"/>
  <c r="AK272" i="7"/>
  <c r="A272" i="7"/>
  <c r="AK271" i="7"/>
  <c r="A271" i="7"/>
  <c r="AK270" i="7"/>
  <c r="A270" i="7"/>
  <c r="AK269" i="7"/>
  <c r="A269" i="7"/>
  <c r="AK268" i="7"/>
  <c r="A268" i="7"/>
  <c r="AK267" i="7"/>
  <c r="A267" i="7"/>
  <c r="AK266" i="7"/>
  <c r="A266" i="7"/>
  <c r="AK265" i="7"/>
  <c r="A265" i="7"/>
  <c r="AK264" i="7"/>
  <c r="A264" i="7"/>
  <c r="AK263" i="7"/>
  <c r="A263" i="7"/>
  <c r="AK262" i="7"/>
  <c r="A262" i="7"/>
  <c r="AK261" i="7"/>
  <c r="A261" i="7"/>
  <c r="AK260" i="7"/>
  <c r="A260" i="7"/>
  <c r="AK259" i="7"/>
  <c r="A259" i="7"/>
  <c r="AK258" i="7"/>
  <c r="A258" i="7"/>
  <c r="AK257" i="7"/>
  <c r="A257" i="7"/>
  <c r="AK256" i="7"/>
  <c r="A256" i="7"/>
  <c r="AK255" i="7"/>
  <c r="A255" i="7"/>
  <c r="AK254" i="7"/>
  <c r="A254" i="7"/>
  <c r="AK253" i="7"/>
  <c r="A253" i="7"/>
  <c r="AK252" i="7"/>
  <c r="A252" i="7"/>
  <c r="AK251" i="7"/>
  <c r="A251" i="7"/>
  <c r="AK250" i="7"/>
  <c r="A250" i="7"/>
  <c r="AK249" i="7"/>
  <c r="A249" i="7"/>
  <c r="AK248" i="7"/>
  <c r="A248" i="7"/>
  <c r="AK247" i="7"/>
  <c r="A247" i="7"/>
  <c r="AK246" i="7"/>
  <c r="A246" i="7"/>
  <c r="AK245" i="7"/>
  <c r="A245" i="7"/>
  <c r="AK244" i="7"/>
  <c r="A244" i="7"/>
  <c r="AK243" i="7"/>
  <c r="A243" i="7"/>
  <c r="AK242" i="7"/>
  <c r="A242" i="7"/>
  <c r="AK241" i="7"/>
  <c r="A241" i="7"/>
  <c r="AK240" i="7"/>
  <c r="A240" i="7"/>
  <c r="AK239" i="7"/>
  <c r="A239" i="7"/>
  <c r="AK238" i="7"/>
  <c r="A238" i="7"/>
  <c r="AK237" i="7"/>
  <c r="A237" i="7"/>
  <c r="AK236" i="7"/>
  <c r="A236" i="7"/>
  <c r="AK235" i="7"/>
  <c r="A235" i="7"/>
  <c r="AK234" i="7"/>
  <c r="A234" i="7"/>
  <c r="AK233" i="7"/>
  <c r="A233" i="7"/>
  <c r="AK232" i="7"/>
  <c r="A232" i="7"/>
  <c r="AK231" i="7"/>
  <c r="A231" i="7"/>
  <c r="AK230" i="7"/>
  <c r="A230" i="7"/>
  <c r="AK229" i="7"/>
  <c r="A229" i="7"/>
  <c r="AK228" i="7"/>
  <c r="A228" i="7"/>
  <c r="AK227" i="7"/>
  <c r="A227" i="7"/>
  <c r="AK226" i="7"/>
  <c r="A226" i="7"/>
  <c r="AK225" i="7"/>
  <c r="A225" i="7"/>
  <c r="AK224" i="7"/>
  <c r="A224" i="7"/>
  <c r="AK223" i="7"/>
  <c r="A223" i="7"/>
  <c r="AK222" i="7"/>
  <c r="A222" i="7"/>
  <c r="AK221" i="7"/>
  <c r="A221" i="7"/>
  <c r="AK220" i="7"/>
  <c r="A220" i="7"/>
  <c r="AK219" i="7"/>
  <c r="A219" i="7"/>
  <c r="AK218" i="7"/>
  <c r="A218" i="7"/>
  <c r="AK217" i="7"/>
  <c r="A217" i="7"/>
  <c r="AK216" i="7"/>
  <c r="A216" i="7"/>
  <c r="AK215" i="7"/>
  <c r="A215" i="7"/>
  <c r="AK214" i="7"/>
  <c r="A214" i="7"/>
  <c r="AK213" i="7"/>
  <c r="A213" i="7"/>
  <c r="AK212" i="7"/>
  <c r="A212" i="7"/>
  <c r="AK211" i="7"/>
  <c r="A211" i="7"/>
  <c r="AK210" i="7"/>
  <c r="A210" i="7"/>
  <c r="AK209" i="7"/>
  <c r="A209" i="7"/>
  <c r="AK208" i="7"/>
  <c r="A208" i="7"/>
  <c r="AK207" i="7"/>
  <c r="A207" i="7"/>
  <c r="AK206" i="7"/>
  <c r="A206" i="7"/>
  <c r="AK205" i="7"/>
  <c r="A205" i="7"/>
  <c r="AK204" i="7"/>
  <c r="A204" i="7"/>
  <c r="AK203" i="7"/>
  <c r="A203" i="7"/>
  <c r="AK202" i="7"/>
  <c r="A202" i="7"/>
  <c r="AK201" i="7"/>
  <c r="A201" i="7"/>
  <c r="AK200" i="7"/>
  <c r="A200" i="7"/>
  <c r="AK199" i="7"/>
  <c r="A199" i="7"/>
  <c r="AK198" i="7"/>
  <c r="A198" i="7"/>
  <c r="AK197" i="7"/>
  <c r="A197" i="7"/>
  <c r="AK196" i="7"/>
  <c r="A196" i="7"/>
  <c r="AK195" i="7"/>
  <c r="A195" i="7"/>
  <c r="AK194" i="7"/>
  <c r="A194" i="7"/>
  <c r="AK193" i="7"/>
  <c r="A193" i="7"/>
  <c r="AK192" i="7"/>
  <c r="A192" i="7"/>
  <c r="AK191" i="7"/>
  <c r="A191" i="7"/>
  <c r="AK190" i="7"/>
  <c r="A190" i="7"/>
  <c r="AK189" i="7"/>
  <c r="A189" i="7"/>
  <c r="AK188" i="7"/>
  <c r="A188" i="7"/>
  <c r="AK187" i="7"/>
  <c r="A187" i="7"/>
  <c r="AK186" i="7"/>
  <c r="A186" i="7"/>
  <c r="AK185" i="7"/>
  <c r="A185" i="7"/>
  <c r="AK184" i="7"/>
  <c r="A184" i="7"/>
  <c r="AK183" i="7"/>
  <c r="A183" i="7"/>
  <c r="AK182" i="7"/>
  <c r="A182" i="7"/>
  <c r="AK181" i="7"/>
  <c r="A181" i="7"/>
  <c r="AK180" i="7"/>
  <c r="A180" i="7"/>
  <c r="AK179" i="7"/>
  <c r="A179" i="7"/>
  <c r="AK178" i="7"/>
  <c r="A178" i="7"/>
  <c r="AK177" i="7"/>
  <c r="A177" i="7"/>
  <c r="AK176" i="7"/>
  <c r="A176" i="7"/>
  <c r="AK175" i="7"/>
  <c r="A175" i="7"/>
  <c r="AK174" i="7"/>
  <c r="A174" i="7"/>
  <c r="AK173" i="7"/>
  <c r="A173" i="7"/>
  <c r="AK172" i="7"/>
  <c r="A172" i="7"/>
  <c r="AK171" i="7"/>
  <c r="A171" i="7"/>
  <c r="AK170" i="7"/>
  <c r="A170" i="7"/>
  <c r="AK169" i="7"/>
  <c r="A169" i="7"/>
  <c r="AK168" i="7"/>
  <c r="A168" i="7"/>
  <c r="AK167" i="7"/>
  <c r="A167" i="7"/>
  <c r="AK166" i="7"/>
  <c r="A166" i="7"/>
  <c r="AK165" i="7"/>
  <c r="A165" i="7"/>
  <c r="AK164" i="7"/>
  <c r="A164" i="7"/>
  <c r="AK163" i="7"/>
  <c r="A163" i="7"/>
  <c r="AK162" i="7"/>
  <c r="A162" i="7"/>
  <c r="AK161" i="7"/>
  <c r="A161" i="7"/>
  <c r="AK160" i="7"/>
  <c r="A160" i="7"/>
  <c r="AK159" i="7"/>
  <c r="A159" i="7"/>
  <c r="AK158" i="7"/>
  <c r="A158" i="7"/>
  <c r="AK157" i="7"/>
  <c r="A157" i="7"/>
  <c r="AK156" i="7"/>
  <c r="A156" i="7"/>
  <c r="AK155" i="7"/>
  <c r="A155" i="7"/>
  <c r="AK154" i="7"/>
  <c r="A154" i="7"/>
  <c r="AK153" i="7"/>
  <c r="A153" i="7"/>
  <c r="AK152" i="7"/>
  <c r="A152" i="7"/>
  <c r="AK151" i="7"/>
  <c r="A151" i="7"/>
  <c r="AK150" i="7"/>
  <c r="A150" i="7"/>
  <c r="AK149" i="7"/>
  <c r="A149" i="7"/>
  <c r="AK148" i="7"/>
  <c r="A148" i="7"/>
  <c r="AK147" i="7"/>
  <c r="A147" i="7"/>
  <c r="AK146" i="7"/>
  <c r="A146" i="7"/>
  <c r="AK145" i="7"/>
  <c r="A145" i="7"/>
  <c r="AK144" i="7"/>
  <c r="A144" i="7"/>
  <c r="AK143" i="7"/>
  <c r="A143" i="7"/>
  <c r="AK142" i="7"/>
  <c r="A142" i="7"/>
  <c r="AK141" i="7"/>
  <c r="A141" i="7"/>
  <c r="AK140" i="7"/>
  <c r="A140" i="7"/>
  <c r="AK139" i="7"/>
  <c r="A139" i="7"/>
  <c r="AK138" i="7"/>
  <c r="A138" i="7"/>
  <c r="AK137" i="7"/>
  <c r="A137" i="7"/>
  <c r="AK136" i="7"/>
  <c r="A136" i="7"/>
  <c r="AK135" i="7"/>
  <c r="A135" i="7"/>
  <c r="AK134" i="7"/>
  <c r="A134" i="7"/>
  <c r="AK133" i="7"/>
  <c r="A133" i="7"/>
  <c r="AK132" i="7"/>
  <c r="A132" i="7"/>
  <c r="AK131" i="7"/>
  <c r="A131" i="7"/>
  <c r="AK130" i="7"/>
  <c r="A130" i="7"/>
  <c r="AK129" i="7"/>
  <c r="A129" i="7"/>
  <c r="AK128" i="7"/>
  <c r="A128" i="7"/>
  <c r="AK127" i="7"/>
  <c r="A127" i="7"/>
  <c r="AK126" i="7"/>
  <c r="A126" i="7"/>
  <c r="AK125" i="7"/>
  <c r="A125" i="7"/>
  <c r="AK124" i="7"/>
  <c r="A124" i="7"/>
  <c r="AK123" i="7"/>
  <c r="A123" i="7"/>
  <c r="AK122" i="7"/>
  <c r="A122" i="7"/>
  <c r="AK121" i="7"/>
  <c r="A121" i="7"/>
  <c r="AK120" i="7"/>
  <c r="A120" i="7"/>
  <c r="AK119" i="7"/>
  <c r="A119" i="7"/>
  <c r="AK118" i="7"/>
  <c r="A118" i="7"/>
  <c r="AK117" i="7"/>
  <c r="A117" i="7"/>
  <c r="AK116" i="7"/>
  <c r="A116" i="7"/>
  <c r="AK115" i="7"/>
  <c r="A115" i="7"/>
  <c r="AK114" i="7"/>
  <c r="A114" i="7"/>
  <c r="AK113" i="7"/>
  <c r="A113" i="7"/>
  <c r="AK112" i="7"/>
  <c r="A112" i="7"/>
  <c r="AK111" i="7"/>
  <c r="A111" i="7"/>
  <c r="AK110" i="7"/>
  <c r="A110" i="7"/>
  <c r="AK109" i="7"/>
  <c r="A109" i="7"/>
  <c r="AK108" i="7"/>
  <c r="A108" i="7"/>
  <c r="AK107" i="7"/>
  <c r="A107" i="7"/>
  <c r="AK106" i="7"/>
  <c r="A106" i="7"/>
  <c r="AK105" i="7"/>
  <c r="A105" i="7"/>
  <c r="AK104" i="7"/>
  <c r="A104" i="7"/>
  <c r="AK103" i="7"/>
  <c r="A103" i="7"/>
  <c r="AK102" i="7"/>
  <c r="A102" i="7"/>
  <c r="AK101" i="7"/>
  <c r="A101" i="7"/>
  <c r="AK100" i="7"/>
  <c r="A100" i="7"/>
  <c r="AK99" i="7"/>
  <c r="A99" i="7"/>
  <c r="AK98" i="7"/>
  <c r="A98" i="7"/>
  <c r="AK97" i="7"/>
  <c r="A97" i="7"/>
  <c r="AK96" i="7"/>
  <c r="A96" i="7"/>
  <c r="AK95" i="7"/>
  <c r="A95" i="7"/>
  <c r="AK94" i="7"/>
  <c r="A94" i="7"/>
  <c r="AK93" i="7"/>
  <c r="A93" i="7"/>
  <c r="AK92" i="7"/>
  <c r="A92" i="7"/>
  <c r="AK91" i="7"/>
  <c r="A91" i="7"/>
  <c r="AK90" i="7"/>
  <c r="A90" i="7"/>
  <c r="AK89" i="7"/>
  <c r="A89" i="7"/>
  <c r="AK88" i="7"/>
  <c r="A88" i="7"/>
  <c r="AK87" i="7"/>
  <c r="A87" i="7"/>
  <c r="AK86" i="7"/>
  <c r="A86" i="7"/>
  <c r="AK85" i="7"/>
  <c r="A85" i="7"/>
  <c r="AK84" i="7"/>
  <c r="A84" i="7"/>
  <c r="AK83" i="7"/>
  <c r="A83" i="7"/>
  <c r="AK82" i="7"/>
  <c r="A82" i="7"/>
  <c r="AK81" i="7"/>
  <c r="A81" i="7"/>
  <c r="AK80" i="7"/>
  <c r="A80" i="7"/>
  <c r="AK79" i="7"/>
  <c r="A79" i="7"/>
  <c r="AK78" i="7"/>
  <c r="A78" i="7"/>
  <c r="AK77" i="7"/>
  <c r="A77" i="7"/>
  <c r="AK76" i="7"/>
  <c r="A76" i="7"/>
  <c r="AK75" i="7"/>
  <c r="A75" i="7"/>
  <c r="AK74" i="7"/>
  <c r="A74" i="7"/>
  <c r="AK73" i="7"/>
  <c r="A73" i="7"/>
  <c r="AK72" i="7"/>
  <c r="A72" i="7"/>
  <c r="AK71" i="7"/>
  <c r="A71" i="7"/>
  <c r="AK70" i="7"/>
  <c r="A70" i="7"/>
  <c r="AK69" i="7"/>
  <c r="A69" i="7"/>
  <c r="AK68" i="7"/>
  <c r="A68" i="7"/>
  <c r="AK67" i="7"/>
  <c r="A67" i="7"/>
  <c r="AK66" i="7"/>
  <c r="A66" i="7"/>
  <c r="AK65" i="7"/>
  <c r="A65" i="7"/>
  <c r="AK64" i="7"/>
  <c r="A64" i="7"/>
  <c r="AK63" i="7"/>
  <c r="A63" i="7"/>
  <c r="AK62" i="7"/>
  <c r="A62" i="7"/>
  <c r="AK61" i="7"/>
  <c r="A61" i="7"/>
  <c r="AK60" i="7"/>
  <c r="A60" i="7"/>
  <c r="AK59" i="7"/>
  <c r="A59" i="7"/>
  <c r="AK58" i="7"/>
  <c r="A58" i="7"/>
  <c r="AK57" i="7"/>
  <c r="A57" i="7"/>
  <c r="AK56" i="7"/>
  <c r="A56" i="7"/>
  <c r="AK55" i="7"/>
  <c r="A55" i="7"/>
  <c r="AK54" i="7"/>
  <c r="A54" i="7"/>
  <c r="AK53" i="7"/>
  <c r="A53" i="7"/>
  <c r="AK52" i="7"/>
  <c r="A52" i="7"/>
  <c r="AK51" i="7"/>
  <c r="A51" i="7"/>
  <c r="AK50" i="7"/>
  <c r="A50" i="7"/>
  <c r="AK49" i="7"/>
  <c r="A49" i="7"/>
  <c r="AK48" i="7"/>
  <c r="A48" i="7"/>
  <c r="AK47" i="7"/>
  <c r="A47" i="7"/>
  <c r="AK46" i="7"/>
  <c r="A46" i="7"/>
  <c r="AK45" i="7"/>
  <c r="A45" i="7"/>
  <c r="AK44" i="7"/>
  <c r="A44" i="7"/>
  <c r="AK43" i="7"/>
  <c r="A43" i="7"/>
  <c r="AK42" i="7"/>
  <c r="A42" i="7"/>
  <c r="AK41" i="7"/>
  <c r="A41" i="7"/>
  <c r="AK40" i="7"/>
  <c r="A40" i="7"/>
  <c r="AK39" i="7"/>
  <c r="A39" i="7"/>
  <c r="AK38" i="7"/>
  <c r="A38" i="7"/>
  <c r="AK37" i="7"/>
  <c r="A37" i="7"/>
  <c r="AK36" i="7"/>
  <c r="A36" i="7"/>
  <c r="AK35" i="7"/>
  <c r="A35" i="7"/>
  <c r="AK34" i="7"/>
  <c r="A34" i="7"/>
  <c r="AK33" i="7"/>
  <c r="A33" i="7"/>
  <c r="AK32" i="7"/>
  <c r="A32" i="7"/>
  <c r="AK31" i="7"/>
  <c r="A31" i="7"/>
  <c r="AK30" i="7"/>
  <c r="A30" i="7"/>
  <c r="AK29" i="7"/>
  <c r="A29" i="7"/>
  <c r="AK28" i="7"/>
  <c r="A28" i="7"/>
  <c r="AK27" i="7"/>
  <c r="A27" i="7"/>
  <c r="AK26" i="7"/>
  <c r="A26" i="7"/>
  <c r="AK25" i="7"/>
  <c r="A25" i="7"/>
  <c r="AK24" i="7"/>
  <c r="A24" i="7"/>
  <c r="AK23" i="7"/>
  <c r="A23" i="7"/>
  <c r="AK22" i="7"/>
  <c r="A22" i="7"/>
  <c r="AK21" i="7"/>
  <c r="A21" i="7"/>
  <c r="AK20" i="7"/>
  <c r="A20" i="7"/>
  <c r="AK19" i="7"/>
  <c r="A19" i="7"/>
  <c r="AK18" i="7"/>
  <c r="A18" i="7"/>
  <c r="AK17" i="7"/>
  <c r="A17" i="7"/>
  <c r="AK16" i="7"/>
  <c r="A16" i="7"/>
  <c r="AK15" i="7"/>
  <c r="A15" i="7"/>
  <c r="AK14" i="7"/>
  <c r="A14" i="7"/>
  <c r="AK13" i="7"/>
  <c r="A13" i="7"/>
  <c r="AK12" i="7"/>
  <c r="A12" i="7"/>
  <c r="AK11" i="7"/>
  <c r="A11" i="7"/>
  <c r="AK10" i="7"/>
  <c r="A10" i="7"/>
  <c r="AK9" i="7"/>
  <c r="A9" i="7"/>
  <c r="AK8" i="7"/>
  <c r="A8" i="7"/>
  <c r="AK7" i="7"/>
  <c r="A7" i="7"/>
  <c r="AK6" i="7"/>
  <c r="A6" i="7"/>
  <c r="AK5" i="7"/>
  <c r="A5" i="7"/>
  <c r="AK4" i="7"/>
  <c r="A4" i="7"/>
  <c r="AK3" i="7"/>
  <c r="A3" i="7"/>
  <c r="AK2" i="7"/>
  <c r="A2" i="7"/>
  <c r="AT457" i="6"/>
  <c r="AS457" i="6"/>
  <c r="A457" i="6"/>
  <c r="AT456" i="6"/>
  <c r="AS456" i="6"/>
  <c r="A456" i="6"/>
  <c r="AT455" i="6"/>
  <c r="AS455" i="6"/>
  <c r="A455" i="6"/>
  <c r="AT454" i="6"/>
  <c r="AS454" i="6"/>
  <c r="A454" i="6"/>
  <c r="AT453" i="6"/>
  <c r="AS453" i="6"/>
  <c r="A453" i="6"/>
  <c r="AT452" i="6"/>
  <c r="AS452" i="6"/>
  <c r="A452" i="6"/>
  <c r="AT451" i="6"/>
  <c r="AS451" i="6"/>
  <c r="A451" i="6"/>
  <c r="AT450" i="6"/>
  <c r="AS450" i="6"/>
  <c r="A450" i="6"/>
  <c r="AT449" i="6"/>
  <c r="AS449" i="6"/>
  <c r="A449" i="6"/>
  <c r="AT448" i="6"/>
  <c r="AS448" i="6"/>
  <c r="A448" i="6"/>
  <c r="AT447" i="6"/>
  <c r="AS447" i="6"/>
  <c r="A447" i="6"/>
  <c r="AT446" i="6"/>
  <c r="AS446" i="6"/>
  <c r="A446" i="6"/>
  <c r="AT445" i="6"/>
  <c r="AS445" i="6"/>
  <c r="A445" i="6"/>
  <c r="AT444" i="6"/>
  <c r="AS444" i="6"/>
  <c r="A444" i="6"/>
  <c r="AT443" i="6"/>
  <c r="AS443" i="6"/>
  <c r="A443" i="6"/>
  <c r="AT442" i="6"/>
  <c r="AS442" i="6"/>
  <c r="A442" i="6"/>
  <c r="AT441" i="6"/>
  <c r="AS441" i="6"/>
  <c r="A441" i="6"/>
  <c r="AT440" i="6"/>
  <c r="AS440" i="6"/>
  <c r="A440" i="6"/>
  <c r="AT439" i="6"/>
  <c r="AS439" i="6"/>
  <c r="A439" i="6"/>
  <c r="AT438" i="6"/>
  <c r="AS438" i="6"/>
  <c r="A438" i="6"/>
  <c r="AT437" i="6"/>
  <c r="AS437" i="6"/>
  <c r="A437" i="6"/>
  <c r="AT436" i="6"/>
  <c r="AS436" i="6"/>
  <c r="A436" i="6"/>
  <c r="AT435" i="6"/>
  <c r="AS435" i="6"/>
  <c r="A435" i="6"/>
  <c r="AT434" i="6"/>
  <c r="AS434" i="6"/>
  <c r="A434" i="6"/>
  <c r="AT433" i="6"/>
  <c r="AS433" i="6"/>
  <c r="A433" i="6"/>
  <c r="AT432" i="6"/>
  <c r="AS432" i="6"/>
  <c r="A432" i="6"/>
  <c r="AT431" i="6"/>
  <c r="AS431" i="6"/>
  <c r="A431" i="6"/>
  <c r="AT430" i="6"/>
  <c r="AS430" i="6"/>
  <c r="A430" i="6"/>
  <c r="AT429" i="6"/>
  <c r="AS429" i="6"/>
  <c r="A429" i="6"/>
  <c r="AT428" i="6"/>
  <c r="AS428" i="6"/>
  <c r="A428" i="6"/>
  <c r="AT427" i="6"/>
  <c r="AS427" i="6"/>
  <c r="A427" i="6"/>
  <c r="AT426" i="6"/>
  <c r="AS426" i="6"/>
  <c r="A426" i="6"/>
  <c r="AT425" i="6"/>
  <c r="AS425" i="6"/>
  <c r="A425" i="6"/>
  <c r="AT424" i="6"/>
  <c r="AS424" i="6"/>
  <c r="A424" i="6"/>
  <c r="AT423" i="6"/>
  <c r="AS423" i="6"/>
  <c r="A423" i="6"/>
  <c r="AT422" i="6"/>
  <c r="AS422" i="6"/>
  <c r="A422" i="6"/>
  <c r="AT421" i="6"/>
  <c r="AS421" i="6"/>
  <c r="A421" i="6"/>
  <c r="AT420" i="6"/>
  <c r="AS420" i="6"/>
  <c r="A420" i="6"/>
  <c r="AT419" i="6"/>
  <c r="AS419" i="6"/>
  <c r="A419" i="6"/>
  <c r="AT418" i="6"/>
  <c r="AS418" i="6"/>
  <c r="A418" i="6"/>
  <c r="AT417" i="6"/>
  <c r="AS417" i="6"/>
  <c r="A417" i="6"/>
  <c r="AT416" i="6"/>
  <c r="AS416" i="6"/>
  <c r="A416" i="6"/>
  <c r="AT415" i="6"/>
  <c r="AS415" i="6"/>
  <c r="A415" i="6"/>
  <c r="AT414" i="6"/>
  <c r="AS414" i="6"/>
  <c r="A414" i="6"/>
  <c r="AT413" i="6"/>
  <c r="AS413" i="6"/>
  <c r="A413" i="6"/>
  <c r="AT412" i="6"/>
  <c r="AS412" i="6"/>
  <c r="A412" i="6"/>
  <c r="AT411" i="6"/>
  <c r="AS411" i="6"/>
  <c r="A411" i="6"/>
  <c r="AT410" i="6"/>
  <c r="AS410" i="6"/>
  <c r="A410" i="6"/>
  <c r="AT409" i="6"/>
  <c r="AS409" i="6"/>
  <c r="A409" i="6"/>
  <c r="AT408" i="6"/>
  <c r="AS408" i="6"/>
  <c r="A408" i="6"/>
  <c r="AT407" i="6"/>
  <c r="AS407" i="6"/>
  <c r="A407" i="6"/>
  <c r="AT406" i="6"/>
  <c r="AS406" i="6"/>
  <c r="A406" i="6"/>
  <c r="AT405" i="6"/>
  <c r="AS405" i="6"/>
  <c r="A405" i="6"/>
  <c r="AT404" i="6"/>
  <c r="AS404" i="6"/>
  <c r="A404" i="6"/>
  <c r="AT403" i="6"/>
  <c r="AS403" i="6"/>
  <c r="A403" i="6"/>
  <c r="AT402" i="6"/>
  <c r="AS402" i="6"/>
  <c r="A402" i="6"/>
  <c r="AT401" i="6"/>
  <c r="AS401" i="6"/>
  <c r="A401" i="6"/>
  <c r="AT400" i="6"/>
  <c r="AS400" i="6"/>
  <c r="A400" i="6"/>
  <c r="AT399" i="6"/>
  <c r="AS399" i="6"/>
  <c r="A399" i="6"/>
  <c r="AT398" i="6"/>
  <c r="AS398" i="6"/>
  <c r="A398" i="6"/>
  <c r="AT397" i="6"/>
  <c r="AS397" i="6"/>
  <c r="A397" i="6"/>
  <c r="AT396" i="6"/>
  <c r="AS396" i="6"/>
  <c r="A396" i="6"/>
  <c r="AT395" i="6"/>
  <c r="AS395" i="6"/>
  <c r="A395" i="6"/>
  <c r="AT394" i="6"/>
  <c r="AS394" i="6"/>
  <c r="A394" i="6"/>
  <c r="AT393" i="6"/>
  <c r="AS393" i="6"/>
  <c r="A393" i="6"/>
  <c r="AT392" i="6"/>
  <c r="AS392" i="6"/>
  <c r="A392" i="6"/>
  <c r="AT391" i="6"/>
  <c r="AS391" i="6"/>
  <c r="A391" i="6"/>
  <c r="AT390" i="6"/>
  <c r="AS390" i="6"/>
  <c r="A390" i="6"/>
  <c r="AT389" i="6"/>
  <c r="AS389" i="6"/>
  <c r="A389" i="6"/>
  <c r="AT388" i="6"/>
  <c r="AS388" i="6"/>
  <c r="A388" i="6"/>
  <c r="AT387" i="6"/>
  <c r="AS387" i="6"/>
  <c r="A387" i="6"/>
  <c r="AT386" i="6"/>
  <c r="AS386" i="6"/>
  <c r="A386" i="6"/>
  <c r="AT385" i="6"/>
  <c r="AS385" i="6"/>
  <c r="A385" i="6"/>
  <c r="AT384" i="6"/>
  <c r="AS384" i="6"/>
  <c r="A384" i="6"/>
  <c r="AT383" i="6"/>
  <c r="AS383" i="6"/>
  <c r="A383" i="6"/>
  <c r="AT382" i="6"/>
  <c r="AS382" i="6"/>
  <c r="A382" i="6"/>
  <c r="AT381" i="6"/>
  <c r="AS381" i="6"/>
  <c r="A381" i="6"/>
  <c r="AT380" i="6"/>
  <c r="AS380" i="6"/>
  <c r="A380" i="6"/>
  <c r="AT379" i="6"/>
  <c r="AS379" i="6"/>
  <c r="A379" i="6"/>
  <c r="AT378" i="6"/>
  <c r="AS378" i="6"/>
  <c r="A378" i="6"/>
  <c r="AT377" i="6"/>
  <c r="AS377" i="6"/>
  <c r="A377" i="6"/>
  <c r="AT376" i="6"/>
  <c r="AS376" i="6"/>
  <c r="A376" i="6"/>
  <c r="AT375" i="6"/>
  <c r="AS375" i="6"/>
  <c r="A375" i="6"/>
  <c r="AT374" i="6"/>
  <c r="AS374" i="6"/>
  <c r="A374" i="6"/>
  <c r="AT373" i="6"/>
  <c r="AS373" i="6"/>
  <c r="A373" i="6"/>
  <c r="AT372" i="6"/>
  <c r="AS372" i="6"/>
  <c r="A372" i="6"/>
  <c r="AT371" i="6"/>
  <c r="AS371" i="6"/>
  <c r="A371" i="6"/>
  <c r="AT370" i="6"/>
  <c r="AS370" i="6"/>
  <c r="A370" i="6"/>
  <c r="AT369" i="6"/>
  <c r="AS369" i="6"/>
  <c r="A369" i="6"/>
  <c r="AT368" i="6"/>
  <c r="AS368" i="6"/>
  <c r="A368" i="6"/>
  <c r="AT367" i="6"/>
  <c r="AS367" i="6"/>
  <c r="A367" i="6"/>
  <c r="AT366" i="6"/>
  <c r="AS366" i="6"/>
  <c r="A366" i="6"/>
  <c r="AT365" i="6"/>
  <c r="AS365" i="6"/>
  <c r="A365" i="6"/>
  <c r="AT364" i="6"/>
  <c r="AS364" i="6"/>
  <c r="A364" i="6"/>
  <c r="AT363" i="6"/>
  <c r="AS363" i="6"/>
  <c r="A363" i="6"/>
  <c r="AT362" i="6"/>
  <c r="AS362" i="6"/>
  <c r="A362" i="6"/>
  <c r="AT361" i="6"/>
  <c r="AS361" i="6"/>
  <c r="A361" i="6"/>
  <c r="AT360" i="6"/>
  <c r="AS360" i="6"/>
  <c r="A360" i="6"/>
  <c r="AT359" i="6"/>
  <c r="AS359" i="6"/>
  <c r="A359" i="6"/>
  <c r="AT358" i="6"/>
  <c r="AS358" i="6"/>
  <c r="A358" i="6"/>
  <c r="AT357" i="6"/>
  <c r="AS357" i="6"/>
  <c r="A357" i="6"/>
  <c r="AT356" i="6"/>
  <c r="AS356" i="6"/>
  <c r="A356" i="6"/>
  <c r="AT355" i="6"/>
  <c r="AS355" i="6"/>
  <c r="A355" i="6"/>
  <c r="AT354" i="6"/>
  <c r="AS354" i="6"/>
  <c r="A354" i="6"/>
  <c r="AT353" i="6"/>
  <c r="AS353" i="6"/>
  <c r="A353" i="6"/>
  <c r="AT352" i="6"/>
  <c r="AS352" i="6"/>
  <c r="A352" i="6"/>
  <c r="AT351" i="6"/>
  <c r="AS351" i="6"/>
  <c r="A351" i="6"/>
  <c r="AT350" i="6"/>
  <c r="AS350" i="6"/>
  <c r="A350" i="6"/>
  <c r="AT349" i="6"/>
  <c r="AS349" i="6"/>
  <c r="A349" i="6"/>
  <c r="AT348" i="6"/>
  <c r="AS348" i="6"/>
  <c r="A348" i="6"/>
  <c r="AT347" i="6"/>
  <c r="AS347" i="6"/>
  <c r="A347" i="6"/>
  <c r="AT346" i="6"/>
  <c r="AS346" i="6"/>
  <c r="A346" i="6"/>
  <c r="AT345" i="6"/>
  <c r="AS345" i="6"/>
  <c r="A345" i="6"/>
  <c r="AT344" i="6"/>
  <c r="AS344" i="6"/>
  <c r="A344" i="6"/>
  <c r="AT343" i="6"/>
  <c r="AS343" i="6"/>
  <c r="A343" i="6"/>
  <c r="AT342" i="6"/>
  <c r="AS342" i="6"/>
  <c r="A342" i="6"/>
  <c r="AT341" i="6"/>
  <c r="AS341" i="6"/>
  <c r="A341" i="6"/>
  <c r="AT340" i="6"/>
  <c r="AS340" i="6"/>
  <c r="A340" i="6"/>
  <c r="AT339" i="6"/>
  <c r="AS339" i="6"/>
  <c r="A339" i="6"/>
  <c r="AT338" i="6"/>
  <c r="AS338" i="6"/>
  <c r="A338" i="6"/>
  <c r="AT337" i="6"/>
  <c r="AS337" i="6"/>
  <c r="A337" i="6"/>
  <c r="AT336" i="6"/>
  <c r="AS336" i="6"/>
  <c r="A336" i="6"/>
  <c r="AT335" i="6"/>
  <c r="AS335" i="6"/>
  <c r="A335" i="6"/>
  <c r="AT334" i="6"/>
  <c r="AS334" i="6"/>
  <c r="A334" i="6"/>
  <c r="AT333" i="6"/>
  <c r="AS333" i="6"/>
  <c r="A333" i="6"/>
  <c r="AT332" i="6"/>
  <c r="AS332" i="6"/>
  <c r="A332" i="6"/>
  <c r="AT331" i="6"/>
  <c r="AS331" i="6"/>
  <c r="A331" i="6"/>
  <c r="AT330" i="6"/>
  <c r="AS330" i="6"/>
  <c r="A330" i="6"/>
  <c r="AT329" i="6"/>
  <c r="AS329" i="6"/>
  <c r="A329" i="6"/>
  <c r="AT328" i="6"/>
  <c r="AS328" i="6"/>
  <c r="A328" i="6"/>
  <c r="AT327" i="6"/>
  <c r="AS327" i="6"/>
  <c r="A327" i="6"/>
  <c r="AT326" i="6"/>
  <c r="AS326" i="6"/>
  <c r="A326" i="6"/>
  <c r="AT325" i="6"/>
  <c r="AS325" i="6"/>
  <c r="A325" i="6"/>
  <c r="AT324" i="6"/>
  <c r="AS324" i="6"/>
  <c r="A324" i="6"/>
  <c r="AT323" i="6"/>
  <c r="AS323" i="6"/>
  <c r="A323" i="6"/>
  <c r="AT322" i="6"/>
  <c r="AS322" i="6"/>
  <c r="A322" i="6"/>
  <c r="AT321" i="6"/>
  <c r="AS321" i="6"/>
  <c r="A321" i="6"/>
  <c r="AT320" i="6"/>
  <c r="AS320" i="6"/>
  <c r="A320" i="6"/>
  <c r="AT319" i="6"/>
  <c r="AS319" i="6"/>
  <c r="A319" i="6"/>
  <c r="AT318" i="6"/>
  <c r="AS318" i="6"/>
  <c r="A318" i="6"/>
  <c r="AT317" i="6"/>
  <c r="AS317" i="6"/>
  <c r="A317" i="6"/>
  <c r="AT316" i="6"/>
  <c r="AS316" i="6"/>
  <c r="A316" i="6"/>
  <c r="AT315" i="6"/>
  <c r="AS315" i="6"/>
  <c r="A315" i="6"/>
  <c r="AT314" i="6"/>
  <c r="AS314" i="6"/>
  <c r="A314" i="6"/>
  <c r="AT313" i="6"/>
  <c r="AS313" i="6"/>
  <c r="A313" i="6"/>
  <c r="AT312" i="6"/>
  <c r="AS312" i="6"/>
  <c r="A312" i="6"/>
  <c r="AT311" i="6"/>
  <c r="AS311" i="6"/>
  <c r="A311" i="6"/>
  <c r="AT310" i="6"/>
  <c r="AS310" i="6"/>
  <c r="A310" i="6"/>
  <c r="AT309" i="6"/>
  <c r="AS309" i="6"/>
  <c r="A309" i="6"/>
  <c r="AT308" i="6"/>
  <c r="AS308" i="6"/>
  <c r="A308" i="6"/>
  <c r="AT307" i="6"/>
  <c r="AS307" i="6"/>
  <c r="A307" i="6"/>
  <c r="AT306" i="6"/>
  <c r="AS306" i="6"/>
  <c r="A306" i="6"/>
  <c r="AT305" i="6"/>
  <c r="AS305" i="6"/>
  <c r="A305" i="6"/>
  <c r="AT304" i="6"/>
  <c r="AS304" i="6"/>
  <c r="A304" i="6"/>
  <c r="AT303" i="6"/>
  <c r="AS303" i="6"/>
  <c r="A303" i="6"/>
  <c r="AT302" i="6"/>
  <c r="AS302" i="6"/>
  <c r="A302" i="6"/>
  <c r="AT301" i="6"/>
  <c r="AS301" i="6"/>
  <c r="A301" i="6"/>
  <c r="AT300" i="6"/>
  <c r="AS300" i="6"/>
  <c r="A300" i="6"/>
  <c r="AT299" i="6"/>
  <c r="AS299" i="6"/>
  <c r="A299" i="6"/>
  <c r="AT298" i="6"/>
  <c r="AS298" i="6"/>
  <c r="A298" i="6"/>
  <c r="AT297" i="6"/>
  <c r="AS297" i="6"/>
  <c r="A297" i="6"/>
  <c r="AT296" i="6"/>
  <c r="AS296" i="6"/>
  <c r="A296" i="6"/>
  <c r="AT295" i="6"/>
  <c r="AS295" i="6"/>
  <c r="A295" i="6"/>
  <c r="AT294" i="6"/>
  <c r="AS294" i="6"/>
  <c r="A294" i="6"/>
  <c r="AT293" i="6"/>
  <c r="AS293" i="6"/>
  <c r="A293" i="6"/>
  <c r="AT292" i="6"/>
  <c r="AS292" i="6"/>
  <c r="A292" i="6"/>
  <c r="AT291" i="6"/>
  <c r="AS291" i="6"/>
  <c r="A291" i="6"/>
  <c r="AT290" i="6"/>
  <c r="AS290" i="6"/>
  <c r="A290" i="6"/>
  <c r="AT289" i="6"/>
  <c r="AS289" i="6"/>
  <c r="A289" i="6"/>
  <c r="AT288" i="6"/>
  <c r="AS288" i="6"/>
  <c r="A288" i="6"/>
  <c r="AT287" i="6"/>
  <c r="AS287" i="6"/>
  <c r="A287" i="6"/>
  <c r="AT286" i="6"/>
  <c r="AS286" i="6"/>
  <c r="A286" i="6"/>
  <c r="AT285" i="6"/>
  <c r="AS285" i="6"/>
  <c r="A285" i="6"/>
  <c r="AT284" i="6"/>
  <c r="AS284" i="6"/>
  <c r="A284" i="6"/>
  <c r="AT283" i="6"/>
  <c r="AS283" i="6"/>
  <c r="A283" i="6"/>
  <c r="AT282" i="6"/>
  <c r="AS282" i="6"/>
  <c r="A282" i="6"/>
  <c r="AT281" i="6"/>
  <c r="AS281" i="6"/>
  <c r="A281" i="6"/>
  <c r="AT280" i="6"/>
  <c r="AS280" i="6"/>
  <c r="A280" i="6"/>
  <c r="AT279" i="6"/>
  <c r="AS279" i="6"/>
  <c r="A279" i="6"/>
  <c r="AT278" i="6"/>
  <c r="AS278" i="6"/>
  <c r="A278" i="6"/>
  <c r="AT277" i="6"/>
  <c r="AS277" i="6"/>
  <c r="A277" i="6"/>
  <c r="AT276" i="6"/>
  <c r="AS276" i="6"/>
  <c r="A276" i="6"/>
  <c r="AT275" i="6"/>
  <c r="AS275" i="6"/>
  <c r="A275" i="6"/>
  <c r="AT274" i="6"/>
  <c r="AS274" i="6"/>
  <c r="A274" i="6"/>
  <c r="AT273" i="6"/>
  <c r="AS273" i="6"/>
  <c r="A273" i="6"/>
  <c r="AT272" i="6"/>
  <c r="AS272" i="6"/>
  <c r="A272" i="6"/>
  <c r="AT271" i="6"/>
  <c r="AS271" i="6"/>
  <c r="A271" i="6"/>
  <c r="AT270" i="6"/>
  <c r="AS270" i="6"/>
  <c r="A270" i="6"/>
  <c r="AT269" i="6"/>
  <c r="AS269" i="6"/>
  <c r="A269" i="6"/>
  <c r="AT268" i="6"/>
  <c r="AS268" i="6"/>
  <c r="A268" i="6"/>
  <c r="AT267" i="6"/>
  <c r="AS267" i="6"/>
  <c r="A267" i="6"/>
  <c r="AT266" i="6"/>
  <c r="AS266" i="6"/>
  <c r="A266" i="6"/>
  <c r="AT265" i="6"/>
  <c r="AS265" i="6"/>
  <c r="A265" i="6"/>
  <c r="AT264" i="6"/>
  <c r="AS264" i="6"/>
  <c r="A264" i="6"/>
  <c r="AT263" i="6"/>
  <c r="AS263" i="6"/>
  <c r="A263" i="6"/>
  <c r="AT262" i="6"/>
  <c r="AS262" i="6"/>
  <c r="A262" i="6"/>
  <c r="AT261" i="6"/>
  <c r="AS261" i="6"/>
  <c r="A261" i="6"/>
  <c r="AT260" i="6"/>
  <c r="AS260" i="6"/>
  <c r="A260" i="6"/>
  <c r="AT259" i="6"/>
  <c r="AS259" i="6"/>
  <c r="A259" i="6"/>
  <c r="AT258" i="6"/>
  <c r="AS258" i="6"/>
  <c r="A258" i="6"/>
  <c r="AT257" i="6"/>
  <c r="AS257" i="6"/>
  <c r="A257" i="6"/>
  <c r="AT256" i="6"/>
  <c r="AS256" i="6"/>
  <c r="A256" i="6"/>
  <c r="AT255" i="6"/>
  <c r="AS255" i="6"/>
  <c r="A255" i="6"/>
  <c r="AT254" i="6"/>
  <c r="AS254" i="6"/>
  <c r="A254" i="6"/>
  <c r="AT253" i="6"/>
  <c r="AS253" i="6"/>
  <c r="A253" i="6"/>
  <c r="AT252" i="6"/>
  <c r="AS252" i="6"/>
  <c r="A252" i="6"/>
  <c r="AT251" i="6"/>
  <c r="AS251" i="6"/>
  <c r="A251" i="6"/>
  <c r="AT250" i="6"/>
  <c r="AS250" i="6"/>
  <c r="A250" i="6"/>
  <c r="AT249" i="6"/>
  <c r="AS249" i="6"/>
  <c r="A249" i="6"/>
  <c r="AT248" i="6"/>
  <c r="AS248" i="6"/>
  <c r="A248" i="6"/>
  <c r="AT247" i="6"/>
  <c r="AS247" i="6"/>
  <c r="A247" i="6"/>
  <c r="AT246" i="6"/>
  <c r="AS246" i="6"/>
  <c r="A246" i="6"/>
  <c r="AT245" i="6"/>
  <c r="AS245" i="6"/>
  <c r="A245" i="6"/>
  <c r="AT244" i="6"/>
  <c r="AS244" i="6"/>
  <c r="A244" i="6"/>
  <c r="AT243" i="6"/>
  <c r="AS243" i="6"/>
  <c r="A243" i="6"/>
  <c r="AT242" i="6"/>
  <c r="AS242" i="6"/>
  <c r="A242" i="6"/>
  <c r="AT241" i="6"/>
  <c r="AS241" i="6"/>
  <c r="A241" i="6"/>
  <c r="AT240" i="6"/>
  <c r="AS240" i="6"/>
  <c r="A240" i="6"/>
  <c r="AT239" i="6"/>
  <c r="AS239" i="6"/>
  <c r="A239" i="6"/>
  <c r="AT238" i="6"/>
  <c r="AS238" i="6"/>
  <c r="A238" i="6"/>
  <c r="AT237" i="6"/>
  <c r="AS237" i="6"/>
  <c r="A237" i="6"/>
  <c r="AT236" i="6"/>
  <c r="AS236" i="6"/>
  <c r="A236" i="6"/>
  <c r="AT235" i="6"/>
  <c r="AS235" i="6"/>
  <c r="A235" i="6"/>
  <c r="AT234" i="6"/>
  <c r="AS234" i="6"/>
  <c r="A234" i="6"/>
  <c r="AT233" i="6"/>
  <c r="AS233" i="6"/>
  <c r="A233" i="6"/>
  <c r="AT232" i="6"/>
  <c r="AS232" i="6"/>
  <c r="A232" i="6"/>
  <c r="AT231" i="6"/>
  <c r="AS231" i="6"/>
  <c r="A231" i="6"/>
  <c r="AT230" i="6"/>
  <c r="AS230" i="6"/>
  <c r="A230" i="6"/>
  <c r="AT229" i="6"/>
  <c r="AS229" i="6"/>
  <c r="A229" i="6"/>
  <c r="AT228" i="6"/>
  <c r="AS228" i="6"/>
  <c r="A228" i="6"/>
  <c r="AT227" i="6"/>
  <c r="AS227" i="6"/>
  <c r="A227" i="6"/>
  <c r="AT226" i="6"/>
  <c r="AS226" i="6"/>
  <c r="A226" i="6"/>
  <c r="AT225" i="6"/>
  <c r="AS225" i="6"/>
  <c r="A225" i="6"/>
  <c r="AT224" i="6"/>
  <c r="AS224" i="6"/>
  <c r="A224" i="6"/>
  <c r="AT223" i="6"/>
  <c r="AS223" i="6"/>
  <c r="A223" i="6"/>
  <c r="AT222" i="6"/>
  <c r="AS222" i="6"/>
  <c r="A222" i="6"/>
  <c r="AT221" i="6"/>
  <c r="AS221" i="6"/>
  <c r="A221" i="6"/>
  <c r="AT220" i="6"/>
  <c r="AS220" i="6"/>
  <c r="A220" i="6"/>
  <c r="AT219" i="6"/>
  <c r="AS219" i="6"/>
  <c r="A219" i="6"/>
  <c r="AT218" i="6"/>
  <c r="AS218" i="6"/>
  <c r="A218" i="6"/>
  <c r="AT217" i="6"/>
  <c r="AS217" i="6"/>
  <c r="A217" i="6"/>
  <c r="AT216" i="6"/>
  <c r="AS216" i="6"/>
  <c r="A216" i="6"/>
  <c r="AT215" i="6"/>
  <c r="AS215" i="6"/>
  <c r="A215" i="6"/>
  <c r="AT214" i="6"/>
  <c r="AS214" i="6"/>
  <c r="A214" i="6"/>
  <c r="AT213" i="6"/>
  <c r="AS213" i="6"/>
  <c r="A213" i="6"/>
  <c r="AT212" i="6"/>
  <c r="AS212" i="6"/>
  <c r="A212" i="6"/>
  <c r="AT211" i="6"/>
  <c r="AS211" i="6"/>
  <c r="A211" i="6"/>
  <c r="AT210" i="6"/>
  <c r="AS210" i="6"/>
  <c r="A210" i="6"/>
  <c r="AT209" i="6"/>
  <c r="AS209" i="6"/>
  <c r="A209" i="6"/>
  <c r="AT208" i="6"/>
  <c r="AS208" i="6"/>
  <c r="A208" i="6"/>
  <c r="AT207" i="6"/>
  <c r="AS207" i="6"/>
  <c r="A207" i="6"/>
  <c r="AT206" i="6"/>
  <c r="AS206" i="6"/>
  <c r="A206" i="6"/>
  <c r="AT205" i="6"/>
  <c r="AS205" i="6"/>
  <c r="A205" i="6"/>
  <c r="AT204" i="6"/>
  <c r="AS204" i="6"/>
  <c r="A204" i="6"/>
  <c r="AT203" i="6"/>
  <c r="AS203" i="6"/>
  <c r="A203" i="6"/>
  <c r="AT202" i="6"/>
  <c r="AS202" i="6"/>
  <c r="A202" i="6"/>
  <c r="AT201" i="6"/>
  <c r="AS201" i="6"/>
  <c r="A201" i="6"/>
  <c r="AT200" i="6"/>
  <c r="AS200" i="6"/>
  <c r="A200" i="6"/>
  <c r="AT199" i="6"/>
  <c r="AS199" i="6"/>
  <c r="A199" i="6"/>
  <c r="AT198" i="6"/>
  <c r="AS198" i="6"/>
  <c r="A198" i="6"/>
  <c r="AT197" i="6"/>
  <c r="AS197" i="6"/>
  <c r="A197" i="6"/>
  <c r="AT196" i="6"/>
  <c r="AS196" i="6"/>
  <c r="A196" i="6"/>
  <c r="AT195" i="6"/>
  <c r="AS195" i="6"/>
  <c r="A195" i="6"/>
  <c r="AT194" i="6"/>
  <c r="AS194" i="6"/>
  <c r="A194" i="6"/>
  <c r="AT193" i="6"/>
  <c r="AS193" i="6"/>
  <c r="A193" i="6"/>
  <c r="AT192" i="6"/>
  <c r="AS192" i="6"/>
  <c r="A192" i="6"/>
  <c r="AT191" i="6"/>
  <c r="AS191" i="6"/>
  <c r="A191" i="6"/>
  <c r="AT190" i="6"/>
  <c r="AS190" i="6"/>
  <c r="A190" i="6"/>
  <c r="AT189" i="6"/>
  <c r="AS189" i="6"/>
  <c r="A189" i="6"/>
  <c r="AT188" i="6"/>
  <c r="AS188" i="6"/>
  <c r="A188" i="6"/>
  <c r="AT187" i="6"/>
  <c r="AS187" i="6"/>
  <c r="A187" i="6"/>
  <c r="AT186" i="6"/>
  <c r="AS186" i="6"/>
  <c r="A186" i="6"/>
  <c r="AT185" i="6"/>
  <c r="AS185" i="6"/>
  <c r="A185" i="6"/>
  <c r="AT184" i="6"/>
  <c r="AS184" i="6"/>
  <c r="A184" i="6"/>
  <c r="AT183" i="6"/>
  <c r="AS183" i="6"/>
  <c r="A183" i="6"/>
  <c r="AT182" i="6"/>
  <c r="AS182" i="6"/>
  <c r="A182" i="6"/>
  <c r="AT181" i="6"/>
  <c r="AS181" i="6"/>
  <c r="A181" i="6"/>
  <c r="AT180" i="6"/>
  <c r="AS180" i="6"/>
  <c r="A180" i="6"/>
  <c r="AT179" i="6"/>
  <c r="AS179" i="6"/>
  <c r="A179" i="6"/>
  <c r="AT178" i="6"/>
  <c r="AS178" i="6"/>
  <c r="A178" i="6"/>
  <c r="AT177" i="6"/>
  <c r="AS177" i="6"/>
  <c r="A177" i="6"/>
  <c r="AT176" i="6"/>
  <c r="AS176" i="6"/>
  <c r="A176" i="6"/>
  <c r="AT175" i="6"/>
  <c r="AS175" i="6"/>
  <c r="A175" i="6"/>
  <c r="AT174" i="6"/>
  <c r="AS174" i="6"/>
  <c r="A174" i="6"/>
  <c r="AT173" i="6"/>
  <c r="AS173" i="6"/>
  <c r="A173" i="6"/>
  <c r="AT172" i="6"/>
  <c r="AS172" i="6"/>
  <c r="A172" i="6"/>
  <c r="AT171" i="6"/>
  <c r="AS171" i="6"/>
  <c r="A171" i="6"/>
  <c r="AT170" i="6"/>
  <c r="AS170" i="6"/>
  <c r="A170" i="6"/>
  <c r="AT169" i="6"/>
  <c r="AS169" i="6"/>
  <c r="A169" i="6"/>
  <c r="AT168" i="6"/>
  <c r="AS168" i="6"/>
  <c r="A168" i="6"/>
  <c r="AT167" i="6"/>
  <c r="AS167" i="6"/>
  <c r="A167" i="6"/>
  <c r="AT166" i="6"/>
  <c r="AS166" i="6"/>
  <c r="A166" i="6"/>
  <c r="AT165" i="6"/>
  <c r="AS165" i="6"/>
  <c r="A165" i="6"/>
  <c r="AT164" i="6"/>
  <c r="AS164" i="6"/>
  <c r="A164" i="6"/>
  <c r="AT163" i="6"/>
  <c r="AS163" i="6"/>
  <c r="A163" i="6"/>
  <c r="AT162" i="6"/>
  <c r="AS162" i="6"/>
  <c r="A162" i="6"/>
  <c r="AT161" i="6"/>
  <c r="AS161" i="6"/>
  <c r="A161" i="6"/>
  <c r="AT160" i="6"/>
  <c r="AS160" i="6"/>
  <c r="A160" i="6"/>
  <c r="AT159" i="6"/>
  <c r="AS159" i="6"/>
  <c r="A159" i="6"/>
  <c r="AT158" i="6"/>
  <c r="AS158" i="6"/>
  <c r="A158" i="6"/>
  <c r="AT157" i="6"/>
  <c r="AS157" i="6"/>
  <c r="A157" i="6"/>
  <c r="AT156" i="6"/>
  <c r="AS156" i="6"/>
  <c r="A156" i="6"/>
  <c r="AT155" i="6"/>
  <c r="AS155" i="6"/>
  <c r="A155" i="6"/>
  <c r="AT154" i="6"/>
  <c r="AS154" i="6"/>
  <c r="A154" i="6"/>
  <c r="AT153" i="6"/>
  <c r="AS153" i="6"/>
  <c r="A153" i="6"/>
  <c r="AT152" i="6"/>
  <c r="AS152" i="6"/>
  <c r="A152" i="6"/>
  <c r="AT151" i="6"/>
  <c r="AS151" i="6"/>
  <c r="A151" i="6"/>
  <c r="AT150" i="6"/>
  <c r="AS150" i="6"/>
  <c r="A150" i="6"/>
  <c r="AT149" i="6"/>
  <c r="AS149" i="6"/>
  <c r="A149" i="6"/>
  <c r="AT148" i="6"/>
  <c r="AS148" i="6"/>
  <c r="A148" i="6"/>
  <c r="AT147" i="6"/>
  <c r="AS147" i="6"/>
  <c r="A147" i="6"/>
  <c r="AT146" i="6"/>
  <c r="AS146" i="6"/>
  <c r="A146" i="6"/>
  <c r="AT145" i="6"/>
  <c r="AS145" i="6"/>
  <c r="A145" i="6"/>
  <c r="AT144" i="6"/>
  <c r="AS144" i="6"/>
  <c r="A144" i="6"/>
  <c r="AT143" i="6"/>
  <c r="AS143" i="6"/>
  <c r="A143" i="6"/>
  <c r="AT142" i="6"/>
  <c r="AS142" i="6"/>
  <c r="A142" i="6"/>
  <c r="AT141" i="6"/>
  <c r="AS141" i="6"/>
  <c r="A141" i="6"/>
  <c r="AT140" i="6"/>
  <c r="AS140" i="6"/>
  <c r="A140" i="6"/>
  <c r="AT139" i="6"/>
  <c r="AS139" i="6"/>
  <c r="A139" i="6"/>
  <c r="AT138" i="6"/>
  <c r="AS138" i="6"/>
  <c r="A138" i="6"/>
  <c r="AT137" i="6"/>
  <c r="AS137" i="6"/>
  <c r="A137" i="6"/>
  <c r="AT136" i="6"/>
  <c r="AS136" i="6"/>
  <c r="A136" i="6"/>
  <c r="AT135" i="6"/>
  <c r="AS135" i="6"/>
  <c r="A135" i="6"/>
  <c r="AT134" i="6"/>
  <c r="AS134" i="6"/>
  <c r="A134" i="6"/>
  <c r="AT133" i="6"/>
  <c r="AS133" i="6"/>
  <c r="A133" i="6"/>
  <c r="AT132" i="6"/>
  <c r="AS132" i="6"/>
  <c r="A132" i="6"/>
  <c r="AT131" i="6"/>
  <c r="AS131" i="6"/>
  <c r="A131" i="6"/>
  <c r="AT130" i="6"/>
  <c r="AS130" i="6"/>
  <c r="A130" i="6"/>
  <c r="AT129" i="6"/>
  <c r="AS129" i="6"/>
  <c r="A129" i="6"/>
  <c r="AT128" i="6"/>
  <c r="AS128" i="6"/>
  <c r="A128" i="6"/>
  <c r="AT127" i="6"/>
  <c r="AS127" i="6"/>
  <c r="A127" i="6"/>
  <c r="AT126" i="6"/>
  <c r="AS126" i="6"/>
  <c r="A126" i="6"/>
  <c r="AT125" i="6"/>
  <c r="AS125" i="6"/>
  <c r="A125" i="6"/>
  <c r="AT124" i="6"/>
  <c r="AS124" i="6"/>
  <c r="A124" i="6"/>
  <c r="AT123" i="6"/>
  <c r="AS123" i="6"/>
  <c r="A123" i="6"/>
  <c r="AT122" i="6"/>
  <c r="AS122" i="6"/>
  <c r="A122" i="6"/>
  <c r="AT121" i="6"/>
  <c r="AS121" i="6"/>
  <c r="A121" i="6"/>
  <c r="AT120" i="6"/>
  <c r="AS120" i="6"/>
  <c r="A120" i="6"/>
  <c r="AT119" i="6"/>
  <c r="AS119" i="6"/>
  <c r="A119" i="6"/>
  <c r="AT118" i="6"/>
  <c r="AS118" i="6"/>
  <c r="A118" i="6"/>
  <c r="AT117" i="6"/>
  <c r="AS117" i="6"/>
  <c r="A117" i="6"/>
  <c r="AT116" i="6"/>
  <c r="AS116" i="6"/>
  <c r="A116" i="6"/>
  <c r="AT115" i="6"/>
  <c r="AS115" i="6"/>
  <c r="A115" i="6"/>
  <c r="AT114" i="6"/>
  <c r="AS114" i="6"/>
  <c r="A114" i="6"/>
  <c r="AT113" i="6"/>
  <c r="AS113" i="6"/>
  <c r="A113" i="6"/>
  <c r="AT112" i="6"/>
  <c r="AS112" i="6"/>
  <c r="A112" i="6"/>
  <c r="AT111" i="6"/>
  <c r="AS111" i="6"/>
  <c r="A111" i="6"/>
  <c r="AT110" i="6"/>
  <c r="AS110" i="6"/>
  <c r="A110" i="6"/>
  <c r="AT109" i="6"/>
  <c r="AS109" i="6"/>
  <c r="A109" i="6"/>
  <c r="AT108" i="6"/>
  <c r="AS108" i="6"/>
  <c r="A108" i="6"/>
  <c r="AT107" i="6"/>
  <c r="AS107" i="6"/>
  <c r="A107" i="6"/>
  <c r="AT106" i="6"/>
  <c r="AS106" i="6"/>
  <c r="A106" i="6"/>
  <c r="AT105" i="6"/>
  <c r="AS105" i="6"/>
  <c r="A105" i="6"/>
  <c r="AT104" i="6"/>
  <c r="AS104" i="6"/>
  <c r="A104" i="6"/>
  <c r="AT103" i="6"/>
  <c r="AS103" i="6"/>
  <c r="A103" i="6"/>
  <c r="AT102" i="6"/>
  <c r="AS102" i="6"/>
  <c r="A102" i="6"/>
  <c r="AT101" i="6"/>
  <c r="AS101" i="6"/>
  <c r="A101" i="6"/>
  <c r="AT100" i="6"/>
  <c r="AS100" i="6"/>
  <c r="A100" i="6"/>
  <c r="AT99" i="6"/>
  <c r="AS99" i="6"/>
  <c r="A99" i="6"/>
  <c r="AT98" i="6"/>
  <c r="AS98" i="6"/>
  <c r="A98" i="6"/>
  <c r="AT97" i="6"/>
  <c r="AS97" i="6"/>
  <c r="A97" i="6"/>
  <c r="AT96" i="6"/>
  <c r="AS96" i="6"/>
  <c r="A96" i="6"/>
  <c r="AT95" i="6"/>
  <c r="AS95" i="6"/>
  <c r="A95" i="6"/>
  <c r="AT94" i="6"/>
  <c r="AS94" i="6"/>
  <c r="A94" i="6"/>
  <c r="AT93" i="6"/>
  <c r="AS93" i="6"/>
  <c r="A93" i="6"/>
  <c r="AT92" i="6"/>
  <c r="AS92" i="6"/>
  <c r="A92" i="6"/>
  <c r="AT91" i="6"/>
  <c r="AS91" i="6"/>
  <c r="A91" i="6"/>
  <c r="AT90" i="6"/>
  <c r="AS90" i="6"/>
  <c r="A90" i="6"/>
  <c r="AT89" i="6"/>
  <c r="AS89" i="6"/>
  <c r="A89" i="6"/>
  <c r="AT88" i="6"/>
  <c r="AS88" i="6"/>
  <c r="A88" i="6"/>
  <c r="AT87" i="6"/>
  <c r="AS87" i="6"/>
  <c r="A87" i="6"/>
  <c r="AT86" i="6"/>
  <c r="AS86" i="6"/>
  <c r="A86" i="6"/>
  <c r="AT85" i="6"/>
  <c r="AS85" i="6"/>
  <c r="A85" i="6"/>
  <c r="AT84" i="6"/>
  <c r="AS84" i="6"/>
  <c r="A84" i="6"/>
  <c r="AT83" i="6"/>
  <c r="AS83" i="6"/>
  <c r="A83" i="6"/>
  <c r="AT82" i="6"/>
  <c r="AS82" i="6"/>
  <c r="A82" i="6"/>
  <c r="AT81" i="6"/>
  <c r="AS81" i="6"/>
  <c r="A81" i="6"/>
  <c r="AT80" i="6"/>
  <c r="AS80" i="6"/>
  <c r="A80" i="6"/>
  <c r="AT79" i="6"/>
  <c r="AS79" i="6"/>
  <c r="A79" i="6"/>
  <c r="AT78" i="6"/>
  <c r="AS78" i="6"/>
  <c r="A78" i="6"/>
  <c r="AT77" i="6"/>
  <c r="AS77" i="6"/>
  <c r="A77" i="6"/>
  <c r="AT76" i="6"/>
  <c r="AS76" i="6"/>
  <c r="A76" i="6"/>
  <c r="AT75" i="6"/>
  <c r="AS75" i="6"/>
  <c r="A75" i="6"/>
  <c r="AT74" i="6"/>
  <c r="AS74" i="6"/>
  <c r="A74" i="6"/>
  <c r="AT73" i="6"/>
  <c r="AS73" i="6"/>
  <c r="A73" i="6"/>
  <c r="AT72" i="6"/>
  <c r="AS72" i="6"/>
  <c r="A72" i="6"/>
  <c r="AT71" i="6"/>
  <c r="AS71" i="6"/>
  <c r="A71" i="6"/>
  <c r="AT70" i="6"/>
  <c r="AS70" i="6"/>
  <c r="A70" i="6"/>
  <c r="AT69" i="6"/>
  <c r="AS69" i="6"/>
  <c r="A69" i="6"/>
  <c r="AT68" i="6"/>
  <c r="AS68" i="6"/>
  <c r="A68" i="6"/>
  <c r="AT67" i="6"/>
  <c r="AS67" i="6"/>
  <c r="A67" i="6"/>
  <c r="AT66" i="6"/>
  <c r="AS66" i="6"/>
  <c r="A66" i="6"/>
  <c r="AT65" i="6"/>
  <c r="AS65" i="6"/>
  <c r="A65" i="6"/>
  <c r="AT64" i="6"/>
  <c r="AS64" i="6"/>
  <c r="A64" i="6"/>
  <c r="AT63" i="6"/>
  <c r="AS63" i="6"/>
  <c r="A63" i="6"/>
  <c r="AT62" i="6"/>
  <c r="AS62" i="6"/>
  <c r="A62" i="6"/>
  <c r="AT61" i="6"/>
  <c r="AS61" i="6"/>
  <c r="A61" i="6"/>
  <c r="AT60" i="6"/>
  <c r="AS60" i="6"/>
  <c r="A60" i="6"/>
  <c r="AT59" i="6"/>
  <c r="AS59" i="6"/>
  <c r="A59" i="6"/>
  <c r="AT58" i="6"/>
  <c r="AS58" i="6"/>
  <c r="A58" i="6"/>
  <c r="AT57" i="6"/>
  <c r="AS57" i="6"/>
  <c r="A57" i="6"/>
  <c r="AT56" i="6"/>
  <c r="AS56" i="6"/>
  <c r="A56" i="6"/>
  <c r="AT55" i="6"/>
  <c r="AS55" i="6"/>
  <c r="A55" i="6"/>
  <c r="AT54" i="6"/>
  <c r="AS54" i="6"/>
  <c r="A54" i="6"/>
  <c r="AT53" i="6"/>
  <c r="AS53" i="6"/>
  <c r="A53" i="6"/>
  <c r="AT52" i="6"/>
  <c r="AS52" i="6"/>
  <c r="A52" i="6"/>
  <c r="AT51" i="6"/>
  <c r="AS51" i="6"/>
  <c r="A51" i="6"/>
  <c r="AT50" i="6"/>
  <c r="AS50" i="6"/>
  <c r="A50" i="6"/>
  <c r="AT49" i="6"/>
  <c r="AS49" i="6"/>
  <c r="A49" i="6"/>
  <c r="AT48" i="6"/>
  <c r="AS48" i="6"/>
  <c r="A48" i="6"/>
  <c r="AT47" i="6"/>
  <c r="AS47" i="6"/>
  <c r="A47" i="6"/>
  <c r="AT46" i="6"/>
  <c r="AS46" i="6"/>
  <c r="A46" i="6"/>
  <c r="AT45" i="6"/>
  <c r="AS45" i="6"/>
  <c r="A45" i="6"/>
  <c r="AT44" i="6"/>
  <c r="AS44" i="6"/>
  <c r="A44" i="6"/>
  <c r="AT43" i="6"/>
  <c r="AS43" i="6"/>
  <c r="A43" i="6"/>
  <c r="AT42" i="6"/>
  <c r="AS42" i="6"/>
  <c r="A42" i="6"/>
  <c r="AT41" i="6"/>
  <c r="AS41" i="6"/>
  <c r="A41" i="6"/>
  <c r="AT40" i="6"/>
  <c r="AS40" i="6"/>
  <c r="A40" i="6"/>
  <c r="AT39" i="6"/>
  <c r="AS39" i="6"/>
  <c r="A39" i="6"/>
  <c r="AT38" i="6"/>
  <c r="AS38" i="6"/>
  <c r="A38" i="6"/>
  <c r="AT37" i="6"/>
  <c r="AS37" i="6"/>
  <c r="A37" i="6"/>
  <c r="AT36" i="6"/>
  <c r="AS36" i="6"/>
  <c r="A36" i="6"/>
  <c r="AT35" i="6"/>
  <c r="AS35" i="6"/>
  <c r="A35" i="6"/>
  <c r="AT34" i="6"/>
  <c r="AS34" i="6"/>
  <c r="A34" i="6"/>
  <c r="AT33" i="6"/>
  <c r="AS33" i="6"/>
  <c r="A33" i="6"/>
  <c r="AT32" i="6"/>
  <c r="AS32" i="6"/>
  <c r="A32" i="6"/>
  <c r="AT31" i="6"/>
  <c r="AS31" i="6"/>
  <c r="A31" i="6"/>
  <c r="AT30" i="6"/>
  <c r="AS30" i="6"/>
  <c r="A30" i="6"/>
  <c r="AT29" i="6"/>
  <c r="AS29" i="6"/>
  <c r="A29" i="6"/>
  <c r="AT28" i="6"/>
  <c r="AS28" i="6"/>
  <c r="A28" i="6"/>
  <c r="AT27" i="6"/>
  <c r="AS27" i="6"/>
  <c r="A27" i="6"/>
  <c r="AT26" i="6"/>
  <c r="AS26" i="6"/>
  <c r="A26" i="6"/>
  <c r="AT25" i="6"/>
  <c r="AS25" i="6"/>
  <c r="A25" i="6"/>
  <c r="AT24" i="6"/>
  <c r="AS24" i="6"/>
  <c r="A24" i="6"/>
  <c r="AT23" i="6"/>
  <c r="AS23" i="6"/>
  <c r="A23" i="6"/>
  <c r="AT22" i="6"/>
  <c r="AS22" i="6"/>
  <c r="A22" i="6"/>
  <c r="AT21" i="6"/>
  <c r="AS21" i="6"/>
  <c r="A21" i="6"/>
  <c r="AT20" i="6"/>
  <c r="AS20" i="6"/>
  <c r="A20" i="6"/>
  <c r="AT19" i="6"/>
  <c r="AS19" i="6"/>
  <c r="A19" i="6"/>
  <c r="AT18" i="6"/>
  <c r="AS18" i="6"/>
  <c r="A18" i="6"/>
  <c r="AT17" i="6"/>
  <c r="AS17" i="6"/>
  <c r="A17" i="6"/>
  <c r="AT16" i="6"/>
  <c r="AS16" i="6"/>
  <c r="A16" i="6"/>
  <c r="AT15" i="6"/>
  <c r="AS15" i="6"/>
  <c r="A15" i="6"/>
  <c r="AT14" i="6"/>
  <c r="AS14" i="6"/>
  <c r="A14" i="6"/>
  <c r="AT13" i="6"/>
  <c r="AS13" i="6"/>
  <c r="A13" i="6"/>
  <c r="AT12" i="6"/>
  <c r="AS12" i="6"/>
  <c r="A12" i="6"/>
  <c r="AT11" i="6"/>
  <c r="AS11" i="6"/>
  <c r="A11" i="6"/>
  <c r="AT10" i="6"/>
  <c r="AS10" i="6"/>
  <c r="A10" i="6"/>
  <c r="AT9" i="6"/>
  <c r="AS9" i="6"/>
  <c r="A9" i="6"/>
  <c r="AT8" i="6"/>
  <c r="AS8" i="6"/>
  <c r="A8" i="6"/>
  <c r="AT7" i="6"/>
  <c r="AS7" i="6"/>
  <c r="A7" i="6"/>
  <c r="AT6" i="6"/>
  <c r="AS6" i="6"/>
  <c r="A6" i="6"/>
  <c r="AT5" i="6"/>
  <c r="AS5" i="6"/>
  <c r="A5" i="6"/>
  <c r="AT4" i="6"/>
  <c r="AS4" i="6"/>
  <c r="A4" i="6"/>
  <c r="AT3" i="6"/>
  <c r="AS3" i="6"/>
  <c r="A3" i="6"/>
  <c r="AT2" i="6"/>
  <c r="AS2" i="6"/>
  <c r="A2" i="6"/>
  <c r="C295" i="3"/>
  <c r="F291" i="3"/>
  <c r="V291" i="3" s="1"/>
  <c r="G352" i="3"/>
  <c r="H288" i="3"/>
  <c r="F288" i="3"/>
  <c r="V288" i="3" s="1"/>
  <c r="C309" i="3"/>
  <c r="U11" i="8" s="1"/>
  <c r="G295" i="3"/>
  <c r="G296" i="3" s="1"/>
  <c r="C269" i="3"/>
  <c r="R12" i="8" s="1"/>
  <c r="C282" i="3"/>
  <c r="R11" i="8" s="1"/>
  <c r="T11" i="8" s="1"/>
  <c r="G269" i="3"/>
  <c r="G270" i="3" s="1"/>
  <c r="C243" i="3"/>
  <c r="O12" i="8" s="1"/>
  <c r="Q12" i="8" s="1"/>
  <c r="C256" i="3"/>
  <c r="O11" i="8" s="1"/>
  <c r="G243" i="3"/>
  <c r="G244" i="3" s="1"/>
  <c r="Q419" i="3"/>
  <c r="Q420" i="3" s="1"/>
  <c r="J413" i="3"/>
  <c r="J419" i="3" s="1"/>
  <c r="G419" i="3"/>
  <c r="C416" i="3"/>
  <c r="H416" i="3" s="1"/>
  <c r="P419" i="3"/>
  <c r="L413" i="3"/>
  <c r="O413" i="3" s="1"/>
  <c r="O419" i="3" s="1"/>
  <c r="N413" i="3"/>
  <c r="L414" i="3"/>
  <c r="O414" i="3" s="1"/>
  <c r="N419" i="3"/>
  <c r="M419" i="3"/>
  <c r="K419" i="3"/>
  <c r="F413" i="3"/>
  <c r="F414" i="3"/>
  <c r="F415" i="3"/>
  <c r="E416" i="3"/>
  <c r="F416" i="3"/>
  <c r="F417" i="3"/>
  <c r="E419" i="3"/>
  <c r="H415" i="3"/>
  <c r="H414" i="3"/>
  <c r="H413" i="3"/>
  <c r="G408" i="3"/>
  <c r="C408" i="3"/>
  <c r="F372" i="3"/>
  <c r="F373" i="3"/>
  <c r="F374" i="3"/>
  <c r="F375" i="3"/>
  <c r="F376" i="3"/>
  <c r="F377" i="3"/>
  <c r="F378" i="3"/>
  <c r="F379" i="3"/>
  <c r="E380" i="3"/>
  <c r="E408" i="3" s="1"/>
  <c r="E381" i="3"/>
  <c r="F381" i="3" s="1"/>
  <c r="E382" i="3"/>
  <c r="F382" i="3"/>
  <c r="E383" i="3"/>
  <c r="F383" i="3" s="1"/>
  <c r="E384" i="3"/>
  <c r="F384" i="3"/>
  <c r="E385" i="3"/>
  <c r="F385" i="3" s="1"/>
  <c r="E386" i="3"/>
  <c r="F386" i="3"/>
  <c r="E387" i="3"/>
  <c r="F387" i="3" s="1"/>
  <c r="E388" i="3"/>
  <c r="F388" i="3" s="1"/>
  <c r="E389" i="3"/>
  <c r="F389" i="3" s="1"/>
  <c r="E390" i="3"/>
  <c r="F390" i="3"/>
  <c r="E391" i="3"/>
  <c r="F391" i="3" s="1"/>
  <c r="E392" i="3"/>
  <c r="F392" i="3"/>
  <c r="E393" i="3"/>
  <c r="F393" i="3" s="1"/>
  <c r="E394" i="3"/>
  <c r="F394" i="3"/>
  <c r="E395" i="3"/>
  <c r="F395" i="3" s="1"/>
  <c r="E396" i="3"/>
  <c r="F396" i="3" s="1"/>
  <c r="E397" i="3"/>
  <c r="F397" i="3" s="1"/>
  <c r="E398" i="3"/>
  <c r="F398" i="3"/>
  <c r="E399" i="3"/>
  <c r="F399" i="3" s="1"/>
  <c r="E400" i="3"/>
  <c r="F400" i="3"/>
  <c r="E401" i="3"/>
  <c r="F401" i="3" s="1"/>
  <c r="E402" i="3"/>
  <c r="F402" i="3"/>
  <c r="E403" i="3"/>
  <c r="F403" i="3" s="1"/>
  <c r="E404" i="3"/>
  <c r="F404" i="3" s="1"/>
  <c r="E405" i="3"/>
  <c r="F405" i="3" s="1"/>
  <c r="D408" i="3"/>
  <c r="H405" i="3"/>
  <c r="H404" i="3"/>
  <c r="H403" i="3"/>
  <c r="H402" i="3"/>
  <c r="H401" i="3"/>
  <c r="H400" i="3"/>
  <c r="H399" i="3"/>
  <c r="H398" i="3"/>
  <c r="H397" i="3"/>
  <c r="H396" i="3"/>
  <c r="H395" i="3"/>
  <c r="H394" i="3"/>
  <c r="H393" i="3"/>
  <c r="H392" i="3"/>
  <c r="H391" i="3"/>
  <c r="H390" i="3"/>
  <c r="H389" i="3"/>
  <c r="H388" i="3"/>
  <c r="H387" i="3"/>
  <c r="H386" i="3"/>
  <c r="H385" i="3"/>
  <c r="H384" i="3"/>
  <c r="H383" i="3"/>
  <c r="H382" i="3"/>
  <c r="H381" i="3"/>
  <c r="H380" i="3"/>
  <c r="H379" i="3"/>
  <c r="H378" i="3"/>
  <c r="H377" i="3"/>
  <c r="H376" i="3"/>
  <c r="H375" i="3"/>
  <c r="H374" i="3"/>
  <c r="H373" i="3"/>
  <c r="H372" i="3"/>
  <c r="Q366" i="3"/>
  <c r="J357" i="3"/>
  <c r="J366" i="3" s="1"/>
  <c r="G366" i="3"/>
  <c r="C360" i="3"/>
  <c r="C362" i="3"/>
  <c r="C366" i="3"/>
  <c r="X11" i="8" s="1"/>
  <c r="Y11" i="8" s="1"/>
  <c r="P366" i="3"/>
  <c r="M357" i="3"/>
  <c r="M366" i="3" s="1"/>
  <c r="N357" i="3"/>
  <c r="N366" i="3" s="1"/>
  <c r="L358" i="3"/>
  <c r="O358" i="3" s="1"/>
  <c r="K366" i="3"/>
  <c r="F357" i="3"/>
  <c r="F358" i="3"/>
  <c r="F359" i="3"/>
  <c r="E360" i="3"/>
  <c r="F360" i="3" s="1"/>
  <c r="F361" i="3"/>
  <c r="E362" i="3"/>
  <c r="F362" i="3" s="1"/>
  <c r="F366" i="3" s="1"/>
  <c r="F363" i="3"/>
  <c r="F364" i="3"/>
  <c r="H362" i="3"/>
  <c r="H361" i="3"/>
  <c r="H360" i="3"/>
  <c r="H358" i="3"/>
  <c r="H357" i="3"/>
  <c r="C352" i="3"/>
  <c r="G353" i="3" s="1"/>
  <c r="F316" i="3"/>
  <c r="F317" i="3"/>
  <c r="F318" i="3"/>
  <c r="F319" i="3"/>
  <c r="F320" i="3"/>
  <c r="F321" i="3"/>
  <c r="F322" i="3"/>
  <c r="F323" i="3"/>
  <c r="F324" i="3"/>
  <c r="F325" i="3"/>
  <c r="F326" i="3"/>
  <c r="F327" i="3"/>
  <c r="F328" i="3"/>
  <c r="F329" i="3"/>
  <c r="F330" i="3"/>
  <c r="E331" i="3"/>
  <c r="F331" i="3" s="1"/>
  <c r="E332" i="3"/>
  <c r="F332" i="3" s="1"/>
  <c r="E333" i="3"/>
  <c r="F333" i="3" s="1"/>
  <c r="E334" i="3"/>
  <c r="F334" i="3" s="1"/>
  <c r="E335" i="3"/>
  <c r="F335" i="3"/>
  <c r="E336" i="3"/>
  <c r="F336" i="3" s="1"/>
  <c r="E337" i="3"/>
  <c r="F337" i="3" s="1"/>
  <c r="E338" i="3"/>
  <c r="F338" i="3" s="1"/>
  <c r="E339" i="3"/>
  <c r="F339" i="3" s="1"/>
  <c r="E340" i="3"/>
  <c r="F340" i="3" s="1"/>
  <c r="E341" i="3"/>
  <c r="F341" i="3" s="1"/>
  <c r="E342" i="3"/>
  <c r="F342" i="3" s="1"/>
  <c r="E343" i="3"/>
  <c r="F343" i="3"/>
  <c r="E344" i="3"/>
  <c r="F344" i="3" s="1"/>
  <c r="E345" i="3"/>
  <c r="F345" i="3"/>
  <c r="E346" i="3"/>
  <c r="F346" i="3" s="1"/>
  <c r="E347" i="3"/>
  <c r="F347" i="3" s="1"/>
  <c r="E348" i="3"/>
  <c r="F348" i="3" s="1"/>
  <c r="E349" i="3"/>
  <c r="F349" i="3" s="1"/>
  <c r="D352" i="3"/>
  <c r="H349" i="3"/>
  <c r="H348" i="3"/>
  <c r="H347" i="3"/>
  <c r="H346" i="3"/>
  <c r="H345" i="3"/>
  <c r="H344" i="3"/>
  <c r="H343" i="3"/>
  <c r="H342" i="3"/>
  <c r="H341" i="3"/>
  <c r="H340" i="3"/>
  <c r="H339" i="3"/>
  <c r="H338" i="3"/>
  <c r="H337" i="3"/>
  <c r="H336" i="3"/>
  <c r="H335" i="3"/>
  <c r="H334" i="3"/>
  <c r="H333" i="3"/>
  <c r="H332" i="3"/>
  <c r="H331" i="3"/>
  <c r="H330" i="3"/>
  <c r="H329" i="3"/>
  <c r="H328" i="3"/>
  <c r="H327" i="3"/>
  <c r="H326" i="3"/>
  <c r="H325" i="3"/>
  <c r="H324" i="3"/>
  <c r="H323" i="3"/>
  <c r="H322" i="3"/>
  <c r="H321" i="3"/>
  <c r="H320" i="3"/>
  <c r="H319" i="3"/>
  <c r="H318" i="3"/>
  <c r="H317" i="3"/>
  <c r="H316" i="3"/>
  <c r="H315" i="3"/>
  <c r="F315" i="3"/>
  <c r="G309" i="3"/>
  <c r="F300" i="3"/>
  <c r="F301" i="3"/>
  <c r="F302" i="3"/>
  <c r="V302" i="3" s="1"/>
  <c r="F303" i="3"/>
  <c r="F304" i="3"/>
  <c r="F305" i="3"/>
  <c r="V305" i="3" s="1"/>
  <c r="F306" i="3"/>
  <c r="V306" i="3" s="1"/>
  <c r="F307" i="3"/>
  <c r="E309" i="3"/>
  <c r="V304" i="3"/>
  <c r="V303" i="3"/>
  <c r="V300" i="3"/>
  <c r="Q295" i="3"/>
  <c r="J288" i="3"/>
  <c r="J295" i="3" s="1"/>
  <c r="P295" i="3"/>
  <c r="L288" i="3"/>
  <c r="O288" i="3" s="1"/>
  <c r="O295" i="3" s="1"/>
  <c r="M288" i="3"/>
  <c r="M295" i="3" s="1"/>
  <c r="N288" i="3"/>
  <c r="L289" i="3"/>
  <c r="O289" i="3" s="1"/>
  <c r="N295" i="3"/>
  <c r="K295" i="3"/>
  <c r="F289" i="3"/>
  <c r="F290" i="3"/>
  <c r="V290" i="3" s="1"/>
  <c r="E295" i="3"/>
  <c r="D295" i="3"/>
  <c r="H291" i="3"/>
  <c r="H290" i="3"/>
  <c r="H289" i="3"/>
  <c r="G282" i="3"/>
  <c r="G283" i="3" s="1"/>
  <c r="F274" i="3"/>
  <c r="F275" i="3"/>
  <c r="F276" i="3"/>
  <c r="F277" i="3"/>
  <c r="F278" i="3"/>
  <c r="F279" i="3"/>
  <c r="F280" i="3"/>
  <c r="E282" i="3"/>
  <c r="Q269" i="3"/>
  <c r="J262" i="3"/>
  <c r="J269" i="3" s="1"/>
  <c r="P269" i="3"/>
  <c r="L262" i="3"/>
  <c r="O262" i="3" s="1"/>
  <c r="M262" i="3"/>
  <c r="L263" i="3"/>
  <c r="N269" i="3"/>
  <c r="M269" i="3"/>
  <c r="K269" i="3"/>
  <c r="F263" i="3"/>
  <c r="F264" i="3"/>
  <c r="F265" i="3"/>
  <c r="E269" i="3"/>
  <c r="D269" i="3"/>
  <c r="H265" i="3"/>
  <c r="H264" i="3"/>
  <c r="H263" i="3"/>
  <c r="H262" i="3"/>
  <c r="F262" i="3"/>
  <c r="G256" i="3"/>
  <c r="G257" i="3" s="1"/>
  <c r="F248" i="3"/>
  <c r="F249" i="3"/>
  <c r="F250" i="3"/>
  <c r="F251" i="3"/>
  <c r="F252" i="3"/>
  <c r="F253" i="3"/>
  <c r="F254" i="3"/>
  <c r="E256" i="3"/>
  <c r="Q243" i="3"/>
  <c r="Q244" i="3" s="1"/>
  <c r="J236" i="3"/>
  <c r="L236" i="3" s="1"/>
  <c r="L243" i="3" s="1"/>
  <c r="J243" i="3"/>
  <c r="P243" i="3"/>
  <c r="M236" i="3"/>
  <c r="N236" i="3"/>
  <c r="N243" i="3" s="1"/>
  <c r="L237" i="3"/>
  <c r="O237" i="3"/>
  <c r="K243" i="3"/>
  <c r="F237" i="3"/>
  <c r="F243" i="3" s="1"/>
  <c r="F238" i="3"/>
  <c r="F239" i="3"/>
  <c r="E243" i="3"/>
  <c r="D239" i="3"/>
  <c r="D243" i="3"/>
  <c r="F236" i="3"/>
  <c r="G230" i="3"/>
  <c r="C230" i="3"/>
  <c r="H231" i="3"/>
  <c r="O230" i="3"/>
  <c r="Q230" i="3" s="1"/>
  <c r="J230" i="3"/>
  <c r="K230" i="3"/>
  <c r="L230" i="3"/>
  <c r="F224" i="3"/>
  <c r="F225" i="3"/>
  <c r="F226" i="3"/>
  <c r="F227" i="3"/>
  <c r="F230" i="3" s="1"/>
  <c r="F228" i="3"/>
  <c r="F229" i="3"/>
  <c r="E230" i="3"/>
  <c r="O229" i="3"/>
  <c r="Q229" i="3" s="1"/>
  <c r="J229" i="3"/>
  <c r="K229" i="3"/>
  <c r="O228" i="3"/>
  <c r="Q228" i="3"/>
  <c r="J228" i="3"/>
  <c r="K228" i="3"/>
  <c r="O227" i="3"/>
  <c r="Q227" i="3"/>
  <c r="J227" i="3"/>
  <c r="K227" i="3"/>
  <c r="L227" i="3"/>
  <c r="O226" i="3"/>
  <c r="Q226" i="3" s="1"/>
  <c r="J226" i="3"/>
  <c r="K226" i="3"/>
  <c r="L226" i="3"/>
  <c r="O225" i="3"/>
  <c r="Q225" i="3" s="1"/>
  <c r="J225" i="3"/>
  <c r="K225" i="3"/>
  <c r="F223" i="3"/>
  <c r="G217" i="3"/>
  <c r="I217" i="3" s="1"/>
  <c r="C217" i="3"/>
  <c r="D217" i="3" s="1"/>
  <c r="G210" i="3"/>
  <c r="I210" i="3"/>
  <c r="B210" i="3"/>
  <c r="D210" i="3" s="1"/>
  <c r="C210" i="3"/>
  <c r="G209" i="3"/>
  <c r="I209" i="3" s="1"/>
  <c r="B209" i="3"/>
  <c r="D209" i="3" s="1"/>
  <c r="C209" i="3"/>
  <c r="G208" i="3"/>
  <c r="I208" i="3" s="1"/>
  <c r="B208" i="3"/>
  <c r="D208" i="3" s="1"/>
  <c r="C208" i="3"/>
  <c r="G207" i="3"/>
  <c r="I207" i="3"/>
  <c r="B207" i="3"/>
  <c r="D207" i="3" s="1"/>
  <c r="C207" i="3"/>
  <c r="G206" i="3"/>
  <c r="I206" i="3"/>
  <c r="B206" i="3"/>
  <c r="D206" i="3" s="1"/>
  <c r="C206" i="3"/>
  <c r="G205" i="3"/>
  <c r="I205" i="3" s="1"/>
  <c r="B205" i="3"/>
  <c r="D205" i="3" s="1"/>
  <c r="C205" i="3"/>
  <c r="F192" i="3"/>
  <c r="G193" i="3" s="1"/>
  <c r="B192" i="3"/>
  <c r="E188" i="3"/>
  <c r="E190" i="3"/>
  <c r="E191" i="3"/>
  <c r="D192" i="3"/>
  <c r="H183" i="3"/>
  <c r="B166" i="3"/>
  <c r="D166" i="3" s="1"/>
  <c r="C166" i="3"/>
  <c r="B167" i="3"/>
  <c r="C167" i="3"/>
  <c r="D167" i="3"/>
  <c r="B168" i="3"/>
  <c r="C168" i="3"/>
  <c r="B169" i="3"/>
  <c r="C169" i="3"/>
  <c r="D171" i="3"/>
  <c r="D172" i="3"/>
  <c r="D173" i="3"/>
  <c r="D174" i="3"/>
  <c r="G166" i="3"/>
  <c r="G167" i="3"/>
  <c r="I167" i="3" s="1"/>
  <c r="G168" i="3"/>
  <c r="I168" i="3" s="1"/>
  <c r="G169" i="3"/>
  <c r="G170" i="3"/>
  <c r="G171" i="3"/>
  <c r="I171" i="3" s="1"/>
  <c r="G172" i="3"/>
  <c r="I172" i="3" s="1"/>
  <c r="G173" i="3"/>
  <c r="I173" i="3" s="1"/>
  <c r="G174" i="3"/>
  <c r="I174" i="3" s="1"/>
  <c r="F183" i="3"/>
  <c r="C170" i="3"/>
  <c r="C183" i="3"/>
  <c r="B170" i="3"/>
  <c r="I170" i="3"/>
  <c r="I169" i="3"/>
  <c r="F156" i="3"/>
  <c r="B158" i="3"/>
  <c r="E155" i="3"/>
  <c r="E157" i="3"/>
  <c r="D158" i="3"/>
  <c r="H150" i="3"/>
  <c r="B145" i="3"/>
  <c r="B150" i="3" s="1"/>
  <c r="C145" i="3"/>
  <c r="B146" i="3"/>
  <c r="C146" i="3"/>
  <c r="D146" i="3"/>
  <c r="B147" i="3"/>
  <c r="C147" i="3"/>
  <c r="B148" i="3"/>
  <c r="C148" i="3"/>
  <c r="B149" i="3"/>
  <c r="C149" i="3"/>
  <c r="D149" i="3"/>
  <c r="G145" i="3"/>
  <c r="G150" i="3" s="1"/>
  <c r="G146" i="3"/>
  <c r="G147" i="3"/>
  <c r="I147" i="3" s="1"/>
  <c r="G148" i="3"/>
  <c r="G149" i="3"/>
  <c r="I149" i="3" s="1"/>
  <c r="F150" i="3"/>
  <c r="I148" i="3"/>
  <c r="I146" i="3"/>
  <c r="F138" i="3"/>
  <c r="G139" i="3" s="1"/>
  <c r="B138" i="3"/>
  <c r="E134" i="3"/>
  <c r="E135" i="3"/>
  <c r="E136" i="3"/>
  <c r="E137" i="3"/>
  <c r="D138" i="3"/>
  <c r="H129" i="3"/>
  <c r="B123" i="3"/>
  <c r="B129" i="3" s="1"/>
  <c r="C123" i="3"/>
  <c r="B124" i="3"/>
  <c r="C124" i="3"/>
  <c r="C129" i="3" s="1"/>
  <c r="D124" i="3"/>
  <c r="B125" i="3"/>
  <c r="C125" i="3"/>
  <c r="D125" i="3"/>
  <c r="B126" i="3"/>
  <c r="D126" i="3" s="1"/>
  <c r="C126" i="3"/>
  <c r="B127" i="3"/>
  <c r="C127" i="3"/>
  <c r="B128" i="3"/>
  <c r="C128" i="3"/>
  <c r="G123" i="3"/>
  <c r="I123" i="3" s="1"/>
  <c r="G124" i="3"/>
  <c r="I124" i="3" s="1"/>
  <c r="G125" i="3"/>
  <c r="G126" i="3"/>
  <c r="G127" i="3"/>
  <c r="I127" i="3" s="1"/>
  <c r="G128" i="3"/>
  <c r="I128" i="3" s="1"/>
  <c r="F129" i="3"/>
  <c r="I126" i="3"/>
  <c r="I125" i="3"/>
  <c r="F111" i="3"/>
  <c r="E112" i="3"/>
  <c r="F112" i="3"/>
  <c r="F116" i="3" s="1"/>
  <c r="G117" i="3" s="1"/>
  <c r="B116" i="3"/>
  <c r="E113" i="3"/>
  <c r="E114" i="3"/>
  <c r="E115" i="3"/>
  <c r="D116" i="3"/>
  <c r="H107" i="3"/>
  <c r="B98" i="3"/>
  <c r="D98" i="3" s="1"/>
  <c r="C98" i="3"/>
  <c r="C107" i="3" s="1"/>
  <c r="D101" i="3"/>
  <c r="B102" i="3"/>
  <c r="D102" i="3" s="1"/>
  <c r="C102" i="3"/>
  <c r="D103" i="3"/>
  <c r="D104" i="3"/>
  <c r="B105" i="3"/>
  <c r="C105" i="3"/>
  <c r="B106" i="3"/>
  <c r="C106" i="3"/>
  <c r="D106" i="3"/>
  <c r="G98" i="3"/>
  <c r="G101" i="3"/>
  <c r="I101" i="3" s="1"/>
  <c r="G102" i="3"/>
  <c r="I102" i="3" s="1"/>
  <c r="G103" i="3"/>
  <c r="G104" i="3"/>
  <c r="G105" i="3"/>
  <c r="I105" i="3" s="1"/>
  <c r="G106" i="3"/>
  <c r="I106" i="3" s="1"/>
  <c r="F107" i="3"/>
  <c r="I104" i="3"/>
  <c r="I103" i="3"/>
  <c r="I98" i="3"/>
  <c r="F85" i="3"/>
  <c r="F86" i="3"/>
  <c r="F87" i="3"/>
  <c r="F88" i="3"/>
  <c r="E89" i="3"/>
  <c r="F89" i="3" s="1"/>
  <c r="B92" i="3"/>
  <c r="D92" i="3"/>
  <c r="H64" i="3"/>
  <c r="H65" i="3"/>
  <c r="H69" i="3"/>
  <c r="H70" i="3"/>
  <c r="H71" i="3"/>
  <c r="B79" i="3"/>
  <c r="C79" i="3"/>
  <c r="C80" i="3" s="1"/>
  <c r="D79" i="3"/>
  <c r="D80" i="3" s="1"/>
  <c r="G79" i="3"/>
  <c r="G80" i="3"/>
  <c r="F80" i="3"/>
  <c r="B80" i="3"/>
  <c r="F52" i="3"/>
  <c r="F53" i="3"/>
  <c r="B58" i="3"/>
  <c r="E54" i="3"/>
  <c r="E58" i="3" s="1"/>
  <c r="D58" i="3"/>
  <c r="F39" i="3"/>
  <c r="F40" i="3"/>
  <c r="F41" i="3"/>
  <c r="F42" i="3"/>
  <c r="F43" i="3"/>
  <c r="B46" i="3"/>
  <c r="E46" i="3"/>
  <c r="D46" i="3"/>
  <c r="H21" i="3"/>
  <c r="H22" i="3"/>
  <c r="H23" i="3"/>
  <c r="H24" i="3"/>
  <c r="H25" i="3"/>
  <c r="H26" i="3"/>
  <c r="H35" i="3"/>
  <c r="I35" i="3" s="1"/>
  <c r="D35" i="3"/>
  <c r="G19" i="3"/>
  <c r="G35" i="3"/>
  <c r="F35" i="3"/>
  <c r="C35" i="3"/>
  <c r="B35" i="3"/>
  <c r="H5" i="3"/>
  <c r="H6" i="3"/>
  <c r="H15" i="3" s="1"/>
  <c r="I15" i="3" s="1"/>
  <c r="H7" i="3"/>
  <c r="H8" i="3"/>
  <c r="H9" i="3"/>
  <c r="H10" i="3"/>
  <c r="H11" i="3"/>
  <c r="H12" i="3"/>
  <c r="D15" i="3"/>
  <c r="G15" i="3"/>
  <c r="F15" i="3"/>
  <c r="C15" i="3"/>
  <c r="B15" i="3"/>
  <c r="E33" i="2"/>
  <c r="D33" i="2"/>
  <c r="G33" i="2"/>
  <c r="F33" i="2"/>
  <c r="C33" i="2"/>
  <c r="B33" i="2"/>
  <c r="AD18" i="8" s="1"/>
  <c r="H33" i="2"/>
  <c r="AA33" i="2"/>
  <c r="Z33" i="2"/>
  <c r="Y33" i="2"/>
  <c r="X33" i="2"/>
  <c r="W33" i="2"/>
  <c r="V33" i="2"/>
  <c r="U33" i="2"/>
  <c r="T33" i="2"/>
  <c r="S33" i="2"/>
  <c r="R33" i="2"/>
  <c r="Q33" i="2"/>
  <c r="P33" i="2"/>
  <c r="O33" i="2"/>
  <c r="N33" i="2"/>
  <c r="M33" i="2"/>
  <c r="L33" i="2"/>
  <c r="K33" i="2"/>
  <c r="J33" i="2"/>
  <c r="I33" i="2"/>
  <c r="J82" i="10" l="1"/>
  <c r="I82" i="10"/>
  <c r="L82" i="10"/>
  <c r="M82" i="10"/>
  <c r="Q270" i="3"/>
  <c r="F282" i="3"/>
  <c r="T290" i="3"/>
  <c r="G310" i="3"/>
  <c r="G367" i="3"/>
  <c r="F380" i="3"/>
  <c r="C419" i="3"/>
  <c r="AA11" i="8" s="1"/>
  <c r="AC11" i="8" s="1"/>
  <c r="W38" i="8"/>
  <c r="N68" i="10"/>
  <c r="J68" i="10"/>
  <c r="H68" i="10" s="1"/>
  <c r="P68" i="10" s="1"/>
  <c r="N75" i="10"/>
  <c r="I75" i="10"/>
  <c r="M98" i="10"/>
  <c r="I98" i="10"/>
  <c r="D104" i="10"/>
  <c r="X8" i="8" s="1"/>
  <c r="Y8" i="8" s="1"/>
  <c r="K253" i="15"/>
  <c r="L253" i="14"/>
  <c r="K285" i="15"/>
  <c r="L285" i="14"/>
  <c r="H46" i="16"/>
  <c r="P46" i="16" s="1"/>
  <c r="R15" i="20"/>
  <c r="R9" i="20"/>
  <c r="D148" i="3"/>
  <c r="D2220" i="13"/>
  <c r="G44" i="15"/>
  <c r="K107" i="15"/>
  <c r="L107" i="14"/>
  <c r="K131" i="15"/>
  <c r="L131" i="14"/>
  <c r="K216" i="15"/>
  <c r="L216" i="14"/>
  <c r="K14" i="16"/>
  <c r="I14" i="16"/>
  <c r="H14" i="16" s="1"/>
  <c r="P14" i="16" s="1"/>
  <c r="N14" i="16"/>
  <c r="J14" i="16"/>
  <c r="L14" i="16"/>
  <c r="E1440" i="19"/>
  <c r="S15" i="20"/>
  <c r="F46" i="3"/>
  <c r="G46" i="3" s="1"/>
  <c r="E116" i="3"/>
  <c r="I145" i="3"/>
  <c r="B183" i="3"/>
  <c r="E192" i="3"/>
  <c r="F256" i="3"/>
  <c r="T291" i="3"/>
  <c r="Q367" i="3"/>
  <c r="N24" i="10"/>
  <c r="J24" i="10"/>
  <c r="L68" i="10"/>
  <c r="L75" i="10"/>
  <c r="K98" i="10"/>
  <c r="J104" i="10"/>
  <c r="H104" i="10"/>
  <c r="P104" i="10" s="1"/>
  <c r="H110" i="10"/>
  <c r="P110" i="10" s="1"/>
  <c r="X7" i="8"/>
  <c r="D619" i="13"/>
  <c r="D1641" i="13"/>
  <c r="D1866" i="13"/>
  <c r="K103" i="15"/>
  <c r="L103" i="14"/>
  <c r="K127" i="15"/>
  <c r="L127" i="14"/>
  <c r="F291" i="15"/>
  <c r="G290" i="14"/>
  <c r="I24" i="16"/>
  <c r="H24" i="16" s="1"/>
  <c r="P24" i="16" s="1"/>
  <c r="M24" i="16"/>
  <c r="J24" i="16"/>
  <c r="N24" i="16"/>
  <c r="K24" i="16"/>
  <c r="H27" i="16"/>
  <c r="P27" i="16" s="1"/>
  <c r="AC16" i="8"/>
  <c r="E950" i="19"/>
  <c r="E4448" i="19"/>
  <c r="D169" i="3"/>
  <c r="B107" i="3"/>
  <c r="D127" i="3"/>
  <c r="E138" i="3"/>
  <c r="F58" i="3"/>
  <c r="G58" i="3" s="1"/>
  <c r="H80" i="3"/>
  <c r="I80" i="3" s="1"/>
  <c r="G107" i="3"/>
  <c r="D105" i="3"/>
  <c r="D128" i="3"/>
  <c r="D147" i="3"/>
  <c r="D145" i="3"/>
  <c r="D168" i="3"/>
  <c r="L225" i="3"/>
  <c r="L228" i="3"/>
  <c r="L229" i="3"/>
  <c r="G409" i="3"/>
  <c r="L11" i="10"/>
  <c r="M24" i="10"/>
  <c r="M32" i="10"/>
  <c r="M55" i="10"/>
  <c r="K68" i="10"/>
  <c r="J75" i="10"/>
  <c r="H75" i="10" s="1"/>
  <c r="P75" i="10" s="1"/>
  <c r="F78" i="10"/>
  <c r="H98" i="10"/>
  <c r="P98" i="10" s="1"/>
  <c r="L104" i="10"/>
  <c r="K123" i="15"/>
  <c r="L123" i="14"/>
  <c r="E756" i="19"/>
  <c r="J756" i="19" s="1"/>
  <c r="F3923" i="19"/>
  <c r="D1144" i="13"/>
  <c r="U6" i="8" s="1"/>
  <c r="D1963" i="13"/>
  <c r="D2174" i="13"/>
  <c r="D2588" i="13"/>
  <c r="F2725" i="13"/>
  <c r="F173" i="14"/>
  <c r="G32" i="15"/>
  <c r="G48" i="15"/>
  <c r="D359" i="15"/>
  <c r="N5" i="16"/>
  <c r="H5" i="16" s="1"/>
  <c r="P5" i="16" s="1"/>
  <c r="J8" i="16"/>
  <c r="H35" i="16"/>
  <c r="P35" i="16" s="1"/>
  <c r="H62" i="16"/>
  <c r="P62" i="16" s="1"/>
  <c r="O16" i="8"/>
  <c r="Q16" i="8" s="1"/>
  <c r="R16" i="8"/>
  <c r="T16" i="8" s="1"/>
  <c r="U16" i="8"/>
  <c r="W16" i="8" s="1"/>
  <c r="X16" i="8"/>
  <c r="Z16" i="8" s="1"/>
  <c r="H188" i="18"/>
  <c r="H189" i="18" s="1"/>
  <c r="I188" i="18"/>
  <c r="I189" i="18" s="1"/>
  <c r="J530" i="19"/>
  <c r="E2190" i="19"/>
  <c r="E2310" i="19"/>
  <c r="E2283" i="19"/>
  <c r="E3580" i="19"/>
  <c r="E3952" i="19"/>
  <c r="E4263" i="19"/>
  <c r="F4324" i="19"/>
  <c r="F4510" i="19"/>
  <c r="E4572" i="19"/>
  <c r="F4633" i="19"/>
  <c r="G290" i="15"/>
  <c r="O5" i="8"/>
  <c r="X5" i="8"/>
  <c r="Y5" i="8" s="1"/>
  <c r="E410" i="19"/>
  <c r="H383" i="19"/>
  <c r="J594" i="19"/>
  <c r="E1983" i="19"/>
  <c r="E2430" i="19"/>
  <c r="E3336" i="19"/>
  <c r="E3834" i="19"/>
  <c r="E4074" i="19"/>
  <c r="E4080" i="19" s="1"/>
  <c r="F4080" i="19"/>
  <c r="F4141" i="19"/>
  <c r="F4263" i="19"/>
  <c r="F4448" i="19"/>
  <c r="E4504" i="19"/>
  <c r="E4510" i="19" s="1"/>
  <c r="E215" i="19"/>
  <c r="E383" i="19"/>
  <c r="E1145" i="19"/>
  <c r="E1476" i="19"/>
  <c r="E2852" i="19"/>
  <c r="E4633" i="19"/>
  <c r="N10" i="8"/>
  <c r="D38" i="8" s="1"/>
  <c r="M9" i="8"/>
  <c r="AE9" i="8"/>
  <c r="AE14" i="8" s="1"/>
  <c r="H10" i="8"/>
  <c r="D36" i="8" s="1"/>
  <c r="AE18" i="8"/>
  <c r="AE19" i="8" s="1"/>
  <c r="AF18" i="8"/>
  <c r="AF19" i="8" s="1"/>
  <c r="AF20" i="8" s="1"/>
  <c r="V44" i="8" s="1"/>
  <c r="H5" i="8"/>
  <c r="H4" i="8" s="1"/>
  <c r="M39" i="8"/>
  <c r="Y39" i="8" s="1"/>
  <c r="N4" i="8"/>
  <c r="C38" i="8" s="1"/>
  <c r="Y38" i="8"/>
  <c r="J950" i="19"/>
  <c r="E4351" i="19"/>
  <c r="E43" i="19"/>
  <c r="E820" i="19"/>
  <c r="J820" i="19" s="1"/>
  <c r="E1241" i="19"/>
  <c r="E1374" i="19"/>
  <c r="E1503" i="19"/>
  <c r="E1692" i="19"/>
  <c r="E1730" i="19"/>
  <c r="E1946" i="19"/>
  <c r="E2130" i="19"/>
  <c r="E2584" i="19"/>
  <c r="E2732" i="19"/>
  <c r="E2764" i="19"/>
  <c r="E3004" i="19"/>
  <c r="E3152" i="19"/>
  <c r="E3158" i="19" s="1"/>
  <c r="F3952" i="19"/>
  <c r="F3958" i="19" s="1"/>
  <c r="F4202" i="19"/>
  <c r="E173" i="19"/>
  <c r="E434" i="19"/>
  <c r="E1342" i="19"/>
  <c r="E1566" i="19"/>
  <c r="E2010" i="19"/>
  <c r="E2043" i="19"/>
  <c r="E2403" i="19"/>
  <c r="E2436" i="19" s="1"/>
  <c r="E2792" i="19"/>
  <c r="E3032" i="19"/>
  <c r="E3275" i="19"/>
  <c r="E3281" i="19" s="1"/>
  <c r="F4013" i="19"/>
  <c r="F4019" i="19" s="1"/>
  <c r="E4196" i="19"/>
  <c r="E4202" i="19" s="1"/>
  <c r="E4380" i="19"/>
  <c r="E131" i="19"/>
  <c r="E358" i="19"/>
  <c r="J464" i="19"/>
  <c r="E500" i="19"/>
  <c r="E1178" i="19"/>
  <c r="E1304" i="19"/>
  <c r="E1820" i="19"/>
  <c r="E1856" i="19"/>
  <c r="E2070" i="19"/>
  <c r="E2672" i="19"/>
  <c r="E3342" i="19"/>
  <c r="E3710" i="19"/>
  <c r="N14" i="8"/>
  <c r="G38" i="8" s="1"/>
  <c r="L17" i="8"/>
  <c r="N38" i="8" s="1"/>
  <c r="N16" i="8"/>
  <c r="K10" i="8"/>
  <c r="D37" i="8" s="1"/>
  <c r="Y37" i="8"/>
  <c r="P12" i="8"/>
  <c r="V9" i="8"/>
  <c r="F92" i="3"/>
  <c r="G92" i="3" s="1"/>
  <c r="D107" i="3"/>
  <c r="I107" i="3" s="1"/>
  <c r="G183" i="3"/>
  <c r="L40" i="8"/>
  <c r="T8" i="8"/>
  <c r="S8" i="8"/>
  <c r="Z7" i="8"/>
  <c r="Y7" i="8"/>
  <c r="D958" i="13"/>
  <c r="D964" i="13" s="1"/>
  <c r="D123" i="3"/>
  <c r="D129" i="3" s="1"/>
  <c r="I129" i="3" s="1"/>
  <c r="D183" i="3"/>
  <c r="I183" i="3" s="1"/>
  <c r="O263" i="3"/>
  <c r="O269" i="3" s="1"/>
  <c r="L269" i="3"/>
  <c r="I44" i="10"/>
  <c r="M44" i="10"/>
  <c r="J44" i="10"/>
  <c r="N44" i="10"/>
  <c r="K44" i="10"/>
  <c r="V8" i="8"/>
  <c r="L41" i="8"/>
  <c r="D356" i="13"/>
  <c r="O6" i="8" s="1"/>
  <c r="D746" i="13"/>
  <c r="D1731" i="13"/>
  <c r="F2816" i="13"/>
  <c r="F3000" i="13"/>
  <c r="K135" i="15"/>
  <c r="L135" i="14"/>
  <c r="M8" i="8"/>
  <c r="M14" i="8" s="1"/>
  <c r="J8" i="8"/>
  <c r="G8" i="8"/>
  <c r="G14" i="8" s="1"/>
  <c r="K167" i="15"/>
  <c r="L167" i="14"/>
  <c r="I166" i="3"/>
  <c r="F269" i="3"/>
  <c r="F408" i="3"/>
  <c r="E92" i="3"/>
  <c r="G129" i="3"/>
  <c r="O236" i="3"/>
  <c r="O243" i="3" s="1"/>
  <c r="M243" i="3"/>
  <c r="T288" i="3"/>
  <c r="Q296" i="3"/>
  <c r="F352" i="3"/>
  <c r="E366" i="3"/>
  <c r="Z11" i="8"/>
  <c r="K37" i="8"/>
  <c r="K5" i="8"/>
  <c r="K4" i="8" s="1"/>
  <c r="J5" i="8"/>
  <c r="J14" i="8" s="1"/>
  <c r="D1279" i="13"/>
  <c r="D2358" i="13"/>
  <c r="G36" i="15"/>
  <c r="K71" i="15"/>
  <c r="L71" i="14"/>
  <c r="I51" i="16"/>
  <c r="M51" i="16"/>
  <c r="J51" i="16"/>
  <c r="K51" i="16"/>
  <c r="L51" i="16"/>
  <c r="E2644" i="19"/>
  <c r="E2678" i="19" s="1"/>
  <c r="E3552" i="19"/>
  <c r="E3586" i="19" s="1"/>
  <c r="AB8" i="8"/>
  <c r="F158" i="3"/>
  <c r="G159" i="3" s="1"/>
  <c r="E156" i="3"/>
  <c r="E158" i="3" s="1"/>
  <c r="C150" i="3"/>
  <c r="F295" i="3"/>
  <c r="V289" i="3"/>
  <c r="T289" i="3"/>
  <c r="L295" i="3"/>
  <c r="V301" i="3"/>
  <c r="F309" i="3"/>
  <c r="E352" i="3"/>
  <c r="F419" i="3"/>
  <c r="T12" i="8"/>
  <c r="T10" i="8" s="1"/>
  <c r="D40" i="8" s="1"/>
  <c r="S12" i="8"/>
  <c r="H24" i="10"/>
  <c r="P24" i="10" s="1"/>
  <c r="I36" i="10"/>
  <c r="H36" i="10" s="1"/>
  <c r="P36" i="10" s="1"/>
  <c r="M36" i="10"/>
  <c r="J36" i="10"/>
  <c r="N36" i="10"/>
  <c r="K36" i="10"/>
  <c r="I95" i="10"/>
  <c r="M95" i="10"/>
  <c r="J95" i="10"/>
  <c r="K95" i="10"/>
  <c r="L42" i="8"/>
  <c r="Q7" i="8"/>
  <c r="P7" i="8"/>
  <c r="D578" i="13"/>
  <c r="D920" i="13"/>
  <c r="D1549" i="13"/>
  <c r="D1917" i="13"/>
  <c r="D2816" i="13"/>
  <c r="F2908" i="13"/>
  <c r="F3092" i="13"/>
  <c r="K91" i="15"/>
  <c r="L91" i="14"/>
  <c r="K95" i="15"/>
  <c r="L95" i="14"/>
  <c r="K200" i="15"/>
  <c r="L200" i="14"/>
  <c r="AB11" i="8"/>
  <c r="U12" i="8"/>
  <c r="M41" i="8" s="1"/>
  <c r="Y41" i="8" s="1"/>
  <c r="P11" i="8"/>
  <c r="Q11" i="8"/>
  <c r="Q10" i="8" s="1"/>
  <c r="D39" i="8" s="1"/>
  <c r="M40" i="8"/>
  <c r="Y40" i="8" s="1"/>
  <c r="W11" i="8"/>
  <c r="E914" i="19"/>
  <c r="J914" i="19" s="1"/>
  <c r="E2464" i="19"/>
  <c r="E2498" i="19" s="1"/>
  <c r="E2884" i="19"/>
  <c r="E2918" i="19" s="1"/>
  <c r="G2918" i="19" s="1"/>
  <c r="G2872" i="19"/>
  <c r="E4318" i="19"/>
  <c r="L357" i="3"/>
  <c r="L419" i="3"/>
  <c r="G9" i="8"/>
  <c r="S9" i="8"/>
  <c r="S11" i="8"/>
  <c r="X12" i="8"/>
  <c r="M42" i="8" s="1"/>
  <c r="Y42" i="8" s="1"/>
  <c r="K32" i="10"/>
  <c r="H32" i="10" s="1"/>
  <c r="P32" i="10" s="1"/>
  <c r="K49" i="10"/>
  <c r="H49" i="10" s="1"/>
  <c r="P49" i="10" s="1"/>
  <c r="K55" i="10"/>
  <c r="H55" i="10" s="1"/>
  <c r="P55" i="10" s="1"/>
  <c r="K82" i="10"/>
  <c r="U7" i="8"/>
  <c r="AA7" i="8"/>
  <c r="L19" i="16"/>
  <c r="I19" i="16"/>
  <c r="M19" i="16"/>
  <c r="J19" i="16"/>
  <c r="N19" i="16"/>
  <c r="U5" i="8"/>
  <c r="AA5" i="8"/>
  <c r="E2316" i="19"/>
  <c r="AA12" i="8"/>
  <c r="M43" i="8" s="1"/>
  <c r="Y43" i="8" s="1"/>
  <c r="J9" i="8"/>
  <c r="V11" i="8"/>
  <c r="X9" i="8"/>
  <c r="AA9" i="8"/>
  <c r="H11" i="10"/>
  <c r="P11" i="10" s="1"/>
  <c r="N32" i="10"/>
  <c r="O8" i="8"/>
  <c r="N49" i="10"/>
  <c r="N55" i="10"/>
  <c r="N82" i="10"/>
  <c r="R7" i="8"/>
  <c r="G175" i="15"/>
  <c r="G241" i="15"/>
  <c r="G32" i="16"/>
  <c r="F29" i="16"/>
  <c r="I43" i="16"/>
  <c r="M43" i="16"/>
  <c r="J43" i="16"/>
  <c r="K43" i="16"/>
  <c r="E1113" i="19"/>
  <c r="J1113" i="19" s="1"/>
  <c r="E2163" i="19"/>
  <c r="G3633" i="19"/>
  <c r="E3642" i="19"/>
  <c r="E86" i="19"/>
  <c r="J410" i="19"/>
  <c r="E628" i="19"/>
  <c r="E884" i="19"/>
  <c r="J884" i="19" s="1"/>
  <c r="E1018" i="19"/>
  <c r="J1018" i="19" s="1"/>
  <c r="E1208" i="19"/>
  <c r="E1539" i="19"/>
  <c r="E1629" i="19"/>
  <c r="E1665" i="19"/>
  <c r="E1702" i="19" s="1"/>
  <c r="E1757" i="19"/>
  <c r="E1767" i="19" s="1"/>
  <c r="E1883" i="19"/>
  <c r="E2343" i="19"/>
  <c r="E2824" i="19"/>
  <c r="E2858" i="19" s="1"/>
  <c r="E3098" i="19"/>
  <c r="M9" i="20"/>
  <c r="M13" i="20"/>
  <c r="I16" i="8" s="1"/>
  <c r="Q9" i="20"/>
  <c r="Q15" i="20"/>
  <c r="AA6" i="8"/>
  <c r="J43" i="8" s="1"/>
  <c r="R5" i="8"/>
  <c r="K59" i="16"/>
  <c r="D165" i="18"/>
  <c r="H240" i="18"/>
  <c r="I233" i="18"/>
  <c r="I283" i="18"/>
  <c r="E564" i="19"/>
  <c r="E1080" i="19"/>
  <c r="J1080" i="19" s="1"/>
  <c r="E1412" i="19"/>
  <c r="E1450" i="19" s="1"/>
  <c r="E1793" i="19"/>
  <c r="E1919" i="19"/>
  <c r="E1956" i="19" s="1"/>
  <c r="E2223" i="19"/>
  <c r="E2370" i="19"/>
  <c r="E2524" i="19"/>
  <c r="E2704" i="19"/>
  <c r="E2738" i="19" s="1"/>
  <c r="E2972" i="19"/>
  <c r="E2978" i="19" s="1"/>
  <c r="E3895" i="19"/>
  <c r="E4141" i="19"/>
  <c r="O15" i="20"/>
  <c r="O9" i="20"/>
  <c r="S9" i="20"/>
  <c r="S7" i="20"/>
  <c r="H8" i="16"/>
  <c r="P8" i="16" s="1"/>
  <c r="H59" i="16"/>
  <c r="P59" i="16" s="1"/>
  <c r="D164" i="18"/>
  <c r="I182" i="18"/>
  <c r="H290" i="18"/>
  <c r="E692" i="19"/>
  <c r="J692" i="19" s="1"/>
  <c r="E1271" i="19"/>
  <c r="E1513" i="19"/>
  <c r="E1602" i="19"/>
  <c r="E2103" i="19"/>
  <c r="E2250" i="19"/>
  <c r="E2552" i="19"/>
  <c r="E2612" i="19"/>
  <c r="E2798" i="19"/>
  <c r="G2904" i="19"/>
  <c r="E3186" i="19"/>
  <c r="E3220" i="19" s="1"/>
  <c r="E3613" i="19"/>
  <c r="E3648" i="19" s="1"/>
  <c r="G3648" i="19" s="1"/>
  <c r="G3601" i="19"/>
  <c r="E3923" i="19"/>
  <c r="E4290" i="19"/>
  <c r="N9" i="20"/>
  <c r="L13" i="20"/>
  <c r="F16" i="8" s="1"/>
  <c r="L9" i="20"/>
  <c r="P15" i="20"/>
  <c r="P9" i="20"/>
  <c r="R6" i="8" l="1"/>
  <c r="E2618" i="19"/>
  <c r="H51" i="16"/>
  <c r="P51" i="16" s="1"/>
  <c r="X6" i="8"/>
  <c r="Y6" i="8" s="1"/>
  <c r="H44" i="10"/>
  <c r="P44" i="10" s="1"/>
  <c r="E2016" i="19"/>
  <c r="E3038" i="19"/>
  <c r="Q5" i="8"/>
  <c r="P5" i="8"/>
  <c r="AG16" i="8"/>
  <c r="W43" i="8"/>
  <c r="S43" i="8"/>
  <c r="D166" i="18"/>
  <c r="H43" i="16"/>
  <c r="P43" i="16" s="1"/>
  <c r="H82" i="10"/>
  <c r="P82" i="10" s="1"/>
  <c r="Z8" i="8"/>
  <c r="H95" i="10"/>
  <c r="P95" i="10" s="1"/>
  <c r="K42" i="8"/>
  <c r="K39" i="8"/>
  <c r="E3958" i="19"/>
  <c r="E2196" i="19"/>
  <c r="O17" i="8"/>
  <c r="P17" i="8" s="1"/>
  <c r="Z5" i="8"/>
  <c r="D150" i="3"/>
  <c r="I150" i="3" s="1"/>
  <c r="G420" i="3"/>
  <c r="AE20" i="8"/>
  <c r="AO21" i="8" s="1"/>
  <c r="L18" i="8"/>
  <c r="K43" i="8"/>
  <c r="O18" i="8"/>
  <c r="C36" i="8"/>
  <c r="H14" i="8"/>
  <c r="G36" i="8" s="1"/>
  <c r="N39" i="8"/>
  <c r="E2136" i="19"/>
  <c r="E4386" i="19"/>
  <c r="G4386" i="19" s="1"/>
  <c r="O21" i="8"/>
  <c r="O22" i="8" s="1"/>
  <c r="E4324" i="19"/>
  <c r="AA21" i="8"/>
  <c r="AA17" i="8"/>
  <c r="E1639" i="19"/>
  <c r="E1830" i="19"/>
  <c r="E1893" i="19"/>
  <c r="E1576" i="19"/>
  <c r="R17" i="8" s="1"/>
  <c r="E2076" i="19"/>
  <c r="I17" i="8"/>
  <c r="N37" i="8" s="1"/>
  <c r="K16" i="8"/>
  <c r="N17" i="8"/>
  <c r="M17" i="8"/>
  <c r="F17" i="8"/>
  <c r="N36" i="8" s="1"/>
  <c r="H16" i="8"/>
  <c r="AB16" i="8"/>
  <c r="Q18" i="8"/>
  <c r="P16" i="8"/>
  <c r="J42" i="8"/>
  <c r="W42" i="8" s="1"/>
  <c r="J39" i="8"/>
  <c r="W39" i="8" s="1"/>
  <c r="Q6" i="8"/>
  <c r="P6" i="8"/>
  <c r="E2558" i="19"/>
  <c r="X21" i="8" s="1"/>
  <c r="S6" i="8"/>
  <c r="J40" i="8"/>
  <c r="W40" i="8" s="1"/>
  <c r="T6" i="8"/>
  <c r="B40" i="8" s="1"/>
  <c r="O17" i="20"/>
  <c r="O19" i="20"/>
  <c r="E2376" i="19"/>
  <c r="U17" i="8" s="1"/>
  <c r="AB5" i="8"/>
  <c r="AC5" i="8"/>
  <c r="V7" i="8"/>
  <c r="W7" i="8"/>
  <c r="L32" i="16"/>
  <c r="I32" i="16"/>
  <c r="M32" i="16"/>
  <c r="J32" i="16"/>
  <c r="H32" i="16" s="1"/>
  <c r="P32" i="16" s="1"/>
  <c r="N32" i="16"/>
  <c r="K32" i="16"/>
  <c r="AC7" i="8"/>
  <c r="AB7" i="8"/>
  <c r="O357" i="3"/>
  <c r="O366" i="3" s="1"/>
  <c r="L366" i="3"/>
  <c r="J41" i="8"/>
  <c r="W41" i="8" s="1"/>
  <c r="W6" i="8"/>
  <c r="B41" i="8" s="1"/>
  <c r="V6" i="8"/>
  <c r="G16" i="8"/>
  <c r="E2256" i="19"/>
  <c r="K40" i="8"/>
  <c r="T5" i="8"/>
  <c r="S5" i="8"/>
  <c r="J16" i="8"/>
  <c r="AC9" i="8"/>
  <c r="AB9" i="8"/>
  <c r="W5" i="8"/>
  <c r="V5" i="8"/>
  <c r="K41" i="8"/>
  <c r="H19" i="16"/>
  <c r="P19" i="16" s="1"/>
  <c r="Y12" i="8"/>
  <c r="Z12" i="8"/>
  <c r="Z10" i="8" s="1"/>
  <c r="D42" i="8" s="1"/>
  <c r="V12" i="8"/>
  <c r="W12" i="8"/>
  <c r="W10" i="8" s="1"/>
  <c r="D41" i="8" s="1"/>
  <c r="C37" i="8"/>
  <c r="K14" i="8"/>
  <c r="G37" i="8" s="1"/>
  <c r="AB6" i="8"/>
  <c r="AC6" i="8"/>
  <c r="B43" i="8" s="1"/>
  <c r="T7" i="8"/>
  <c r="S7" i="8"/>
  <c r="L39" i="8"/>
  <c r="P8" i="8"/>
  <c r="Q8" i="8"/>
  <c r="Z9" i="8"/>
  <c r="Y9" i="8"/>
  <c r="AC12" i="8"/>
  <c r="AC10" i="8" s="1"/>
  <c r="D43" i="8" s="1"/>
  <c r="AB12" i="8"/>
  <c r="R21" i="8" l="1"/>
  <c r="U21" i="8"/>
  <c r="AI16" i="8"/>
  <c r="AH16" i="8"/>
  <c r="Z6" i="8"/>
  <c r="Q17" i="8"/>
  <c r="E39" i="8" s="1"/>
  <c r="S14" i="8"/>
  <c r="X38" i="8"/>
  <c r="X44" i="8"/>
  <c r="V14" i="8"/>
  <c r="I18" i="8"/>
  <c r="K18" i="8" s="1"/>
  <c r="F37" i="8" s="1"/>
  <c r="S17" i="8"/>
  <c r="R18" i="8"/>
  <c r="T18" i="8" s="1"/>
  <c r="AB17" i="8"/>
  <c r="AA18" i="8"/>
  <c r="AC18" i="8" s="1"/>
  <c r="N43" i="8"/>
  <c r="F18" i="8"/>
  <c r="H18" i="8" s="1"/>
  <c r="N18" i="8"/>
  <c r="F38" i="8" s="1"/>
  <c r="M18" i="8"/>
  <c r="M19" i="8" s="1"/>
  <c r="M20" i="8" s="1"/>
  <c r="AO15" i="8" s="1"/>
  <c r="E5" i="22" s="1"/>
  <c r="F5" i="22" s="1"/>
  <c r="AB14" i="8"/>
  <c r="AB28" i="8"/>
  <c r="AB26" i="8"/>
  <c r="AB27" i="8" s="1"/>
  <c r="E38" i="8"/>
  <c r="V17" i="8"/>
  <c r="U18" i="8"/>
  <c r="W18" i="8" s="1"/>
  <c r="P14" i="8"/>
  <c r="Y14" i="8"/>
  <c r="W17" i="8"/>
  <c r="E41" i="8" s="1"/>
  <c r="U22" i="8"/>
  <c r="N41" i="8"/>
  <c r="X41" i="8" s="1"/>
  <c r="R22" i="8"/>
  <c r="T17" i="8"/>
  <c r="E40" i="8" s="1"/>
  <c r="N40" i="8"/>
  <c r="X40" i="8" s="1"/>
  <c r="AC17" i="8"/>
  <c r="AA22" i="8"/>
  <c r="X17" i="8"/>
  <c r="X18" i="8" s="1"/>
  <c r="Y17" i="8" s="1"/>
  <c r="H17" i="8"/>
  <c r="H19" i="8" s="1"/>
  <c r="G17" i="8"/>
  <c r="K17" i="8"/>
  <c r="E37" i="8" s="1"/>
  <c r="J17" i="8"/>
  <c r="V16" i="8"/>
  <c r="J18" i="8"/>
  <c r="AB18" i="8"/>
  <c r="S16" i="8"/>
  <c r="Q4" i="8"/>
  <c r="B39" i="8"/>
  <c r="F39" i="8"/>
  <c r="P18" i="8"/>
  <c r="P19" i="8" s="1"/>
  <c r="Z4" i="8"/>
  <c r="B42" i="8"/>
  <c r="X39" i="8"/>
  <c r="W4" i="8"/>
  <c r="X37" i="8"/>
  <c r="T4" i="8"/>
  <c r="F36" i="8"/>
  <c r="AC4" i="8"/>
  <c r="X43" i="8" l="1"/>
  <c r="T43" i="8"/>
  <c r="Q19" i="8"/>
  <c r="H39" i="8" s="1"/>
  <c r="G18" i="8"/>
  <c r="G19" i="8" s="1"/>
  <c r="G20" i="8" s="1"/>
  <c r="AO13" i="8" s="1"/>
  <c r="E3" i="22" s="1"/>
  <c r="F3" i="22" s="1"/>
  <c r="AG17" i="8"/>
  <c r="AI17" i="8" s="1"/>
  <c r="AB19" i="8"/>
  <c r="AB20" i="8" s="1"/>
  <c r="AO20" i="8" s="1"/>
  <c r="E10" i="22" s="1"/>
  <c r="F10" i="22" s="1"/>
  <c r="J19" i="8"/>
  <c r="J20" i="8" s="1"/>
  <c r="AO14" i="8" s="1"/>
  <c r="E4" i="22" s="1"/>
  <c r="F4" i="22" s="1"/>
  <c r="E36" i="8"/>
  <c r="W19" i="8"/>
  <c r="T19" i="8"/>
  <c r="K19" i="8"/>
  <c r="H37" i="8" s="1"/>
  <c r="I37" i="8" s="1"/>
  <c r="X22" i="8"/>
  <c r="AM22" i="8" s="1"/>
  <c r="AC14" i="8"/>
  <c r="G43" i="8" s="1"/>
  <c r="C43" i="8"/>
  <c r="P20" i="8"/>
  <c r="AO16" i="8" s="1"/>
  <c r="E6" i="22" s="1"/>
  <c r="F6" i="22" s="1"/>
  <c r="AC19" i="8"/>
  <c r="N19" i="8"/>
  <c r="Z17" i="8"/>
  <c r="N42" i="8"/>
  <c r="X42" i="8" s="1"/>
  <c r="Y16" i="8"/>
  <c r="Z18" i="8"/>
  <c r="F43" i="8"/>
  <c r="E43" i="8"/>
  <c r="H20" i="8"/>
  <c r="AB34" i="8" s="1"/>
  <c r="S18" i="8"/>
  <c r="S19" i="8" s="1"/>
  <c r="S20" i="8" s="1"/>
  <c r="AO17" i="8" s="1"/>
  <c r="E7" i="22" s="1"/>
  <c r="F7" i="22" s="1"/>
  <c r="F40" i="8"/>
  <c r="C40" i="8"/>
  <c r="T14" i="8"/>
  <c r="G40" i="8" s="1"/>
  <c r="C42" i="8"/>
  <c r="Z14" i="8"/>
  <c r="G42" i="8" s="1"/>
  <c r="C39" i="8"/>
  <c r="Q14" i="8"/>
  <c r="G39" i="8" s="1"/>
  <c r="Y18" i="8"/>
  <c r="C41" i="8"/>
  <c r="W14" i="8"/>
  <c r="G41" i="8" s="1"/>
  <c r="F41" i="8"/>
  <c r="V18" i="8"/>
  <c r="V19" i="8" s="1"/>
  <c r="V20" i="8" s="1"/>
  <c r="AO18" i="8" s="1"/>
  <c r="E8" i="22" s="1"/>
  <c r="F8" i="22" s="1"/>
  <c r="AG18" i="8" l="1"/>
  <c r="AG21" i="8" s="1"/>
  <c r="AH21" i="8" s="1"/>
  <c r="AH17" i="8"/>
  <c r="K20" i="8"/>
  <c r="Z19" i="8"/>
  <c r="Y19" i="8"/>
  <c r="Y20" i="8" s="1"/>
  <c r="AO19" i="8" s="1"/>
  <c r="E9" i="22" s="1"/>
  <c r="F9" i="22" s="1"/>
  <c r="N20" i="8"/>
  <c r="H38" i="8"/>
  <c r="I38" i="8" s="1"/>
  <c r="AC20" i="8"/>
  <c r="H43" i="8"/>
  <c r="I43" i="8" s="1"/>
  <c r="V43" i="8" s="1"/>
  <c r="E42" i="8"/>
  <c r="F42" i="8"/>
  <c r="Q20" i="8"/>
  <c r="H36" i="8"/>
  <c r="I36" i="8" s="1"/>
  <c r="I39" i="8"/>
  <c r="AH18" i="8" l="1"/>
  <c r="AH19" i="8" s="1"/>
  <c r="AI21" i="8"/>
  <c r="AI18" i="8"/>
  <c r="AI19" i="8" s="1"/>
  <c r="AC33" i="8"/>
  <c r="AA31" i="8"/>
  <c r="AC34" i="8"/>
  <c r="W20" i="8"/>
  <c r="H41" i="8"/>
  <c r="I41" i="8" s="1"/>
  <c r="H40" i="8"/>
  <c r="I40" i="8" s="1"/>
  <c r="T20" i="8"/>
  <c r="Z20" i="8"/>
  <c r="H42" i="8"/>
  <c r="I42"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Scott Cole</author>
  </authors>
  <commentList>
    <comment ref="AD2" authorId="0" shapeId="0" xr:uid="{20368508-97B8-3646-90DE-F8D055B78B19}">
      <text>
        <r>
          <rPr>
            <b/>
            <sz val="10"/>
            <color rgb="FF000000"/>
            <rFont val="Tahoma"/>
            <family val="2"/>
          </rPr>
          <t>Microsoft Office User:</t>
        </r>
        <r>
          <rPr>
            <sz val="10"/>
            <color rgb="FF000000"/>
            <rFont val="Tahoma"/>
            <family val="2"/>
          </rPr>
          <t xml:space="preserve">
</t>
        </r>
        <r>
          <rPr>
            <sz val="10"/>
            <color rgb="FF000000"/>
            <rFont val="Tahoma"/>
            <family val="2"/>
          </rPr>
          <t xml:space="preserve">Got directly from SCott needs to be fully updated
</t>
        </r>
      </text>
    </comment>
    <comment ref="AG2" authorId="0" shapeId="0" xr:uid="{4095611D-6371-5C4A-927B-9266B5A98FBD}">
      <text>
        <r>
          <rPr>
            <b/>
            <sz val="10"/>
            <color rgb="FF000000"/>
            <rFont val="Tahoma"/>
            <family val="2"/>
          </rPr>
          <t>Microsoft Office User:</t>
        </r>
        <r>
          <rPr>
            <sz val="10"/>
            <color rgb="FF000000"/>
            <rFont val="Tahoma"/>
            <family val="2"/>
          </rPr>
          <t xml:space="preserve">
</t>
        </r>
        <r>
          <rPr>
            <sz val="10"/>
            <color rgb="FF000000"/>
            <rFont val="Tahoma"/>
            <family val="2"/>
          </rPr>
          <t xml:space="preserve">not updated with FY18 yet
</t>
        </r>
      </text>
    </comment>
    <comment ref="O6" authorId="1" shapeId="0" xr:uid="{00000000-0006-0000-0100-000001000000}">
      <text>
        <r>
          <rPr>
            <b/>
            <sz val="9"/>
            <color rgb="FF000000"/>
            <rFont val="Tahoma"/>
            <family val="2"/>
          </rPr>
          <t>Scott Cole:</t>
        </r>
        <r>
          <rPr>
            <sz val="9"/>
            <color rgb="FF000000"/>
            <rFont val="Tahoma"/>
            <family val="2"/>
          </rPr>
          <t xml:space="preserve">
</t>
        </r>
        <r>
          <rPr>
            <sz val="9"/>
            <color rgb="FF000000"/>
            <rFont val="Tahoma"/>
            <family val="2"/>
          </rPr>
          <t>Updated but missing totals from July thru part of Dec since these were not being collected at the time(prior to my arrival).</t>
        </r>
      </text>
    </comment>
    <comment ref="AA8" authorId="1" shapeId="0" xr:uid="{00000000-0006-0000-0100-000002000000}">
      <text>
        <r>
          <rPr>
            <b/>
            <sz val="9"/>
            <color rgb="FF000000"/>
            <rFont val="Tahoma"/>
            <family val="2"/>
          </rPr>
          <t>Scott Cole:</t>
        </r>
        <r>
          <rPr>
            <sz val="9"/>
            <color rgb="FF000000"/>
            <rFont val="Tahoma"/>
            <family val="2"/>
          </rPr>
          <t xml:space="preserve">
</t>
        </r>
        <r>
          <rPr>
            <sz val="9"/>
            <color rgb="FF000000"/>
            <rFont val="Tahoma"/>
            <family val="2"/>
          </rPr>
          <t>No purchases in FY17</t>
        </r>
      </text>
    </comment>
    <comment ref="O9" authorId="1" shapeId="0" xr:uid="{00000000-0006-0000-0100-000003000000}">
      <text>
        <r>
          <rPr>
            <b/>
            <sz val="9"/>
            <color rgb="FF000000"/>
            <rFont val="Tahoma"/>
            <family val="2"/>
          </rPr>
          <t>Scott Cole:</t>
        </r>
        <r>
          <rPr>
            <sz val="9"/>
            <color rgb="FF000000"/>
            <rFont val="Tahoma"/>
            <family val="2"/>
          </rPr>
          <t xml:space="preserve">
</t>
        </r>
        <r>
          <rPr>
            <sz val="9"/>
            <color rgb="FF000000"/>
            <rFont val="Tahoma"/>
            <family val="2"/>
          </rPr>
          <t>We started using pellets in FY15 so this must be hardwood total.</t>
        </r>
      </text>
    </comment>
    <comment ref="R9" authorId="1" shapeId="0" xr:uid="{00000000-0006-0000-0100-000004000000}">
      <text>
        <r>
          <rPr>
            <b/>
            <sz val="9"/>
            <color indexed="81"/>
            <rFont val="Tahoma"/>
            <family val="2"/>
          </rPr>
          <t>Scott Cole:</t>
        </r>
        <r>
          <rPr>
            <sz val="9"/>
            <color indexed="81"/>
            <rFont val="Tahoma"/>
            <family val="2"/>
          </rPr>
          <t xml:space="preserve">
We started using pellets in FY15 so this must be hardwood total.</t>
        </r>
      </text>
    </comment>
    <comment ref="F17" authorId="0" shapeId="0" xr:uid="{00000000-0006-0000-0100-000005000000}">
      <text>
        <r>
          <rPr>
            <b/>
            <sz val="10"/>
            <color rgb="FF000000"/>
            <rFont val="Tahoma"/>
            <family val="2"/>
          </rPr>
          <t>Microsoft Office User:</t>
        </r>
        <r>
          <rPr>
            <sz val="10"/>
            <color rgb="FF000000"/>
            <rFont val="Tahoma"/>
            <family val="2"/>
          </rPr>
          <t xml:space="preserve">
</t>
        </r>
        <r>
          <rPr>
            <sz val="10"/>
            <color rgb="FF000000"/>
            <rFont val="Tahoma"/>
            <family val="2"/>
          </rPr>
          <t xml:space="preserve">estimated based on Fy13 - FY17 small versus main loads
</t>
        </r>
        <r>
          <rPr>
            <sz val="10"/>
            <color rgb="FF000000"/>
            <rFont val="Tahoma"/>
            <family val="2"/>
          </rPr>
          <t xml:space="preserve">
</t>
        </r>
      </text>
    </comment>
    <comment ref="I17" authorId="0" shapeId="0" xr:uid="{00000000-0006-0000-0100-000006000000}">
      <text>
        <r>
          <rPr>
            <b/>
            <sz val="10"/>
            <color rgb="FF000000"/>
            <rFont val="Tahoma"/>
            <family val="2"/>
          </rPr>
          <t>Microsoft Office User:</t>
        </r>
        <r>
          <rPr>
            <sz val="10"/>
            <color rgb="FF000000"/>
            <rFont val="Tahoma"/>
            <family val="2"/>
          </rPr>
          <t xml:space="preserve">
</t>
        </r>
        <r>
          <rPr>
            <sz val="10"/>
            <color rgb="FF000000"/>
            <rFont val="Calibri"/>
            <family val="2"/>
          </rPr>
          <t xml:space="preserve">estimated based on Fy13 - FY17 small versus main loads
</t>
        </r>
      </text>
    </comment>
    <comment ref="L17" authorId="0" shapeId="0" xr:uid="{00000000-0006-0000-0100-000007000000}">
      <text>
        <r>
          <rPr>
            <b/>
            <sz val="10"/>
            <color rgb="FF000000"/>
            <rFont val="Tahoma"/>
            <family val="2"/>
          </rPr>
          <t>Microsoft Office User:</t>
        </r>
        <r>
          <rPr>
            <sz val="10"/>
            <color rgb="FF000000"/>
            <rFont val="Tahoma"/>
            <family val="2"/>
          </rPr>
          <t xml:space="preserve">
</t>
        </r>
        <r>
          <rPr>
            <sz val="10"/>
            <color rgb="FF000000"/>
            <rFont val="Calibri"/>
            <family val="2"/>
          </rPr>
          <t xml:space="preserve">estimated based on Fy13 - FY17 small versus main loads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Scott Cole</author>
  </authors>
  <commentList>
    <comment ref="E21" authorId="0" shapeId="0" xr:uid="{00000000-0006-0000-0F00-000001000000}">
      <text>
        <r>
          <rPr>
            <b/>
            <sz val="9"/>
            <color indexed="81"/>
            <rFont val="Tahoma"/>
            <family val="2"/>
          </rPr>
          <t>Scott Cole:</t>
        </r>
        <r>
          <rPr>
            <sz val="9"/>
            <color indexed="81"/>
            <rFont val="Tahoma"/>
            <family val="2"/>
          </rPr>
          <t xml:space="preserve">
No gallons as this was minimum use fee.</t>
        </r>
      </text>
    </comment>
    <comment ref="E22" authorId="0" shapeId="0" xr:uid="{00000000-0006-0000-0F00-000002000000}">
      <text>
        <r>
          <rPr>
            <b/>
            <sz val="9"/>
            <color indexed="81"/>
            <rFont val="Tahoma"/>
            <family val="2"/>
          </rPr>
          <t>Scott Cole:</t>
        </r>
        <r>
          <rPr>
            <sz val="9"/>
            <color indexed="81"/>
            <rFont val="Tahoma"/>
            <family val="2"/>
          </rPr>
          <t xml:space="preserve">
No gallons as this was minimum use fee.</t>
        </r>
      </text>
    </comment>
    <comment ref="E23" authorId="0" shapeId="0" xr:uid="{00000000-0006-0000-0F00-000003000000}">
      <text>
        <r>
          <rPr>
            <b/>
            <sz val="9"/>
            <color indexed="81"/>
            <rFont val="Tahoma"/>
            <family val="2"/>
          </rPr>
          <t>Scott Cole:</t>
        </r>
        <r>
          <rPr>
            <sz val="9"/>
            <color indexed="81"/>
            <rFont val="Tahoma"/>
            <family val="2"/>
          </rPr>
          <t xml:space="preserve">
No gallons as this was minimum use fee.</t>
        </r>
      </text>
    </comment>
    <comment ref="E24" authorId="0" shapeId="0" xr:uid="{00000000-0006-0000-0F00-000004000000}">
      <text>
        <r>
          <rPr>
            <b/>
            <sz val="9"/>
            <color indexed="81"/>
            <rFont val="Tahoma"/>
            <family val="2"/>
          </rPr>
          <t>Scott Cole:</t>
        </r>
        <r>
          <rPr>
            <sz val="9"/>
            <color indexed="81"/>
            <rFont val="Tahoma"/>
            <family val="2"/>
          </rPr>
          <t xml:space="preserve">
No gallons as this was minimum use fee.</t>
        </r>
      </text>
    </comment>
    <comment ref="E73" authorId="0" shapeId="0" xr:uid="{00000000-0006-0000-0F00-000005000000}">
      <text>
        <r>
          <rPr>
            <b/>
            <sz val="9"/>
            <color indexed="81"/>
            <rFont val="Tahoma"/>
            <family val="2"/>
          </rPr>
          <t>Scott Cole:</t>
        </r>
        <r>
          <rPr>
            <sz val="9"/>
            <color indexed="81"/>
            <rFont val="Tahoma"/>
            <family val="2"/>
          </rPr>
          <t xml:space="preserve">
120 Gallon Tank Rental for Moore Dorm</t>
        </r>
      </text>
    </comment>
    <comment ref="C84" authorId="0" shapeId="0" xr:uid="{00000000-0006-0000-0F00-000006000000}">
      <text>
        <r>
          <rPr>
            <b/>
            <sz val="9"/>
            <color indexed="81"/>
            <rFont val="Tahoma"/>
            <family val="2"/>
          </rPr>
          <t>Scott Cole:</t>
        </r>
        <r>
          <rPr>
            <sz val="9"/>
            <color indexed="81"/>
            <rFont val="Tahoma"/>
            <family val="2"/>
          </rPr>
          <t xml:space="preserve">
Custodial filled propane at Amherst Sunoco and charged to Sunoco Suntrak card.</t>
        </r>
      </text>
    </comment>
    <comment ref="E108" authorId="0" shapeId="0" xr:uid="{00000000-0006-0000-0F00-000007000000}">
      <text>
        <r>
          <rPr>
            <b/>
            <sz val="9"/>
            <color indexed="81"/>
            <rFont val="Tahoma"/>
            <family val="2"/>
          </rPr>
          <t>Scott Cole:</t>
        </r>
        <r>
          <rPr>
            <sz val="9"/>
            <color indexed="81"/>
            <rFont val="Tahoma"/>
            <family val="2"/>
          </rPr>
          <t xml:space="preserve">
Verbal quantity total from Jeff Isabelle per Osterman 2/6/14 for Mastercard purchase on 1/29/14.</t>
        </r>
      </text>
    </comment>
    <comment ref="B218" authorId="0" shapeId="0" xr:uid="{00000000-0006-0000-0F00-000008000000}">
      <text>
        <r>
          <rPr>
            <b/>
            <sz val="9"/>
            <color indexed="81"/>
            <rFont val="Tahoma"/>
            <family val="2"/>
          </rPr>
          <t>Scott Cole:</t>
        </r>
        <r>
          <rPr>
            <sz val="9"/>
            <color indexed="81"/>
            <rFont val="Tahoma"/>
            <family val="2"/>
          </rPr>
          <t xml:space="preserve">
No date on invoice</t>
        </r>
      </text>
    </comment>
    <comment ref="E233" authorId="0" shapeId="0" xr:uid="{00000000-0006-0000-0F00-000009000000}">
      <text>
        <r>
          <rPr>
            <b/>
            <sz val="9"/>
            <color indexed="81"/>
            <rFont val="Tahoma"/>
            <family val="2"/>
          </rPr>
          <t>Scott Cole:</t>
        </r>
        <r>
          <rPr>
            <sz val="9"/>
            <color indexed="81"/>
            <rFont val="Tahoma"/>
            <family val="2"/>
          </rPr>
          <t xml:space="preserve">
Old tank was removed and new tank was delivered.  Credit was for propane that was in old tank.</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Scott Cole</author>
  </authors>
  <commentList>
    <comment ref="G46" authorId="0" shapeId="0" xr:uid="{00000000-0006-0000-1000-000001000000}">
      <text>
        <r>
          <rPr>
            <b/>
            <sz val="9"/>
            <color indexed="81"/>
            <rFont val="Tahoma"/>
            <family val="2"/>
          </rPr>
          <t>Scott Cole:</t>
        </r>
        <r>
          <rPr>
            <sz val="9"/>
            <color indexed="81"/>
            <rFont val="Tahoma"/>
            <family val="2"/>
          </rPr>
          <t xml:space="preserve">
This invoice had both diesel and oil on it, it was also netted out with the credit above and paid via a wire transfer so that we could take advantage of a 1% discount.</t>
        </r>
      </text>
    </comment>
    <comment ref="G47" authorId="0" shapeId="0" xr:uid="{00000000-0006-0000-1000-000002000000}">
      <text>
        <r>
          <rPr>
            <b/>
            <sz val="9"/>
            <color indexed="81"/>
            <rFont val="Tahoma"/>
            <family val="2"/>
          </rPr>
          <t>Scott Cole:</t>
        </r>
        <r>
          <rPr>
            <sz val="9"/>
            <color indexed="81"/>
            <rFont val="Tahoma"/>
            <family val="2"/>
          </rPr>
          <t xml:space="preserve">
This invoice was paid via a wire transfer so that we could take advantage of a 1% discount.</t>
        </r>
      </text>
    </comment>
    <comment ref="G48" authorId="0" shapeId="0" xr:uid="{00000000-0006-0000-1000-000003000000}">
      <text>
        <r>
          <rPr>
            <b/>
            <sz val="9"/>
            <color indexed="81"/>
            <rFont val="Tahoma"/>
            <family val="2"/>
          </rPr>
          <t>Scott Cole:</t>
        </r>
        <r>
          <rPr>
            <sz val="9"/>
            <color indexed="81"/>
            <rFont val="Tahoma"/>
            <family val="2"/>
          </rPr>
          <t xml:space="preserve">
This invoice was paid via a wire transfer so that we could take advantage of a 1% discount.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Scott Cole</author>
  </authors>
  <commentList>
    <comment ref="E44" authorId="0" shapeId="0" xr:uid="{00000000-0006-0000-0300-000001000000}">
      <text>
        <r>
          <rPr>
            <b/>
            <sz val="9"/>
            <color indexed="81"/>
            <rFont val="Tahoma"/>
            <family val="2"/>
          </rPr>
          <t>Scott Cole:</t>
        </r>
        <r>
          <rPr>
            <sz val="9"/>
            <color indexed="81"/>
            <rFont val="Tahoma"/>
            <family val="2"/>
          </rPr>
          <t xml:space="preserve">
Added in $300 WMECO/NU bill for Mdata online access.</t>
        </r>
      </text>
    </comment>
    <comment ref="E265" authorId="0" shapeId="0" xr:uid="{00000000-0006-0000-0300-000002000000}">
      <text>
        <r>
          <rPr>
            <b/>
            <sz val="9"/>
            <color indexed="81"/>
            <rFont val="Tahoma"/>
            <family val="2"/>
          </rPr>
          <t>Scott Cole:</t>
        </r>
        <r>
          <rPr>
            <sz val="9"/>
            <color indexed="81"/>
            <rFont val="Tahoma"/>
            <family val="2"/>
          </rPr>
          <t xml:space="preserve">
Second invoice added for adjustment charges related to 12/1/16 thru 2/28/17</t>
        </r>
      </text>
    </comment>
    <comment ref="E315" authorId="0" shapeId="0" xr:uid="{00000000-0006-0000-0300-000003000000}">
      <text>
        <r>
          <rPr>
            <b/>
            <sz val="9"/>
            <color indexed="81"/>
            <rFont val="Tahoma"/>
            <family val="2"/>
          </rPr>
          <t>Scott Cole:</t>
        </r>
        <r>
          <rPr>
            <sz val="9"/>
            <color indexed="81"/>
            <rFont val="Tahoma"/>
            <family val="2"/>
          </rPr>
          <t xml:space="preserve">
Second invoice added for adjustment charges related to 12/1/16 thru 2/28/17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Scott Cole</author>
  </authors>
  <commentList>
    <comment ref="F246" authorId="0" shapeId="0" xr:uid="{00000000-0006-0000-0400-000001000000}">
      <text>
        <r>
          <rPr>
            <b/>
            <sz val="9"/>
            <color indexed="81"/>
            <rFont val="Tahoma"/>
            <family val="2"/>
          </rPr>
          <t>Scott Cole:</t>
        </r>
        <r>
          <rPr>
            <sz val="9"/>
            <color indexed="81"/>
            <rFont val="Tahoma"/>
            <family val="2"/>
          </rPr>
          <t xml:space="preserve">
This is the amount that was sent for payment on 9/5/12.  It was August total plus July total which overpaid WMECO acct # 54085771020.</t>
        </r>
      </text>
    </comment>
    <comment ref="F275" authorId="0" shapeId="0" xr:uid="{00000000-0006-0000-0400-000002000000}">
      <text>
        <r>
          <rPr>
            <b/>
            <sz val="9"/>
            <color indexed="81"/>
            <rFont val="Tahoma"/>
            <family val="2"/>
          </rPr>
          <t>Scott Cole:</t>
        </r>
        <r>
          <rPr>
            <sz val="9"/>
            <color indexed="81"/>
            <rFont val="Tahoma"/>
            <family val="2"/>
          </rPr>
          <t xml:space="preserve">
This is what correct amount for August shold have been for WMECO acct # 54085771020, College Street &amp; 79 S Pleasant St.</t>
        </r>
      </text>
    </comment>
    <comment ref="H275" authorId="0" shapeId="0" xr:uid="{00000000-0006-0000-0400-000003000000}">
      <text>
        <r>
          <rPr>
            <b/>
            <sz val="9"/>
            <color indexed="81"/>
            <rFont val="Tahoma"/>
            <family val="2"/>
          </rPr>
          <t>Scott Cole:</t>
        </r>
        <r>
          <rPr>
            <sz val="9"/>
            <color indexed="81"/>
            <rFont val="Tahoma"/>
            <family val="2"/>
          </rPr>
          <t xml:space="preserve">
This is the total amount overpaid for August billing on WMECO acct # 54085771020.</t>
        </r>
      </text>
    </comment>
    <comment ref="F292" authorId="0" shapeId="0" xr:uid="{00000000-0006-0000-0400-000004000000}">
      <text>
        <r>
          <rPr>
            <b/>
            <sz val="9"/>
            <color indexed="81"/>
            <rFont val="Tahoma"/>
            <family val="2"/>
          </rPr>
          <t>Scott Cole:</t>
        </r>
        <r>
          <rPr>
            <sz val="9"/>
            <color indexed="81"/>
            <rFont val="Tahoma"/>
            <family val="2"/>
          </rPr>
          <t xml:space="preserve">
No $ amounts in account for previous month.  Used totals from two billing lines for this amount.</t>
        </r>
      </text>
    </comment>
    <comment ref="F302" authorId="0" shapeId="0" xr:uid="{00000000-0006-0000-0400-000005000000}">
      <text>
        <r>
          <rPr>
            <b/>
            <sz val="9"/>
            <color indexed="81"/>
            <rFont val="Tahoma"/>
            <family val="2"/>
          </rPr>
          <t>Scott Cole:</t>
        </r>
        <r>
          <rPr>
            <sz val="9"/>
            <color indexed="81"/>
            <rFont val="Tahoma"/>
            <family val="2"/>
          </rPr>
          <t xml:space="preserve">
This is what correct amount for August shold have been for WMECO acct # 54004571089.</t>
        </r>
      </text>
    </comment>
    <comment ref="H383" authorId="0" shapeId="0" xr:uid="{00000000-0006-0000-0400-000006000000}">
      <text>
        <r>
          <rPr>
            <b/>
            <sz val="9"/>
            <color indexed="81"/>
            <rFont val="Tahoma"/>
            <family val="2"/>
          </rPr>
          <t>Scott Cole:</t>
        </r>
        <r>
          <rPr>
            <sz val="9"/>
            <color indexed="81"/>
            <rFont val="Tahoma"/>
            <family val="2"/>
          </rPr>
          <t xml:space="preserve">
Paid $25,570.08 per Colleen Gusmano email.</t>
        </r>
      </text>
    </comment>
    <comment ref="H410" authorId="0" shapeId="0" xr:uid="{00000000-0006-0000-0400-000007000000}">
      <text>
        <r>
          <rPr>
            <b/>
            <sz val="9"/>
            <color indexed="81"/>
            <rFont val="Tahoma"/>
            <family val="2"/>
          </rPr>
          <t>Scott Cole:</t>
        </r>
        <r>
          <rPr>
            <sz val="9"/>
            <color indexed="81"/>
            <rFont val="Tahoma"/>
            <family val="2"/>
          </rPr>
          <t xml:space="preserve">
Paid $23,578.38 per Colleen Gusmano email.</t>
        </r>
      </text>
    </comment>
    <comment ref="F511" authorId="0" shapeId="0" xr:uid="{00000000-0006-0000-0400-000008000000}">
      <text>
        <r>
          <rPr>
            <b/>
            <sz val="9"/>
            <color indexed="81"/>
            <rFont val="Tahoma"/>
            <family val="2"/>
          </rPr>
          <t>Scott Cole:</t>
        </r>
        <r>
          <rPr>
            <sz val="9"/>
            <color indexed="81"/>
            <rFont val="Tahoma"/>
            <family val="2"/>
          </rPr>
          <t xml:space="preserve">
This $8 was sent separately from the other amounts.  It was not listed on the summary billing so was sent individually for final billing on this service account.</t>
        </r>
      </text>
    </comment>
    <comment ref="F530" authorId="0" shapeId="0" xr:uid="{00000000-0006-0000-0400-000009000000}">
      <text>
        <r>
          <rPr>
            <b/>
            <sz val="9"/>
            <color indexed="81"/>
            <rFont val="Tahoma"/>
            <family val="2"/>
          </rPr>
          <t>Scott Cole:</t>
        </r>
        <r>
          <rPr>
            <sz val="9"/>
            <color indexed="81"/>
            <rFont val="Tahoma"/>
            <family val="2"/>
          </rPr>
          <t xml:space="preserve">
This $8 was sent separately from the other amounts.  It was not listed on the summary billing so was sent individually for final billing on this service account.</t>
        </r>
      </text>
    </comment>
    <comment ref="A643" authorId="0" shapeId="0" xr:uid="{00000000-0006-0000-0400-00000A000000}">
      <text>
        <r>
          <rPr>
            <b/>
            <sz val="9"/>
            <color indexed="81"/>
            <rFont val="Tahoma"/>
            <family val="2"/>
          </rPr>
          <t>Scott Cole:</t>
        </r>
        <r>
          <rPr>
            <sz val="9"/>
            <color indexed="81"/>
            <rFont val="Tahoma"/>
            <family val="2"/>
          </rPr>
          <t xml:space="preserve">
New acct transferred from 447921002 March 2013.</t>
        </r>
      </text>
    </comment>
    <comment ref="A721" authorId="0" shapeId="0" xr:uid="{00000000-0006-0000-0400-00000B000000}">
      <text>
        <r>
          <rPr>
            <b/>
            <sz val="9"/>
            <color indexed="81"/>
            <rFont val="Tahoma"/>
            <family val="2"/>
          </rPr>
          <t>Scott Cole:</t>
        </r>
        <r>
          <rPr>
            <sz val="9"/>
            <color indexed="81"/>
            <rFont val="Tahoma"/>
            <family val="2"/>
          </rPr>
          <t xml:space="preserve">
New acct transferred from 447921002 March 2013.</t>
        </r>
      </text>
    </comment>
    <comment ref="A785" authorId="0" shapeId="0" xr:uid="{00000000-0006-0000-0400-00000C000000}">
      <text>
        <r>
          <rPr>
            <b/>
            <sz val="9"/>
            <color indexed="81"/>
            <rFont val="Tahoma"/>
            <family val="2"/>
          </rPr>
          <t>Scott Cole:</t>
        </r>
        <r>
          <rPr>
            <sz val="9"/>
            <color indexed="81"/>
            <rFont val="Tahoma"/>
            <family val="2"/>
          </rPr>
          <t xml:space="preserve">
New acct transferred from 447921002 March 2013.</t>
        </r>
      </text>
    </comment>
    <comment ref="A849" authorId="0" shapeId="0" xr:uid="{00000000-0006-0000-0400-00000D000000}">
      <text>
        <r>
          <rPr>
            <b/>
            <sz val="9"/>
            <color indexed="81"/>
            <rFont val="Tahoma"/>
            <family val="2"/>
          </rPr>
          <t>Scott Cole:</t>
        </r>
        <r>
          <rPr>
            <sz val="9"/>
            <color indexed="81"/>
            <rFont val="Tahoma"/>
            <family val="2"/>
          </rPr>
          <t xml:space="preserve">
New acct transferred from 447921002 March 2013.</t>
        </r>
      </text>
    </comment>
    <comment ref="A913" authorId="0" shapeId="0" xr:uid="{00000000-0006-0000-0400-00000E000000}">
      <text>
        <r>
          <rPr>
            <b/>
            <sz val="9"/>
            <color indexed="81"/>
            <rFont val="Tahoma"/>
            <family val="2"/>
          </rPr>
          <t>Scott Cole:</t>
        </r>
        <r>
          <rPr>
            <sz val="9"/>
            <color indexed="81"/>
            <rFont val="Tahoma"/>
            <family val="2"/>
          </rPr>
          <t xml:space="preserve">
New acct transferred from 447921002 March 2013.</t>
        </r>
      </text>
    </comment>
    <comment ref="A979" authorId="0" shapeId="0" xr:uid="{00000000-0006-0000-0400-00000F000000}">
      <text>
        <r>
          <rPr>
            <b/>
            <sz val="9"/>
            <color indexed="81"/>
            <rFont val="Tahoma"/>
            <family val="2"/>
          </rPr>
          <t>Scott Cole:</t>
        </r>
        <r>
          <rPr>
            <sz val="9"/>
            <color indexed="81"/>
            <rFont val="Tahoma"/>
            <family val="2"/>
          </rPr>
          <t xml:space="preserve">
New acct transferred from 447921002 March 2013.</t>
        </r>
      </text>
    </comment>
    <comment ref="E3145" authorId="0" shapeId="0" xr:uid="{00000000-0006-0000-0400-000010000000}">
      <text>
        <r>
          <rPr>
            <b/>
            <sz val="9"/>
            <color indexed="81"/>
            <rFont val="Tahoma"/>
            <family val="2"/>
          </rPr>
          <t>Scott Cole:</t>
        </r>
        <r>
          <rPr>
            <sz val="9"/>
            <color indexed="81"/>
            <rFont val="Tahoma"/>
            <family val="2"/>
          </rPr>
          <t xml:space="preserve">
Taken from adjusted summary bill received 6/10/16.</t>
        </r>
      </text>
    </comment>
    <comment ref="E3146" authorId="0" shapeId="0" xr:uid="{00000000-0006-0000-0400-000011000000}">
      <text>
        <r>
          <rPr>
            <b/>
            <sz val="9"/>
            <color indexed="81"/>
            <rFont val="Tahoma"/>
            <family val="2"/>
          </rPr>
          <t>Scott Cole:</t>
        </r>
        <r>
          <rPr>
            <sz val="9"/>
            <color indexed="81"/>
            <rFont val="Tahoma"/>
            <family val="2"/>
          </rPr>
          <t xml:space="preserve">
Taken from Eversource individual meter website as of 7/14/16 due to estimated readings and adjusted actual readings occuring between April thru June.</t>
        </r>
      </text>
    </comment>
    <comment ref="F3983" authorId="0" shapeId="0" xr:uid="{00000000-0006-0000-0400-000012000000}">
      <text>
        <r>
          <rPr>
            <b/>
            <sz val="9"/>
            <color indexed="81"/>
            <rFont val="Tahoma"/>
            <family val="2"/>
          </rPr>
          <t>Scott Cole:</t>
        </r>
        <r>
          <rPr>
            <sz val="9"/>
            <color indexed="81"/>
            <rFont val="Tahoma"/>
            <family val="2"/>
          </rPr>
          <t xml:space="preserve">
Eversource was carrying a credit of $34.65 on the summary account.  I ran it thru 79SP to bring the summary back in balance.</t>
        </r>
      </text>
    </comment>
    <comment ref="F4001" authorId="0" shapeId="0" xr:uid="{00000000-0006-0000-0400-000013000000}">
      <text>
        <r>
          <rPr>
            <b/>
            <sz val="9"/>
            <color indexed="81"/>
            <rFont val="Tahoma"/>
            <family val="2"/>
          </rPr>
          <t>Scott Cole:</t>
        </r>
        <r>
          <rPr>
            <sz val="9"/>
            <color indexed="81"/>
            <rFont val="Tahoma"/>
            <family val="2"/>
          </rPr>
          <t xml:space="preserve">
Eversource was carrying a credit of $.14 on the summary account.  I ran it thru 3 Mayo Smith to bring the summary back in balance.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Scott Cole</author>
  </authors>
  <commentList>
    <comment ref="Q236" authorId="0" shapeId="0" xr:uid="{00000000-0006-0000-0500-000001000000}">
      <text>
        <r>
          <rPr>
            <b/>
            <sz val="9"/>
            <color indexed="81"/>
            <rFont val="Tahoma"/>
            <family val="2"/>
          </rPr>
          <t>Scott Cole:</t>
        </r>
        <r>
          <rPr>
            <sz val="9"/>
            <color indexed="81"/>
            <rFont val="Tahoma"/>
            <family val="2"/>
          </rPr>
          <t xml:space="preserve">
Diesel for generators prior to Hurricane Sandy.</t>
        </r>
      </text>
    </comment>
    <comment ref="G359" authorId="0" shapeId="0" xr:uid="{00000000-0006-0000-0500-000002000000}">
      <text>
        <r>
          <rPr>
            <b/>
            <sz val="9"/>
            <color indexed="81"/>
            <rFont val="Tahoma"/>
            <family val="2"/>
          </rPr>
          <t>Scott Cole:</t>
        </r>
        <r>
          <rPr>
            <sz val="9"/>
            <color indexed="81"/>
            <rFont val="Tahoma"/>
            <family val="2"/>
          </rPr>
          <t xml:space="preserve">
FL Roberts had us short pay an invoice as they did not think we needed to pay MA excise tax but found out that we actually do.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Scott Cole</author>
  </authors>
  <commentList>
    <comment ref="I230" authorId="0" shapeId="0" xr:uid="{00000000-0006-0000-0600-000001000000}">
      <text>
        <r>
          <rPr>
            <b/>
            <sz val="9"/>
            <color indexed="81"/>
            <rFont val="Tahoma"/>
            <family val="2"/>
          </rPr>
          <t>Scott Cole:</t>
        </r>
        <r>
          <rPr>
            <sz val="9"/>
            <color indexed="81"/>
            <rFont val="Tahoma"/>
            <family val="2"/>
          </rPr>
          <t xml:space="preserve">
Using fuel prices on 10/1/14 as price comparison.</t>
        </r>
      </text>
    </comment>
    <comment ref="C241" authorId="0" shapeId="0" xr:uid="{00000000-0006-0000-0600-000002000000}">
      <text>
        <r>
          <rPr>
            <b/>
            <sz val="9"/>
            <color indexed="81"/>
            <rFont val="Tahoma"/>
            <family val="2"/>
          </rPr>
          <t>Scott Cole:</t>
        </r>
        <r>
          <rPr>
            <sz val="9"/>
            <color indexed="81"/>
            <rFont val="Tahoma"/>
            <family val="2"/>
          </rPr>
          <t xml:space="preserve">
Subtracted fuel rebate from total</t>
        </r>
      </text>
    </comment>
    <comment ref="C242" authorId="0" shapeId="0" xr:uid="{00000000-0006-0000-0600-000003000000}">
      <text>
        <r>
          <rPr>
            <b/>
            <sz val="9"/>
            <color indexed="81"/>
            <rFont val="Tahoma"/>
            <family val="2"/>
          </rPr>
          <t>Scott Cole:</t>
        </r>
        <r>
          <rPr>
            <sz val="9"/>
            <color indexed="81"/>
            <rFont val="Tahoma"/>
            <family val="2"/>
          </rPr>
          <t xml:space="preserve">
Subtracted fuel rebate from total</t>
        </r>
      </text>
    </comment>
    <comment ref="C243" authorId="0" shapeId="0" xr:uid="{00000000-0006-0000-0600-000004000000}">
      <text>
        <r>
          <rPr>
            <b/>
            <sz val="9"/>
            <color indexed="81"/>
            <rFont val="Tahoma"/>
            <family val="2"/>
          </rPr>
          <t>Scott Cole:</t>
        </r>
        <r>
          <rPr>
            <sz val="9"/>
            <color indexed="81"/>
            <rFont val="Tahoma"/>
            <family val="2"/>
          </rPr>
          <t xml:space="preserve">
Subtracted fuel rebate from total</t>
        </r>
      </text>
    </comment>
    <comment ref="C244" authorId="0" shapeId="0" xr:uid="{00000000-0006-0000-0600-000005000000}">
      <text>
        <r>
          <rPr>
            <b/>
            <sz val="9"/>
            <color indexed="81"/>
            <rFont val="Tahoma"/>
            <family val="2"/>
          </rPr>
          <t>Scott Cole:</t>
        </r>
        <r>
          <rPr>
            <sz val="9"/>
            <color indexed="81"/>
            <rFont val="Tahoma"/>
            <family val="2"/>
          </rPr>
          <t xml:space="preserve">
Subtracted fuel rebate from total</t>
        </r>
      </text>
    </comment>
    <comment ref="C245" authorId="0" shapeId="0" xr:uid="{00000000-0006-0000-0600-000006000000}">
      <text>
        <r>
          <rPr>
            <b/>
            <sz val="9"/>
            <color indexed="81"/>
            <rFont val="Tahoma"/>
            <family val="2"/>
          </rPr>
          <t>Scott Cole:</t>
        </r>
        <r>
          <rPr>
            <sz val="9"/>
            <color indexed="81"/>
            <rFont val="Tahoma"/>
            <family val="2"/>
          </rPr>
          <t xml:space="preserve">
Subtracted fuel rebate from total</t>
        </r>
      </text>
    </comment>
    <comment ref="C246" authorId="0" shapeId="0" xr:uid="{00000000-0006-0000-0600-000007000000}">
      <text>
        <r>
          <rPr>
            <b/>
            <sz val="9"/>
            <color indexed="81"/>
            <rFont val="Tahoma"/>
            <family val="2"/>
          </rPr>
          <t>Scott Cole:</t>
        </r>
        <r>
          <rPr>
            <sz val="9"/>
            <color indexed="81"/>
            <rFont val="Tahoma"/>
            <family val="2"/>
          </rPr>
          <t xml:space="preserve">
Subtracted fuel rebate from total</t>
        </r>
      </text>
    </comment>
    <comment ref="C247" authorId="0" shapeId="0" xr:uid="{00000000-0006-0000-0600-000008000000}">
      <text>
        <r>
          <rPr>
            <b/>
            <sz val="9"/>
            <color indexed="81"/>
            <rFont val="Tahoma"/>
            <family val="2"/>
          </rPr>
          <t>Scott Cole:</t>
        </r>
        <r>
          <rPr>
            <sz val="9"/>
            <color indexed="81"/>
            <rFont val="Tahoma"/>
            <family val="2"/>
          </rPr>
          <t xml:space="preserve">
Subtracted fuel rebate from total</t>
        </r>
      </text>
    </comment>
    <comment ref="I256" authorId="0" shapeId="0" xr:uid="{00000000-0006-0000-0600-000009000000}">
      <text>
        <r>
          <rPr>
            <b/>
            <sz val="9"/>
            <color indexed="81"/>
            <rFont val="Tahoma"/>
            <family val="2"/>
          </rPr>
          <t>Scott Cole:</t>
        </r>
        <r>
          <rPr>
            <sz val="9"/>
            <color indexed="81"/>
            <rFont val="Tahoma"/>
            <family val="2"/>
          </rPr>
          <t xml:space="preserve">
Using fuel prices on 10/1/14 as price comparison.</t>
        </r>
      </text>
    </comment>
    <comment ref="C263" authorId="0" shapeId="0" xr:uid="{00000000-0006-0000-0600-00000A000000}">
      <text>
        <r>
          <rPr>
            <b/>
            <sz val="9"/>
            <color indexed="81"/>
            <rFont val="Tahoma"/>
            <family val="2"/>
          </rPr>
          <t>Scott Cole:</t>
        </r>
        <r>
          <rPr>
            <sz val="9"/>
            <color indexed="81"/>
            <rFont val="Tahoma"/>
            <family val="2"/>
          </rPr>
          <t xml:space="preserve">
Subtracted fuel rebate from total</t>
        </r>
      </text>
    </comment>
    <comment ref="C264" authorId="0" shapeId="0" xr:uid="{00000000-0006-0000-0600-00000B000000}">
      <text>
        <r>
          <rPr>
            <b/>
            <sz val="9"/>
            <color indexed="81"/>
            <rFont val="Tahoma"/>
            <family val="2"/>
          </rPr>
          <t>Scott Cole:</t>
        </r>
        <r>
          <rPr>
            <sz val="9"/>
            <color indexed="81"/>
            <rFont val="Tahoma"/>
            <family val="2"/>
          </rPr>
          <t xml:space="preserve">
Wex forgot to process rebate this month.  Will be done next month.</t>
        </r>
      </text>
    </comment>
    <comment ref="C265" authorId="0" shapeId="0" xr:uid="{00000000-0006-0000-0600-00000C000000}">
      <text>
        <r>
          <rPr>
            <b/>
            <sz val="9"/>
            <color indexed="81"/>
            <rFont val="Tahoma"/>
            <family val="2"/>
          </rPr>
          <t>Scott Cole:</t>
        </r>
        <r>
          <rPr>
            <sz val="9"/>
            <color indexed="81"/>
            <rFont val="Tahoma"/>
            <family val="2"/>
          </rPr>
          <t xml:space="preserve">
Subtracted fuel rebate from total</t>
        </r>
      </text>
    </comment>
    <comment ref="C266" authorId="0" shapeId="0" xr:uid="{00000000-0006-0000-0600-00000D000000}">
      <text>
        <r>
          <rPr>
            <b/>
            <sz val="9"/>
            <color indexed="81"/>
            <rFont val="Tahoma"/>
            <family val="2"/>
          </rPr>
          <t>Scott Cole:</t>
        </r>
        <r>
          <rPr>
            <sz val="9"/>
            <color indexed="81"/>
            <rFont val="Tahoma"/>
            <family val="2"/>
          </rPr>
          <t xml:space="preserve">
Subtracted fuel rebate from total</t>
        </r>
      </text>
    </comment>
    <comment ref="C267" authorId="0" shapeId="0" xr:uid="{00000000-0006-0000-0600-00000E000000}">
      <text>
        <r>
          <rPr>
            <b/>
            <sz val="9"/>
            <color indexed="81"/>
            <rFont val="Tahoma"/>
            <family val="2"/>
          </rPr>
          <t>Scott Cole:</t>
        </r>
        <r>
          <rPr>
            <sz val="9"/>
            <color indexed="81"/>
            <rFont val="Tahoma"/>
            <family val="2"/>
          </rPr>
          <t xml:space="preserve">
Subtracted fuel rebate from total</t>
        </r>
      </text>
    </comment>
    <comment ref="C268" authorId="0" shapeId="0" xr:uid="{00000000-0006-0000-0600-00000F000000}">
      <text>
        <r>
          <rPr>
            <b/>
            <sz val="9"/>
            <color indexed="81"/>
            <rFont val="Tahoma"/>
            <family val="2"/>
          </rPr>
          <t>Scott Cole:</t>
        </r>
        <r>
          <rPr>
            <sz val="9"/>
            <color indexed="81"/>
            <rFont val="Tahoma"/>
            <family val="2"/>
          </rPr>
          <t xml:space="preserve">
Subtracted fuel rebate from total</t>
        </r>
      </text>
    </comment>
    <comment ref="C269" authorId="0" shapeId="0" xr:uid="{00000000-0006-0000-0600-000010000000}">
      <text>
        <r>
          <rPr>
            <b/>
            <sz val="9"/>
            <color indexed="81"/>
            <rFont val="Tahoma"/>
            <family val="2"/>
          </rPr>
          <t>Scott Cole:</t>
        </r>
        <r>
          <rPr>
            <sz val="9"/>
            <color indexed="81"/>
            <rFont val="Tahoma"/>
            <family val="2"/>
          </rPr>
          <t xml:space="preserve">
Subtracted fuel rebate from total</t>
        </r>
      </text>
    </comment>
    <comment ref="C270" authorId="0" shapeId="0" xr:uid="{00000000-0006-0000-0600-000011000000}">
      <text>
        <r>
          <rPr>
            <b/>
            <sz val="9"/>
            <color indexed="81"/>
            <rFont val="Tahoma"/>
            <family val="2"/>
          </rPr>
          <t>Scott Cole:</t>
        </r>
        <r>
          <rPr>
            <sz val="9"/>
            <color indexed="81"/>
            <rFont val="Tahoma"/>
            <family val="2"/>
          </rPr>
          <t xml:space="preserve">
Subtracted fuel rebate from total</t>
        </r>
      </text>
    </comment>
    <comment ref="C271" authorId="0" shapeId="0" xr:uid="{00000000-0006-0000-0600-000012000000}">
      <text>
        <r>
          <rPr>
            <b/>
            <sz val="9"/>
            <color indexed="81"/>
            <rFont val="Tahoma"/>
            <family val="2"/>
          </rPr>
          <t>Scott Cole:</t>
        </r>
        <r>
          <rPr>
            <sz val="9"/>
            <color indexed="81"/>
            <rFont val="Tahoma"/>
            <family val="2"/>
          </rPr>
          <t xml:space="preserve">
Subtracted fuel rebate from total</t>
        </r>
      </text>
    </comment>
    <comment ref="C272" authorId="0" shapeId="0" xr:uid="{00000000-0006-0000-0600-000013000000}">
      <text>
        <r>
          <rPr>
            <b/>
            <sz val="9"/>
            <color indexed="81"/>
            <rFont val="Tahoma"/>
            <family val="2"/>
          </rPr>
          <t>Scott Cole:</t>
        </r>
        <r>
          <rPr>
            <sz val="9"/>
            <color indexed="81"/>
            <rFont val="Tahoma"/>
            <family val="2"/>
          </rPr>
          <t xml:space="preserve">
Subtracted fuel rebate from total</t>
        </r>
      </text>
    </comment>
    <comment ref="C273" authorId="0" shapeId="0" xr:uid="{00000000-0006-0000-0600-000014000000}">
      <text>
        <r>
          <rPr>
            <b/>
            <sz val="9"/>
            <color indexed="81"/>
            <rFont val="Tahoma"/>
            <family val="2"/>
          </rPr>
          <t>Scott Cole:</t>
        </r>
        <r>
          <rPr>
            <sz val="9"/>
            <color indexed="81"/>
            <rFont val="Tahoma"/>
            <family val="2"/>
          </rPr>
          <t xml:space="preserve">
Subtracted fuel rebate from total</t>
        </r>
      </text>
    </comment>
    <comment ref="C274" authorId="0" shapeId="0" xr:uid="{00000000-0006-0000-0600-000015000000}">
      <text>
        <r>
          <rPr>
            <b/>
            <sz val="9"/>
            <color indexed="81"/>
            <rFont val="Tahoma"/>
            <family val="2"/>
          </rPr>
          <t>Scott Cole:</t>
        </r>
        <r>
          <rPr>
            <sz val="9"/>
            <color indexed="81"/>
            <rFont val="Tahoma"/>
            <family val="2"/>
          </rPr>
          <t xml:space="preserve">
Subtracted fuel rebate from total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Scott Cole</author>
  </authors>
  <commentList>
    <comment ref="G743" authorId="0" shapeId="0" xr:uid="{00000000-0006-0000-0900-000001000000}">
      <text>
        <r>
          <rPr>
            <b/>
            <sz val="9"/>
            <color indexed="81"/>
            <rFont val="Tahoma"/>
            <family val="2"/>
          </rPr>
          <t>Scott Cole:</t>
        </r>
        <r>
          <rPr>
            <sz val="9"/>
            <color indexed="81"/>
            <rFont val="Tahoma"/>
            <family val="2"/>
          </rPr>
          <t xml:space="preserve">
This invoice was not received by me until 8/3/16 so it was determined to just charge it to FY17.</t>
        </r>
      </text>
    </comment>
    <comment ref="G857" authorId="0" shapeId="0" xr:uid="{00000000-0006-0000-0900-000002000000}">
      <text>
        <r>
          <rPr>
            <b/>
            <sz val="9"/>
            <color indexed="81"/>
            <rFont val="Tahoma"/>
            <family val="2"/>
          </rPr>
          <t>Scott Cole:</t>
        </r>
        <r>
          <rPr>
            <sz val="9"/>
            <color indexed="81"/>
            <rFont val="Tahoma"/>
            <family val="2"/>
          </rPr>
          <t xml:space="preserve">
This invoice was not received by me until 8/3/16 so it was determined to just charge it to FY17.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Scott Cole</author>
  </authors>
  <commentList>
    <comment ref="G17" authorId="0" shapeId="0" xr:uid="{00000000-0006-0000-0A00-000001000000}">
      <text>
        <r>
          <rPr>
            <b/>
            <sz val="9"/>
            <color indexed="81"/>
            <rFont val="Tahoma"/>
            <family val="2"/>
          </rPr>
          <t>Scott Cole:</t>
        </r>
        <r>
          <rPr>
            <sz val="9"/>
            <color indexed="81"/>
            <rFont val="Tahoma"/>
            <family val="2"/>
          </rPr>
          <t xml:space="preserve">
This invoice had both diesel and oil on it, it was also netted out with the credit above and paid via a wire transfer so that we could take advantage of a 1% discount.</t>
        </r>
      </text>
    </comment>
    <comment ref="G18" authorId="0" shapeId="0" xr:uid="{00000000-0006-0000-0A00-000002000000}">
      <text>
        <r>
          <rPr>
            <b/>
            <sz val="9"/>
            <color indexed="81"/>
            <rFont val="Tahoma"/>
            <family val="2"/>
          </rPr>
          <t>Scott Cole:</t>
        </r>
        <r>
          <rPr>
            <sz val="9"/>
            <color indexed="81"/>
            <rFont val="Tahoma"/>
            <family val="2"/>
          </rPr>
          <t xml:space="preserve">
This invoice was paid via a wire transfer so that we could take advantage of a 1% discount.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Scott Cole</author>
  </authors>
  <commentList>
    <comment ref="K28" authorId="0" shapeId="0" xr:uid="{00000000-0006-0000-0B00-000001000000}">
      <text>
        <r>
          <rPr>
            <b/>
            <sz val="9"/>
            <color indexed="81"/>
            <rFont val="Tahoma"/>
            <family val="2"/>
          </rPr>
          <t>Scott Cole:</t>
        </r>
        <r>
          <rPr>
            <sz val="9"/>
            <color indexed="81"/>
            <rFont val="Tahoma"/>
            <family val="2"/>
          </rPr>
          <t xml:space="preserve">
Insert bill total here to calculate % of Shell bill for Cogen &amp; Main meter.</t>
        </r>
      </text>
    </comment>
    <comment ref="K32" authorId="0" shapeId="0" xr:uid="{00000000-0006-0000-0B00-000002000000}">
      <text>
        <r>
          <rPr>
            <b/>
            <sz val="9"/>
            <color indexed="81"/>
            <rFont val="Tahoma"/>
            <family val="2"/>
          </rPr>
          <t>Scott Cole:</t>
        </r>
        <r>
          <rPr>
            <sz val="9"/>
            <color indexed="81"/>
            <rFont val="Tahoma"/>
            <family val="2"/>
          </rPr>
          <t xml:space="preserve">
Insert bill total here to calculate % of Shell bill for Cogen &amp; Main meter.</t>
        </r>
      </text>
    </comment>
    <comment ref="K36" authorId="0" shapeId="0" xr:uid="{00000000-0006-0000-0B00-000003000000}">
      <text>
        <r>
          <rPr>
            <b/>
            <sz val="9"/>
            <color indexed="81"/>
            <rFont val="Tahoma"/>
            <family val="2"/>
          </rPr>
          <t>Scott Cole:</t>
        </r>
        <r>
          <rPr>
            <sz val="9"/>
            <color indexed="81"/>
            <rFont val="Tahoma"/>
            <family val="2"/>
          </rPr>
          <t xml:space="preserve">
Insert bill total here to calculate % of Shell bill for Cogen &amp; Main meter.</t>
        </r>
      </text>
    </comment>
    <comment ref="K40" authorId="0" shapeId="0" xr:uid="{00000000-0006-0000-0B00-000004000000}">
      <text>
        <r>
          <rPr>
            <b/>
            <sz val="9"/>
            <color indexed="81"/>
            <rFont val="Tahoma"/>
            <family val="2"/>
          </rPr>
          <t>Scott Cole:</t>
        </r>
        <r>
          <rPr>
            <sz val="9"/>
            <color indexed="81"/>
            <rFont val="Tahoma"/>
            <family val="2"/>
          </rPr>
          <t xml:space="preserve">
Insert bill total here to calculate % of Shell bill for Cogen &amp; Main meter.</t>
        </r>
      </text>
    </comment>
    <comment ref="G56" authorId="0" shapeId="0" xr:uid="{00000000-0006-0000-0B00-000005000000}">
      <text>
        <r>
          <rPr>
            <b/>
            <sz val="9"/>
            <color indexed="81"/>
            <rFont val="Tahoma"/>
            <family val="2"/>
          </rPr>
          <t>Scott Cole:</t>
        </r>
        <r>
          <rPr>
            <sz val="9"/>
            <color indexed="81"/>
            <rFont val="Tahoma"/>
            <family val="2"/>
          </rPr>
          <t xml:space="preserve">
Insert bill total here from Sprague bill for Cogen &amp; Main meter.</t>
        </r>
      </text>
    </comment>
    <comment ref="G60" authorId="0" shapeId="0" xr:uid="{00000000-0006-0000-0B00-000006000000}">
      <text>
        <r>
          <rPr>
            <b/>
            <sz val="9"/>
            <color indexed="81"/>
            <rFont val="Tahoma"/>
            <family val="2"/>
          </rPr>
          <t>Scott Cole:</t>
        </r>
        <r>
          <rPr>
            <sz val="9"/>
            <color indexed="81"/>
            <rFont val="Tahoma"/>
            <family val="2"/>
          </rPr>
          <t xml:space="preserve">
Insert bill total here from Sprague bill for Cogen &amp; Main meter.</t>
        </r>
      </text>
    </comment>
    <comment ref="G67" authorId="0" shapeId="0" xr:uid="{00000000-0006-0000-0B00-000007000000}">
      <text>
        <r>
          <rPr>
            <b/>
            <sz val="9"/>
            <color indexed="81"/>
            <rFont val="Tahoma"/>
            <family val="2"/>
          </rPr>
          <t>Scott Cole:</t>
        </r>
        <r>
          <rPr>
            <sz val="9"/>
            <color indexed="81"/>
            <rFont val="Tahoma"/>
            <family val="2"/>
          </rPr>
          <t xml:space="preserve">
Insert bill total here from Sprague bill for Cogen &amp; Main meter.</t>
        </r>
      </text>
    </comment>
    <comment ref="G71" authorId="0" shapeId="0" xr:uid="{00000000-0006-0000-0B00-000008000000}">
      <text>
        <r>
          <rPr>
            <b/>
            <sz val="9"/>
            <color indexed="81"/>
            <rFont val="Tahoma"/>
            <family val="2"/>
          </rPr>
          <t>Scott Cole:</t>
        </r>
        <r>
          <rPr>
            <sz val="9"/>
            <color indexed="81"/>
            <rFont val="Tahoma"/>
            <family val="2"/>
          </rPr>
          <t xml:space="preserve">
Insert bill total here from Sprague bill for Cogen &amp; Main meter.</t>
        </r>
      </text>
    </comment>
    <comment ref="G75" authorId="0" shapeId="0" xr:uid="{00000000-0006-0000-0B00-000009000000}">
      <text>
        <r>
          <rPr>
            <b/>
            <sz val="9"/>
            <color indexed="81"/>
            <rFont val="Tahoma"/>
            <family val="2"/>
          </rPr>
          <t>Scott Cole:</t>
        </r>
        <r>
          <rPr>
            <sz val="9"/>
            <color indexed="81"/>
            <rFont val="Tahoma"/>
            <family val="2"/>
          </rPr>
          <t xml:space="preserve">
Insert bill total here from Sprague bill for Cogen &amp; Main meter.</t>
        </r>
      </text>
    </comment>
    <comment ref="G79" authorId="0" shapeId="0" xr:uid="{00000000-0006-0000-0B00-00000A000000}">
      <text>
        <r>
          <rPr>
            <b/>
            <sz val="9"/>
            <color indexed="81"/>
            <rFont val="Tahoma"/>
            <family val="2"/>
          </rPr>
          <t>Scott Cole:</t>
        </r>
        <r>
          <rPr>
            <sz val="9"/>
            <color indexed="81"/>
            <rFont val="Tahoma"/>
            <family val="2"/>
          </rPr>
          <t xml:space="preserve">
Insert bill total here from Sprague bill for Cogen &amp; Main meter.</t>
        </r>
      </text>
    </comment>
    <comment ref="G83" authorId="0" shapeId="0" xr:uid="{00000000-0006-0000-0B00-00000B000000}">
      <text>
        <r>
          <rPr>
            <b/>
            <sz val="9"/>
            <color indexed="81"/>
            <rFont val="Tahoma"/>
            <family val="2"/>
          </rPr>
          <t>Scott Cole:</t>
        </r>
        <r>
          <rPr>
            <sz val="9"/>
            <color indexed="81"/>
            <rFont val="Tahoma"/>
            <family val="2"/>
          </rPr>
          <t xml:space="preserve">
Insert bill total here from Sprague bill for Cogen &amp; Main meter.</t>
        </r>
      </text>
    </comment>
    <comment ref="G87" authorId="0" shapeId="0" xr:uid="{00000000-0006-0000-0B00-00000C000000}">
      <text>
        <r>
          <rPr>
            <b/>
            <sz val="9"/>
            <color indexed="81"/>
            <rFont val="Tahoma"/>
            <family val="2"/>
          </rPr>
          <t>Scott Cole:</t>
        </r>
        <r>
          <rPr>
            <sz val="9"/>
            <color indexed="81"/>
            <rFont val="Tahoma"/>
            <family val="2"/>
          </rPr>
          <t xml:space="preserve">
Insert bill total here from Sprague bill for Cogen &amp; Main meter.</t>
        </r>
      </text>
    </comment>
    <comment ref="G91" authorId="0" shapeId="0" xr:uid="{00000000-0006-0000-0B00-00000D000000}">
      <text>
        <r>
          <rPr>
            <b/>
            <sz val="9"/>
            <color indexed="81"/>
            <rFont val="Tahoma"/>
            <family val="2"/>
          </rPr>
          <t>Scott Cole:</t>
        </r>
        <r>
          <rPr>
            <sz val="9"/>
            <color indexed="81"/>
            <rFont val="Tahoma"/>
            <family val="2"/>
          </rPr>
          <t xml:space="preserve">
Insert bill total here from Sprague bill for Cogen &amp; Main meter.</t>
        </r>
      </text>
    </comment>
    <comment ref="G95" authorId="0" shapeId="0" xr:uid="{00000000-0006-0000-0B00-00000E000000}">
      <text>
        <r>
          <rPr>
            <b/>
            <sz val="9"/>
            <color indexed="81"/>
            <rFont val="Tahoma"/>
            <family val="2"/>
          </rPr>
          <t>Scott Cole:</t>
        </r>
        <r>
          <rPr>
            <sz val="9"/>
            <color indexed="81"/>
            <rFont val="Tahoma"/>
            <family val="2"/>
          </rPr>
          <t xml:space="preserve">
Insert bill total here from Sprague bill for Cogen &amp; Main meter.</t>
        </r>
      </text>
    </comment>
    <comment ref="G99" authorId="0" shapeId="0" xr:uid="{00000000-0006-0000-0B00-00000F000000}">
      <text>
        <r>
          <rPr>
            <b/>
            <sz val="9"/>
            <color indexed="81"/>
            <rFont val="Tahoma"/>
            <family val="2"/>
          </rPr>
          <t>Scott Cole:</t>
        </r>
        <r>
          <rPr>
            <sz val="9"/>
            <color indexed="81"/>
            <rFont val="Tahoma"/>
            <family val="2"/>
          </rPr>
          <t xml:space="preserve">
Insert bill total here from Sprague bill for Cogen &amp; Main meter.</t>
        </r>
      </text>
    </comment>
    <comment ref="G103" authorId="0" shapeId="0" xr:uid="{00000000-0006-0000-0B00-000010000000}">
      <text>
        <r>
          <rPr>
            <b/>
            <sz val="9"/>
            <color indexed="81"/>
            <rFont val="Tahoma"/>
            <family val="2"/>
          </rPr>
          <t>Scott Cole:</t>
        </r>
        <r>
          <rPr>
            <sz val="9"/>
            <color indexed="81"/>
            <rFont val="Tahoma"/>
            <family val="2"/>
          </rPr>
          <t xml:space="preserve">
Insert bill total here from Sprague bill for Cogen &amp; Main meter.</t>
        </r>
      </text>
    </comment>
    <comment ref="G107" authorId="0" shapeId="0" xr:uid="{00000000-0006-0000-0B00-000011000000}">
      <text>
        <r>
          <rPr>
            <b/>
            <sz val="9"/>
            <color indexed="81"/>
            <rFont val="Tahoma"/>
            <family val="2"/>
          </rPr>
          <t>Scott Cole:</t>
        </r>
        <r>
          <rPr>
            <sz val="9"/>
            <color indexed="81"/>
            <rFont val="Tahoma"/>
            <family val="2"/>
          </rPr>
          <t xml:space="preserve">
Insert bill total here from Sprague bill for Cogen &amp; Main meter.</t>
        </r>
      </text>
    </comment>
    <comment ref="G111" authorId="0" shapeId="0" xr:uid="{00000000-0006-0000-0B00-000012000000}">
      <text>
        <r>
          <rPr>
            <b/>
            <sz val="9"/>
            <color indexed="81"/>
            <rFont val="Tahoma"/>
            <family val="2"/>
          </rPr>
          <t>Scott Cole:</t>
        </r>
        <r>
          <rPr>
            <sz val="9"/>
            <color indexed="81"/>
            <rFont val="Tahoma"/>
            <family val="2"/>
          </rPr>
          <t xml:space="preserve">
Insert bill total here from Sprague bill for Cogen &amp; Main meter.</t>
        </r>
      </text>
    </comment>
    <comment ref="G123" authorId="0" shapeId="0" xr:uid="{00000000-0006-0000-0B00-000013000000}">
      <text>
        <r>
          <rPr>
            <b/>
            <sz val="9"/>
            <color indexed="81"/>
            <rFont val="Tahoma"/>
            <family val="2"/>
          </rPr>
          <t>Scott Cole:</t>
        </r>
        <r>
          <rPr>
            <sz val="9"/>
            <color indexed="81"/>
            <rFont val="Tahoma"/>
            <family val="2"/>
          </rPr>
          <t xml:space="preserve">
Insert bill total here from Sprague bill for Cogen &amp; Main meter.</t>
        </r>
      </text>
    </comment>
    <comment ref="G127" authorId="0" shapeId="0" xr:uid="{00000000-0006-0000-0B00-000014000000}">
      <text>
        <r>
          <rPr>
            <b/>
            <sz val="9"/>
            <color indexed="81"/>
            <rFont val="Tahoma"/>
            <family val="2"/>
          </rPr>
          <t>Scott Cole:</t>
        </r>
        <r>
          <rPr>
            <sz val="9"/>
            <color indexed="81"/>
            <rFont val="Tahoma"/>
            <family val="2"/>
          </rPr>
          <t xml:space="preserve">
Insert bill total here from Sprague bill for Cogen &amp; Main meter.</t>
        </r>
      </text>
    </comment>
    <comment ref="G131" authorId="0" shapeId="0" xr:uid="{00000000-0006-0000-0B00-000015000000}">
      <text>
        <r>
          <rPr>
            <b/>
            <sz val="9"/>
            <color indexed="81"/>
            <rFont val="Tahoma"/>
            <family val="2"/>
          </rPr>
          <t>Scott Cole:</t>
        </r>
        <r>
          <rPr>
            <sz val="9"/>
            <color indexed="81"/>
            <rFont val="Tahoma"/>
            <family val="2"/>
          </rPr>
          <t xml:space="preserve">
Insert bill total here from Sprague bill for Cogen &amp; Main meter.</t>
        </r>
      </text>
    </comment>
    <comment ref="G135" authorId="0" shapeId="0" xr:uid="{00000000-0006-0000-0B00-000016000000}">
      <text>
        <r>
          <rPr>
            <b/>
            <sz val="9"/>
            <color indexed="81"/>
            <rFont val="Tahoma"/>
            <family val="2"/>
          </rPr>
          <t>Scott Cole:</t>
        </r>
        <r>
          <rPr>
            <sz val="9"/>
            <color indexed="81"/>
            <rFont val="Tahoma"/>
            <family val="2"/>
          </rPr>
          <t xml:space="preserve">
Insert bill total here from Sprague bill for Cogen &amp; Main meter.</t>
        </r>
      </text>
    </comment>
    <comment ref="G139" authorId="0" shapeId="0" xr:uid="{00000000-0006-0000-0B00-000017000000}">
      <text>
        <r>
          <rPr>
            <b/>
            <sz val="9"/>
            <color indexed="81"/>
            <rFont val="Tahoma"/>
            <family val="2"/>
          </rPr>
          <t>Scott Cole:</t>
        </r>
        <r>
          <rPr>
            <sz val="9"/>
            <color indexed="81"/>
            <rFont val="Tahoma"/>
            <family val="2"/>
          </rPr>
          <t xml:space="preserve">
Insert bill total here from Sprague bill for Cogen &amp; Main meter.</t>
        </r>
      </text>
    </comment>
    <comment ref="G143" authorId="0" shapeId="0" xr:uid="{00000000-0006-0000-0B00-000018000000}">
      <text>
        <r>
          <rPr>
            <b/>
            <sz val="9"/>
            <color indexed="81"/>
            <rFont val="Tahoma"/>
            <family val="2"/>
          </rPr>
          <t>Scott Cole:</t>
        </r>
        <r>
          <rPr>
            <sz val="9"/>
            <color indexed="81"/>
            <rFont val="Tahoma"/>
            <family val="2"/>
          </rPr>
          <t xml:space="preserve">
Insert bill total here from Sprague bill for Cogen &amp; Main meter.</t>
        </r>
      </text>
    </comment>
    <comment ref="G147" authorId="0" shapeId="0" xr:uid="{00000000-0006-0000-0B00-000019000000}">
      <text>
        <r>
          <rPr>
            <b/>
            <sz val="9"/>
            <color indexed="81"/>
            <rFont val="Tahoma"/>
            <family val="2"/>
          </rPr>
          <t>Scott Cole:</t>
        </r>
        <r>
          <rPr>
            <sz val="9"/>
            <color indexed="81"/>
            <rFont val="Tahoma"/>
            <family val="2"/>
          </rPr>
          <t xml:space="preserve">
Insert bill total here from Sprague bill for Cogen &amp; Main meter.</t>
        </r>
      </text>
    </comment>
    <comment ref="G151" authorId="0" shapeId="0" xr:uid="{00000000-0006-0000-0B00-00001A000000}">
      <text>
        <r>
          <rPr>
            <b/>
            <sz val="9"/>
            <color indexed="81"/>
            <rFont val="Tahoma"/>
            <family val="2"/>
          </rPr>
          <t>Scott Cole:</t>
        </r>
        <r>
          <rPr>
            <sz val="9"/>
            <color indexed="81"/>
            <rFont val="Tahoma"/>
            <family val="2"/>
          </rPr>
          <t xml:space="preserve">
Insert bill total here from Sprague bill for Cogen &amp; Main meter.</t>
        </r>
      </text>
    </comment>
    <comment ref="G155" authorId="0" shapeId="0" xr:uid="{00000000-0006-0000-0B00-00001B000000}">
      <text>
        <r>
          <rPr>
            <b/>
            <sz val="9"/>
            <color indexed="81"/>
            <rFont val="Tahoma"/>
            <family val="2"/>
          </rPr>
          <t>Scott Cole:</t>
        </r>
        <r>
          <rPr>
            <sz val="9"/>
            <color indexed="81"/>
            <rFont val="Tahoma"/>
            <family val="2"/>
          </rPr>
          <t xml:space="preserve">
Insert bill total here from Sprague bill for Cogen &amp; Main meter.</t>
        </r>
      </text>
    </comment>
    <comment ref="G159" authorId="0" shapeId="0" xr:uid="{00000000-0006-0000-0B00-00001C000000}">
      <text>
        <r>
          <rPr>
            <b/>
            <sz val="9"/>
            <color indexed="81"/>
            <rFont val="Tahoma"/>
            <family val="2"/>
          </rPr>
          <t>Scott Cole:</t>
        </r>
        <r>
          <rPr>
            <sz val="9"/>
            <color indexed="81"/>
            <rFont val="Tahoma"/>
            <family val="2"/>
          </rPr>
          <t xml:space="preserve">
Insert bill total here from Sprague bill for Cogen &amp; Main meter.</t>
        </r>
      </text>
    </comment>
    <comment ref="G163" authorId="0" shapeId="0" xr:uid="{00000000-0006-0000-0B00-00001D000000}">
      <text>
        <r>
          <rPr>
            <b/>
            <sz val="9"/>
            <color indexed="81"/>
            <rFont val="Tahoma"/>
            <family val="2"/>
          </rPr>
          <t>Scott Cole:</t>
        </r>
        <r>
          <rPr>
            <sz val="9"/>
            <color indexed="81"/>
            <rFont val="Tahoma"/>
            <family val="2"/>
          </rPr>
          <t xml:space="preserve">
Insert bill total here from Sprague bill for Cogen &amp; Main meter.</t>
        </r>
      </text>
    </comment>
    <comment ref="G167" authorId="0" shapeId="0" xr:uid="{00000000-0006-0000-0B00-00001E000000}">
      <text>
        <r>
          <rPr>
            <b/>
            <sz val="9"/>
            <color indexed="81"/>
            <rFont val="Tahoma"/>
            <family val="2"/>
          </rPr>
          <t>Scott Cole:</t>
        </r>
        <r>
          <rPr>
            <sz val="9"/>
            <color indexed="81"/>
            <rFont val="Tahoma"/>
            <family val="2"/>
          </rPr>
          <t xml:space="preserve">
Insert bill total here from Sprague bill for Cogen &amp; Main meter.</t>
        </r>
      </text>
    </comment>
    <comment ref="G184" authorId="0" shapeId="0" xr:uid="{00000000-0006-0000-0B00-00001F000000}">
      <text>
        <r>
          <rPr>
            <b/>
            <sz val="9"/>
            <color indexed="81"/>
            <rFont val="Tahoma"/>
            <family val="2"/>
          </rPr>
          <t>Scott Cole:</t>
        </r>
        <r>
          <rPr>
            <sz val="9"/>
            <color indexed="81"/>
            <rFont val="Tahoma"/>
            <family val="2"/>
          </rPr>
          <t xml:space="preserve">
Insert bill total here from Sprague bill for Cogen &amp; Main meter.</t>
        </r>
      </text>
    </comment>
    <comment ref="G188" authorId="0" shapeId="0" xr:uid="{00000000-0006-0000-0B00-000020000000}">
      <text>
        <r>
          <rPr>
            <b/>
            <sz val="9"/>
            <color indexed="81"/>
            <rFont val="Tahoma"/>
            <family val="2"/>
          </rPr>
          <t>Scott Cole:</t>
        </r>
        <r>
          <rPr>
            <sz val="9"/>
            <color indexed="81"/>
            <rFont val="Tahoma"/>
            <family val="2"/>
          </rPr>
          <t xml:space="preserve">
Insert bill total here from Sprague bill for Cogen &amp; Main meter.</t>
        </r>
      </text>
    </comment>
    <comment ref="G192" authorId="0" shapeId="0" xr:uid="{00000000-0006-0000-0B00-000021000000}">
      <text>
        <r>
          <rPr>
            <b/>
            <sz val="9"/>
            <color indexed="81"/>
            <rFont val="Tahoma"/>
            <family val="2"/>
          </rPr>
          <t>Scott Cole:</t>
        </r>
        <r>
          <rPr>
            <sz val="9"/>
            <color indexed="81"/>
            <rFont val="Tahoma"/>
            <family val="2"/>
          </rPr>
          <t xml:space="preserve">
Insert bill total here from Sprague bill for Cogen &amp; Main meter.</t>
        </r>
      </text>
    </comment>
    <comment ref="G196" authorId="0" shapeId="0" xr:uid="{00000000-0006-0000-0B00-000022000000}">
      <text>
        <r>
          <rPr>
            <b/>
            <sz val="9"/>
            <color indexed="81"/>
            <rFont val="Tahoma"/>
            <family val="2"/>
          </rPr>
          <t>Scott Cole:</t>
        </r>
        <r>
          <rPr>
            <sz val="9"/>
            <color indexed="81"/>
            <rFont val="Tahoma"/>
            <family val="2"/>
          </rPr>
          <t xml:space="preserve">
Insert bill total here from Sprague bill for Cogen &amp; Main meter.</t>
        </r>
      </text>
    </comment>
    <comment ref="G200" authorId="0" shapeId="0" xr:uid="{00000000-0006-0000-0B00-000023000000}">
      <text>
        <r>
          <rPr>
            <b/>
            <sz val="9"/>
            <color indexed="81"/>
            <rFont val="Tahoma"/>
            <family val="2"/>
          </rPr>
          <t>Scott Cole:</t>
        </r>
        <r>
          <rPr>
            <sz val="9"/>
            <color indexed="81"/>
            <rFont val="Tahoma"/>
            <family val="2"/>
          </rPr>
          <t xml:space="preserve">
Insert bill total here from Sprague bill for Cogen &amp; Main meter.</t>
        </r>
      </text>
    </comment>
    <comment ref="G204" authorId="0" shapeId="0" xr:uid="{00000000-0006-0000-0B00-000024000000}">
      <text>
        <r>
          <rPr>
            <b/>
            <sz val="9"/>
            <color indexed="81"/>
            <rFont val="Tahoma"/>
            <family val="2"/>
          </rPr>
          <t>Scott Cole:</t>
        </r>
        <r>
          <rPr>
            <sz val="9"/>
            <color indexed="81"/>
            <rFont val="Tahoma"/>
            <family val="2"/>
          </rPr>
          <t xml:space="preserve">
Insert bill total here from Sprague bill for Cogen &amp; Main meter.</t>
        </r>
      </text>
    </comment>
    <comment ref="G208" authorId="0" shapeId="0" xr:uid="{00000000-0006-0000-0B00-000025000000}">
      <text>
        <r>
          <rPr>
            <b/>
            <sz val="9"/>
            <color indexed="81"/>
            <rFont val="Tahoma"/>
            <family val="2"/>
          </rPr>
          <t>Scott Cole:</t>
        </r>
        <r>
          <rPr>
            <sz val="9"/>
            <color indexed="81"/>
            <rFont val="Tahoma"/>
            <family val="2"/>
          </rPr>
          <t xml:space="preserve">
Insert bill total here from Sprague bill for Cogen &amp; Main meter.</t>
        </r>
      </text>
    </comment>
    <comment ref="G212" authorId="0" shapeId="0" xr:uid="{00000000-0006-0000-0B00-000026000000}">
      <text>
        <r>
          <rPr>
            <b/>
            <sz val="9"/>
            <color indexed="81"/>
            <rFont val="Tahoma"/>
            <family val="2"/>
          </rPr>
          <t>Scott Cole:</t>
        </r>
        <r>
          <rPr>
            <sz val="9"/>
            <color indexed="81"/>
            <rFont val="Tahoma"/>
            <family val="2"/>
          </rPr>
          <t xml:space="preserve">
Insert bill total here from Sprague bill for Cogen &amp; Main meter.</t>
        </r>
      </text>
    </comment>
    <comment ref="G216" authorId="0" shapeId="0" xr:uid="{00000000-0006-0000-0B00-000027000000}">
      <text>
        <r>
          <rPr>
            <b/>
            <sz val="9"/>
            <color indexed="81"/>
            <rFont val="Tahoma"/>
            <family val="2"/>
          </rPr>
          <t>Scott Cole:</t>
        </r>
        <r>
          <rPr>
            <sz val="9"/>
            <color indexed="81"/>
            <rFont val="Tahoma"/>
            <family val="2"/>
          </rPr>
          <t xml:space="preserve">
Insert bill total here from Sprague bill for Cogen &amp; Main meter.</t>
        </r>
      </text>
    </comment>
    <comment ref="G220" authorId="0" shapeId="0" xr:uid="{00000000-0006-0000-0B00-000028000000}">
      <text>
        <r>
          <rPr>
            <b/>
            <sz val="9"/>
            <color indexed="81"/>
            <rFont val="Tahoma"/>
            <family val="2"/>
          </rPr>
          <t>Scott Cole:</t>
        </r>
        <r>
          <rPr>
            <sz val="9"/>
            <color indexed="81"/>
            <rFont val="Tahoma"/>
            <family val="2"/>
          </rPr>
          <t xml:space="preserve">
Insert bill total here from Sprague bill for Cogen &amp; Main meter.</t>
        </r>
      </text>
    </comment>
    <comment ref="G224" authorId="0" shapeId="0" xr:uid="{00000000-0006-0000-0B00-000029000000}">
      <text>
        <r>
          <rPr>
            <b/>
            <sz val="9"/>
            <color indexed="81"/>
            <rFont val="Tahoma"/>
            <family val="2"/>
          </rPr>
          <t>Scott Cole:</t>
        </r>
        <r>
          <rPr>
            <sz val="9"/>
            <color indexed="81"/>
            <rFont val="Tahoma"/>
            <family val="2"/>
          </rPr>
          <t xml:space="preserve">
Insert bill total here from Sprague bill for Cogen &amp; Main meter.</t>
        </r>
      </text>
    </comment>
    <comment ref="G228" authorId="0" shapeId="0" xr:uid="{00000000-0006-0000-0B00-00002A000000}">
      <text>
        <r>
          <rPr>
            <b/>
            <sz val="9"/>
            <color indexed="81"/>
            <rFont val="Tahoma"/>
            <family val="2"/>
          </rPr>
          <t>Scott Cole:</t>
        </r>
        <r>
          <rPr>
            <sz val="9"/>
            <color indexed="81"/>
            <rFont val="Tahoma"/>
            <family val="2"/>
          </rPr>
          <t xml:space="preserve">
Insert bill total here from Sprague bill for Cogen &amp; Main meter.</t>
        </r>
      </text>
    </comment>
    <comment ref="G245" authorId="0" shapeId="0" xr:uid="{00000000-0006-0000-0B00-00002B000000}">
      <text>
        <r>
          <rPr>
            <b/>
            <sz val="9"/>
            <color indexed="81"/>
            <rFont val="Tahoma"/>
            <family val="2"/>
          </rPr>
          <t>Scott Cole:</t>
        </r>
        <r>
          <rPr>
            <sz val="9"/>
            <color indexed="81"/>
            <rFont val="Tahoma"/>
            <family val="2"/>
          </rPr>
          <t xml:space="preserve">
Insert bill total here from Sprague bill for Cogen &amp; Main meter.</t>
        </r>
      </text>
    </comment>
    <comment ref="G249" authorId="0" shapeId="0" xr:uid="{00000000-0006-0000-0B00-00002C000000}">
      <text>
        <r>
          <rPr>
            <b/>
            <sz val="9"/>
            <color indexed="81"/>
            <rFont val="Tahoma"/>
            <family val="2"/>
          </rPr>
          <t>Scott Cole:</t>
        </r>
        <r>
          <rPr>
            <sz val="9"/>
            <color indexed="81"/>
            <rFont val="Tahoma"/>
            <family val="2"/>
          </rPr>
          <t xml:space="preserve">
Insert bill total here from Sprague bill for Cogen &amp; Main meter.</t>
        </r>
      </text>
    </comment>
    <comment ref="G253" authorId="0" shapeId="0" xr:uid="{00000000-0006-0000-0B00-00002D000000}">
      <text>
        <r>
          <rPr>
            <b/>
            <sz val="9"/>
            <color indexed="81"/>
            <rFont val="Tahoma"/>
            <family val="2"/>
          </rPr>
          <t>Scott Cole:</t>
        </r>
        <r>
          <rPr>
            <sz val="9"/>
            <color indexed="81"/>
            <rFont val="Tahoma"/>
            <family val="2"/>
          </rPr>
          <t xml:space="preserve">
Insert bill total here from Sprague bill for Cogen &amp; Main meter.</t>
        </r>
      </text>
    </comment>
    <comment ref="G257" authorId="0" shapeId="0" xr:uid="{00000000-0006-0000-0B00-00002E000000}">
      <text>
        <r>
          <rPr>
            <b/>
            <sz val="9"/>
            <color indexed="81"/>
            <rFont val="Tahoma"/>
            <family val="2"/>
          </rPr>
          <t>Scott Cole:</t>
        </r>
        <r>
          <rPr>
            <sz val="9"/>
            <color indexed="81"/>
            <rFont val="Tahoma"/>
            <family val="2"/>
          </rPr>
          <t xml:space="preserve">
Insert bill total here from Sprague bill for Cogen &amp; Main meter.</t>
        </r>
      </text>
    </comment>
    <comment ref="G261" authorId="0" shapeId="0" xr:uid="{00000000-0006-0000-0B00-00002F000000}">
      <text>
        <r>
          <rPr>
            <b/>
            <sz val="9"/>
            <color indexed="81"/>
            <rFont val="Tahoma"/>
            <family val="2"/>
          </rPr>
          <t>Scott Cole:</t>
        </r>
        <r>
          <rPr>
            <sz val="9"/>
            <color indexed="81"/>
            <rFont val="Tahoma"/>
            <family val="2"/>
          </rPr>
          <t xml:space="preserve">
Insert bill total here from Sprague bill for Cogen &amp; Main meter.</t>
        </r>
      </text>
    </comment>
    <comment ref="G265" authorId="0" shapeId="0" xr:uid="{00000000-0006-0000-0B00-000030000000}">
      <text>
        <r>
          <rPr>
            <b/>
            <sz val="9"/>
            <color indexed="81"/>
            <rFont val="Tahoma"/>
            <family val="2"/>
          </rPr>
          <t>Scott Cole:</t>
        </r>
        <r>
          <rPr>
            <sz val="9"/>
            <color indexed="81"/>
            <rFont val="Tahoma"/>
            <family val="2"/>
          </rPr>
          <t xml:space="preserve">
Insert bill total here from Sprague bill for Cogen &amp; Main meter.</t>
        </r>
      </text>
    </comment>
    <comment ref="G269" authorId="0" shapeId="0" xr:uid="{00000000-0006-0000-0B00-000031000000}">
      <text>
        <r>
          <rPr>
            <b/>
            <sz val="9"/>
            <color indexed="81"/>
            <rFont val="Tahoma"/>
            <family val="2"/>
          </rPr>
          <t>Scott Cole:</t>
        </r>
        <r>
          <rPr>
            <sz val="9"/>
            <color indexed="81"/>
            <rFont val="Tahoma"/>
            <family val="2"/>
          </rPr>
          <t xml:space="preserve">
Insert bill total here from Sprague bill for Cogen &amp; Main meter.</t>
        </r>
      </text>
    </comment>
    <comment ref="G273" authorId="0" shapeId="0" xr:uid="{00000000-0006-0000-0B00-000032000000}">
      <text>
        <r>
          <rPr>
            <b/>
            <sz val="9"/>
            <color indexed="81"/>
            <rFont val="Tahoma"/>
            <family val="2"/>
          </rPr>
          <t>Scott Cole:</t>
        </r>
        <r>
          <rPr>
            <sz val="9"/>
            <color indexed="81"/>
            <rFont val="Tahoma"/>
            <family val="2"/>
          </rPr>
          <t xml:space="preserve">
Insert bill total here from Sprague bill for Cogen &amp; Main meter.</t>
        </r>
      </text>
    </comment>
    <comment ref="G277" authorId="0" shapeId="0" xr:uid="{00000000-0006-0000-0B00-000033000000}">
      <text>
        <r>
          <rPr>
            <b/>
            <sz val="9"/>
            <color indexed="81"/>
            <rFont val="Tahoma"/>
            <family val="2"/>
          </rPr>
          <t>Scott Cole:</t>
        </r>
        <r>
          <rPr>
            <sz val="9"/>
            <color indexed="81"/>
            <rFont val="Tahoma"/>
            <family val="2"/>
          </rPr>
          <t xml:space="preserve">
Insert bill total here from Sprague bill for Cogen &amp; Main meter.</t>
        </r>
      </text>
    </comment>
    <comment ref="G281" authorId="0" shapeId="0" xr:uid="{00000000-0006-0000-0B00-000034000000}">
      <text>
        <r>
          <rPr>
            <b/>
            <sz val="9"/>
            <color indexed="81"/>
            <rFont val="Tahoma"/>
            <family val="2"/>
          </rPr>
          <t>Scott Cole:</t>
        </r>
        <r>
          <rPr>
            <sz val="9"/>
            <color indexed="81"/>
            <rFont val="Tahoma"/>
            <family val="2"/>
          </rPr>
          <t xml:space="preserve">
Insert bill total here from Sprague bill for Cogen &amp; Main meter.</t>
        </r>
      </text>
    </comment>
    <comment ref="G285" authorId="0" shapeId="0" xr:uid="{00000000-0006-0000-0B00-000035000000}">
      <text>
        <r>
          <rPr>
            <b/>
            <sz val="9"/>
            <color indexed="81"/>
            <rFont val="Tahoma"/>
            <family val="2"/>
          </rPr>
          <t>Scott Cole:</t>
        </r>
        <r>
          <rPr>
            <sz val="9"/>
            <color indexed="81"/>
            <rFont val="Tahoma"/>
            <family val="2"/>
          </rPr>
          <t xml:space="preserve">
Insert bill total here from Sprague bill for Cogen &amp; Main meter.</t>
        </r>
      </text>
    </comment>
    <comment ref="G289" authorId="0" shapeId="0" xr:uid="{00000000-0006-0000-0B00-000036000000}">
      <text>
        <r>
          <rPr>
            <b/>
            <sz val="9"/>
            <color indexed="81"/>
            <rFont val="Tahoma"/>
            <family val="2"/>
          </rPr>
          <t>Scott Cole:</t>
        </r>
        <r>
          <rPr>
            <sz val="9"/>
            <color indexed="81"/>
            <rFont val="Tahoma"/>
            <family val="2"/>
          </rPr>
          <t xml:space="preserve">
Insert bill total here from Sprague bill for Cogen &amp; Main meter.</t>
        </r>
      </text>
    </comment>
    <comment ref="G302" authorId="0" shapeId="0" xr:uid="{00000000-0006-0000-0B00-000037000000}">
      <text>
        <r>
          <rPr>
            <b/>
            <sz val="9"/>
            <color indexed="81"/>
            <rFont val="Tahoma"/>
            <family val="2"/>
          </rPr>
          <t>Scott Cole:</t>
        </r>
        <r>
          <rPr>
            <sz val="9"/>
            <color indexed="81"/>
            <rFont val="Tahoma"/>
            <family val="2"/>
          </rPr>
          <t xml:space="preserve">
Insert bill total here from Sprague bill for Cogen &amp; Main meter.</t>
        </r>
      </text>
    </comment>
    <comment ref="G306" authorId="0" shapeId="0" xr:uid="{00000000-0006-0000-0B00-000038000000}">
      <text>
        <r>
          <rPr>
            <b/>
            <sz val="9"/>
            <color indexed="81"/>
            <rFont val="Tahoma"/>
            <family val="2"/>
          </rPr>
          <t>Scott Cole:</t>
        </r>
        <r>
          <rPr>
            <sz val="9"/>
            <color indexed="81"/>
            <rFont val="Tahoma"/>
            <family val="2"/>
          </rPr>
          <t xml:space="preserve">
Insert bill total here from Sprague bill for Cogen &amp; Main meter.</t>
        </r>
      </text>
    </comment>
    <comment ref="G310" authorId="0" shapeId="0" xr:uid="{00000000-0006-0000-0B00-000039000000}">
      <text>
        <r>
          <rPr>
            <b/>
            <sz val="9"/>
            <color indexed="81"/>
            <rFont val="Tahoma"/>
            <family val="2"/>
          </rPr>
          <t>Scott Cole:</t>
        </r>
        <r>
          <rPr>
            <sz val="9"/>
            <color indexed="81"/>
            <rFont val="Tahoma"/>
            <family val="2"/>
          </rPr>
          <t xml:space="preserve">
Insert bill total here from Sprague bill for Cogen &amp; Main meter.</t>
        </r>
      </text>
    </comment>
    <comment ref="G314" authorId="0" shapeId="0" xr:uid="{00000000-0006-0000-0B00-00003A000000}">
      <text>
        <r>
          <rPr>
            <b/>
            <sz val="9"/>
            <color indexed="81"/>
            <rFont val="Tahoma"/>
            <family val="2"/>
          </rPr>
          <t>Scott Cole:</t>
        </r>
        <r>
          <rPr>
            <sz val="9"/>
            <color indexed="81"/>
            <rFont val="Tahoma"/>
            <family val="2"/>
          </rPr>
          <t xml:space="preserve">
Insert bill total here from Sprague bill for Cogen &amp; Main meter.</t>
        </r>
      </text>
    </comment>
    <comment ref="G318" authorId="0" shapeId="0" xr:uid="{00000000-0006-0000-0B00-00003B000000}">
      <text>
        <r>
          <rPr>
            <b/>
            <sz val="9"/>
            <color indexed="81"/>
            <rFont val="Tahoma"/>
            <family val="2"/>
          </rPr>
          <t>Scott Cole:</t>
        </r>
        <r>
          <rPr>
            <sz val="9"/>
            <color indexed="81"/>
            <rFont val="Tahoma"/>
            <family val="2"/>
          </rPr>
          <t xml:space="preserve">
Insert bill total here from Sprague bill for Cogen &amp; Main meter.</t>
        </r>
      </text>
    </comment>
    <comment ref="G322" authorId="0" shapeId="0" xr:uid="{00000000-0006-0000-0B00-00003C000000}">
      <text>
        <r>
          <rPr>
            <b/>
            <sz val="9"/>
            <color indexed="81"/>
            <rFont val="Tahoma"/>
            <family val="2"/>
          </rPr>
          <t>Scott Cole:</t>
        </r>
        <r>
          <rPr>
            <sz val="9"/>
            <color indexed="81"/>
            <rFont val="Tahoma"/>
            <family val="2"/>
          </rPr>
          <t xml:space="preserve">
Insert bill total here from Sprague bill for Cogen &amp; Main meter.</t>
        </r>
      </text>
    </comment>
    <comment ref="G326" authorId="0" shapeId="0" xr:uid="{00000000-0006-0000-0B00-00003D000000}">
      <text>
        <r>
          <rPr>
            <b/>
            <sz val="9"/>
            <color indexed="81"/>
            <rFont val="Tahoma"/>
            <family val="2"/>
          </rPr>
          <t>Scott Cole:</t>
        </r>
        <r>
          <rPr>
            <sz val="9"/>
            <color indexed="81"/>
            <rFont val="Tahoma"/>
            <family val="2"/>
          </rPr>
          <t xml:space="preserve">
Insert bill total here from Sprague bill for Cogen &amp; Main meter.</t>
        </r>
      </text>
    </comment>
    <comment ref="G330" authorId="0" shapeId="0" xr:uid="{00000000-0006-0000-0B00-00003E000000}">
      <text>
        <r>
          <rPr>
            <b/>
            <sz val="9"/>
            <color indexed="81"/>
            <rFont val="Tahoma"/>
            <family val="2"/>
          </rPr>
          <t>Scott Cole:</t>
        </r>
        <r>
          <rPr>
            <sz val="9"/>
            <color indexed="81"/>
            <rFont val="Tahoma"/>
            <family val="2"/>
          </rPr>
          <t xml:space="preserve">
Insert bill total here from Sprague bill for Cogen &amp; Main meter.</t>
        </r>
      </text>
    </comment>
    <comment ref="G334" authorId="0" shapeId="0" xr:uid="{00000000-0006-0000-0B00-00003F000000}">
      <text>
        <r>
          <rPr>
            <b/>
            <sz val="9"/>
            <color indexed="81"/>
            <rFont val="Tahoma"/>
            <family val="2"/>
          </rPr>
          <t>Scott Cole:</t>
        </r>
        <r>
          <rPr>
            <sz val="9"/>
            <color indexed="81"/>
            <rFont val="Tahoma"/>
            <family val="2"/>
          </rPr>
          <t xml:space="preserve">
Insert bill total here from Sprague bill for Cogen &amp; Main meter.</t>
        </r>
      </text>
    </comment>
    <comment ref="G338" authorId="0" shapeId="0" xr:uid="{00000000-0006-0000-0B00-000040000000}">
      <text>
        <r>
          <rPr>
            <b/>
            <sz val="9"/>
            <color indexed="81"/>
            <rFont val="Tahoma"/>
            <family val="2"/>
          </rPr>
          <t>Scott Cole:</t>
        </r>
        <r>
          <rPr>
            <sz val="9"/>
            <color indexed="81"/>
            <rFont val="Tahoma"/>
            <family val="2"/>
          </rPr>
          <t xml:space="preserve">
Insert bill total here from Sprague bill for Cogen &amp; Main meter.</t>
        </r>
      </text>
    </comment>
    <comment ref="G342" authorId="0" shapeId="0" xr:uid="{00000000-0006-0000-0B00-000041000000}">
      <text>
        <r>
          <rPr>
            <b/>
            <sz val="9"/>
            <color indexed="81"/>
            <rFont val="Tahoma"/>
            <family val="2"/>
          </rPr>
          <t>Scott Cole:</t>
        </r>
        <r>
          <rPr>
            <sz val="9"/>
            <color indexed="81"/>
            <rFont val="Tahoma"/>
            <family val="2"/>
          </rPr>
          <t xml:space="preserve">
Insert bill total here from Sprague bill for Cogen &amp; Main meter.</t>
        </r>
      </text>
    </comment>
    <comment ref="G346" authorId="0" shapeId="0" xr:uid="{00000000-0006-0000-0B00-000042000000}">
      <text>
        <r>
          <rPr>
            <b/>
            <sz val="9"/>
            <color indexed="81"/>
            <rFont val="Tahoma"/>
            <family val="2"/>
          </rPr>
          <t>Scott Cole:</t>
        </r>
        <r>
          <rPr>
            <sz val="9"/>
            <color indexed="81"/>
            <rFont val="Tahoma"/>
            <family val="2"/>
          </rPr>
          <t xml:space="preserve">
Insert bill total here from Sprague bill for Cogen &amp; Main meter.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Scott Cole</author>
  </authors>
  <commentList>
    <comment ref="K28" authorId="0" shapeId="0" xr:uid="{00000000-0006-0000-0C00-000001000000}">
      <text>
        <r>
          <rPr>
            <b/>
            <sz val="9"/>
            <color indexed="81"/>
            <rFont val="Tahoma"/>
            <family val="2"/>
          </rPr>
          <t>Scott Cole:</t>
        </r>
        <r>
          <rPr>
            <sz val="9"/>
            <color indexed="81"/>
            <rFont val="Tahoma"/>
            <family val="2"/>
          </rPr>
          <t xml:space="preserve">
Insert bill total here to calculate % of Shell bill for Cogen &amp; Main meter.</t>
        </r>
      </text>
    </comment>
    <comment ref="L28" authorId="0" shapeId="0" xr:uid="{00000000-0006-0000-0C00-000002000000}">
      <text>
        <r>
          <rPr>
            <b/>
            <sz val="9"/>
            <color indexed="81"/>
            <rFont val="Tahoma"/>
            <family val="2"/>
          </rPr>
          <t xml:space="preserve">Scott Cole:
</t>
        </r>
        <r>
          <rPr>
            <sz val="9"/>
            <color indexed="81"/>
            <rFont val="Tahoma"/>
            <family val="2"/>
          </rPr>
          <t>Revised invoice from Shell OK to put entire amount in Cogen dept. per Aaron 12/3/12.</t>
        </r>
      </text>
    </comment>
    <comment ref="K32" authorId="0" shapeId="0" xr:uid="{00000000-0006-0000-0C00-000003000000}">
      <text>
        <r>
          <rPr>
            <b/>
            <sz val="9"/>
            <color indexed="81"/>
            <rFont val="Tahoma"/>
            <family val="2"/>
          </rPr>
          <t>Scott Cole:</t>
        </r>
        <r>
          <rPr>
            <sz val="9"/>
            <color indexed="81"/>
            <rFont val="Tahoma"/>
            <family val="2"/>
          </rPr>
          <t xml:space="preserve">
Insert bill total here to calculate % of Shell bill for Cogen &amp; Main meter.</t>
        </r>
      </text>
    </comment>
    <comment ref="K36" authorId="0" shapeId="0" xr:uid="{00000000-0006-0000-0C00-000004000000}">
      <text>
        <r>
          <rPr>
            <b/>
            <sz val="9"/>
            <color indexed="81"/>
            <rFont val="Tahoma"/>
            <family val="2"/>
          </rPr>
          <t>Scott Cole:</t>
        </r>
        <r>
          <rPr>
            <sz val="9"/>
            <color indexed="81"/>
            <rFont val="Tahoma"/>
            <family val="2"/>
          </rPr>
          <t xml:space="preserve">
Insert bill total here to calculate % of Shell bill for Cogen &amp; Main meter.</t>
        </r>
      </text>
    </comment>
    <comment ref="K40" authorId="0" shapeId="0" xr:uid="{00000000-0006-0000-0C00-000005000000}">
      <text>
        <r>
          <rPr>
            <b/>
            <sz val="9"/>
            <color indexed="81"/>
            <rFont val="Tahoma"/>
            <family val="2"/>
          </rPr>
          <t>Scott Cole:</t>
        </r>
        <r>
          <rPr>
            <sz val="9"/>
            <color indexed="81"/>
            <rFont val="Tahoma"/>
            <family val="2"/>
          </rPr>
          <t xml:space="preserve">
Insert bill total here to calculate % of Shell bill for Cogen &amp; Main meter.</t>
        </r>
      </text>
    </comment>
    <comment ref="K44" authorId="0" shapeId="0" xr:uid="{00000000-0006-0000-0C00-000006000000}">
      <text>
        <r>
          <rPr>
            <b/>
            <sz val="9"/>
            <color indexed="81"/>
            <rFont val="Tahoma"/>
            <family val="2"/>
          </rPr>
          <t>Scott Cole:</t>
        </r>
        <r>
          <rPr>
            <sz val="9"/>
            <color indexed="81"/>
            <rFont val="Tahoma"/>
            <family val="2"/>
          </rPr>
          <t xml:space="preserve">
Insert bill total here to calculate % of Shell bill for Cogen &amp; Main meter.</t>
        </r>
      </text>
    </comment>
    <comment ref="K45" authorId="0" shapeId="0" xr:uid="{00000000-0006-0000-0C00-000007000000}">
      <text>
        <r>
          <rPr>
            <b/>
            <sz val="9"/>
            <color indexed="81"/>
            <rFont val="Tahoma"/>
            <family val="2"/>
          </rPr>
          <t>Scott Cole:</t>
        </r>
        <r>
          <rPr>
            <sz val="9"/>
            <color indexed="81"/>
            <rFont val="Tahoma"/>
            <family val="2"/>
          </rPr>
          <t xml:space="preserve">
Insert bill total here to calculate % of BG bill for Cogen &amp; Main meter.</t>
        </r>
      </text>
    </comment>
    <comment ref="K48" authorId="0" shapeId="0" xr:uid="{00000000-0006-0000-0C00-000008000000}">
      <text>
        <r>
          <rPr>
            <b/>
            <sz val="9"/>
            <color indexed="81"/>
            <rFont val="Tahoma"/>
            <family val="2"/>
          </rPr>
          <t>Scott Cole:</t>
        </r>
        <r>
          <rPr>
            <sz val="9"/>
            <color indexed="81"/>
            <rFont val="Tahoma"/>
            <family val="2"/>
          </rPr>
          <t xml:space="preserve">
Insert bill total here to calculate % of Shell bill for Cogen &amp; Main meter.</t>
        </r>
      </text>
    </comment>
    <comment ref="K49" authorId="0" shapeId="0" xr:uid="{00000000-0006-0000-0C00-000009000000}">
      <text>
        <r>
          <rPr>
            <b/>
            <sz val="9"/>
            <color indexed="81"/>
            <rFont val="Tahoma"/>
            <family val="2"/>
          </rPr>
          <t>Scott Cole:</t>
        </r>
        <r>
          <rPr>
            <sz val="9"/>
            <color indexed="81"/>
            <rFont val="Tahoma"/>
            <family val="2"/>
          </rPr>
          <t xml:space="preserve">
Insert bill total here to calculate % of BG bill for Cogen &amp; Main meter.</t>
        </r>
      </text>
    </comment>
    <comment ref="K53" authorId="0" shapeId="0" xr:uid="{00000000-0006-0000-0C00-00000A000000}">
      <text>
        <r>
          <rPr>
            <b/>
            <sz val="9"/>
            <color indexed="81"/>
            <rFont val="Tahoma"/>
            <family val="2"/>
          </rPr>
          <t>Scott Cole:</t>
        </r>
        <r>
          <rPr>
            <sz val="9"/>
            <color indexed="81"/>
            <rFont val="Tahoma"/>
            <family val="2"/>
          </rPr>
          <t xml:space="preserve">
Insert bill total here to calculate % of BG bill for Cogen &amp; Main meter.</t>
        </r>
      </text>
    </comment>
    <comment ref="G56" authorId="0" shapeId="0" xr:uid="{00000000-0006-0000-0C00-00000B000000}">
      <text>
        <r>
          <rPr>
            <b/>
            <sz val="9"/>
            <color indexed="81"/>
            <rFont val="Tahoma"/>
            <family val="2"/>
          </rPr>
          <t>Scott Cole:</t>
        </r>
        <r>
          <rPr>
            <sz val="9"/>
            <color indexed="81"/>
            <rFont val="Tahoma"/>
            <family val="2"/>
          </rPr>
          <t xml:space="preserve">
Insert bill total here from Sprague bill for Cogen &amp; Main meter.</t>
        </r>
      </text>
    </comment>
    <comment ref="K57" authorId="0" shapeId="0" xr:uid="{00000000-0006-0000-0C00-00000C000000}">
      <text>
        <r>
          <rPr>
            <b/>
            <sz val="9"/>
            <color indexed="81"/>
            <rFont val="Tahoma"/>
            <family val="2"/>
          </rPr>
          <t>Scott Cole:</t>
        </r>
        <r>
          <rPr>
            <sz val="9"/>
            <color indexed="81"/>
            <rFont val="Tahoma"/>
            <family val="2"/>
          </rPr>
          <t xml:space="preserve">
Insert bill total here to calculate % of BG bill for Cogen &amp; Main meter.</t>
        </r>
      </text>
    </comment>
    <comment ref="G60" authorId="0" shapeId="0" xr:uid="{00000000-0006-0000-0C00-00000D000000}">
      <text>
        <r>
          <rPr>
            <b/>
            <sz val="9"/>
            <color indexed="81"/>
            <rFont val="Tahoma"/>
            <family val="2"/>
          </rPr>
          <t>Scott Cole:</t>
        </r>
        <r>
          <rPr>
            <sz val="9"/>
            <color indexed="81"/>
            <rFont val="Tahoma"/>
            <family val="2"/>
          </rPr>
          <t xml:space="preserve">
Insert bill total here from Sprague bill for Cogen &amp; Main meter.</t>
        </r>
      </text>
    </comment>
    <comment ref="K61" authorId="0" shapeId="0" xr:uid="{00000000-0006-0000-0C00-00000E000000}">
      <text>
        <r>
          <rPr>
            <b/>
            <sz val="9"/>
            <color indexed="81"/>
            <rFont val="Tahoma"/>
            <family val="2"/>
          </rPr>
          <t>Scott Cole:</t>
        </r>
        <r>
          <rPr>
            <sz val="9"/>
            <color indexed="81"/>
            <rFont val="Tahoma"/>
            <family val="2"/>
          </rPr>
          <t xml:space="preserve">
Insert bill total here to calculate % of BG bill for Cogen &amp; Main meter.</t>
        </r>
      </text>
    </comment>
    <comment ref="G67" authorId="0" shapeId="0" xr:uid="{00000000-0006-0000-0C00-00000F000000}">
      <text>
        <r>
          <rPr>
            <b/>
            <sz val="9"/>
            <color indexed="81"/>
            <rFont val="Tahoma"/>
            <family val="2"/>
          </rPr>
          <t>Scott Cole:</t>
        </r>
        <r>
          <rPr>
            <sz val="9"/>
            <color indexed="81"/>
            <rFont val="Tahoma"/>
            <family val="2"/>
          </rPr>
          <t xml:space="preserve">
Insert bill total here from Sprague bill for Cogen &amp; Main meter.</t>
        </r>
      </text>
    </comment>
    <comment ref="K68" authorId="0" shapeId="0" xr:uid="{00000000-0006-0000-0C00-000010000000}">
      <text>
        <r>
          <rPr>
            <b/>
            <sz val="9"/>
            <color indexed="81"/>
            <rFont val="Tahoma"/>
            <family val="2"/>
          </rPr>
          <t>Scott Cole:</t>
        </r>
        <r>
          <rPr>
            <sz val="9"/>
            <color indexed="81"/>
            <rFont val="Tahoma"/>
            <family val="2"/>
          </rPr>
          <t xml:space="preserve">
Insert bill total here to calculate % of BG bill for Cogen &amp; Main meter.</t>
        </r>
      </text>
    </comment>
    <comment ref="G71" authorId="0" shapeId="0" xr:uid="{00000000-0006-0000-0C00-000011000000}">
      <text>
        <r>
          <rPr>
            <b/>
            <sz val="9"/>
            <color indexed="81"/>
            <rFont val="Tahoma"/>
            <family val="2"/>
          </rPr>
          <t>Scott Cole:</t>
        </r>
        <r>
          <rPr>
            <sz val="9"/>
            <color indexed="81"/>
            <rFont val="Tahoma"/>
            <family val="2"/>
          </rPr>
          <t xml:space="preserve">
Insert bill total here from Sprague bill for Cogen &amp; Main meter.</t>
        </r>
      </text>
    </comment>
    <comment ref="K72" authorId="0" shapeId="0" xr:uid="{00000000-0006-0000-0C00-000012000000}">
      <text>
        <r>
          <rPr>
            <b/>
            <sz val="9"/>
            <color indexed="81"/>
            <rFont val="Tahoma"/>
            <family val="2"/>
          </rPr>
          <t>Scott Cole:</t>
        </r>
        <r>
          <rPr>
            <sz val="9"/>
            <color indexed="81"/>
            <rFont val="Tahoma"/>
            <family val="2"/>
          </rPr>
          <t xml:space="preserve">
Insert bill total here to calculate % of BG bill for Cogen &amp; Main meter.</t>
        </r>
      </text>
    </comment>
    <comment ref="G75" authorId="0" shapeId="0" xr:uid="{00000000-0006-0000-0C00-000013000000}">
      <text>
        <r>
          <rPr>
            <b/>
            <sz val="9"/>
            <color indexed="81"/>
            <rFont val="Tahoma"/>
            <family val="2"/>
          </rPr>
          <t>Scott Cole:</t>
        </r>
        <r>
          <rPr>
            <sz val="9"/>
            <color indexed="81"/>
            <rFont val="Tahoma"/>
            <family val="2"/>
          </rPr>
          <t xml:space="preserve">
Insert bill total here from Sprague bill for Cogen &amp; Main meter.</t>
        </r>
      </text>
    </comment>
    <comment ref="K76" authorId="0" shapeId="0" xr:uid="{00000000-0006-0000-0C00-000014000000}">
      <text>
        <r>
          <rPr>
            <b/>
            <sz val="9"/>
            <color indexed="81"/>
            <rFont val="Tahoma"/>
            <family val="2"/>
          </rPr>
          <t>Scott Cole:</t>
        </r>
        <r>
          <rPr>
            <sz val="9"/>
            <color indexed="81"/>
            <rFont val="Tahoma"/>
            <family val="2"/>
          </rPr>
          <t xml:space="preserve">
Insert bill total here to calculate % of BG bill for Cogen &amp; Main meter.</t>
        </r>
      </text>
    </comment>
    <comment ref="G79" authorId="0" shapeId="0" xr:uid="{00000000-0006-0000-0C00-000015000000}">
      <text>
        <r>
          <rPr>
            <b/>
            <sz val="9"/>
            <color indexed="81"/>
            <rFont val="Tahoma"/>
            <family val="2"/>
          </rPr>
          <t>Scott Cole:</t>
        </r>
        <r>
          <rPr>
            <sz val="9"/>
            <color indexed="81"/>
            <rFont val="Tahoma"/>
            <family val="2"/>
          </rPr>
          <t xml:space="preserve">
Insert bill total here from Sprague bill for Cogen &amp; Main meter.</t>
        </r>
      </text>
    </comment>
    <comment ref="K80" authorId="0" shapeId="0" xr:uid="{00000000-0006-0000-0C00-000016000000}">
      <text>
        <r>
          <rPr>
            <b/>
            <sz val="9"/>
            <color indexed="81"/>
            <rFont val="Tahoma"/>
            <family val="2"/>
          </rPr>
          <t>Scott Cole:</t>
        </r>
        <r>
          <rPr>
            <sz val="9"/>
            <color indexed="81"/>
            <rFont val="Tahoma"/>
            <family val="2"/>
          </rPr>
          <t xml:space="preserve">
Insert bill total here to calculate % of BG bill for Cogen &amp; Main meter.</t>
        </r>
      </text>
    </comment>
    <comment ref="G83" authorId="0" shapeId="0" xr:uid="{00000000-0006-0000-0C00-000017000000}">
      <text>
        <r>
          <rPr>
            <b/>
            <sz val="9"/>
            <color indexed="81"/>
            <rFont val="Tahoma"/>
            <family val="2"/>
          </rPr>
          <t>Scott Cole:</t>
        </r>
        <r>
          <rPr>
            <sz val="9"/>
            <color indexed="81"/>
            <rFont val="Tahoma"/>
            <family val="2"/>
          </rPr>
          <t xml:space="preserve">
Insert bill total here from Sprague bill for Cogen &amp; Main meter.</t>
        </r>
      </text>
    </comment>
    <comment ref="K84" authorId="0" shapeId="0" xr:uid="{00000000-0006-0000-0C00-000018000000}">
      <text>
        <r>
          <rPr>
            <b/>
            <sz val="9"/>
            <color indexed="81"/>
            <rFont val="Tahoma"/>
            <family val="2"/>
          </rPr>
          <t>Scott Cole:</t>
        </r>
        <r>
          <rPr>
            <sz val="9"/>
            <color indexed="81"/>
            <rFont val="Tahoma"/>
            <family val="2"/>
          </rPr>
          <t xml:space="preserve">
Insert bill total here to calculate % of BG bill for Cogen &amp; Main meter.</t>
        </r>
      </text>
    </comment>
    <comment ref="G87" authorId="0" shapeId="0" xr:uid="{00000000-0006-0000-0C00-000019000000}">
      <text>
        <r>
          <rPr>
            <b/>
            <sz val="9"/>
            <color indexed="81"/>
            <rFont val="Tahoma"/>
            <family val="2"/>
          </rPr>
          <t>Scott Cole:</t>
        </r>
        <r>
          <rPr>
            <sz val="9"/>
            <color indexed="81"/>
            <rFont val="Tahoma"/>
            <family val="2"/>
          </rPr>
          <t xml:space="preserve">
Insert bill total here from Sprague bill for Cogen &amp; Main meter.</t>
        </r>
      </text>
    </comment>
    <comment ref="K88" authorId="0" shapeId="0" xr:uid="{00000000-0006-0000-0C00-00001A000000}">
      <text>
        <r>
          <rPr>
            <b/>
            <sz val="9"/>
            <color indexed="81"/>
            <rFont val="Tahoma"/>
            <family val="2"/>
          </rPr>
          <t>Scott Cole:</t>
        </r>
        <r>
          <rPr>
            <sz val="9"/>
            <color indexed="81"/>
            <rFont val="Tahoma"/>
            <family val="2"/>
          </rPr>
          <t xml:space="preserve">
Insert bill total here to calculate % of BG bill for Cogen &amp; Main meter.</t>
        </r>
      </text>
    </comment>
    <comment ref="G91" authorId="0" shapeId="0" xr:uid="{00000000-0006-0000-0C00-00001B000000}">
      <text>
        <r>
          <rPr>
            <b/>
            <sz val="9"/>
            <color indexed="81"/>
            <rFont val="Tahoma"/>
            <family val="2"/>
          </rPr>
          <t>Scott Cole:</t>
        </r>
        <r>
          <rPr>
            <sz val="9"/>
            <color indexed="81"/>
            <rFont val="Tahoma"/>
            <family val="2"/>
          </rPr>
          <t xml:space="preserve">
Insert bill total here from Sprague bill for Cogen &amp; Main meter.</t>
        </r>
      </text>
    </comment>
    <comment ref="K92" authorId="0" shapeId="0" xr:uid="{00000000-0006-0000-0C00-00001C000000}">
      <text>
        <r>
          <rPr>
            <b/>
            <sz val="9"/>
            <color indexed="81"/>
            <rFont val="Tahoma"/>
            <family val="2"/>
          </rPr>
          <t>Scott Cole:</t>
        </r>
        <r>
          <rPr>
            <sz val="9"/>
            <color indexed="81"/>
            <rFont val="Tahoma"/>
            <family val="2"/>
          </rPr>
          <t xml:space="preserve">
Insert bill total here to calculate % of BG bill for Cogen &amp; Main meter.</t>
        </r>
      </text>
    </comment>
    <comment ref="G95" authorId="0" shapeId="0" xr:uid="{00000000-0006-0000-0C00-00001D000000}">
      <text>
        <r>
          <rPr>
            <b/>
            <sz val="9"/>
            <color indexed="81"/>
            <rFont val="Tahoma"/>
            <family val="2"/>
          </rPr>
          <t>Scott Cole:</t>
        </r>
        <r>
          <rPr>
            <sz val="9"/>
            <color indexed="81"/>
            <rFont val="Tahoma"/>
            <family val="2"/>
          </rPr>
          <t xml:space="preserve">
Insert bill total here from Sprague bill for Cogen &amp; Main meter.</t>
        </r>
      </text>
    </comment>
    <comment ref="K96" authorId="0" shapeId="0" xr:uid="{00000000-0006-0000-0C00-00001E000000}">
      <text>
        <r>
          <rPr>
            <b/>
            <sz val="9"/>
            <color indexed="81"/>
            <rFont val="Tahoma"/>
            <family val="2"/>
          </rPr>
          <t>Scott Cole:</t>
        </r>
        <r>
          <rPr>
            <sz val="9"/>
            <color indexed="81"/>
            <rFont val="Tahoma"/>
            <family val="2"/>
          </rPr>
          <t xml:space="preserve">
Insert bill total here to calculate % of BG bill for Cogen &amp; Main meter.</t>
        </r>
      </text>
    </comment>
    <comment ref="G99" authorId="0" shapeId="0" xr:uid="{00000000-0006-0000-0C00-00001F000000}">
      <text>
        <r>
          <rPr>
            <b/>
            <sz val="9"/>
            <color indexed="81"/>
            <rFont val="Tahoma"/>
            <family val="2"/>
          </rPr>
          <t>Scott Cole:</t>
        </r>
        <r>
          <rPr>
            <sz val="9"/>
            <color indexed="81"/>
            <rFont val="Tahoma"/>
            <family val="2"/>
          </rPr>
          <t xml:space="preserve">
Insert bill total here from Sprague bill for Cogen &amp; Main meter.</t>
        </r>
      </text>
    </comment>
    <comment ref="K100" authorId="0" shapeId="0" xr:uid="{00000000-0006-0000-0C00-000020000000}">
      <text>
        <r>
          <rPr>
            <b/>
            <sz val="9"/>
            <color indexed="81"/>
            <rFont val="Tahoma"/>
            <family val="2"/>
          </rPr>
          <t>Scott Cole:</t>
        </r>
        <r>
          <rPr>
            <sz val="9"/>
            <color indexed="81"/>
            <rFont val="Tahoma"/>
            <family val="2"/>
          </rPr>
          <t xml:space="preserve">
Insert bill total here to calculate % of BG bill for Cogen &amp; Main meter.</t>
        </r>
      </text>
    </comment>
    <comment ref="G103" authorId="0" shapeId="0" xr:uid="{00000000-0006-0000-0C00-000021000000}">
      <text>
        <r>
          <rPr>
            <b/>
            <sz val="9"/>
            <color indexed="81"/>
            <rFont val="Tahoma"/>
            <family val="2"/>
          </rPr>
          <t>Scott Cole:</t>
        </r>
        <r>
          <rPr>
            <sz val="9"/>
            <color indexed="81"/>
            <rFont val="Tahoma"/>
            <family val="2"/>
          </rPr>
          <t xml:space="preserve">
Insert bill total here from Sprague bill for Cogen &amp; Main meter.</t>
        </r>
      </text>
    </comment>
    <comment ref="K104" authorId="0" shapeId="0" xr:uid="{00000000-0006-0000-0C00-000022000000}">
      <text>
        <r>
          <rPr>
            <b/>
            <sz val="9"/>
            <color indexed="81"/>
            <rFont val="Tahoma"/>
            <family val="2"/>
          </rPr>
          <t>Scott Cole:</t>
        </r>
        <r>
          <rPr>
            <sz val="9"/>
            <color indexed="81"/>
            <rFont val="Tahoma"/>
            <family val="2"/>
          </rPr>
          <t xml:space="preserve">
Insert bill total here to calculate % of BG bill for Cogen &amp; Main meter.</t>
        </r>
      </text>
    </comment>
    <comment ref="G107" authorId="0" shapeId="0" xr:uid="{00000000-0006-0000-0C00-000023000000}">
      <text>
        <r>
          <rPr>
            <b/>
            <sz val="9"/>
            <color indexed="81"/>
            <rFont val="Tahoma"/>
            <family val="2"/>
          </rPr>
          <t>Scott Cole:</t>
        </r>
        <r>
          <rPr>
            <sz val="9"/>
            <color indexed="81"/>
            <rFont val="Tahoma"/>
            <family val="2"/>
          </rPr>
          <t xml:space="preserve">
Insert bill total here from Sprague bill for Cogen &amp; Main meter.</t>
        </r>
      </text>
    </comment>
    <comment ref="K108" authorId="0" shapeId="0" xr:uid="{00000000-0006-0000-0C00-000024000000}">
      <text>
        <r>
          <rPr>
            <b/>
            <sz val="9"/>
            <color indexed="81"/>
            <rFont val="Tahoma"/>
            <family val="2"/>
          </rPr>
          <t>Scott Cole:</t>
        </r>
        <r>
          <rPr>
            <sz val="9"/>
            <color indexed="81"/>
            <rFont val="Tahoma"/>
            <family val="2"/>
          </rPr>
          <t xml:space="preserve">
Insert bill total here to calculate % of BG bill for Cogen &amp; Main meter.</t>
        </r>
      </text>
    </comment>
    <comment ref="G111" authorId="0" shapeId="0" xr:uid="{00000000-0006-0000-0C00-000025000000}">
      <text>
        <r>
          <rPr>
            <b/>
            <sz val="9"/>
            <color indexed="81"/>
            <rFont val="Tahoma"/>
            <family val="2"/>
          </rPr>
          <t>Scott Cole:</t>
        </r>
        <r>
          <rPr>
            <sz val="9"/>
            <color indexed="81"/>
            <rFont val="Tahoma"/>
            <family val="2"/>
          </rPr>
          <t xml:space="preserve">
Insert bill total here from Sprague bill for Cogen &amp; Main meter.</t>
        </r>
      </text>
    </comment>
    <comment ref="K112" authorId="0" shapeId="0" xr:uid="{00000000-0006-0000-0C00-000026000000}">
      <text>
        <r>
          <rPr>
            <b/>
            <sz val="9"/>
            <color indexed="81"/>
            <rFont val="Tahoma"/>
            <family val="2"/>
          </rPr>
          <t>Scott Cole:</t>
        </r>
        <r>
          <rPr>
            <sz val="9"/>
            <color indexed="81"/>
            <rFont val="Tahoma"/>
            <family val="2"/>
          </rPr>
          <t xml:space="preserve">
Insert bill total here to calculate % of BG bill for Cogen &amp; Main meter.</t>
        </r>
      </text>
    </comment>
    <comment ref="G123" authorId="0" shapeId="0" xr:uid="{00000000-0006-0000-0C00-000027000000}">
      <text>
        <r>
          <rPr>
            <b/>
            <sz val="9"/>
            <color indexed="81"/>
            <rFont val="Tahoma"/>
            <family val="2"/>
          </rPr>
          <t>Scott Cole:</t>
        </r>
        <r>
          <rPr>
            <sz val="9"/>
            <color indexed="81"/>
            <rFont val="Tahoma"/>
            <family val="2"/>
          </rPr>
          <t xml:space="preserve">
Insert bill total here from Sprague bill for Cogen &amp; Main meter.</t>
        </r>
      </text>
    </comment>
    <comment ref="K124" authorId="0" shapeId="0" xr:uid="{00000000-0006-0000-0C00-000028000000}">
      <text>
        <r>
          <rPr>
            <b/>
            <sz val="9"/>
            <color indexed="81"/>
            <rFont val="Tahoma"/>
            <family val="2"/>
          </rPr>
          <t>Scott Cole:</t>
        </r>
        <r>
          <rPr>
            <sz val="9"/>
            <color indexed="81"/>
            <rFont val="Tahoma"/>
            <family val="2"/>
          </rPr>
          <t xml:space="preserve">
Insert bill total here to calculate % of BG bill for Cogen &amp; Main meter.</t>
        </r>
      </text>
    </comment>
    <comment ref="G127" authorId="0" shapeId="0" xr:uid="{00000000-0006-0000-0C00-000029000000}">
      <text>
        <r>
          <rPr>
            <b/>
            <sz val="9"/>
            <color indexed="81"/>
            <rFont val="Tahoma"/>
            <family val="2"/>
          </rPr>
          <t>Scott Cole:</t>
        </r>
        <r>
          <rPr>
            <sz val="9"/>
            <color indexed="81"/>
            <rFont val="Tahoma"/>
            <family val="2"/>
          </rPr>
          <t xml:space="preserve">
Insert bill total here from Sprague bill for Cogen &amp; Main meter.</t>
        </r>
      </text>
    </comment>
    <comment ref="K128" authorId="0" shapeId="0" xr:uid="{00000000-0006-0000-0C00-00002A000000}">
      <text>
        <r>
          <rPr>
            <b/>
            <sz val="9"/>
            <color indexed="81"/>
            <rFont val="Tahoma"/>
            <family val="2"/>
          </rPr>
          <t>Scott Cole:</t>
        </r>
        <r>
          <rPr>
            <sz val="9"/>
            <color indexed="81"/>
            <rFont val="Tahoma"/>
            <family val="2"/>
          </rPr>
          <t xml:space="preserve">
Insert bill total here to calculate % of BG bill for Cogen &amp; Main meter.</t>
        </r>
      </text>
    </comment>
    <comment ref="G131" authorId="0" shapeId="0" xr:uid="{00000000-0006-0000-0C00-00002B000000}">
      <text>
        <r>
          <rPr>
            <b/>
            <sz val="9"/>
            <color indexed="81"/>
            <rFont val="Tahoma"/>
            <family val="2"/>
          </rPr>
          <t>Scott Cole:</t>
        </r>
        <r>
          <rPr>
            <sz val="9"/>
            <color indexed="81"/>
            <rFont val="Tahoma"/>
            <family val="2"/>
          </rPr>
          <t xml:space="preserve">
Insert bill total here from Sprague bill for Cogen &amp; Main meter.</t>
        </r>
      </text>
    </comment>
    <comment ref="K132" authorId="0" shapeId="0" xr:uid="{00000000-0006-0000-0C00-00002C000000}">
      <text>
        <r>
          <rPr>
            <b/>
            <sz val="9"/>
            <color indexed="81"/>
            <rFont val="Tahoma"/>
            <family val="2"/>
          </rPr>
          <t>Scott Cole:</t>
        </r>
        <r>
          <rPr>
            <sz val="9"/>
            <color indexed="81"/>
            <rFont val="Tahoma"/>
            <family val="2"/>
          </rPr>
          <t xml:space="preserve">
Insert bill total here to calculate % of BG bill for Cogen &amp; Main meter.</t>
        </r>
      </text>
    </comment>
    <comment ref="G135" authorId="0" shapeId="0" xr:uid="{00000000-0006-0000-0C00-00002D000000}">
      <text>
        <r>
          <rPr>
            <b/>
            <sz val="9"/>
            <color indexed="81"/>
            <rFont val="Tahoma"/>
            <family val="2"/>
          </rPr>
          <t>Scott Cole:</t>
        </r>
        <r>
          <rPr>
            <sz val="9"/>
            <color indexed="81"/>
            <rFont val="Tahoma"/>
            <family val="2"/>
          </rPr>
          <t xml:space="preserve">
Insert bill total here from Sprague bill for Cogen &amp; Main meter.</t>
        </r>
      </text>
    </comment>
    <comment ref="K136" authorId="0" shapeId="0" xr:uid="{00000000-0006-0000-0C00-00002E000000}">
      <text>
        <r>
          <rPr>
            <b/>
            <sz val="9"/>
            <color indexed="81"/>
            <rFont val="Tahoma"/>
            <family val="2"/>
          </rPr>
          <t>Scott Cole:</t>
        </r>
        <r>
          <rPr>
            <sz val="9"/>
            <color indexed="81"/>
            <rFont val="Tahoma"/>
            <family val="2"/>
          </rPr>
          <t xml:space="preserve">
Insert bill total here to calculate % of BG bill for Cogen &amp; Main meter.</t>
        </r>
      </text>
    </comment>
    <comment ref="G139" authorId="0" shapeId="0" xr:uid="{00000000-0006-0000-0C00-00002F000000}">
      <text>
        <r>
          <rPr>
            <b/>
            <sz val="9"/>
            <color indexed="81"/>
            <rFont val="Tahoma"/>
            <family val="2"/>
          </rPr>
          <t>Scott Cole:</t>
        </r>
        <r>
          <rPr>
            <sz val="9"/>
            <color indexed="81"/>
            <rFont val="Tahoma"/>
            <family val="2"/>
          </rPr>
          <t xml:space="preserve">
Insert bill total here from Sprague bill for Cogen &amp; Main meter.</t>
        </r>
      </text>
    </comment>
    <comment ref="K140" authorId="0" shapeId="0" xr:uid="{00000000-0006-0000-0C00-000030000000}">
      <text>
        <r>
          <rPr>
            <b/>
            <sz val="9"/>
            <color indexed="81"/>
            <rFont val="Tahoma"/>
            <family val="2"/>
          </rPr>
          <t>Scott Cole:</t>
        </r>
        <r>
          <rPr>
            <sz val="9"/>
            <color indexed="81"/>
            <rFont val="Tahoma"/>
            <family val="2"/>
          </rPr>
          <t xml:space="preserve">
Insert bill total here to calculate % of BG bill for Cogen &amp; Main meter.</t>
        </r>
      </text>
    </comment>
    <comment ref="G143" authorId="0" shapeId="0" xr:uid="{00000000-0006-0000-0C00-000031000000}">
      <text>
        <r>
          <rPr>
            <b/>
            <sz val="9"/>
            <color indexed="81"/>
            <rFont val="Tahoma"/>
            <family val="2"/>
          </rPr>
          <t>Scott Cole:</t>
        </r>
        <r>
          <rPr>
            <sz val="9"/>
            <color indexed="81"/>
            <rFont val="Tahoma"/>
            <family val="2"/>
          </rPr>
          <t xml:space="preserve">
Insert bill total here from Sprague bill for Cogen &amp; Main meter.</t>
        </r>
      </text>
    </comment>
    <comment ref="K144" authorId="0" shapeId="0" xr:uid="{00000000-0006-0000-0C00-000032000000}">
      <text>
        <r>
          <rPr>
            <b/>
            <sz val="9"/>
            <color indexed="81"/>
            <rFont val="Tahoma"/>
            <family val="2"/>
          </rPr>
          <t>Scott Cole:</t>
        </r>
        <r>
          <rPr>
            <sz val="9"/>
            <color indexed="81"/>
            <rFont val="Tahoma"/>
            <family val="2"/>
          </rPr>
          <t xml:space="preserve">
Insert bill total here to calculate % of BG bill for Cogen &amp; Main meter.</t>
        </r>
      </text>
    </comment>
    <comment ref="G147" authorId="0" shapeId="0" xr:uid="{00000000-0006-0000-0C00-000033000000}">
      <text>
        <r>
          <rPr>
            <b/>
            <sz val="9"/>
            <color indexed="81"/>
            <rFont val="Tahoma"/>
            <family val="2"/>
          </rPr>
          <t>Scott Cole:</t>
        </r>
        <r>
          <rPr>
            <sz val="9"/>
            <color indexed="81"/>
            <rFont val="Tahoma"/>
            <family val="2"/>
          </rPr>
          <t xml:space="preserve">
Insert bill total here from Sprague bill for Cogen &amp; Main meter.</t>
        </r>
      </text>
    </comment>
    <comment ref="K148" authorId="0" shapeId="0" xr:uid="{00000000-0006-0000-0C00-000034000000}">
      <text>
        <r>
          <rPr>
            <b/>
            <sz val="9"/>
            <color indexed="81"/>
            <rFont val="Tahoma"/>
            <family val="2"/>
          </rPr>
          <t>Scott Cole:</t>
        </r>
        <r>
          <rPr>
            <sz val="9"/>
            <color indexed="81"/>
            <rFont val="Tahoma"/>
            <family val="2"/>
          </rPr>
          <t xml:space="preserve">
Insert bill total here to calculate % of BG bill for Cogen &amp; Main meter.</t>
        </r>
      </text>
    </comment>
    <comment ref="G151" authorId="0" shapeId="0" xr:uid="{00000000-0006-0000-0C00-000035000000}">
      <text>
        <r>
          <rPr>
            <b/>
            <sz val="9"/>
            <color indexed="81"/>
            <rFont val="Tahoma"/>
            <family val="2"/>
          </rPr>
          <t>Scott Cole:</t>
        </r>
        <r>
          <rPr>
            <sz val="9"/>
            <color indexed="81"/>
            <rFont val="Tahoma"/>
            <family val="2"/>
          </rPr>
          <t xml:space="preserve">
Insert bill total here from Sprague bill for Cogen &amp; Main meter.</t>
        </r>
      </text>
    </comment>
    <comment ref="K152" authorId="0" shapeId="0" xr:uid="{00000000-0006-0000-0C00-000036000000}">
      <text>
        <r>
          <rPr>
            <b/>
            <sz val="9"/>
            <color indexed="81"/>
            <rFont val="Tahoma"/>
            <family val="2"/>
          </rPr>
          <t>Scott Cole:</t>
        </r>
        <r>
          <rPr>
            <sz val="9"/>
            <color indexed="81"/>
            <rFont val="Tahoma"/>
            <family val="2"/>
          </rPr>
          <t xml:space="preserve">
Insert bill total here to calculate % of BG bill for Cogen &amp; Main meter.</t>
        </r>
      </text>
    </comment>
    <comment ref="G155" authorId="0" shapeId="0" xr:uid="{00000000-0006-0000-0C00-000037000000}">
      <text>
        <r>
          <rPr>
            <b/>
            <sz val="9"/>
            <color indexed="81"/>
            <rFont val="Tahoma"/>
            <family val="2"/>
          </rPr>
          <t>Scott Cole:</t>
        </r>
        <r>
          <rPr>
            <sz val="9"/>
            <color indexed="81"/>
            <rFont val="Tahoma"/>
            <family val="2"/>
          </rPr>
          <t xml:space="preserve">
Insert bill total here from Sprague bill for Cogen &amp; Main meter.</t>
        </r>
      </text>
    </comment>
    <comment ref="K156" authorId="0" shapeId="0" xr:uid="{00000000-0006-0000-0C00-000038000000}">
      <text>
        <r>
          <rPr>
            <b/>
            <sz val="9"/>
            <color indexed="81"/>
            <rFont val="Tahoma"/>
            <family val="2"/>
          </rPr>
          <t>Scott Cole:</t>
        </r>
        <r>
          <rPr>
            <sz val="9"/>
            <color indexed="81"/>
            <rFont val="Tahoma"/>
            <family val="2"/>
          </rPr>
          <t xml:space="preserve">
Insert bill total here to calculate % of BG bill for Cogen &amp; Main meter.</t>
        </r>
      </text>
    </comment>
    <comment ref="G159" authorId="0" shapeId="0" xr:uid="{00000000-0006-0000-0C00-000039000000}">
      <text>
        <r>
          <rPr>
            <b/>
            <sz val="9"/>
            <color indexed="81"/>
            <rFont val="Tahoma"/>
            <family val="2"/>
          </rPr>
          <t>Scott Cole:</t>
        </r>
        <r>
          <rPr>
            <sz val="9"/>
            <color indexed="81"/>
            <rFont val="Tahoma"/>
            <family val="2"/>
          </rPr>
          <t xml:space="preserve">
Insert bill total here from Sprague bill for Cogen &amp; Main meter.</t>
        </r>
      </text>
    </comment>
    <comment ref="K160" authorId="0" shapeId="0" xr:uid="{00000000-0006-0000-0C00-00003A000000}">
      <text>
        <r>
          <rPr>
            <b/>
            <sz val="9"/>
            <color indexed="81"/>
            <rFont val="Tahoma"/>
            <family val="2"/>
          </rPr>
          <t>Scott Cole:</t>
        </r>
        <r>
          <rPr>
            <sz val="9"/>
            <color indexed="81"/>
            <rFont val="Tahoma"/>
            <family val="2"/>
          </rPr>
          <t xml:space="preserve">
Insert bill total here to calculate % of BG bill for Cogen &amp; Main meter.</t>
        </r>
      </text>
    </comment>
    <comment ref="G163" authorId="0" shapeId="0" xr:uid="{00000000-0006-0000-0C00-00003B000000}">
      <text>
        <r>
          <rPr>
            <b/>
            <sz val="9"/>
            <color indexed="81"/>
            <rFont val="Tahoma"/>
            <family val="2"/>
          </rPr>
          <t>Scott Cole:</t>
        </r>
        <r>
          <rPr>
            <sz val="9"/>
            <color indexed="81"/>
            <rFont val="Tahoma"/>
            <family val="2"/>
          </rPr>
          <t xml:space="preserve">
Insert bill total here from Sprague bill for Cogen &amp; Main meter.</t>
        </r>
      </text>
    </comment>
    <comment ref="K164" authorId="0" shapeId="0" xr:uid="{00000000-0006-0000-0C00-00003C000000}">
      <text>
        <r>
          <rPr>
            <b/>
            <sz val="9"/>
            <color indexed="81"/>
            <rFont val="Tahoma"/>
            <family val="2"/>
          </rPr>
          <t>Scott Cole:</t>
        </r>
        <r>
          <rPr>
            <sz val="9"/>
            <color indexed="81"/>
            <rFont val="Tahoma"/>
            <family val="2"/>
          </rPr>
          <t xml:space="preserve">
Insert bill total here to calculate % of BG bill for Cogen &amp; Main meter.</t>
        </r>
      </text>
    </comment>
    <comment ref="G167" authorId="0" shapeId="0" xr:uid="{00000000-0006-0000-0C00-00003D000000}">
      <text>
        <r>
          <rPr>
            <b/>
            <sz val="9"/>
            <color indexed="81"/>
            <rFont val="Tahoma"/>
            <family val="2"/>
          </rPr>
          <t>Scott Cole:</t>
        </r>
        <r>
          <rPr>
            <sz val="9"/>
            <color indexed="81"/>
            <rFont val="Tahoma"/>
            <family val="2"/>
          </rPr>
          <t xml:space="preserve">
Insert bill total here from Sprague bill for Cogen &amp; Main meter.</t>
        </r>
      </text>
    </comment>
    <comment ref="K168" authorId="0" shapeId="0" xr:uid="{00000000-0006-0000-0C00-00003E000000}">
      <text>
        <r>
          <rPr>
            <b/>
            <sz val="9"/>
            <color indexed="81"/>
            <rFont val="Tahoma"/>
            <family val="2"/>
          </rPr>
          <t>Scott Cole:</t>
        </r>
        <r>
          <rPr>
            <sz val="9"/>
            <color indexed="81"/>
            <rFont val="Tahoma"/>
            <family val="2"/>
          </rPr>
          <t xml:space="preserve">
Insert bill total here to calculate % of BG bill for Cogen &amp; Main meter.</t>
        </r>
      </text>
    </comment>
    <comment ref="G184" authorId="0" shapeId="0" xr:uid="{00000000-0006-0000-0C00-00003F000000}">
      <text>
        <r>
          <rPr>
            <b/>
            <sz val="9"/>
            <color indexed="81"/>
            <rFont val="Tahoma"/>
            <family val="2"/>
          </rPr>
          <t>Scott Cole:</t>
        </r>
        <r>
          <rPr>
            <sz val="9"/>
            <color indexed="81"/>
            <rFont val="Tahoma"/>
            <family val="2"/>
          </rPr>
          <t xml:space="preserve">
Insert bill total here from Sprague bill for Cogen &amp; Main meter.</t>
        </r>
      </text>
    </comment>
    <comment ref="K185" authorId="0" shapeId="0" xr:uid="{00000000-0006-0000-0C00-000040000000}">
      <text>
        <r>
          <rPr>
            <b/>
            <sz val="9"/>
            <color indexed="81"/>
            <rFont val="Tahoma"/>
            <family val="2"/>
          </rPr>
          <t>Scott Cole:</t>
        </r>
        <r>
          <rPr>
            <sz val="9"/>
            <color indexed="81"/>
            <rFont val="Tahoma"/>
            <family val="2"/>
          </rPr>
          <t xml:space="preserve">
Insert bill total here to calculate % of BG bill for Cogen &amp; Main meter.</t>
        </r>
      </text>
    </comment>
    <comment ref="G188" authorId="0" shapeId="0" xr:uid="{00000000-0006-0000-0C00-000041000000}">
      <text>
        <r>
          <rPr>
            <b/>
            <sz val="9"/>
            <color indexed="81"/>
            <rFont val="Tahoma"/>
            <family val="2"/>
          </rPr>
          <t>Scott Cole:</t>
        </r>
        <r>
          <rPr>
            <sz val="9"/>
            <color indexed="81"/>
            <rFont val="Tahoma"/>
            <family val="2"/>
          </rPr>
          <t xml:space="preserve">
Insert bill total here from Sprague bill for Cogen &amp; Main meter.</t>
        </r>
      </text>
    </comment>
    <comment ref="K189" authorId="0" shapeId="0" xr:uid="{00000000-0006-0000-0C00-000042000000}">
      <text>
        <r>
          <rPr>
            <b/>
            <sz val="9"/>
            <color indexed="81"/>
            <rFont val="Tahoma"/>
            <family val="2"/>
          </rPr>
          <t>Scott Cole:</t>
        </r>
        <r>
          <rPr>
            <sz val="9"/>
            <color indexed="81"/>
            <rFont val="Tahoma"/>
            <family val="2"/>
          </rPr>
          <t xml:space="preserve">
Insert bill total here to calculate % of BG bill for Cogen &amp; Main meter.</t>
        </r>
      </text>
    </comment>
    <comment ref="G192" authorId="0" shapeId="0" xr:uid="{00000000-0006-0000-0C00-000043000000}">
      <text>
        <r>
          <rPr>
            <b/>
            <sz val="9"/>
            <color indexed="81"/>
            <rFont val="Tahoma"/>
            <family val="2"/>
          </rPr>
          <t>Scott Cole:</t>
        </r>
        <r>
          <rPr>
            <sz val="9"/>
            <color indexed="81"/>
            <rFont val="Tahoma"/>
            <family val="2"/>
          </rPr>
          <t xml:space="preserve">
Insert bill total here from Sprague bill for Cogen &amp; Main meter.</t>
        </r>
      </text>
    </comment>
    <comment ref="K193" authorId="0" shapeId="0" xr:uid="{00000000-0006-0000-0C00-000044000000}">
      <text>
        <r>
          <rPr>
            <b/>
            <sz val="9"/>
            <color indexed="81"/>
            <rFont val="Tahoma"/>
            <family val="2"/>
          </rPr>
          <t>Scott Cole:</t>
        </r>
        <r>
          <rPr>
            <sz val="9"/>
            <color indexed="81"/>
            <rFont val="Tahoma"/>
            <family val="2"/>
          </rPr>
          <t xml:space="preserve">
Insert bill total here to calculate % of BG bill for Cogen &amp; Main meter.</t>
        </r>
      </text>
    </comment>
    <comment ref="G196" authorId="0" shapeId="0" xr:uid="{00000000-0006-0000-0C00-000045000000}">
      <text>
        <r>
          <rPr>
            <b/>
            <sz val="9"/>
            <color indexed="81"/>
            <rFont val="Tahoma"/>
            <family val="2"/>
          </rPr>
          <t>Scott Cole:</t>
        </r>
        <r>
          <rPr>
            <sz val="9"/>
            <color indexed="81"/>
            <rFont val="Tahoma"/>
            <family val="2"/>
          </rPr>
          <t xml:space="preserve">
Insert bill total here from Sprague bill for Cogen &amp; Main meter.</t>
        </r>
      </text>
    </comment>
    <comment ref="K197" authorId="0" shapeId="0" xr:uid="{00000000-0006-0000-0C00-000046000000}">
      <text>
        <r>
          <rPr>
            <b/>
            <sz val="9"/>
            <color indexed="81"/>
            <rFont val="Tahoma"/>
            <family val="2"/>
          </rPr>
          <t>Scott Cole:</t>
        </r>
        <r>
          <rPr>
            <sz val="9"/>
            <color indexed="81"/>
            <rFont val="Tahoma"/>
            <family val="2"/>
          </rPr>
          <t xml:space="preserve">
Insert bill total here to calculate % of BG bill for Cogen &amp; Main meter.</t>
        </r>
      </text>
    </comment>
    <comment ref="G200" authorId="0" shapeId="0" xr:uid="{00000000-0006-0000-0C00-000047000000}">
      <text>
        <r>
          <rPr>
            <b/>
            <sz val="9"/>
            <color indexed="81"/>
            <rFont val="Tahoma"/>
            <family val="2"/>
          </rPr>
          <t>Scott Cole:</t>
        </r>
        <r>
          <rPr>
            <sz val="9"/>
            <color indexed="81"/>
            <rFont val="Tahoma"/>
            <family val="2"/>
          </rPr>
          <t xml:space="preserve">
Insert bill total here from Sprague bill for Cogen &amp; Main meter.</t>
        </r>
      </text>
    </comment>
    <comment ref="K201" authorId="0" shapeId="0" xr:uid="{00000000-0006-0000-0C00-000048000000}">
      <text>
        <r>
          <rPr>
            <b/>
            <sz val="9"/>
            <color indexed="81"/>
            <rFont val="Tahoma"/>
            <family val="2"/>
          </rPr>
          <t>Scott Cole:</t>
        </r>
        <r>
          <rPr>
            <sz val="9"/>
            <color indexed="81"/>
            <rFont val="Tahoma"/>
            <family val="2"/>
          </rPr>
          <t xml:space="preserve">
Insert bill total here to calculate % of BG bill for Cogen &amp; Main meter.</t>
        </r>
      </text>
    </comment>
    <comment ref="G204" authorId="0" shapeId="0" xr:uid="{00000000-0006-0000-0C00-000049000000}">
      <text>
        <r>
          <rPr>
            <b/>
            <sz val="9"/>
            <color indexed="81"/>
            <rFont val="Tahoma"/>
            <family val="2"/>
          </rPr>
          <t>Scott Cole:</t>
        </r>
        <r>
          <rPr>
            <sz val="9"/>
            <color indexed="81"/>
            <rFont val="Tahoma"/>
            <family val="2"/>
          </rPr>
          <t xml:space="preserve">
Insert bill total here from Sprague bill for Cogen &amp; Main meter.</t>
        </r>
      </text>
    </comment>
    <comment ref="K205" authorId="0" shapeId="0" xr:uid="{00000000-0006-0000-0C00-00004A000000}">
      <text>
        <r>
          <rPr>
            <b/>
            <sz val="9"/>
            <color indexed="81"/>
            <rFont val="Tahoma"/>
            <family val="2"/>
          </rPr>
          <t>Scott Cole:</t>
        </r>
        <r>
          <rPr>
            <sz val="9"/>
            <color indexed="81"/>
            <rFont val="Tahoma"/>
            <family val="2"/>
          </rPr>
          <t xml:space="preserve">
Insert bill total here to calculate % of BG bill for Cogen &amp; Main meter.</t>
        </r>
      </text>
    </comment>
    <comment ref="G208" authorId="0" shapeId="0" xr:uid="{00000000-0006-0000-0C00-00004B000000}">
      <text>
        <r>
          <rPr>
            <b/>
            <sz val="9"/>
            <color indexed="81"/>
            <rFont val="Tahoma"/>
            <family val="2"/>
          </rPr>
          <t>Scott Cole:</t>
        </r>
        <r>
          <rPr>
            <sz val="9"/>
            <color indexed="81"/>
            <rFont val="Tahoma"/>
            <family val="2"/>
          </rPr>
          <t xml:space="preserve">
Insert bill total here from Sprague bill for Cogen &amp; Main meter.</t>
        </r>
      </text>
    </comment>
    <comment ref="K209" authorId="0" shapeId="0" xr:uid="{00000000-0006-0000-0C00-00004C000000}">
      <text>
        <r>
          <rPr>
            <b/>
            <sz val="9"/>
            <color indexed="81"/>
            <rFont val="Tahoma"/>
            <family val="2"/>
          </rPr>
          <t>Scott Cole:</t>
        </r>
        <r>
          <rPr>
            <sz val="9"/>
            <color indexed="81"/>
            <rFont val="Tahoma"/>
            <family val="2"/>
          </rPr>
          <t xml:space="preserve">
Insert bill total here to calculate % of BG bill for Cogen &amp; Main meter.</t>
        </r>
      </text>
    </comment>
    <comment ref="G212" authorId="0" shapeId="0" xr:uid="{00000000-0006-0000-0C00-00004D000000}">
      <text>
        <r>
          <rPr>
            <b/>
            <sz val="9"/>
            <color indexed="81"/>
            <rFont val="Tahoma"/>
            <family val="2"/>
          </rPr>
          <t>Scott Cole:</t>
        </r>
        <r>
          <rPr>
            <sz val="9"/>
            <color indexed="81"/>
            <rFont val="Tahoma"/>
            <family val="2"/>
          </rPr>
          <t xml:space="preserve">
Insert bill total here from Sprague bill for Cogen &amp; Main meter.</t>
        </r>
      </text>
    </comment>
    <comment ref="K213" authorId="0" shapeId="0" xr:uid="{00000000-0006-0000-0C00-00004E000000}">
      <text>
        <r>
          <rPr>
            <b/>
            <sz val="9"/>
            <color indexed="81"/>
            <rFont val="Tahoma"/>
            <family val="2"/>
          </rPr>
          <t>Scott Cole:</t>
        </r>
        <r>
          <rPr>
            <sz val="9"/>
            <color indexed="81"/>
            <rFont val="Tahoma"/>
            <family val="2"/>
          </rPr>
          <t xml:space="preserve">
Insert bill total here to calculate % of BG bill for Cogen &amp; Main meter.</t>
        </r>
      </text>
    </comment>
    <comment ref="G216" authorId="0" shapeId="0" xr:uid="{00000000-0006-0000-0C00-00004F000000}">
      <text>
        <r>
          <rPr>
            <b/>
            <sz val="9"/>
            <color indexed="81"/>
            <rFont val="Tahoma"/>
            <family val="2"/>
          </rPr>
          <t>Scott Cole:</t>
        </r>
        <r>
          <rPr>
            <sz val="9"/>
            <color indexed="81"/>
            <rFont val="Tahoma"/>
            <family val="2"/>
          </rPr>
          <t xml:space="preserve">
Insert bill total here from Sprague bill for Cogen &amp; Main meter.</t>
        </r>
      </text>
    </comment>
    <comment ref="K217" authorId="0" shapeId="0" xr:uid="{00000000-0006-0000-0C00-000050000000}">
      <text>
        <r>
          <rPr>
            <b/>
            <sz val="9"/>
            <color indexed="81"/>
            <rFont val="Tahoma"/>
            <family val="2"/>
          </rPr>
          <t>Scott Cole:</t>
        </r>
        <r>
          <rPr>
            <sz val="9"/>
            <color indexed="81"/>
            <rFont val="Tahoma"/>
            <family val="2"/>
          </rPr>
          <t xml:space="preserve">
Insert bill total here to calculate % of BG bill for Cogen &amp; Main meter.</t>
        </r>
      </text>
    </comment>
    <comment ref="G220" authorId="0" shapeId="0" xr:uid="{00000000-0006-0000-0C00-000051000000}">
      <text>
        <r>
          <rPr>
            <b/>
            <sz val="9"/>
            <color indexed="81"/>
            <rFont val="Tahoma"/>
            <family val="2"/>
          </rPr>
          <t>Scott Cole:</t>
        </r>
        <r>
          <rPr>
            <sz val="9"/>
            <color indexed="81"/>
            <rFont val="Tahoma"/>
            <family val="2"/>
          </rPr>
          <t xml:space="preserve">
Insert bill total here from Sprague bill for Cogen &amp; Main meter.</t>
        </r>
      </text>
    </comment>
    <comment ref="K221" authorId="0" shapeId="0" xr:uid="{00000000-0006-0000-0C00-000052000000}">
      <text>
        <r>
          <rPr>
            <b/>
            <sz val="9"/>
            <color indexed="81"/>
            <rFont val="Tahoma"/>
            <family val="2"/>
          </rPr>
          <t>Scott Cole:</t>
        </r>
        <r>
          <rPr>
            <sz val="9"/>
            <color indexed="81"/>
            <rFont val="Tahoma"/>
            <family val="2"/>
          </rPr>
          <t xml:space="preserve">
Insert bill total here to calculate % of BG bill for Cogen &amp; Main meter.</t>
        </r>
      </text>
    </comment>
    <comment ref="G224" authorId="0" shapeId="0" xr:uid="{00000000-0006-0000-0C00-000053000000}">
      <text>
        <r>
          <rPr>
            <b/>
            <sz val="9"/>
            <color indexed="81"/>
            <rFont val="Tahoma"/>
            <family val="2"/>
          </rPr>
          <t>Scott Cole:</t>
        </r>
        <r>
          <rPr>
            <sz val="9"/>
            <color indexed="81"/>
            <rFont val="Tahoma"/>
            <family val="2"/>
          </rPr>
          <t xml:space="preserve">
Insert bill total here from Sprague bill for Cogen &amp; Main meter.</t>
        </r>
      </text>
    </comment>
    <comment ref="K225" authorId="0" shapeId="0" xr:uid="{00000000-0006-0000-0C00-000054000000}">
      <text>
        <r>
          <rPr>
            <b/>
            <sz val="9"/>
            <color indexed="81"/>
            <rFont val="Tahoma"/>
            <family val="2"/>
          </rPr>
          <t>Scott Cole:</t>
        </r>
        <r>
          <rPr>
            <sz val="9"/>
            <color indexed="81"/>
            <rFont val="Tahoma"/>
            <family val="2"/>
          </rPr>
          <t xml:space="preserve">
Insert bill total here to calculate % of BG bill for Cogen &amp; Main meter.</t>
        </r>
      </text>
    </comment>
    <comment ref="G228" authorId="0" shapeId="0" xr:uid="{00000000-0006-0000-0C00-000055000000}">
      <text>
        <r>
          <rPr>
            <b/>
            <sz val="9"/>
            <color indexed="81"/>
            <rFont val="Tahoma"/>
            <family val="2"/>
          </rPr>
          <t>Scott Cole:</t>
        </r>
        <r>
          <rPr>
            <sz val="9"/>
            <color indexed="81"/>
            <rFont val="Tahoma"/>
            <family val="2"/>
          </rPr>
          <t xml:space="preserve">
Insert bill total here from Sprague bill for Cogen &amp; Main meter.</t>
        </r>
      </text>
    </comment>
    <comment ref="K229" authorId="0" shapeId="0" xr:uid="{00000000-0006-0000-0C00-000056000000}">
      <text>
        <r>
          <rPr>
            <b/>
            <sz val="9"/>
            <color indexed="81"/>
            <rFont val="Tahoma"/>
            <family val="2"/>
          </rPr>
          <t>Scott Cole:</t>
        </r>
        <r>
          <rPr>
            <sz val="9"/>
            <color indexed="81"/>
            <rFont val="Tahoma"/>
            <family val="2"/>
          </rPr>
          <t xml:space="preserve">
Insert bill total here to calculate % of BG bill for Cogen &amp; Main meter.</t>
        </r>
      </text>
    </comment>
    <comment ref="G245" authorId="0" shapeId="0" xr:uid="{00000000-0006-0000-0C00-000057000000}">
      <text>
        <r>
          <rPr>
            <b/>
            <sz val="9"/>
            <color indexed="81"/>
            <rFont val="Tahoma"/>
            <family val="2"/>
          </rPr>
          <t>Scott Cole:</t>
        </r>
        <r>
          <rPr>
            <sz val="9"/>
            <color indexed="81"/>
            <rFont val="Tahoma"/>
            <family val="2"/>
          </rPr>
          <t xml:space="preserve">
Insert bill total here from Sprague bill for Cogen &amp; Main meter.</t>
        </r>
      </text>
    </comment>
    <comment ref="K246" authorId="0" shapeId="0" xr:uid="{00000000-0006-0000-0C00-000058000000}">
      <text>
        <r>
          <rPr>
            <b/>
            <sz val="9"/>
            <color indexed="81"/>
            <rFont val="Tahoma"/>
            <family val="2"/>
          </rPr>
          <t>Scott Cole:</t>
        </r>
        <r>
          <rPr>
            <sz val="9"/>
            <color indexed="81"/>
            <rFont val="Tahoma"/>
            <family val="2"/>
          </rPr>
          <t xml:space="preserve">
Insert bill total here to calculate % of BG bill for Cogen &amp; Main meter.</t>
        </r>
      </text>
    </comment>
    <comment ref="G249" authorId="0" shapeId="0" xr:uid="{00000000-0006-0000-0C00-000059000000}">
      <text>
        <r>
          <rPr>
            <b/>
            <sz val="9"/>
            <color indexed="81"/>
            <rFont val="Tahoma"/>
            <family val="2"/>
          </rPr>
          <t>Scott Cole:</t>
        </r>
        <r>
          <rPr>
            <sz val="9"/>
            <color indexed="81"/>
            <rFont val="Tahoma"/>
            <family val="2"/>
          </rPr>
          <t xml:space="preserve">
Insert bill total here from Sprague bill for Cogen &amp; Main meter.</t>
        </r>
      </text>
    </comment>
    <comment ref="K250" authorId="0" shapeId="0" xr:uid="{00000000-0006-0000-0C00-00005A000000}">
      <text>
        <r>
          <rPr>
            <b/>
            <sz val="9"/>
            <color indexed="81"/>
            <rFont val="Tahoma"/>
            <family val="2"/>
          </rPr>
          <t>Scott Cole:</t>
        </r>
        <r>
          <rPr>
            <sz val="9"/>
            <color indexed="81"/>
            <rFont val="Tahoma"/>
            <family val="2"/>
          </rPr>
          <t xml:space="preserve">
Insert bill total here to calculate % of BG bill for Cogen &amp; Main meter.</t>
        </r>
      </text>
    </comment>
    <comment ref="G253" authorId="0" shapeId="0" xr:uid="{00000000-0006-0000-0C00-00005B000000}">
      <text>
        <r>
          <rPr>
            <b/>
            <sz val="9"/>
            <color indexed="81"/>
            <rFont val="Tahoma"/>
            <family val="2"/>
          </rPr>
          <t>Scott Cole:</t>
        </r>
        <r>
          <rPr>
            <sz val="9"/>
            <color indexed="81"/>
            <rFont val="Tahoma"/>
            <family val="2"/>
          </rPr>
          <t xml:space="preserve">
Insert bill total here from Sprague bill for Cogen &amp; Main meter.</t>
        </r>
      </text>
    </comment>
    <comment ref="K254" authorId="0" shapeId="0" xr:uid="{00000000-0006-0000-0C00-00005C000000}">
      <text>
        <r>
          <rPr>
            <b/>
            <sz val="9"/>
            <color indexed="81"/>
            <rFont val="Tahoma"/>
            <family val="2"/>
          </rPr>
          <t>Scott Cole:</t>
        </r>
        <r>
          <rPr>
            <sz val="9"/>
            <color indexed="81"/>
            <rFont val="Tahoma"/>
            <family val="2"/>
          </rPr>
          <t xml:space="preserve">
Insert bill total here to calculate % of BG bill for Cogen &amp; Main meter.</t>
        </r>
      </text>
    </comment>
    <comment ref="G257" authorId="0" shapeId="0" xr:uid="{00000000-0006-0000-0C00-00005D000000}">
      <text>
        <r>
          <rPr>
            <b/>
            <sz val="9"/>
            <color indexed="81"/>
            <rFont val="Tahoma"/>
            <family val="2"/>
          </rPr>
          <t>Scott Cole:</t>
        </r>
        <r>
          <rPr>
            <sz val="9"/>
            <color indexed="81"/>
            <rFont val="Tahoma"/>
            <family val="2"/>
          </rPr>
          <t xml:space="preserve">
Insert bill total here from Sprague bill for Cogen &amp; Main meter.</t>
        </r>
      </text>
    </comment>
    <comment ref="K258" authorId="0" shapeId="0" xr:uid="{00000000-0006-0000-0C00-00005E000000}">
      <text>
        <r>
          <rPr>
            <b/>
            <sz val="9"/>
            <color indexed="81"/>
            <rFont val="Tahoma"/>
            <family val="2"/>
          </rPr>
          <t>Scott Cole:</t>
        </r>
        <r>
          <rPr>
            <sz val="9"/>
            <color indexed="81"/>
            <rFont val="Tahoma"/>
            <family val="2"/>
          </rPr>
          <t xml:space="preserve">
Insert bill total here to calculate % of BG bill for Cogen &amp; Main meter.</t>
        </r>
      </text>
    </comment>
    <comment ref="G261" authorId="0" shapeId="0" xr:uid="{00000000-0006-0000-0C00-00005F000000}">
      <text>
        <r>
          <rPr>
            <b/>
            <sz val="9"/>
            <color indexed="81"/>
            <rFont val="Tahoma"/>
            <family val="2"/>
          </rPr>
          <t>Scott Cole:</t>
        </r>
        <r>
          <rPr>
            <sz val="9"/>
            <color indexed="81"/>
            <rFont val="Tahoma"/>
            <family val="2"/>
          </rPr>
          <t xml:space="preserve">
Insert bill total here from Sprague bill for Cogen &amp; Main meter.</t>
        </r>
      </text>
    </comment>
    <comment ref="K262" authorId="0" shapeId="0" xr:uid="{00000000-0006-0000-0C00-000060000000}">
      <text>
        <r>
          <rPr>
            <b/>
            <sz val="9"/>
            <color indexed="81"/>
            <rFont val="Tahoma"/>
            <family val="2"/>
          </rPr>
          <t>Scott Cole:</t>
        </r>
        <r>
          <rPr>
            <sz val="9"/>
            <color indexed="81"/>
            <rFont val="Tahoma"/>
            <family val="2"/>
          </rPr>
          <t xml:space="preserve">
Insert bill total here to calculate % of BG bill for Cogen &amp; Main meter.</t>
        </r>
      </text>
    </comment>
    <comment ref="G265" authorId="0" shapeId="0" xr:uid="{00000000-0006-0000-0C00-000061000000}">
      <text>
        <r>
          <rPr>
            <b/>
            <sz val="9"/>
            <color indexed="81"/>
            <rFont val="Tahoma"/>
            <family val="2"/>
          </rPr>
          <t>Scott Cole:</t>
        </r>
        <r>
          <rPr>
            <sz val="9"/>
            <color indexed="81"/>
            <rFont val="Tahoma"/>
            <family val="2"/>
          </rPr>
          <t xml:space="preserve">
Insert bill total here from Sprague bill for Cogen &amp; Main meter.</t>
        </r>
      </text>
    </comment>
    <comment ref="K266" authorId="0" shapeId="0" xr:uid="{00000000-0006-0000-0C00-000062000000}">
      <text>
        <r>
          <rPr>
            <b/>
            <sz val="9"/>
            <color indexed="81"/>
            <rFont val="Tahoma"/>
            <family val="2"/>
          </rPr>
          <t>Scott Cole:</t>
        </r>
        <r>
          <rPr>
            <sz val="9"/>
            <color indexed="81"/>
            <rFont val="Tahoma"/>
            <family val="2"/>
          </rPr>
          <t xml:space="preserve">
Insert bill total here to calculate % of BG bill for Cogen &amp; Main meter.</t>
        </r>
      </text>
    </comment>
    <comment ref="G269" authorId="0" shapeId="0" xr:uid="{00000000-0006-0000-0C00-000063000000}">
      <text>
        <r>
          <rPr>
            <b/>
            <sz val="9"/>
            <color indexed="81"/>
            <rFont val="Tahoma"/>
            <family val="2"/>
          </rPr>
          <t>Scott Cole:</t>
        </r>
        <r>
          <rPr>
            <sz val="9"/>
            <color indexed="81"/>
            <rFont val="Tahoma"/>
            <family val="2"/>
          </rPr>
          <t xml:space="preserve">
Insert bill total here from Sprague bill for Cogen &amp; Main meter.</t>
        </r>
      </text>
    </comment>
    <comment ref="K270" authorId="0" shapeId="0" xr:uid="{00000000-0006-0000-0C00-000064000000}">
      <text>
        <r>
          <rPr>
            <b/>
            <sz val="9"/>
            <color indexed="81"/>
            <rFont val="Tahoma"/>
            <family val="2"/>
          </rPr>
          <t>Scott Cole:</t>
        </r>
        <r>
          <rPr>
            <sz val="9"/>
            <color indexed="81"/>
            <rFont val="Tahoma"/>
            <family val="2"/>
          </rPr>
          <t xml:space="preserve">
Insert bill total here to calculate % of BG bill for Cogen &amp; Main meter.</t>
        </r>
      </text>
    </comment>
    <comment ref="G273" authorId="0" shapeId="0" xr:uid="{00000000-0006-0000-0C00-000065000000}">
      <text>
        <r>
          <rPr>
            <b/>
            <sz val="9"/>
            <color indexed="81"/>
            <rFont val="Tahoma"/>
            <family val="2"/>
          </rPr>
          <t>Scott Cole:</t>
        </r>
        <r>
          <rPr>
            <sz val="9"/>
            <color indexed="81"/>
            <rFont val="Tahoma"/>
            <family val="2"/>
          </rPr>
          <t xml:space="preserve">
Insert bill total here from Sprague bill for Cogen &amp; Main meter.</t>
        </r>
      </text>
    </comment>
    <comment ref="K274" authorId="0" shapeId="0" xr:uid="{00000000-0006-0000-0C00-000066000000}">
      <text>
        <r>
          <rPr>
            <b/>
            <sz val="9"/>
            <color indexed="81"/>
            <rFont val="Tahoma"/>
            <family val="2"/>
          </rPr>
          <t>Scott Cole:</t>
        </r>
        <r>
          <rPr>
            <sz val="9"/>
            <color indexed="81"/>
            <rFont val="Tahoma"/>
            <family val="2"/>
          </rPr>
          <t xml:space="preserve">
Insert bill total here to calculate % of BG bill for Cogen &amp; Main meter.</t>
        </r>
      </text>
    </comment>
    <comment ref="G277" authorId="0" shapeId="0" xr:uid="{00000000-0006-0000-0C00-000067000000}">
      <text>
        <r>
          <rPr>
            <b/>
            <sz val="9"/>
            <color indexed="81"/>
            <rFont val="Tahoma"/>
            <family val="2"/>
          </rPr>
          <t>Scott Cole:</t>
        </r>
        <r>
          <rPr>
            <sz val="9"/>
            <color indexed="81"/>
            <rFont val="Tahoma"/>
            <family val="2"/>
          </rPr>
          <t xml:space="preserve">
Insert bill total here from Sprague bill for Cogen &amp; Main meter.</t>
        </r>
      </text>
    </comment>
    <comment ref="K278" authorId="0" shapeId="0" xr:uid="{00000000-0006-0000-0C00-000068000000}">
      <text>
        <r>
          <rPr>
            <b/>
            <sz val="9"/>
            <color indexed="81"/>
            <rFont val="Tahoma"/>
            <family val="2"/>
          </rPr>
          <t>Scott Cole:</t>
        </r>
        <r>
          <rPr>
            <sz val="9"/>
            <color indexed="81"/>
            <rFont val="Tahoma"/>
            <family val="2"/>
          </rPr>
          <t xml:space="preserve">
Insert bill total here to calculate % of BG bill for Cogen &amp; Main meter.</t>
        </r>
      </text>
    </comment>
    <comment ref="G281" authorId="0" shapeId="0" xr:uid="{00000000-0006-0000-0C00-000069000000}">
      <text>
        <r>
          <rPr>
            <b/>
            <sz val="9"/>
            <color indexed="81"/>
            <rFont val="Tahoma"/>
            <family val="2"/>
          </rPr>
          <t>Scott Cole:</t>
        </r>
        <r>
          <rPr>
            <sz val="9"/>
            <color indexed="81"/>
            <rFont val="Tahoma"/>
            <family val="2"/>
          </rPr>
          <t xml:space="preserve">
Insert bill total here from Sprague bill for Cogen &amp; Main meter.</t>
        </r>
      </text>
    </comment>
    <comment ref="K282" authorId="0" shapeId="0" xr:uid="{00000000-0006-0000-0C00-00006A000000}">
      <text>
        <r>
          <rPr>
            <b/>
            <sz val="9"/>
            <color indexed="81"/>
            <rFont val="Tahoma"/>
            <family val="2"/>
          </rPr>
          <t>Scott Cole:</t>
        </r>
        <r>
          <rPr>
            <sz val="9"/>
            <color indexed="81"/>
            <rFont val="Tahoma"/>
            <family val="2"/>
          </rPr>
          <t xml:space="preserve">
Insert bill total here to calculate % of BG bill for Cogen &amp; Main meter.</t>
        </r>
      </text>
    </comment>
    <comment ref="G285" authorId="0" shapeId="0" xr:uid="{00000000-0006-0000-0C00-00006B000000}">
      <text>
        <r>
          <rPr>
            <b/>
            <sz val="9"/>
            <color indexed="81"/>
            <rFont val="Tahoma"/>
            <family val="2"/>
          </rPr>
          <t>Scott Cole:</t>
        </r>
        <r>
          <rPr>
            <sz val="9"/>
            <color indexed="81"/>
            <rFont val="Tahoma"/>
            <family val="2"/>
          </rPr>
          <t xml:space="preserve">
Insert bill total here from Sprague bill for Cogen &amp; Main meter.</t>
        </r>
      </text>
    </comment>
    <comment ref="K286" authorId="0" shapeId="0" xr:uid="{00000000-0006-0000-0C00-00006C000000}">
      <text>
        <r>
          <rPr>
            <b/>
            <sz val="9"/>
            <color indexed="81"/>
            <rFont val="Tahoma"/>
            <family val="2"/>
          </rPr>
          <t>Scott Cole:</t>
        </r>
        <r>
          <rPr>
            <sz val="9"/>
            <color indexed="81"/>
            <rFont val="Tahoma"/>
            <family val="2"/>
          </rPr>
          <t xml:space="preserve">
Insert bill total here to calculate % of BG bill for Cogen &amp; Main meter.</t>
        </r>
      </text>
    </comment>
    <comment ref="G289" authorId="0" shapeId="0" xr:uid="{00000000-0006-0000-0C00-00006D000000}">
      <text>
        <r>
          <rPr>
            <b/>
            <sz val="9"/>
            <color indexed="81"/>
            <rFont val="Tahoma"/>
            <family val="2"/>
          </rPr>
          <t>Scott Cole:</t>
        </r>
        <r>
          <rPr>
            <sz val="9"/>
            <color indexed="81"/>
            <rFont val="Tahoma"/>
            <family val="2"/>
          </rPr>
          <t xml:space="preserve">
Insert bill total here from Sprague bill for Cogen &amp; Main meter.</t>
        </r>
      </text>
    </comment>
    <comment ref="K290" authorId="0" shapeId="0" xr:uid="{00000000-0006-0000-0C00-00006E000000}">
      <text>
        <r>
          <rPr>
            <b/>
            <sz val="9"/>
            <color indexed="81"/>
            <rFont val="Tahoma"/>
            <family val="2"/>
          </rPr>
          <t>Scott Cole:</t>
        </r>
        <r>
          <rPr>
            <sz val="9"/>
            <color indexed="81"/>
            <rFont val="Tahoma"/>
            <family val="2"/>
          </rPr>
          <t xml:space="preserve">
Insert bill total here to calculate % of BG bill for Cogen &amp; Main meter.</t>
        </r>
      </text>
    </comment>
    <comment ref="G302" authorId="0" shapeId="0" xr:uid="{00000000-0006-0000-0C00-00006F000000}">
      <text>
        <r>
          <rPr>
            <b/>
            <sz val="9"/>
            <color indexed="81"/>
            <rFont val="Tahoma"/>
            <family val="2"/>
          </rPr>
          <t>Scott Cole:</t>
        </r>
        <r>
          <rPr>
            <sz val="9"/>
            <color indexed="81"/>
            <rFont val="Tahoma"/>
            <family val="2"/>
          </rPr>
          <t xml:space="preserve">
Insert bill total here from Sprague bill for Cogen &amp; Main meter.</t>
        </r>
      </text>
    </comment>
    <comment ref="K303" authorId="0" shapeId="0" xr:uid="{00000000-0006-0000-0C00-000070000000}">
      <text>
        <r>
          <rPr>
            <b/>
            <sz val="9"/>
            <color indexed="81"/>
            <rFont val="Tahoma"/>
            <family val="2"/>
          </rPr>
          <t>Scott Cole:</t>
        </r>
        <r>
          <rPr>
            <sz val="9"/>
            <color indexed="81"/>
            <rFont val="Tahoma"/>
            <family val="2"/>
          </rPr>
          <t xml:space="preserve">
Insert bill total here to calculate % of BG bill for Cogen &amp; Main meter.</t>
        </r>
      </text>
    </comment>
    <comment ref="G306" authorId="0" shapeId="0" xr:uid="{00000000-0006-0000-0C00-000071000000}">
      <text>
        <r>
          <rPr>
            <b/>
            <sz val="9"/>
            <color indexed="81"/>
            <rFont val="Tahoma"/>
            <family val="2"/>
          </rPr>
          <t>Scott Cole:</t>
        </r>
        <r>
          <rPr>
            <sz val="9"/>
            <color indexed="81"/>
            <rFont val="Tahoma"/>
            <family val="2"/>
          </rPr>
          <t xml:space="preserve">
Insert bill total here from Sprague bill for Cogen &amp; Main meter.</t>
        </r>
      </text>
    </comment>
    <comment ref="K307" authorId="0" shapeId="0" xr:uid="{00000000-0006-0000-0C00-000072000000}">
      <text>
        <r>
          <rPr>
            <b/>
            <sz val="9"/>
            <color indexed="81"/>
            <rFont val="Tahoma"/>
            <family val="2"/>
          </rPr>
          <t>Scott Cole:</t>
        </r>
        <r>
          <rPr>
            <sz val="9"/>
            <color indexed="81"/>
            <rFont val="Tahoma"/>
            <family val="2"/>
          </rPr>
          <t xml:space="preserve">
Insert bill total here to calculate % of BG bill for Cogen &amp; Main meter.</t>
        </r>
      </text>
    </comment>
    <comment ref="G310" authorId="0" shapeId="0" xr:uid="{00000000-0006-0000-0C00-000073000000}">
      <text>
        <r>
          <rPr>
            <b/>
            <sz val="9"/>
            <color indexed="81"/>
            <rFont val="Tahoma"/>
            <family val="2"/>
          </rPr>
          <t>Scott Cole:</t>
        </r>
        <r>
          <rPr>
            <sz val="9"/>
            <color indexed="81"/>
            <rFont val="Tahoma"/>
            <family val="2"/>
          </rPr>
          <t xml:space="preserve">
Insert bill total here from Sprague bill for Cogen &amp; Main meter.</t>
        </r>
      </text>
    </comment>
    <comment ref="K311" authorId="0" shapeId="0" xr:uid="{00000000-0006-0000-0C00-000074000000}">
      <text>
        <r>
          <rPr>
            <b/>
            <sz val="9"/>
            <color indexed="81"/>
            <rFont val="Tahoma"/>
            <family val="2"/>
          </rPr>
          <t>Scott Cole:</t>
        </r>
        <r>
          <rPr>
            <sz val="9"/>
            <color indexed="81"/>
            <rFont val="Tahoma"/>
            <family val="2"/>
          </rPr>
          <t xml:space="preserve">
Insert bill total here to calculate % of BG bill for Cogen &amp; Main meter.</t>
        </r>
      </text>
    </comment>
    <comment ref="G314" authorId="0" shapeId="0" xr:uid="{00000000-0006-0000-0C00-000075000000}">
      <text>
        <r>
          <rPr>
            <b/>
            <sz val="9"/>
            <color indexed="81"/>
            <rFont val="Tahoma"/>
            <family val="2"/>
          </rPr>
          <t>Scott Cole:</t>
        </r>
        <r>
          <rPr>
            <sz val="9"/>
            <color indexed="81"/>
            <rFont val="Tahoma"/>
            <family val="2"/>
          </rPr>
          <t xml:space="preserve">
Insert bill total here from Sprague bill for Cogen &amp; Main meter.</t>
        </r>
      </text>
    </comment>
    <comment ref="K315" authorId="0" shapeId="0" xr:uid="{00000000-0006-0000-0C00-000076000000}">
      <text>
        <r>
          <rPr>
            <b/>
            <sz val="9"/>
            <color indexed="81"/>
            <rFont val="Tahoma"/>
            <family val="2"/>
          </rPr>
          <t>Scott Cole:</t>
        </r>
        <r>
          <rPr>
            <sz val="9"/>
            <color indexed="81"/>
            <rFont val="Tahoma"/>
            <family val="2"/>
          </rPr>
          <t xml:space="preserve">
Insert bill total here to calculate % of BG bill for Cogen &amp; Main meter.</t>
        </r>
      </text>
    </comment>
    <comment ref="G318" authorId="0" shapeId="0" xr:uid="{00000000-0006-0000-0C00-000077000000}">
      <text>
        <r>
          <rPr>
            <b/>
            <sz val="9"/>
            <color indexed="81"/>
            <rFont val="Tahoma"/>
            <family val="2"/>
          </rPr>
          <t>Scott Cole:</t>
        </r>
        <r>
          <rPr>
            <sz val="9"/>
            <color indexed="81"/>
            <rFont val="Tahoma"/>
            <family val="2"/>
          </rPr>
          <t xml:space="preserve">
Insert bill total here from Sprague bill for Cogen &amp; Main meter.</t>
        </r>
      </text>
    </comment>
    <comment ref="K319" authorId="0" shapeId="0" xr:uid="{00000000-0006-0000-0C00-000078000000}">
      <text>
        <r>
          <rPr>
            <b/>
            <sz val="9"/>
            <color indexed="81"/>
            <rFont val="Tahoma"/>
            <family val="2"/>
          </rPr>
          <t>Scott Cole:</t>
        </r>
        <r>
          <rPr>
            <sz val="9"/>
            <color indexed="81"/>
            <rFont val="Tahoma"/>
            <family val="2"/>
          </rPr>
          <t xml:space="preserve">
Insert bill total here to calculate % of BG bill for Cogen &amp; Main meter.</t>
        </r>
      </text>
    </comment>
    <comment ref="G322" authorId="0" shapeId="0" xr:uid="{00000000-0006-0000-0C00-000079000000}">
      <text>
        <r>
          <rPr>
            <b/>
            <sz val="9"/>
            <color indexed="81"/>
            <rFont val="Tahoma"/>
            <family val="2"/>
          </rPr>
          <t>Scott Cole:</t>
        </r>
        <r>
          <rPr>
            <sz val="9"/>
            <color indexed="81"/>
            <rFont val="Tahoma"/>
            <family val="2"/>
          </rPr>
          <t xml:space="preserve">
Insert bill total here from Sprague bill for Cogen &amp; Main meter.</t>
        </r>
      </text>
    </comment>
    <comment ref="K323" authorId="0" shapeId="0" xr:uid="{00000000-0006-0000-0C00-00007A000000}">
      <text>
        <r>
          <rPr>
            <b/>
            <sz val="9"/>
            <color indexed="81"/>
            <rFont val="Tahoma"/>
            <family val="2"/>
          </rPr>
          <t>Scott Cole:</t>
        </r>
        <r>
          <rPr>
            <sz val="9"/>
            <color indexed="81"/>
            <rFont val="Tahoma"/>
            <family val="2"/>
          </rPr>
          <t xml:space="preserve">
Insert bill total here to calculate % of BG bill for Cogen &amp; Main meter.</t>
        </r>
      </text>
    </comment>
    <comment ref="G326" authorId="0" shapeId="0" xr:uid="{00000000-0006-0000-0C00-00007B000000}">
      <text>
        <r>
          <rPr>
            <b/>
            <sz val="9"/>
            <color indexed="81"/>
            <rFont val="Tahoma"/>
            <family val="2"/>
          </rPr>
          <t>Scott Cole:</t>
        </r>
        <r>
          <rPr>
            <sz val="9"/>
            <color indexed="81"/>
            <rFont val="Tahoma"/>
            <family val="2"/>
          </rPr>
          <t xml:space="preserve">
Insert bill total here from Sprague bill for Cogen &amp; Main meter.</t>
        </r>
      </text>
    </comment>
    <comment ref="K327" authorId="0" shapeId="0" xr:uid="{00000000-0006-0000-0C00-00007C000000}">
      <text>
        <r>
          <rPr>
            <b/>
            <sz val="9"/>
            <color indexed="81"/>
            <rFont val="Tahoma"/>
            <family val="2"/>
          </rPr>
          <t>Scott Cole:</t>
        </r>
        <r>
          <rPr>
            <sz val="9"/>
            <color indexed="81"/>
            <rFont val="Tahoma"/>
            <family val="2"/>
          </rPr>
          <t xml:space="preserve">
Insert bill total here to calculate % of BG bill for Cogen &amp; Main meter.</t>
        </r>
      </text>
    </comment>
    <comment ref="G330" authorId="0" shapeId="0" xr:uid="{00000000-0006-0000-0C00-00007D000000}">
      <text>
        <r>
          <rPr>
            <b/>
            <sz val="9"/>
            <color indexed="81"/>
            <rFont val="Tahoma"/>
            <family val="2"/>
          </rPr>
          <t>Scott Cole:</t>
        </r>
        <r>
          <rPr>
            <sz val="9"/>
            <color indexed="81"/>
            <rFont val="Tahoma"/>
            <family val="2"/>
          </rPr>
          <t xml:space="preserve">
Insert bill total here from Sprague bill for Cogen &amp; Main meter.</t>
        </r>
      </text>
    </comment>
    <comment ref="K331" authorId="0" shapeId="0" xr:uid="{00000000-0006-0000-0C00-00007E000000}">
      <text>
        <r>
          <rPr>
            <b/>
            <sz val="9"/>
            <color indexed="81"/>
            <rFont val="Tahoma"/>
            <family val="2"/>
          </rPr>
          <t>Scott Cole:</t>
        </r>
        <r>
          <rPr>
            <sz val="9"/>
            <color indexed="81"/>
            <rFont val="Tahoma"/>
            <family val="2"/>
          </rPr>
          <t xml:space="preserve">
Insert bill total here to calculate % of BG bill for Cogen &amp; Main meter.</t>
        </r>
      </text>
    </comment>
    <comment ref="G334" authorId="0" shapeId="0" xr:uid="{00000000-0006-0000-0C00-00007F000000}">
      <text>
        <r>
          <rPr>
            <b/>
            <sz val="9"/>
            <color indexed="81"/>
            <rFont val="Tahoma"/>
            <family val="2"/>
          </rPr>
          <t>Scott Cole:</t>
        </r>
        <r>
          <rPr>
            <sz val="9"/>
            <color indexed="81"/>
            <rFont val="Tahoma"/>
            <family val="2"/>
          </rPr>
          <t xml:space="preserve">
Insert bill total here from Sprague bill for Cogen &amp; Main meter.</t>
        </r>
      </text>
    </comment>
    <comment ref="K335" authorId="0" shapeId="0" xr:uid="{00000000-0006-0000-0C00-000080000000}">
      <text>
        <r>
          <rPr>
            <b/>
            <sz val="9"/>
            <color indexed="81"/>
            <rFont val="Tahoma"/>
            <family val="2"/>
          </rPr>
          <t>Scott Cole:</t>
        </r>
        <r>
          <rPr>
            <sz val="9"/>
            <color indexed="81"/>
            <rFont val="Tahoma"/>
            <family val="2"/>
          </rPr>
          <t xml:space="preserve">
Insert bill total here to calculate % of BG bill for Cogen &amp; Main meter.</t>
        </r>
      </text>
    </comment>
    <comment ref="G338" authorId="0" shapeId="0" xr:uid="{00000000-0006-0000-0C00-000081000000}">
      <text>
        <r>
          <rPr>
            <b/>
            <sz val="9"/>
            <color indexed="81"/>
            <rFont val="Tahoma"/>
            <family val="2"/>
          </rPr>
          <t>Scott Cole:</t>
        </r>
        <r>
          <rPr>
            <sz val="9"/>
            <color indexed="81"/>
            <rFont val="Tahoma"/>
            <family val="2"/>
          </rPr>
          <t xml:space="preserve">
Insert bill total here from Sprague bill for Cogen &amp; Main meter.</t>
        </r>
      </text>
    </comment>
    <comment ref="K339" authorId="0" shapeId="0" xr:uid="{00000000-0006-0000-0C00-000082000000}">
      <text>
        <r>
          <rPr>
            <b/>
            <sz val="9"/>
            <color indexed="81"/>
            <rFont val="Tahoma"/>
            <family val="2"/>
          </rPr>
          <t>Scott Cole:</t>
        </r>
        <r>
          <rPr>
            <sz val="9"/>
            <color indexed="81"/>
            <rFont val="Tahoma"/>
            <family val="2"/>
          </rPr>
          <t xml:space="preserve">
Insert bill total here to calculate % of BG bill for Cogen &amp; Main meter.</t>
        </r>
      </text>
    </comment>
    <comment ref="G342" authorId="0" shapeId="0" xr:uid="{00000000-0006-0000-0C00-000083000000}">
      <text>
        <r>
          <rPr>
            <b/>
            <sz val="9"/>
            <color indexed="81"/>
            <rFont val="Tahoma"/>
            <family val="2"/>
          </rPr>
          <t>Scott Cole:</t>
        </r>
        <r>
          <rPr>
            <sz val="9"/>
            <color indexed="81"/>
            <rFont val="Tahoma"/>
            <family val="2"/>
          </rPr>
          <t xml:space="preserve">
Insert bill total here from Sprague bill for Cogen &amp; Main meter.</t>
        </r>
      </text>
    </comment>
    <comment ref="K343" authorId="0" shapeId="0" xr:uid="{00000000-0006-0000-0C00-000084000000}">
      <text>
        <r>
          <rPr>
            <b/>
            <sz val="9"/>
            <color indexed="81"/>
            <rFont val="Tahoma"/>
            <family val="2"/>
          </rPr>
          <t>Scott Cole:</t>
        </r>
        <r>
          <rPr>
            <sz val="9"/>
            <color indexed="81"/>
            <rFont val="Tahoma"/>
            <family val="2"/>
          </rPr>
          <t xml:space="preserve">
Insert bill total here to calculate % of BG bill for Cogen &amp; Main meter.</t>
        </r>
      </text>
    </comment>
    <comment ref="G346" authorId="0" shapeId="0" xr:uid="{00000000-0006-0000-0C00-000085000000}">
      <text>
        <r>
          <rPr>
            <b/>
            <sz val="9"/>
            <color indexed="81"/>
            <rFont val="Tahoma"/>
            <family val="2"/>
          </rPr>
          <t>Scott Cole:</t>
        </r>
        <r>
          <rPr>
            <sz val="9"/>
            <color indexed="81"/>
            <rFont val="Tahoma"/>
            <family val="2"/>
          </rPr>
          <t xml:space="preserve">
Insert bill total here from Sprague bill for Cogen &amp; Main meter.</t>
        </r>
      </text>
    </comment>
    <comment ref="K347" authorId="0" shapeId="0" xr:uid="{00000000-0006-0000-0C00-000086000000}">
      <text>
        <r>
          <rPr>
            <b/>
            <sz val="9"/>
            <color indexed="81"/>
            <rFont val="Tahoma"/>
            <family val="2"/>
          </rPr>
          <t>Scott Cole:</t>
        </r>
        <r>
          <rPr>
            <sz val="9"/>
            <color indexed="81"/>
            <rFont val="Tahoma"/>
            <family val="2"/>
          </rPr>
          <t xml:space="preserve">
Insert bill total here to calculate % of BG bill for Cogen &amp; Main meter.</t>
        </r>
      </text>
    </comment>
  </commentList>
</comments>
</file>

<file path=xl/sharedStrings.xml><?xml version="1.0" encoding="utf-8"?>
<sst xmlns="http://schemas.openxmlformats.org/spreadsheetml/2006/main" count="52288" uniqueCount="1808">
  <si>
    <t>EMISSIONS FACTORS</t>
  </si>
  <si>
    <t>FY10</t>
  </si>
  <si>
    <t>FY11</t>
  </si>
  <si>
    <t>FY12</t>
  </si>
  <si>
    <t>FY13</t>
  </si>
  <si>
    <t>FY14</t>
  </si>
  <si>
    <t>FY15</t>
  </si>
  <si>
    <t>FY16</t>
  </si>
  <si>
    <t>Unit</t>
  </si>
  <si>
    <t>MT CO2e/ Unit</t>
  </si>
  <si>
    <t>Kbtu/Unit</t>
  </si>
  <si>
    <t>Value</t>
  </si>
  <si>
    <t>Kbtu</t>
  </si>
  <si>
    <t>MT CO2e</t>
  </si>
  <si>
    <t>Scope 1</t>
  </si>
  <si>
    <t>On-site Combustion</t>
  </si>
  <si>
    <t>gal</t>
  </si>
  <si>
    <t>Dth</t>
  </si>
  <si>
    <t>bbl</t>
  </si>
  <si>
    <t>lb</t>
  </si>
  <si>
    <t>Mobile Combustion</t>
  </si>
  <si>
    <t>Diesel</t>
  </si>
  <si>
    <t>Scope 1 Subtotal</t>
  </si>
  <si>
    <t>Scope 2</t>
  </si>
  <si>
    <t>MWh</t>
  </si>
  <si>
    <t>Transmission Loss (EL)</t>
  </si>
  <si>
    <t>Scope 2 Subtotal</t>
  </si>
  <si>
    <t>(from GHG emissions_2005 to 2014 file)</t>
  </si>
  <si>
    <t>Burke</t>
  </si>
  <si>
    <t>FY Totals</t>
  </si>
  <si>
    <t>Exclusions / Inclusions</t>
  </si>
  <si>
    <t xml:space="preserve"> - This does not include fugitive scope 1 emissions from Air Conditioning Units, Fire Extinqushers, or CO2 tanks ( use for experimentation). Historical tracking of this data has show it to be well less than 1 % of our total inventory</t>
  </si>
  <si>
    <t xml:space="preserve"> - We include transmissions loss as part of our scope 2 emissions, although technically this is a scope 3 category. </t>
  </si>
  <si>
    <t>Table 10. Supply and disposition of electricity, 1990 through 2015</t>
  </si>
  <si>
    <t>Massachusetts</t>
  </si>
  <si>
    <t>megawatthours</t>
  </si>
  <si>
    <t>Category</t>
  </si>
  <si>
    <t>Year
2015</t>
  </si>
  <si>
    <t>Year
2014</t>
  </si>
  <si>
    <t>Year
2013</t>
  </si>
  <si>
    <t>Year
2012</t>
  </si>
  <si>
    <t>Year
2011</t>
  </si>
  <si>
    <t>Year
2010</t>
  </si>
  <si>
    <t>Year
2009</t>
  </si>
  <si>
    <t>Year
2008</t>
  </si>
  <si>
    <t>Year
2007</t>
  </si>
  <si>
    <t>Year
2006</t>
  </si>
  <si>
    <t>Year
2005</t>
  </si>
  <si>
    <t>Year
2004</t>
  </si>
  <si>
    <t>Year
2003</t>
  </si>
  <si>
    <t>Year
2002</t>
  </si>
  <si>
    <t>Year
2001</t>
  </si>
  <si>
    <t>Year
2000</t>
  </si>
  <si>
    <t>Year
1999</t>
  </si>
  <si>
    <t>Year
1998</t>
  </si>
  <si>
    <t>Year
1997</t>
  </si>
  <si>
    <t>Year
1996</t>
  </si>
  <si>
    <t>Year
1995</t>
  </si>
  <si>
    <t>Year
1994</t>
  </si>
  <si>
    <t>Year
1993</t>
  </si>
  <si>
    <t>Year
1992</t>
  </si>
  <si>
    <t>Year
1991</t>
  </si>
  <si>
    <t>Year
1990</t>
  </si>
  <si>
    <t>Supply</t>
  </si>
  <si>
    <t/>
  </si>
  <si>
    <t>Generation</t>
  </si>
  <si>
    <t>..Electric utilities</t>
  </si>
  <si>
    <t>..Independent power producers</t>
  </si>
  <si>
    <t>..Combined heat and power, electric</t>
  </si>
  <si>
    <t>Electric power sector generation subtotal</t>
  </si>
  <si>
    <t>..Combined heat and power, commercial</t>
  </si>
  <si>
    <t>..Combined heat and power, industrial</t>
  </si>
  <si>
    <t>Industrial and commercial generation subtotal</t>
  </si>
  <si>
    <t>Total net generation</t>
  </si>
  <si>
    <t>Total international imports</t>
  </si>
  <si>
    <t>Net interstate imports</t>
  </si>
  <si>
    <t>Total supply</t>
  </si>
  <si>
    <t>Disposition</t>
  </si>
  <si>
    <t>Retail sales</t>
  </si>
  <si>
    <t>..Full service providers</t>
  </si>
  <si>
    <t>..Energy-only providers</t>
  </si>
  <si>
    <t>..Facility direct retail sales</t>
  </si>
  <si>
    <t>Total electric industry retail sales</t>
  </si>
  <si>
    <t>Direct use</t>
  </si>
  <si>
    <t>Total international exports</t>
  </si>
  <si>
    <t>Estimated losses</t>
  </si>
  <si>
    <t>Unaccounted</t>
  </si>
  <si>
    <t>.</t>
  </si>
  <si>
    <t>Net interstate exports</t>
  </si>
  <si>
    <t>Total disposition</t>
  </si>
  <si>
    <t>Net interstate trade</t>
  </si>
  <si>
    <t>Net trade index (ratio)</t>
  </si>
  <si>
    <t>Facility Direct Retail Sales are electricity sales from non utility power producers which reported electricity sales to a retail customer.
Net Interstate Trade = Total Supply - (Total Electric Industry Retail Sales + Direct Use + Total International Exports (if applies) + Estimated Losses).
Net Trade Index is the sum of Total Supply / (Total Disposition - Net Interstate Trade).
A negative Net Interstate Trade value indicates a net import of electric power.
Notes: Totals may not equal sum of components because of independent rounding. Estimated Losses are reported at the utility level,   and then allocated to States based on the utility`s retail sales by State. Reported losses may include electricity unaccounted for by the utility.   Direct use is commercial or industrial use of electricity that (1) is self-generated (2) is produced by either the same entity that consumes the power or an affiliate,and (3) is used in direct support of a service or industrial process located within the same facility or group of facilities that houses the generating equipment.   Direct use is exclusive of station use. Beginning with publication year 2010, Total disposition has been reorganized to include Net Interstate Trade.    Therefore, Total Disposition equals Total Supply.
Sources: U.S. Energy Information Administration, Form EIA-923, "Power Plant Operations Report" and predecessor forms. U.S. Energy Information Administration,Form EIA-860, "Annual Electric Generator Report." U.S. Energy Information Administration, Form EIA-861, "Annual Electric Power Industry Report."DOE, Office of Electricity Delivery and Energy Reliability, Form OE-781R, "Annual Report of International Electric Export/Import Data," predecessor forms, and National Energy Board of Canada.</t>
  </si>
  <si>
    <t>Source: EIA, State Energy Profiles 2015, Massachusetts, https://www.eia.gov/electricity/state/massachusetts/</t>
  </si>
  <si>
    <t>Fraction Lost  (added Row by Laura Draucker)</t>
  </si>
  <si>
    <t>T&amp;D Loss Factor  - see Tab</t>
  </si>
  <si>
    <t xml:space="preserve"> - used 2009 factor for FY10, 2010 for FY11, 2011 for FY12, etc.</t>
  </si>
  <si>
    <t>FY</t>
  </si>
  <si>
    <t>S2 Total</t>
  </si>
  <si>
    <t>All Emissions</t>
  </si>
  <si>
    <t>S1 Total</t>
  </si>
  <si>
    <t>GHGS</t>
  </si>
  <si>
    <t xml:space="preserve">Energy </t>
  </si>
  <si>
    <t>Residual Oil (bbl)</t>
  </si>
  <si>
    <t>Distallate Oil &amp;Propane( 100 Gal)</t>
  </si>
  <si>
    <t>NG ( 100 Dth)</t>
  </si>
  <si>
    <t>Mobile (10 Gals)</t>
  </si>
  <si>
    <t>% Increase NG</t>
  </si>
  <si>
    <t>% increase ELC</t>
  </si>
  <si>
    <t>% decrease Mobile</t>
  </si>
  <si>
    <t>% Decrease RO</t>
  </si>
  <si>
    <t>% decrease other</t>
  </si>
  <si>
    <t>FL Roberts</t>
  </si>
  <si>
    <t>FY 2004-2005</t>
  </si>
  <si>
    <t>Bio Diesel</t>
  </si>
  <si>
    <t>Total</t>
  </si>
  <si>
    <t>Unit Price</t>
  </si>
  <si>
    <t>Fuel cost</t>
  </si>
  <si>
    <t>Taxes</t>
  </si>
  <si>
    <t>FY 2005-2006</t>
  </si>
  <si>
    <t>240=120 Kero clear, 120 bil diesel</t>
  </si>
  <si>
    <t>O Connell Oil</t>
  </si>
  <si>
    <t>Unleaded Gasoline</t>
  </si>
  <si>
    <t>QTY</t>
  </si>
  <si>
    <t>FY 2006-2007</t>
  </si>
  <si>
    <t>storage fee omitted from 6/27 invoice</t>
  </si>
  <si>
    <t>FY 2007-2008</t>
  </si>
  <si>
    <t>storage fee</t>
  </si>
  <si>
    <t>FY 2008-2009</t>
  </si>
  <si>
    <t>Fuel Cost</t>
  </si>
  <si>
    <t>FY 2009-2010</t>
  </si>
  <si>
    <t>Total Invoice</t>
  </si>
  <si>
    <t>FY 2010-2011</t>
  </si>
  <si>
    <t>*invoice includes servcies chgs $79.11</t>
  </si>
  <si>
    <t>FY 2011-2012</t>
  </si>
  <si>
    <t>FY 2012-2013</t>
  </si>
  <si>
    <t>FY '12</t>
  </si>
  <si>
    <t>O Connell Oil - Unleaded Gasoline</t>
  </si>
  <si>
    <t>Date</t>
  </si>
  <si>
    <t>x</t>
  </si>
  <si>
    <t>FY '13</t>
  </si>
  <si>
    <t>O Connell Oil - Unleaded Gasoline     30-701200-570207</t>
  </si>
  <si>
    <t>Kieras Oil - Non-Road Diesel</t>
  </si>
  <si>
    <t>Fuel Add.</t>
  </si>
  <si>
    <t>Delivery</t>
  </si>
  <si>
    <t>Credit</t>
  </si>
  <si>
    <t>Totals</t>
  </si>
  <si>
    <t>FL Roberts - Diesel</t>
  </si>
  <si>
    <t>FY '14</t>
  </si>
  <si>
    <t>FY '15</t>
  </si>
  <si>
    <t>Kieras Oil - Non-Road Diesel     30-701200-570207</t>
  </si>
  <si>
    <t>FY '16</t>
  </si>
  <si>
    <t>Unleaded Gasoline     30-701200-570207</t>
  </si>
  <si>
    <t>O'Connell</t>
  </si>
  <si>
    <t>Diesel     30-701200-570207</t>
  </si>
  <si>
    <t>FY '17</t>
  </si>
  <si>
    <t>Facilities</t>
  </si>
  <si>
    <t>30-701200-570207</t>
  </si>
  <si>
    <t>Net Amt</t>
  </si>
  <si>
    <t>Jul</t>
  </si>
  <si>
    <t>Aug</t>
  </si>
  <si>
    <t>Sept</t>
  </si>
  <si>
    <t>Oct</t>
  </si>
  <si>
    <t>Nov</t>
  </si>
  <si>
    <t>Dec</t>
  </si>
  <si>
    <t>Jan</t>
  </si>
  <si>
    <t>Feb</t>
  </si>
  <si>
    <t>Mar</t>
  </si>
  <si>
    <t>Apr</t>
  </si>
  <si>
    <t xml:space="preserve">May </t>
  </si>
  <si>
    <t>June</t>
  </si>
  <si>
    <t>Citgo</t>
  </si>
  <si>
    <t>Sunoco</t>
  </si>
  <si>
    <t>includes Ren's Mobil &amp; Citgo receipt</t>
  </si>
  <si>
    <t>includes Ren's Mobil receipt</t>
  </si>
  <si>
    <t>includes CCE</t>
  </si>
  <si>
    <t>includes CCE &amp; Mobil Mart</t>
  </si>
  <si>
    <t>includes CCE &amp; Convenience Plus</t>
  </si>
  <si>
    <t>Peter Black  purchased gasoline for van 29 with personal credit card</t>
  </si>
  <si>
    <t>11.08 gallons @ $3.959 per gallon</t>
  </si>
  <si>
    <t>includes CCE &amp; Gulf Cumberland Farms on Campus Police MasterCard</t>
  </si>
  <si>
    <t>includes CCE &amp; $279.05 late charge, $24.80 R. Cooper MC</t>
  </si>
  <si>
    <t>includes CCE &amp; Gulf Cumberland Farms &amp; Hess on Campus Police MasterCard</t>
  </si>
  <si>
    <t>includes CCE &amp; includes Cumberland Farms $50.00 C. Carey's trip to Long Island</t>
  </si>
  <si>
    <t>includes CCE &amp; includes Cumberland Farms on Campus Police MasterCard</t>
  </si>
  <si>
    <t>Average</t>
  </si>
  <si>
    <t>includes Cumberland Farms on Campus Police MasterCard, No CCE in Jan</t>
  </si>
  <si>
    <t>Avg vehicle consumption/month</t>
  </si>
  <si>
    <t>Avg gator, mower, etc. consumption/month</t>
  </si>
  <si>
    <t>Average total consumption/month</t>
  </si>
  <si>
    <t>Average total consumption/week</t>
  </si>
  <si>
    <t>FY 2013-2014</t>
  </si>
  <si>
    <t>Amherst Sunoco 413-253-9394 (Sherry)</t>
  </si>
  <si>
    <t>includes CCE &amp; includes Cumberland Farms on Campus Police MasterCard and College Street Motors Dean of Students gas purchase</t>
  </si>
  <si>
    <t>includes CCE &amp; includes Cumberland Farms on Campus Police MasterCard and College Street Motors AAS gas purchase</t>
  </si>
  <si>
    <t>includes CCE, AAS, Cumberland Farms on Campus Police MasterCard &amp; Tom Davies Gas purchase on Mass Pike</t>
  </si>
  <si>
    <t>includes CCE, AAS, Cumberland Farms on Campus Police MasterCard</t>
  </si>
  <si>
    <t>Gas</t>
  </si>
  <si>
    <t>Total Facilities use FY14</t>
  </si>
  <si>
    <t>Total tank use FY14</t>
  </si>
  <si>
    <t>Total All</t>
  </si>
  <si>
    <t>includes CCE &amp; AAS</t>
  </si>
  <si>
    <t>includes CCE &amp; AAS, College Street Motors ACEMS fill up on 2/3/15</t>
  </si>
  <si>
    <t>12 Months</t>
  </si>
  <si>
    <t>24 Months</t>
  </si>
  <si>
    <t>Price</t>
  </si>
  <si>
    <t>Tax</t>
  </si>
  <si>
    <t>Total consumption Facilities</t>
  </si>
  <si>
    <t>Total tank use FY15</t>
  </si>
  <si>
    <t>Var</t>
  </si>
  <si>
    <t>includes CCE &amp; AAS &amp; College Street Motors purchase when Sunoco was closed</t>
  </si>
  <si>
    <t>Facilities only</t>
  </si>
  <si>
    <t>Amherst Liquid Fuels</t>
  </si>
  <si>
    <t>Supplier</t>
  </si>
  <si>
    <t>Bio-D Fixed</t>
  </si>
  <si>
    <t>Bio-D Spot</t>
  </si>
  <si>
    <t xml:space="preserve">Unleaded Fixed </t>
  </si>
  <si>
    <t>Unleaded Spot</t>
  </si>
  <si>
    <t>Spot</t>
  </si>
  <si>
    <t>Fixed incl Taxes</t>
  </si>
  <si>
    <t>DK Burke</t>
  </si>
  <si>
    <t>Oconnells</t>
  </si>
  <si>
    <t>Unleaded Spot mid-grade</t>
  </si>
  <si>
    <t>Account Number</t>
  </si>
  <si>
    <t>Card Number</t>
  </si>
  <si>
    <t>Card Department</t>
  </si>
  <si>
    <t>Vehicle ID</t>
  </si>
  <si>
    <t>Embossing</t>
  </si>
  <si>
    <t>Prompt 1 Type</t>
  </si>
  <si>
    <t>Prompt 1 Value</t>
  </si>
  <si>
    <t>Prompt 2 Type</t>
  </si>
  <si>
    <t>Prompt 2 Value</t>
  </si>
  <si>
    <t>Transaction Date</t>
  </si>
  <si>
    <t>Transaction Time</t>
  </si>
  <si>
    <t>Posted Date</t>
  </si>
  <si>
    <t>Site</t>
  </si>
  <si>
    <t>Site Name</t>
  </si>
  <si>
    <t>Site Street Address</t>
  </si>
  <si>
    <t>Site City</t>
  </si>
  <si>
    <t>Site State</t>
  </si>
  <si>
    <t>Site Zip Code</t>
  </si>
  <si>
    <t>Driver Last Name</t>
  </si>
  <si>
    <t>Driver First Name</t>
  </si>
  <si>
    <t>Driver ID</t>
  </si>
  <si>
    <t>Driver Department</t>
  </si>
  <si>
    <t>Product</t>
  </si>
  <si>
    <t>Units</t>
  </si>
  <si>
    <t>Discount</t>
  </si>
  <si>
    <t>Unit Cost</t>
  </si>
  <si>
    <t>Gross Cost</t>
  </si>
  <si>
    <t>Federal Exempted Tax</t>
  </si>
  <si>
    <t>State Exempted Tax</t>
  </si>
  <si>
    <t>Other Exempted Tax</t>
  </si>
  <si>
    <t>Net Cost</t>
  </si>
  <si>
    <t>Reported Tax</t>
  </si>
  <si>
    <t>Transaction Fee Type 1</t>
  </si>
  <si>
    <t>Transaction Fee Amount 1</t>
  </si>
  <si>
    <t>Transaction Fee Type 2</t>
  </si>
  <si>
    <t>Transaction Fee Amount 2</t>
  </si>
  <si>
    <t>Transaction Fee Type 3</t>
  </si>
  <si>
    <t>Transaction Fee Amount 3</t>
  </si>
  <si>
    <t>Transaction Fee Type 4</t>
  </si>
  <si>
    <t>Transaction Fee Amount 4</t>
  </si>
  <si>
    <t>Transaction Fee Type 5</t>
  </si>
  <si>
    <t>Transaction Fee Amount 5</t>
  </si>
  <si>
    <t>Non Fuel Cost</t>
  </si>
  <si>
    <t>Exchange Rate</t>
  </si>
  <si>
    <t>MPG</t>
  </si>
  <si>
    <t>Fuel Savings Amount</t>
  </si>
  <si>
    <t>52 ACEMS</t>
  </si>
  <si>
    <t>Odometer</t>
  </si>
  <si>
    <t>GULF OIL/P/L</t>
  </si>
  <si>
    <t>Cumberland Farms 246</t>
  </si>
  <si>
    <t>35 Belchertown Rd</t>
  </si>
  <si>
    <t>Amherst</t>
  </si>
  <si>
    <t>MA</t>
  </si>
  <si>
    <t>01002-2601</t>
  </si>
  <si>
    <t>-</t>
  </si>
  <si>
    <t>SUP</t>
  </si>
  <si>
    <t xml:space="preserve"> </t>
  </si>
  <si>
    <t>UNL</t>
  </si>
  <si>
    <t>Cumberland-Gulf 2075</t>
  </si>
  <si>
    <t>21 Sugarloaf St</t>
  </si>
  <si>
    <t>S Deerfield</t>
  </si>
  <si>
    <t>01373-1145</t>
  </si>
  <si>
    <t>FDC INEPENDENT MERCHANTS</t>
  </si>
  <si>
    <t>Morris Plains Libert</t>
  </si>
  <si>
    <t>1799 State Route 10</t>
  </si>
  <si>
    <t>Morris Plains</t>
  </si>
  <si>
    <t>NJ</t>
  </si>
  <si>
    <t>07950-2667</t>
  </si>
  <si>
    <t>Gulf Mart 5045</t>
  </si>
  <si>
    <t>Mm 83.8 Ma Tpke West</t>
  </si>
  <si>
    <t>Charlton</t>
  </si>
  <si>
    <t>SHELL / EQUIVA SERVICES</t>
  </si>
  <si>
    <t>Ogarit Inc.</t>
  </si>
  <si>
    <t>2760 Washington St</t>
  </si>
  <si>
    <t>Canton</t>
  </si>
  <si>
    <t>02021-1016</t>
  </si>
  <si>
    <t>O'Connell Oil Assoc.</t>
  </si>
  <si>
    <t>144 Thorndike St</t>
  </si>
  <si>
    <t>Palmer</t>
  </si>
  <si>
    <t>Exxonmobil</t>
  </si>
  <si>
    <t>Frank's Petroleum</t>
  </si>
  <si>
    <t>2776 Washington St</t>
  </si>
  <si>
    <t>IRVING OIL CORPORATION</t>
  </si>
  <si>
    <t>Richards Irving</t>
  </si>
  <si>
    <t>890 Main St</t>
  </si>
  <si>
    <t>S Glastonbury</t>
  </si>
  <si>
    <t>CT</t>
  </si>
  <si>
    <t>CITGO PETROLEUM</t>
  </si>
  <si>
    <t>Dalton MA CITGO</t>
  </si>
  <si>
    <t>650 Main St</t>
  </si>
  <si>
    <t>Dalton</t>
  </si>
  <si>
    <t>SPEEDWAY LLC</t>
  </si>
  <si>
    <t>Speedway 2408</t>
  </si>
  <si>
    <t>1423 Memorial Dr</t>
  </si>
  <si>
    <t>Chicopee</t>
  </si>
  <si>
    <t>01020-3967</t>
  </si>
  <si>
    <t>MAC'S CONVENIENCE STORES</t>
  </si>
  <si>
    <t>Circle K # 07509</t>
  </si>
  <si>
    <t>1 Greenfield Rd</t>
  </si>
  <si>
    <t>LUK OIL NORTH AMERICA</t>
  </si>
  <si>
    <t>Lawrenceville</t>
  </si>
  <si>
    <t>2417 Main St</t>
  </si>
  <si>
    <t>SUNOCO COMPANY</t>
  </si>
  <si>
    <t>Sunoco SRVC Station</t>
  </si>
  <si>
    <t>314 Boston Post Rd</t>
  </si>
  <si>
    <t>Port Chester</t>
  </si>
  <si>
    <t>NY</t>
  </si>
  <si>
    <t>ETH</t>
  </si>
  <si>
    <t>College St. Motors</t>
  </si>
  <si>
    <t>260 College St</t>
  </si>
  <si>
    <t>1780 Berlin Turn</t>
  </si>
  <si>
    <t>Wethersfield</t>
  </si>
  <si>
    <t>UN+</t>
  </si>
  <si>
    <t>Speedway 7836</t>
  </si>
  <si>
    <t>2400 Flatbush Ave</t>
  </si>
  <si>
    <t>Brooklyn</t>
  </si>
  <si>
    <t>11234-5037</t>
  </si>
  <si>
    <t>PRIDE CONVENIENCE</t>
  </si>
  <si>
    <t>Pride Station &amp; Stor.</t>
  </si>
  <si>
    <t>445 Russell St</t>
  </si>
  <si>
    <t>Hadley</t>
  </si>
  <si>
    <t>Presidents Car</t>
  </si>
  <si>
    <t>AUDI</t>
  </si>
  <si>
    <t>Lee Mobil</t>
  </si>
  <si>
    <t>241 Main St</t>
  </si>
  <si>
    <t>Lee</t>
  </si>
  <si>
    <t>STOP &amp; SHOP SUPERMARKETS</t>
  </si>
  <si>
    <t>Stop &amp; Shop 095</t>
  </si>
  <si>
    <t>440 Russell St</t>
  </si>
  <si>
    <t>Cumberland Farms 243</t>
  </si>
  <si>
    <t>109 Russell St</t>
  </si>
  <si>
    <t>SUN CORNERS SUNOCO SERVIC</t>
  </si>
  <si>
    <t>Sun Corners</t>
  </si>
  <si>
    <t>317 W 230th St</t>
  </si>
  <si>
    <t>Riverdale</t>
  </si>
  <si>
    <t>10463-3802</t>
  </si>
  <si>
    <t>Gulf Mart 5155</t>
  </si>
  <si>
    <t>Mm 104.4 Ma Tpke Wes</t>
  </si>
  <si>
    <t>Westborough</t>
  </si>
  <si>
    <t>Flr.-04061-10</t>
  </si>
  <si>
    <t>833 E Columbus Ave</t>
  </si>
  <si>
    <t>Springfield</t>
  </si>
  <si>
    <t>01105-2505</t>
  </si>
  <si>
    <t>HPS INDEPENDENT MERCHANTS</t>
  </si>
  <si>
    <t>Planet Gas</t>
  </si>
  <si>
    <t>33 State St</t>
  </si>
  <si>
    <t>Belchertown</t>
  </si>
  <si>
    <t>01007-9269</t>
  </si>
  <si>
    <t>5FNRL5H22EB046276</t>
  </si>
  <si>
    <t>976 Washington St</t>
  </si>
  <si>
    <t>Dorchester</t>
  </si>
  <si>
    <t>Champlain Oil Co.</t>
  </si>
  <si>
    <t>705 Rockingham Rd</t>
  </si>
  <si>
    <t>Bellows Falls</t>
  </si>
  <si>
    <t>VT</t>
  </si>
  <si>
    <t>05101-3142</t>
  </si>
  <si>
    <t>Shell Service Statio</t>
  </si>
  <si>
    <t>408 Pelham Rd</t>
  </si>
  <si>
    <t>New Rochelle</t>
  </si>
  <si>
    <t>340 Center St</t>
  </si>
  <si>
    <t>Ludlow</t>
  </si>
  <si>
    <t>Worldpay US Inc.</t>
  </si>
  <si>
    <t>Big Y #92</t>
  </si>
  <si>
    <t>75 Russell St</t>
  </si>
  <si>
    <t>01035-9423</t>
  </si>
  <si>
    <t>164 Daniel Shays Hwy</t>
  </si>
  <si>
    <t>Orange</t>
  </si>
  <si>
    <t>Gulf Mart 5035</t>
  </si>
  <si>
    <t>Mm 66.7 Ma Tpke West</t>
  </si>
  <si>
    <t>Brunswick Irving</t>
  </si>
  <si>
    <t>205 Pleasant St</t>
  </si>
  <si>
    <t>Brunswick</t>
  </si>
  <si>
    <t>ME</t>
  </si>
  <si>
    <t>PHILLIPS 66 COMPANY</t>
  </si>
  <si>
    <t>Hadley 66</t>
  </si>
  <si>
    <t>110 Russell St</t>
  </si>
  <si>
    <t>FL Roberts Amherst</t>
  </si>
  <si>
    <t>399 Northampton Rd</t>
  </si>
  <si>
    <t>01002-2547</t>
  </si>
  <si>
    <t>Milepost 92.9</t>
  </si>
  <si>
    <t>Woodbridge</t>
  </si>
  <si>
    <t>Milepost 71.7</t>
  </si>
  <si>
    <t>Cranbury</t>
  </si>
  <si>
    <t>Milepost 111.5W</t>
  </si>
  <si>
    <t>Ridgefield</t>
  </si>
  <si>
    <t>ROYAL FARMS</t>
  </si>
  <si>
    <t>Royal Farms 193</t>
  </si>
  <si>
    <t>803 Pinnacle Dr</t>
  </si>
  <si>
    <t>Linthicum Heights</t>
  </si>
  <si>
    <t>MD</t>
  </si>
  <si>
    <t>21090-2535</t>
  </si>
  <si>
    <t>5FNRL5H23DB078314</t>
  </si>
  <si>
    <t>Speedway 2419</t>
  </si>
  <si>
    <t>468 West St</t>
  </si>
  <si>
    <t>South Amherst</t>
  </si>
  <si>
    <t>01002-2965</t>
  </si>
  <si>
    <t>380 Southbridge St</t>
  </si>
  <si>
    <t>Auburn</t>
  </si>
  <si>
    <t>01501-2456</t>
  </si>
  <si>
    <t>Cumberland Farms</t>
  </si>
  <si>
    <t>446 Main St</t>
  </si>
  <si>
    <t>Williamstown</t>
  </si>
  <si>
    <t>Mac's Brandon</t>
  </si>
  <si>
    <t>3279 McConnell Rd</t>
  </si>
  <si>
    <t>Brandon</t>
  </si>
  <si>
    <t>Sloatsburg</t>
  </si>
  <si>
    <t>Second Street Ent. I</t>
  </si>
  <si>
    <t>1021 Northern Blvd</t>
  </si>
  <si>
    <t>Roslyn</t>
  </si>
  <si>
    <t>Westmoreland</t>
  </si>
  <si>
    <t>3086 S Main St</t>
  </si>
  <si>
    <t>Bondsville</t>
  </si>
  <si>
    <t>AAS</t>
  </si>
  <si>
    <t>Driver</t>
  </si>
  <si>
    <t>Gulf Mart 5165</t>
  </si>
  <si>
    <t>Mm 116 Ma Tpke West</t>
  </si>
  <si>
    <t>Framingham</t>
  </si>
  <si>
    <t>Circle K # 07508</t>
  </si>
  <si>
    <t>1 Sunderland Rd</t>
  </si>
  <si>
    <t>Whately</t>
  </si>
  <si>
    <t>Swedish Motors Gulf</t>
  </si>
  <si>
    <t>3617 Black Rock Tpke</t>
  </si>
  <si>
    <t>Fairfield</t>
  </si>
  <si>
    <t>Merritt Pkwy. Fairfie</t>
  </si>
  <si>
    <t>1396 Merritt St</t>
  </si>
  <si>
    <t>John Tamvakologos</t>
  </si>
  <si>
    <t>273 E Berkeley St</t>
  </si>
  <si>
    <t>Boston</t>
  </si>
  <si>
    <t>1707 Revere Beach Pkwy</t>
  </si>
  <si>
    <t>Everett</t>
  </si>
  <si>
    <t>FUL</t>
  </si>
  <si>
    <t>Cumberland-Gulf</t>
  </si>
  <si>
    <t>134 King St</t>
  </si>
  <si>
    <t>Northampton</t>
  </si>
  <si>
    <t>Cross Island Service</t>
  </si>
  <si>
    <t>23915 Jamaica Ave</t>
  </si>
  <si>
    <t>Bellerose</t>
  </si>
  <si>
    <t>11426-1052</t>
  </si>
  <si>
    <t>506 Pleasant St</t>
  </si>
  <si>
    <t>01060-3919</t>
  </si>
  <si>
    <t>CITGO College St. Mot</t>
  </si>
  <si>
    <t>I-89 &amp; Route 12A</t>
  </si>
  <si>
    <t>West Lebanon</t>
  </si>
  <si>
    <t>NH</t>
  </si>
  <si>
    <t>North Haven Gas Co.</t>
  </si>
  <si>
    <t>276 Washington Ave</t>
  </si>
  <si>
    <t>North Haven</t>
  </si>
  <si>
    <t>OTH</t>
  </si>
  <si>
    <t>167 Daniel Shays Hwy</t>
  </si>
  <si>
    <t>Cumberland Farm 2043</t>
  </si>
  <si>
    <t>1468 N Main St</t>
  </si>
  <si>
    <t>M.D. North Realty Gulf</t>
  </si>
  <si>
    <t>70 Exterior St</t>
  </si>
  <si>
    <t>Bronx</t>
  </si>
  <si>
    <t>Gulf Mart 5040</t>
  </si>
  <si>
    <t>Mm 80.4 Ma Tpke East</t>
  </si>
  <si>
    <t>Gulf Mart 5025</t>
  </si>
  <si>
    <t>Mm 29.1 Ma Tpke West</t>
  </si>
  <si>
    <t>Blandford</t>
  </si>
  <si>
    <t>PO Box 89</t>
  </si>
  <si>
    <t>Clarence</t>
  </si>
  <si>
    <t>14031-0089</t>
  </si>
  <si>
    <t>Nyst #435</t>
  </si>
  <si>
    <t>172E</t>
  </si>
  <si>
    <t>Amsterdam</t>
  </si>
  <si>
    <t>Riverdale Gulf</t>
  </si>
  <si>
    <t>542 Riverdale Ave</t>
  </si>
  <si>
    <t>Yonkers</t>
  </si>
  <si>
    <t>Merritt Pkwy. Greenwi</t>
  </si>
  <si>
    <t>Merritt Pkwy E</t>
  </si>
  <si>
    <t>Greenwich</t>
  </si>
  <si>
    <t>Jiffy Mart #38 Railr</t>
  </si>
  <si>
    <t>189 Railroad St RR</t>
  </si>
  <si>
    <t>Saint Johnsbury</t>
  </si>
  <si>
    <t>05819-2861</t>
  </si>
  <si>
    <t>Shell Station</t>
  </si>
  <si>
    <t>3923 US Route 5</t>
  </si>
  <si>
    <t>Newport</t>
  </si>
  <si>
    <t>Reynold A Gladu</t>
  </si>
  <si>
    <t>161 N Pleasant St</t>
  </si>
  <si>
    <t>ExxonMobil Oil Corp.</t>
  </si>
  <si>
    <t>47B Gerdes Rd - NORT</t>
  </si>
  <si>
    <t>New Canaan</t>
  </si>
  <si>
    <t>635 Marble Ave</t>
  </si>
  <si>
    <t>Thornwood</t>
  </si>
  <si>
    <t>Five Star Food Mart</t>
  </si>
  <si>
    <t>13107 Merrick Blvd</t>
  </si>
  <si>
    <t>Jamaica</t>
  </si>
  <si>
    <t>DSL</t>
  </si>
  <si>
    <t>122 Federal St</t>
  </si>
  <si>
    <t>Cumberland Farms 240</t>
  </si>
  <si>
    <t>188 Littleton Rd</t>
  </si>
  <si>
    <t>Westford</t>
  </si>
  <si>
    <t>9 Haines Rd</t>
  </si>
  <si>
    <t>Bedford Hills</t>
  </si>
  <si>
    <t>10507-1210</t>
  </si>
  <si>
    <t>Executive Cntrl. Svc.</t>
  </si>
  <si>
    <t>1 Enterprise Blvd</t>
  </si>
  <si>
    <t>10701-6816</t>
  </si>
  <si>
    <t>Nice N Easy #515</t>
  </si>
  <si>
    <t>33 Utica St</t>
  </si>
  <si>
    <t>Clinton</t>
  </si>
  <si>
    <t>13323-1500</t>
  </si>
  <si>
    <t>Wilson CITGO</t>
  </si>
  <si>
    <t>17 Windsor Ave</t>
  </si>
  <si>
    <t>Wilson</t>
  </si>
  <si>
    <t>Power Gas</t>
  </si>
  <si>
    <t>1 Whalley Ave</t>
  </si>
  <si>
    <t>New Haven</t>
  </si>
  <si>
    <t>06511-3218</t>
  </si>
  <si>
    <t>Cumberland Farms 069</t>
  </si>
  <si>
    <t>975 Kings Hwy E</t>
  </si>
  <si>
    <t>Monell Ent. Inc.</t>
  </si>
  <si>
    <t>821 Main St</t>
  </si>
  <si>
    <t>Waltham</t>
  </si>
  <si>
    <t>Cumberland-Gulf 0694</t>
  </si>
  <si>
    <t>2875 Main St</t>
  </si>
  <si>
    <t>Glastonbury</t>
  </si>
  <si>
    <t>535 Prudden Ln</t>
  </si>
  <si>
    <t>225 Whiting Farms Rd</t>
  </si>
  <si>
    <t>Holyoke</t>
  </si>
  <si>
    <t>01040-2839</t>
  </si>
  <si>
    <t>TOSCO MKTG.</t>
  </si>
  <si>
    <t>Union 76</t>
  </si>
  <si>
    <t>989 Sunrise Hwy</t>
  </si>
  <si>
    <t>Bay Shore</t>
  </si>
  <si>
    <t>11706-5900</t>
  </si>
  <si>
    <t>Speedway 2507</t>
  </si>
  <si>
    <t>207 Worcester St</t>
  </si>
  <si>
    <t>Natick</t>
  </si>
  <si>
    <t>01760-2249</t>
  </si>
  <si>
    <t>TURKEY HILL MINI MARKETS</t>
  </si>
  <si>
    <t>Turkey Hill #0252 Q</t>
  </si>
  <si>
    <t>735 S Broad St</t>
  </si>
  <si>
    <t>Lititz</t>
  </si>
  <si>
    <t>PA</t>
  </si>
  <si>
    <t>594 Union St</t>
  </si>
  <si>
    <t>N Adams</t>
  </si>
  <si>
    <t>Express Mart</t>
  </si>
  <si>
    <t>2619 State Hwy Rte 6</t>
  </si>
  <si>
    <t>Wellfleet</t>
  </si>
  <si>
    <t>120 Thoreau St</t>
  </si>
  <si>
    <t>Concord</t>
  </si>
  <si>
    <t>Mobil Oil Corp. 13986</t>
  </si>
  <si>
    <t>Milford Tpke (W)</t>
  </si>
  <si>
    <t>Milford</t>
  </si>
  <si>
    <t>IT</t>
  </si>
  <si>
    <t>Geology</t>
  </si>
  <si>
    <t>Admissions</t>
  </si>
  <si>
    <t>ADMISSIONS</t>
  </si>
  <si>
    <t>Canal St. Gulf</t>
  </si>
  <si>
    <t>414 Canal St</t>
  </si>
  <si>
    <t>Brattleboro</t>
  </si>
  <si>
    <t>Srihari LLC</t>
  </si>
  <si>
    <t>356 Bloomfield Ave</t>
  </si>
  <si>
    <t>Windsor</t>
  </si>
  <si>
    <t>Dining</t>
  </si>
  <si>
    <t>Theater</t>
  </si>
  <si>
    <t>Athletics</t>
  </si>
  <si>
    <t>ATHLETICS TRUCK</t>
  </si>
  <si>
    <t>Gulf Mart 5015</t>
  </si>
  <si>
    <t>Mm 8.5 Ma Tpke West</t>
  </si>
  <si>
    <t>Rental Housing</t>
  </si>
  <si>
    <t>RH TRUCK</t>
  </si>
  <si>
    <t>RH Truck</t>
  </si>
  <si>
    <t>Cumberland Farms #24</t>
  </si>
  <si>
    <t>507 Newton St</t>
  </si>
  <si>
    <t>S Hadley</t>
  </si>
  <si>
    <t>Speedway 2405</t>
  </si>
  <si>
    <t>215 King St</t>
  </si>
  <si>
    <t>01060-2361</t>
  </si>
  <si>
    <t>RH 1</t>
  </si>
  <si>
    <t>RH Van 1</t>
  </si>
  <si>
    <t>74 W State St</t>
  </si>
  <si>
    <t>Granby</t>
  </si>
  <si>
    <t>01033-9450</t>
  </si>
  <si>
    <t>Unassigned</t>
  </si>
  <si>
    <t>Amherst Student Act</t>
  </si>
  <si>
    <t>Fleet</t>
  </si>
  <si>
    <t>01035-9519</t>
  </si>
  <si>
    <t>Gulf Mart 5150</t>
  </si>
  <si>
    <t>Mm 117.6 Ma Tpke Eas</t>
  </si>
  <si>
    <t>01035-9566</t>
  </si>
  <si>
    <t>FDC Independent Merchants</t>
  </si>
  <si>
    <t>Cumberland Gulf 2186</t>
  </si>
  <si>
    <t>4 Macarthur Blvd</t>
  </si>
  <si>
    <t>Bourne</t>
  </si>
  <si>
    <t>02532-3918</t>
  </si>
  <si>
    <t>01075-2017</t>
  </si>
  <si>
    <t>WAWA INC.</t>
  </si>
  <si>
    <t>Wawa 8053</t>
  </si>
  <si>
    <t>8220 Bartram Ave</t>
  </si>
  <si>
    <t>Philadelphia</t>
  </si>
  <si>
    <t>19153-3603</t>
  </si>
  <si>
    <t>Gulf Express</t>
  </si>
  <si>
    <t>46 Rte 9 &amp; Ryan Rd</t>
  </si>
  <si>
    <t>Manalapan</t>
  </si>
  <si>
    <t>Cumberland Farms 080</t>
  </si>
  <si>
    <t>151 Boston Post Rd</t>
  </si>
  <si>
    <t>06477-3205</t>
  </si>
  <si>
    <t>Cumberland Farms 251</t>
  </si>
  <si>
    <t>217 Worcester St</t>
  </si>
  <si>
    <t>North Grafton</t>
  </si>
  <si>
    <t>01536-1255</t>
  </si>
  <si>
    <t>01364-2019</t>
  </si>
  <si>
    <t>RH 4</t>
  </si>
  <si>
    <t>01035-9578</t>
  </si>
  <si>
    <t>RH Van 4</t>
  </si>
  <si>
    <t>257 W Boylston St</t>
  </si>
  <si>
    <t>West Boylston</t>
  </si>
  <si>
    <t>01583-1725</t>
  </si>
  <si>
    <t>Cumberland Farms 181</t>
  </si>
  <si>
    <t>1547 Post Rd</t>
  </si>
  <si>
    <t>Wells</t>
  </si>
  <si>
    <t>04090-4519</t>
  </si>
  <si>
    <t>Sainath Food &amp; Fuel</t>
  </si>
  <si>
    <t>820 S College Ave</t>
  </si>
  <si>
    <t>Newark</t>
  </si>
  <si>
    <t>DE</t>
  </si>
  <si>
    <t>19713-4002</t>
  </si>
  <si>
    <t>Cumberland Farms 067</t>
  </si>
  <si>
    <t>38 Berlin Rd</t>
  </si>
  <si>
    <t>Cromwell</t>
  </si>
  <si>
    <t>06416-1701</t>
  </si>
  <si>
    <t>Concord Turnpike</t>
  </si>
  <si>
    <t>1089 Concord Tpke</t>
  </si>
  <si>
    <t>01742-4402</t>
  </si>
  <si>
    <t>130 College Hwy</t>
  </si>
  <si>
    <t>Southampton</t>
  </si>
  <si>
    <t>01073-9434</t>
  </si>
  <si>
    <t>144 S Broadway</t>
  </si>
  <si>
    <t>Saratoga Springs</t>
  </si>
  <si>
    <t>12866-4504</t>
  </si>
  <si>
    <t>Plattekill Mp 65</t>
  </si>
  <si>
    <t>Plattekill</t>
  </si>
  <si>
    <t>136 Main St</t>
  </si>
  <si>
    <t>Norwalk</t>
  </si>
  <si>
    <t>06851-3727</t>
  </si>
  <si>
    <t>Cumberland Farms 185</t>
  </si>
  <si>
    <t>162 Pleasant St</t>
  </si>
  <si>
    <t>04011-2214</t>
  </si>
  <si>
    <t>1530 Northampton St</t>
  </si>
  <si>
    <t>01040-1939</t>
  </si>
  <si>
    <t>CITGO Florence Towin</t>
  </si>
  <si>
    <t>22 Main St</t>
  </si>
  <si>
    <t>Florence</t>
  </si>
  <si>
    <t>01062-3120</t>
  </si>
  <si>
    <t>Shel Service Station</t>
  </si>
  <si>
    <t>181 Route 216</t>
  </si>
  <si>
    <t>Stormville</t>
  </si>
  <si>
    <t>12582-5015</t>
  </si>
  <si>
    <t>Maplefields at Newpo</t>
  </si>
  <si>
    <t>273 283 Main St</t>
  </si>
  <si>
    <t>Mobil Oil Corp. 16126</t>
  </si>
  <si>
    <t>Hutchinson River Pkw</t>
  </si>
  <si>
    <t>White Plains</t>
  </si>
  <si>
    <t>Derby Jolley</t>
  </si>
  <si>
    <t>4486 Route 5</t>
  </si>
  <si>
    <t>Derby</t>
  </si>
  <si>
    <t>Mobil Oil Corp. 10341</t>
  </si>
  <si>
    <t>280 Lafayette Rd</t>
  </si>
  <si>
    <t>Hampton</t>
  </si>
  <si>
    <t>03842-4105</t>
  </si>
  <si>
    <t>01035-9546</t>
  </si>
  <si>
    <t>Pride Station Stores</t>
  </si>
  <si>
    <t>07205 MANAGEMENT INC</t>
  </si>
  <si>
    <t>07205 Management Inc.</t>
  </si>
  <si>
    <t>242 Elizabeth Ave</t>
  </si>
  <si>
    <t>07108-2707</t>
  </si>
  <si>
    <t>2 Washington St</t>
  </si>
  <si>
    <t>Wellesley</t>
  </si>
  <si>
    <t>02481-1705</t>
  </si>
  <si>
    <t>Circle K # 07408</t>
  </si>
  <si>
    <t>301 Route 131</t>
  </si>
  <si>
    <t>Ascutney</t>
  </si>
  <si>
    <t>91 W Main St 93</t>
  </si>
  <si>
    <t>Hopkinton</t>
  </si>
  <si>
    <t>01748-1617</t>
  </si>
  <si>
    <t>TANAAZ LLC</t>
  </si>
  <si>
    <t>Maxum Fuel</t>
  </si>
  <si>
    <t>2 E Hampton Rd</t>
  </si>
  <si>
    <t>Marlborough</t>
  </si>
  <si>
    <t>06447-1467</t>
  </si>
  <si>
    <t>01060-2349</t>
  </si>
  <si>
    <t>Star Light Mini Mart</t>
  </si>
  <si>
    <t>1594 King St</t>
  </si>
  <si>
    <t>Enfield</t>
  </si>
  <si>
    <t>06082-5844</t>
  </si>
  <si>
    <t>N.H.I., Inc.</t>
  </si>
  <si>
    <t>52 James Reynolds Rd</t>
  </si>
  <si>
    <t>Swansea</t>
  </si>
  <si>
    <t>02777-3417</t>
  </si>
  <si>
    <t>Route 114 Mobil</t>
  </si>
  <si>
    <t>RR 114</t>
  </si>
  <si>
    <t>Henniker</t>
  </si>
  <si>
    <t>01056-2704</t>
  </si>
  <si>
    <t>01267-2613</t>
  </si>
  <si>
    <t>01002-1726</t>
  </si>
  <si>
    <t>STEWARTS SHOPS INC</t>
  </si>
  <si>
    <t>Stewart's # 211</t>
  </si>
  <si>
    <t>60 Poultney St</t>
  </si>
  <si>
    <t>Whitehall</t>
  </si>
  <si>
    <t>12887-1516</t>
  </si>
  <si>
    <t>Ani Service Station</t>
  </si>
  <si>
    <t>178 Tr 17 N</t>
  </si>
  <si>
    <t>Rochelle Park</t>
  </si>
  <si>
    <t>629 Bald Hill Rd</t>
  </si>
  <si>
    <t>Warwick</t>
  </si>
  <si>
    <t>RI</t>
  </si>
  <si>
    <t>02886-0711</t>
  </si>
  <si>
    <t>Cumberland Farms 215</t>
  </si>
  <si>
    <t>32 Central St</t>
  </si>
  <si>
    <t>Brookfield</t>
  </si>
  <si>
    <t>01506-1612</t>
  </si>
  <si>
    <t>Circle K # 07029</t>
  </si>
  <si>
    <t>676 Main St</t>
  </si>
  <si>
    <t>Lewiston</t>
  </si>
  <si>
    <t>Delta Gas</t>
  </si>
  <si>
    <t>510 Main St</t>
  </si>
  <si>
    <t>Little Falls</t>
  </si>
  <si>
    <t>07424-1137</t>
  </si>
  <si>
    <t>Cumberland-Gulf 2469</t>
  </si>
  <si>
    <t>709 Somerville Ave</t>
  </si>
  <si>
    <t>Somerville</t>
  </si>
  <si>
    <t>02143-3530</t>
  </si>
  <si>
    <t>Stewart's</t>
  </si>
  <si>
    <t>5319 State Rte 233</t>
  </si>
  <si>
    <t>Boston Ma#2</t>
  </si>
  <si>
    <t>529 Geneva Ave</t>
  </si>
  <si>
    <t>Rutland Rte. 7 Irving</t>
  </si>
  <si>
    <t>258 S Main St</t>
  </si>
  <si>
    <t>Rutland</t>
  </si>
  <si>
    <t>05701-4907</t>
  </si>
  <si>
    <t>732 Memorial Dri</t>
  </si>
  <si>
    <t>St Johnsbury</t>
  </si>
  <si>
    <t>249 State Rt 3</t>
  </si>
  <si>
    <t>Secaucus</t>
  </si>
  <si>
    <t>Cumberland Farms 400</t>
  </si>
  <si>
    <t>154 Rockingham St</t>
  </si>
  <si>
    <t>05101-1290</t>
  </si>
  <si>
    <t>J &amp; S OIL COMPANY</t>
  </si>
  <si>
    <t>J &amp; S-Oil Waterville</t>
  </si>
  <si>
    <t>320 Kennedy Memorial Dr</t>
  </si>
  <si>
    <t>Waterville</t>
  </si>
  <si>
    <t>Derby Rt. 5 Irving</t>
  </si>
  <si>
    <t>4397 Rte 5</t>
  </si>
  <si>
    <t>Williamstown Gulf</t>
  </si>
  <si>
    <t>259 Main St</t>
  </si>
  <si>
    <t>01267-2610</t>
  </si>
  <si>
    <t>Mac's East Wallingfo</t>
  </si>
  <si>
    <t>RR 103</t>
  </si>
  <si>
    <t>East Wallingford</t>
  </si>
  <si>
    <t>VALERO ENERGY CORPORATION</t>
  </si>
  <si>
    <t>Greenfield Valero</t>
  </si>
  <si>
    <t>242 Mohawk Trl</t>
  </si>
  <si>
    <t>Greenfield</t>
  </si>
  <si>
    <t>344 N Main St</t>
  </si>
  <si>
    <t>Leominster</t>
  </si>
  <si>
    <t>7 ELEVEN INC</t>
  </si>
  <si>
    <t>7-Eleven 32701</t>
  </si>
  <si>
    <t>46141 Woodshire Dr</t>
  </si>
  <si>
    <t>Sterling</t>
  </si>
  <si>
    <t>VA</t>
  </si>
  <si>
    <t>4 Andrews Pkwy</t>
  </si>
  <si>
    <t>Devens</t>
  </si>
  <si>
    <t>Haverhil Mart</t>
  </si>
  <si>
    <t>401 Amesbury Rd</t>
  </si>
  <si>
    <t>Haverhill</t>
  </si>
  <si>
    <t>Reading Shell</t>
  </si>
  <si>
    <t>87 Walkers Brook Dr</t>
  </si>
  <si>
    <t>Reading</t>
  </si>
  <si>
    <t>Flr.-04048-10</t>
  </si>
  <si>
    <t>258 Rte 131</t>
  </si>
  <si>
    <t>Circle K # 07256</t>
  </si>
  <si>
    <t>4A Dover Rd</t>
  </si>
  <si>
    <t>Durham</t>
  </si>
  <si>
    <t>Canaan Truck Stop</t>
  </si>
  <si>
    <t>12816 Rt 22 Exit B-3</t>
  </si>
  <si>
    <t>Canaan</t>
  </si>
  <si>
    <t>Cumberland Farms 284</t>
  </si>
  <si>
    <t>121 Pleasant St</t>
  </si>
  <si>
    <t>Claremont</t>
  </si>
  <si>
    <t>03743-2650</t>
  </si>
  <si>
    <t>439 N Elm St</t>
  </si>
  <si>
    <t>Westfield</t>
  </si>
  <si>
    <t>798 Carew St</t>
  </si>
  <si>
    <t>Merritt Pkwy W</t>
  </si>
  <si>
    <t>Broadway Gas</t>
  </si>
  <si>
    <t>320 Broadway</t>
  </si>
  <si>
    <t>Cambridge</t>
  </si>
  <si>
    <t>02139-1802</t>
  </si>
  <si>
    <t>Mobil Oil Corp. 14022</t>
  </si>
  <si>
    <t>16 Banton St</t>
  </si>
  <si>
    <t>Waterloo</t>
  </si>
  <si>
    <t>7930 Washington Blvd</t>
  </si>
  <si>
    <t>Jessup</t>
  </si>
  <si>
    <t>80 Ella Grasso Tpke</t>
  </si>
  <si>
    <t>Windsor Locks</t>
  </si>
  <si>
    <t>06096-1064</t>
  </si>
  <si>
    <t>1320 Route 52</t>
  </si>
  <si>
    <t>Carmel</t>
  </si>
  <si>
    <t>Stow Gulf</t>
  </si>
  <si>
    <t>626 Great Rd</t>
  </si>
  <si>
    <t>Stow</t>
  </si>
  <si>
    <t>Fordham Road Gulf</t>
  </si>
  <si>
    <t>601 E Fordham Rd</t>
  </si>
  <si>
    <t>Harbor Petroleum</t>
  </si>
  <si>
    <t>470 Meridian St</t>
  </si>
  <si>
    <t>East Boston</t>
  </si>
  <si>
    <t>Global Partners L.P.</t>
  </si>
  <si>
    <t>Stamford Global</t>
  </si>
  <si>
    <t>1199 High Ridge Rd</t>
  </si>
  <si>
    <t>Stamford</t>
  </si>
  <si>
    <t>06905-1226</t>
  </si>
  <si>
    <t>Cumberland-Gulf 2030</t>
  </si>
  <si>
    <t>105 West St</t>
  </si>
  <si>
    <t>Valley Garage</t>
  </si>
  <si>
    <t>4000 Rte 1 N</t>
  </si>
  <si>
    <t>South Brunswick</t>
  </si>
  <si>
    <t>Cumberland-Gulf 2466</t>
  </si>
  <si>
    <t>163 Patriot Rd</t>
  </si>
  <si>
    <t>E Templeton</t>
  </si>
  <si>
    <t>Stop &amp; Shop Fuel 435</t>
  </si>
  <si>
    <t>40 George Hannum Rd</t>
  </si>
  <si>
    <t>227 Center St</t>
  </si>
  <si>
    <t>01056-2702</t>
  </si>
  <si>
    <t>Jim's Auto Center, I</t>
  </si>
  <si>
    <t>1635 Northampton St</t>
  </si>
  <si>
    <t>Transaction Fee Type</t>
  </si>
  <si>
    <t xml:space="preserve"> Transaction Fee Amount</t>
  </si>
  <si>
    <t>GULF OIL/WEX - BIZ CARD</t>
  </si>
  <si>
    <t>Richmond Irving</t>
  </si>
  <si>
    <t>712 Main St</t>
  </si>
  <si>
    <t>Richmond</t>
  </si>
  <si>
    <t>04357-3721</t>
  </si>
  <si>
    <t>01002-2330</t>
  </si>
  <si>
    <t>CCE</t>
  </si>
  <si>
    <t>Worldpay US, Inc.</t>
  </si>
  <si>
    <t>Cumberland-Gulf 2455</t>
  </si>
  <si>
    <t>560 Main St</t>
  </si>
  <si>
    <t>Medfield</t>
  </si>
  <si>
    <t>02052-2324</t>
  </si>
  <si>
    <t>01247-2968</t>
  </si>
  <si>
    <t>73 Russell St</t>
  </si>
  <si>
    <t>1455 Washington Ave</t>
  </si>
  <si>
    <t>Albany</t>
  </si>
  <si>
    <t>12206-1093</t>
  </si>
  <si>
    <t>Campton Corners Conv.</t>
  </si>
  <si>
    <t>11 Vintinner Rd</t>
  </si>
  <si>
    <t>Campton</t>
  </si>
  <si>
    <t>03223-4663</t>
  </si>
  <si>
    <t>Ayer</t>
  </si>
  <si>
    <t>27 Harvard Rd</t>
  </si>
  <si>
    <t>01432-1741</t>
  </si>
  <si>
    <t>Haydocy Svc. Station</t>
  </si>
  <si>
    <t>72 Lamb St</t>
  </si>
  <si>
    <t>01075-2959</t>
  </si>
  <si>
    <t>198 Patriots Rd</t>
  </si>
  <si>
    <t>East Templeton</t>
  </si>
  <si>
    <t>Cumberland Farms 283</t>
  </si>
  <si>
    <t>278 Meadow St</t>
  </si>
  <si>
    <t>Littleton</t>
  </si>
  <si>
    <t>03561-3601</t>
  </si>
  <si>
    <t>317 Federal St</t>
  </si>
  <si>
    <t>01301-1949</t>
  </si>
  <si>
    <t>06477-2339</t>
  </si>
  <si>
    <t>ENERGY AMERICAS RECEIVABL</t>
  </si>
  <si>
    <t>BP 8565822</t>
  </si>
  <si>
    <t>4700 Odonnell St</t>
  </si>
  <si>
    <t>Baltimore</t>
  </si>
  <si>
    <t>21224-5302</t>
  </si>
  <si>
    <t>117 Morningside Ave</t>
  </si>
  <si>
    <t>New York</t>
  </si>
  <si>
    <t>10027-4826</t>
  </si>
  <si>
    <t>01301-9623</t>
  </si>
  <si>
    <t>1061 Memorial Dr</t>
  </si>
  <si>
    <t>01020-3935</t>
  </si>
  <si>
    <t>1171 Iyannough Rd</t>
  </si>
  <si>
    <t>Hyannis</t>
  </si>
  <si>
    <t>02601-1832</t>
  </si>
  <si>
    <t>514 Belmont Ave</t>
  </si>
  <si>
    <t>01108-1892</t>
  </si>
  <si>
    <t>Nyt - Indian Castle</t>
  </si>
  <si>
    <t>210E</t>
  </si>
  <si>
    <t>Junc I84 &amp; 739</t>
  </si>
  <si>
    <t>Hawley</t>
  </si>
  <si>
    <t>F.L. Roberts Store 4</t>
  </si>
  <si>
    <t>2788 Boston Rd</t>
  </si>
  <si>
    <t>Wilbraham</t>
  </si>
  <si>
    <t>01095-1835</t>
  </si>
  <si>
    <t>Schoharie Park LLC</t>
  </si>
  <si>
    <t>211 State Route 30A</t>
  </si>
  <si>
    <t>Schoharie</t>
  </si>
  <si>
    <t>12157-5203</t>
  </si>
  <si>
    <t>FL Roberts Riverdale</t>
  </si>
  <si>
    <t>1130 Riverdale St</t>
  </si>
  <si>
    <t>West Springfield</t>
  </si>
  <si>
    <t>01089-4607</t>
  </si>
  <si>
    <t>Leonard E Belcher In</t>
  </si>
  <si>
    <t>27 Southwick Rd</t>
  </si>
  <si>
    <t>01085-4729</t>
  </si>
  <si>
    <t>Gulf Service Ctr. Inc.</t>
  </si>
  <si>
    <t>31 Eastern Ave</t>
  </si>
  <si>
    <t>Dedham</t>
  </si>
  <si>
    <t>02026-1856</t>
  </si>
  <si>
    <t>DIS</t>
  </si>
  <si>
    <t>Wawa 915</t>
  </si>
  <si>
    <t>257 Route 70 &amp; Eayre Stown Rd</t>
  </si>
  <si>
    <t>Medford</t>
  </si>
  <si>
    <t>Merritt Pkwy. New Can.</t>
  </si>
  <si>
    <t>06840-6728</t>
  </si>
  <si>
    <t>Gulf Mart 5020</t>
  </si>
  <si>
    <t>Mm 29.1 Ma Tpke East</t>
  </si>
  <si>
    <t>Lanesboro Mob</t>
  </si>
  <si>
    <t>RR 7</t>
  </si>
  <si>
    <t>Lanesboro</t>
  </si>
  <si>
    <t>Fazio Enterprise, In</t>
  </si>
  <si>
    <t>30A Main St</t>
  </si>
  <si>
    <t>Winthrop</t>
  </si>
  <si>
    <t>02152-2714</t>
  </si>
  <si>
    <t>Rigor Hill Rd.-CITGO</t>
  </si>
  <si>
    <t>310 Rigor Hill Rd</t>
  </si>
  <si>
    <t>Chatham</t>
  </si>
  <si>
    <t>12037-2408</t>
  </si>
  <si>
    <t>Wawa 599</t>
  </si>
  <si>
    <t>1419 S Mountain Rd</t>
  </si>
  <si>
    <t>Joppa</t>
  </si>
  <si>
    <t>21085-3236</t>
  </si>
  <si>
    <t>96 I95 Sb Hwy B</t>
  </si>
  <si>
    <t>North East</t>
  </si>
  <si>
    <t>Milford Tpke. (E)</t>
  </si>
  <si>
    <t>Milford Tpke (E)</t>
  </si>
  <si>
    <t>Evan's Gulf</t>
  </si>
  <si>
    <t>1101 Spring Garden St</t>
  </si>
  <si>
    <t>19123-3315</t>
  </si>
  <si>
    <t>188 1st St</t>
  </si>
  <si>
    <t>Swanton</t>
  </si>
  <si>
    <t>05488-8008</t>
  </si>
  <si>
    <t>O-91 &amp; Rte 103</t>
  </si>
  <si>
    <t>Rockingham</t>
  </si>
  <si>
    <t>2706 Wrentham</t>
  </si>
  <si>
    <t>1001 South St</t>
  </si>
  <si>
    <t>Wrentham</t>
  </si>
  <si>
    <t>02093-2100</t>
  </si>
  <si>
    <t>Milepost 58.7</t>
  </si>
  <si>
    <t>Hamilton</t>
  </si>
  <si>
    <t>Royal Farms 138</t>
  </si>
  <si>
    <t>1530 Russell St</t>
  </si>
  <si>
    <t>21230-2018</t>
  </si>
  <si>
    <t>Milepost 111.6</t>
  </si>
  <si>
    <t>CLARK BRANDS LLC</t>
  </si>
  <si>
    <t>Clark 2181</t>
  </si>
  <si>
    <t>7613 Bellona Ave</t>
  </si>
  <si>
    <t>Towson</t>
  </si>
  <si>
    <t>21204-6609</t>
  </si>
  <si>
    <t>Milford Tpke. (W)</t>
  </si>
  <si>
    <t>Cromwell Gas Inc.</t>
  </si>
  <si>
    <t>123 Berlin Rd</t>
  </si>
  <si>
    <t>06416-1022</t>
  </si>
  <si>
    <t>Rocco A. Arbitell</t>
  </si>
  <si>
    <t>1244 Strongtown Rd</t>
  </si>
  <si>
    <t>Southbury</t>
  </si>
  <si>
    <t>06488-1946</t>
  </si>
  <si>
    <t>M.D. South Realty Gulf</t>
  </si>
  <si>
    <t>71 Exterior St</t>
  </si>
  <si>
    <t>10451-2031</t>
  </si>
  <si>
    <t>Malcho's Fuel</t>
  </si>
  <si>
    <t>1000 Jefferson Rd</t>
  </si>
  <si>
    <t>Rochester</t>
  </si>
  <si>
    <t>14623-3214</t>
  </si>
  <si>
    <t>HANUMAN GETTY INC</t>
  </si>
  <si>
    <t>Getty 56206</t>
  </si>
  <si>
    <t>Rt 1 &amp; Washington Av</t>
  </si>
  <si>
    <t>Princeton</t>
  </si>
  <si>
    <t>Bayshore Gulf</t>
  </si>
  <si>
    <t>1490 5th Ave</t>
  </si>
  <si>
    <t>11706-4147</t>
  </si>
  <si>
    <t>Circle K # 07237</t>
  </si>
  <si>
    <t>1500 White Mountain Hwy</t>
  </si>
  <si>
    <t>North Conway</t>
  </si>
  <si>
    <t>03860-7100</t>
  </si>
  <si>
    <t>BP 6442016</t>
  </si>
  <si>
    <t>1324 E Putnam Ave</t>
  </si>
  <si>
    <t>Riverside</t>
  </si>
  <si>
    <t>06033-1030</t>
  </si>
  <si>
    <t>Cumberland Farms 066</t>
  </si>
  <si>
    <t>204 Marlborough St</t>
  </si>
  <si>
    <t>Portland</t>
  </si>
  <si>
    <t>06480-1876</t>
  </si>
  <si>
    <t>Kelly's Car Wash, In</t>
  </si>
  <si>
    <t>200 Charles St</t>
  </si>
  <si>
    <t>Providence</t>
  </si>
  <si>
    <t>02904-2203</t>
  </si>
  <si>
    <t>USA Gulf</t>
  </si>
  <si>
    <t>2895 Jerome Ave</t>
  </si>
  <si>
    <t>10468-1602</t>
  </si>
  <si>
    <t>7-Eleven 32495</t>
  </si>
  <si>
    <t>223 Columbia St</t>
  </si>
  <si>
    <t>Adams</t>
  </si>
  <si>
    <t>01220-1339</t>
  </si>
  <si>
    <t>Hillsdale Gulf</t>
  </si>
  <si>
    <t>2690 State Route 23</t>
  </si>
  <si>
    <t>Hillsdale</t>
  </si>
  <si>
    <t>12529-6207</t>
  </si>
  <si>
    <t>Levittown Gulf</t>
  </si>
  <si>
    <t>7012 New Falls Rd</t>
  </si>
  <si>
    <t>Levittown</t>
  </si>
  <si>
    <t>19057-2412</t>
  </si>
  <si>
    <t>Long Ridge Svc. Inc.</t>
  </si>
  <si>
    <t>1095 Long Ridge Rd</t>
  </si>
  <si>
    <t>06903-4410</t>
  </si>
  <si>
    <t>Columbia Road Gulf I</t>
  </si>
  <si>
    <t>888 Dorchester Ave</t>
  </si>
  <si>
    <t>02125-1254</t>
  </si>
  <si>
    <t>Bradford Mini Mart</t>
  </si>
  <si>
    <t>Routes 5 &amp; 25</t>
  </si>
  <si>
    <t>Bradford</t>
  </si>
  <si>
    <t>Singh Food Mart, Inc.</t>
  </si>
  <si>
    <t>117 Kirks Rd</t>
  </si>
  <si>
    <t>Narrowsburg</t>
  </si>
  <si>
    <t>12764-6431</t>
  </si>
  <si>
    <t>668 Amherst Rd</t>
  </si>
  <si>
    <t>Sunderland</t>
  </si>
  <si>
    <t>01375-9420</t>
  </si>
  <si>
    <t>Twin States Food Mar</t>
  </si>
  <si>
    <t>97 Route 9</t>
  </si>
  <si>
    <t>West Chesterfield</t>
  </si>
  <si>
    <t>03466-3104</t>
  </si>
  <si>
    <t>01434-4017</t>
  </si>
  <si>
    <t>Pkwy. Mobil</t>
  </si>
  <si>
    <t>1001 N Colony Rd</t>
  </si>
  <si>
    <t>Wallingford</t>
  </si>
  <si>
    <t>06492-1854</t>
  </si>
  <si>
    <t>Speedway 2459</t>
  </si>
  <si>
    <t>1701 Worcester Rd</t>
  </si>
  <si>
    <t>01701-5456</t>
  </si>
  <si>
    <t>2341 State Highw</t>
  </si>
  <si>
    <t>Oneonta</t>
  </si>
  <si>
    <t>Speedway 7728</t>
  </si>
  <si>
    <t>2600 Main St</t>
  </si>
  <si>
    <t>Whitney Point</t>
  </si>
  <si>
    <t>13862-2242</t>
  </si>
  <si>
    <t>01104-2521</t>
  </si>
  <si>
    <t>Memorial Drive Auto</t>
  </si>
  <si>
    <t>816 Memorial Dr</t>
  </si>
  <si>
    <t>02139-4613</t>
  </si>
  <si>
    <t>Mobil Oil Corp. 14026</t>
  </si>
  <si>
    <t>Darien Tpke (E)</t>
  </si>
  <si>
    <t>Darien</t>
  </si>
  <si>
    <t>Cumberland-Gulf 1806</t>
  </si>
  <si>
    <t>427 Cottage Rd</t>
  </si>
  <si>
    <t>S Portland</t>
  </si>
  <si>
    <t>04106-4920</t>
  </si>
  <si>
    <t>2140 Lemoine Ave</t>
  </si>
  <si>
    <t>Fort Lee</t>
  </si>
  <si>
    <t>07024-6002</t>
  </si>
  <si>
    <t>Wilbur Cross Pkwy. Mo</t>
  </si>
  <si>
    <t>Adam Mini Mart, Inc.</t>
  </si>
  <si>
    <t>483 Silver Ln</t>
  </si>
  <si>
    <t>East Hartford</t>
  </si>
  <si>
    <t>06118-1104</t>
  </si>
  <si>
    <t>Ludlow Foodmart</t>
  </si>
  <si>
    <t>129 Main St</t>
  </si>
  <si>
    <t>05149-1025</t>
  </si>
  <si>
    <t>Circle K # 07228</t>
  </si>
  <si>
    <t>78 Exeter Rd</t>
  </si>
  <si>
    <t>Newmarket</t>
  </si>
  <si>
    <t>03857-1926</t>
  </si>
  <si>
    <t>30 Warwick Rd 80</t>
  </si>
  <si>
    <t>Winchester</t>
  </si>
  <si>
    <t>03470-2819</t>
  </si>
  <si>
    <t>Account to charge:</t>
  </si>
  <si>
    <t>30-700500-570209</t>
  </si>
  <si>
    <t>Date of Delivery</t>
  </si>
  <si>
    <t>Vendor</t>
  </si>
  <si>
    <t>Tons</t>
  </si>
  <si>
    <t>invoice #</t>
  </si>
  <si>
    <t>Price/ton</t>
  </si>
  <si>
    <t>Freight</t>
  </si>
  <si>
    <t>Invoice Total</t>
  </si>
  <si>
    <t>FY2015</t>
  </si>
  <si>
    <t>Sandri</t>
  </si>
  <si>
    <t>Total for March</t>
  </si>
  <si>
    <t>FY2016</t>
  </si>
  <si>
    <t>Total for August</t>
  </si>
  <si>
    <t>Total for January</t>
  </si>
  <si>
    <t>Total for June</t>
  </si>
  <si>
    <t>FY2017</t>
  </si>
  <si>
    <t>Total for December</t>
  </si>
  <si>
    <t>FY2018</t>
  </si>
  <si>
    <t>Total for July</t>
  </si>
  <si>
    <t>Wood Pellets (tons)</t>
  </si>
  <si>
    <t>Residual Oil #6 (gallons)</t>
  </si>
  <si>
    <t>Natural Gas (Dth)</t>
  </si>
  <si>
    <t>Distillate Oil #2 (gallons)</t>
  </si>
  <si>
    <t>Propane (gallons)</t>
  </si>
  <si>
    <t>Diesel (gallons)</t>
  </si>
  <si>
    <t>Gasoline (gallons)</t>
  </si>
  <si>
    <t>30-700501-570204</t>
  </si>
  <si>
    <t>Delivery #</t>
  </si>
  <si>
    <t>gallons</t>
  </si>
  <si>
    <t>price</t>
  </si>
  <si>
    <t>cost</t>
  </si>
  <si>
    <t>Academic/Adm</t>
  </si>
  <si>
    <t>Dorms</t>
  </si>
  <si>
    <t>Merrill</t>
  </si>
  <si>
    <t xml:space="preserve">Dining </t>
  </si>
  <si>
    <t>Snack Bar</t>
  </si>
  <si>
    <t>Campus Center</t>
  </si>
  <si>
    <t>Red School House</t>
  </si>
  <si>
    <t>Woodside Day Care</t>
  </si>
  <si>
    <t>Hess</t>
  </si>
  <si>
    <t>charge for unearned discounts taken on invocies</t>
  </si>
  <si>
    <t>Total for February</t>
  </si>
  <si>
    <t>FY2014</t>
  </si>
  <si>
    <t>Sprague</t>
  </si>
  <si>
    <t>30-700500-570202</t>
  </si>
  <si>
    <t>Delivery Date</t>
  </si>
  <si>
    <t>Provider</t>
  </si>
  <si>
    <t>Building Name</t>
  </si>
  <si>
    <t>Cost per gallon</t>
  </si>
  <si>
    <t>Frost Library</t>
  </si>
  <si>
    <t>August Total</t>
  </si>
  <si>
    <t>AmeriGas</t>
  </si>
  <si>
    <t>Caddy Shack</t>
  </si>
  <si>
    <t>Sept Total</t>
  </si>
  <si>
    <t>Alumni Gym</t>
  </si>
  <si>
    <t>Orr Rink</t>
  </si>
  <si>
    <t>03-009118</t>
  </si>
  <si>
    <t>Osterman</t>
  </si>
  <si>
    <t>Presidents House - 71 S. Pleasant Street</t>
  </si>
  <si>
    <t>Oct Total</t>
  </si>
  <si>
    <t>03-001798</t>
  </si>
  <si>
    <t>James &amp; Stearns Bldg - 43 Quadrangle</t>
  </si>
  <si>
    <t>03-001953</t>
  </si>
  <si>
    <t>Geology Building - 11 Barrett Hill</t>
  </si>
  <si>
    <t>03-564194</t>
  </si>
  <si>
    <t>King &amp; Wieland Halls</t>
  </si>
  <si>
    <t>03-004527</t>
  </si>
  <si>
    <t>Mayo-Smith - 19 Northampton Road</t>
  </si>
  <si>
    <t>Moore Dorm</t>
  </si>
  <si>
    <t>Nov Total</t>
  </si>
  <si>
    <t>Merrill Science</t>
  </si>
  <si>
    <t>Skating Rink</t>
  </si>
  <si>
    <t>Dec Total</t>
  </si>
  <si>
    <t>Jan Total</t>
  </si>
  <si>
    <t>Feb Total</t>
  </si>
  <si>
    <t>Stone Dorm</t>
  </si>
  <si>
    <t>Mar Total</t>
  </si>
  <si>
    <t>Apr Total</t>
  </si>
  <si>
    <t>May Total</t>
  </si>
  <si>
    <t>June Total</t>
  </si>
  <si>
    <t>03-009820</t>
  </si>
  <si>
    <t>Seligman - 67 Northampton Road</t>
  </si>
  <si>
    <t>July Total</t>
  </si>
  <si>
    <t>King &amp; Wieland Halls - 10 Merrill Science Road</t>
  </si>
  <si>
    <t>Amherst Sunoco</t>
  </si>
  <si>
    <t>James &amp; Stearns Bldg - 39 Quadrangle</t>
  </si>
  <si>
    <t>Appleton Dorm - 19 Quadrangle</t>
  </si>
  <si>
    <t>03-004300</t>
  </si>
  <si>
    <t>Lipton Dorm - 32 College Street</t>
  </si>
  <si>
    <t>Propane fillup for Heat Plant</t>
  </si>
  <si>
    <t>03-10648</t>
  </si>
  <si>
    <t>Powerhouse - 10 East Drive</t>
  </si>
  <si>
    <t>September Total</t>
  </si>
  <si>
    <t>03-11066</t>
  </si>
  <si>
    <t>Newport House - 32 Northampton Road</t>
  </si>
  <si>
    <t>October Total</t>
  </si>
  <si>
    <t>November Total</t>
  </si>
  <si>
    <t>December Total</t>
  </si>
  <si>
    <t>January Total</t>
  </si>
  <si>
    <t>February Total</t>
  </si>
  <si>
    <t>March Total</t>
  </si>
  <si>
    <t>April Total</t>
  </si>
  <si>
    <t>3-00911801</t>
  </si>
  <si>
    <t>President's House - 185 S Pleasant Street</t>
  </si>
  <si>
    <t>3-00179801</t>
  </si>
  <si>
    <t>James &amp; Stearns Bldg - 220 S Pleasant Street</t>
  </si>
  <si>
    <t>3-00195301</t>
  </si>
  <si>
    <t>3-00452701</t>
  </si>
  <si>
    <t>3-00343001</t>
  </si>
  <si>
    <t>03-1064801</t>
  </si>
  <si>
    <t>3-01193101</t>
  </si>
  <si>
    <t>Greenway Dorms</t>
  </si>
  <si>
    <t>3-01064801</t>
  </si>
  <si>
    <t>Beneski - 11 Barrett Hill</t>
  </si>
  <si>
    <t>Greenhouse</t>
  </si>
  <si>
    <t>30-700502-570202</t>
  </si>
  <si>
    <t>30-700501-570202</t>
  </si>
  <si>
    <t>Berkshire Gas</t>
  </si>
  <si>
    <t>August</t>
  </si>
  <si>
    <t>September</t>
  </si>
  <si>
    <t>October</t>
  </si>
  <si>
    <t>November</t>
  </si>
  <si>
    <t>December</t>
  </si>
  <si>
    <t>January</t>
  </si>
  <si>
    <t>February</t>
  </si>
  <si>
    <t>March</t>
  </si>
  <si>
    <t>April</t>
  </si>
  <si>
    <t>May</t>
  </si>
  <si>
    <t>Address</t>
  </si>
  <si>
    <t>Therms</t>
  </si>
  <si>
    <t>Date of bill</t>
  </si>
  <si>
    <t>32 College St</t>
  </si>
  <si>
    <t>Hamilton Dorm</t>
  </si>
  <si>
    <t>165 S. Pleasant St</t>
  </si>
  <si>
    <t>Morgan Hall</t>
  </si>
  <si>
    <t>129 S. Pleasant St</t>
  </si>
  <si>
    <t>Seelye Dorm</t>
  </si>
  <si>
    <t>College St</t>
  </si>
  <si>
    <t>Valentine</t>
  </si>
  <si>
    <t>32 Northampton Rd</t>
  </si>
  <si>
    <t>19 Northampton Rd</t>
  </si>
  <si>
    <t>Mayo Smith Dorm</t>
  </si>
  <si>
    <t>COPY 2 SIDES</t>
  </si>
  <si>
    <t>101 S Pleasant Street</t>
  </si>
  <si>
    <t>Hitchcock Dorm</t>
  </si>
  <si>
    <t>46 Boltwood Ave</t>
  </si>
  <si>
    <t>Porter House</t>
  </si>
  <si>
    <t>Orchard St</t>
  </si>
  <si>
    <t>Debevoise Fieldhouse</t>
  </si>
  <si>
    <t>82 Lessey Street</t>
  </si>
  <si>
    <t>Plimpton Dorm</t>
  </si>
  <si>
    <t>62 Snell Street</t>
  </si>
  <si>
    <t>Humphries Dorm</t>
  </si>
  <si>
    <t>22 Snell Street</t>
  </si>
  <si>
    <t>Ponty Poole House</t>
  </si>
  <si>
    <t>297 S Pleasant Street</t>
  </si>
  <si>
    <t>Scott House</t>
  </si>
  <si>
    <t>35 Tyler Place</t>
  </si>
  <si>
    <t>Tyler House</t>
  </si>
  <si>
    <t>New Boiler</t>
  </si>
  <si>
    <t>42 College St</t>
  </si>
  <si>
    <t>Cohan Dorm</t>
  </si>
  <si>
    <t>56 College St</t>
  </si>
  <si>
    <t>Charles Drew Dorm</t>
  </si>
  <si>
    <t>22 Hitchock Rd</t>
  </si>
  <si>
    <t>Smith House</t>
  </si>
  <si>
    <t>38 Wooodside Ave</t>
  </si>
  <si>
    <t>Cadigan Religion Center</t>
  </si>
  <si>
    <t>Spring St</t>
  </si>
  <si>
    <t>Alumni House</t>
  </si>
  <si>
    <t>37 Spring St</t>
  </si>
  <si>
    <t>Leland Dorm</t>
  </si>
  <si>
    <t>175 S Pleasant St</t>
  </si>
  <si>
    <t>President's House</t>
  </si>
  <si>
    <t>62 Boltwood Ave</t>
  </si>
  <si>
    <t>Garman Dorm</t>
  </si>
  <si>
    <t>86 College St</t>
  </si>
  <si>
    <t>Cooper House</t>
  </si>
  <si>
    <t>June Total (May Usage)</t>
  </si>
  <si>
    <t>June Total (June Usage)</t>
  </si>
  <si>
    <t>81 Lessey Street</t>
  </si>
  <si>
    <t>Marsh Dorm</t>
  </si>
  <si>
    <t>New Boiler House</t>
  </si>
  <si>
    <t>75 Spring St</t>
  </si>
  <si>
    <t>67 Northampton Road</t>
  </si>
  <si>
    <t>Seligman Dorm</t>
  </si>
  <si>
    <t>Aug Total</t>
  </si>
  <si>
    <t>150 Northampton Rd</t>
  </si>
  <si>
    <t>Pratt Field House</t>
  </si>
  <si>
    <t>155 Woodside Ave</t>
  </si>
  <si>
    <t>Woodside Daycare</t>
  </si>
  <si>
    <t>79 S Pleasant St</t>
  </si>
  <si>
    <t>79 S Pleasant Street</t>
  </si>
  <si>
    <t>155 South Pleasant Street</t>
  </si>
  <si>
    <t>College Hall</t>
  </si>
  <si>
    <t>070-0010053-2194</t>
  </si>
  <si>
    <t>151 College St</t>
  </si>
  <si>
    <t>070-0010053-2202</t>
  </si>
  <si>
    <t>070-0010053-2210</t>
  </si>
  <si>
    <t>070-0010053-4554</t>
  </si>
  <si>
    <t>070-0010053-4570</t>
  </si>
  <si>
    <t>070-0010053-4620</t>
  </si>
  <si>
    <t>070-0010053-5478</t>
  </si>
  <si>
    <t>070-0010053-5510</t>
  </si>
  <si>
    <t>070-0010054-0239</t>
  </si>
  <si>
    <t>070-0010047-6053</t>
  </si>
  <si>
    <t>070-0010017-1399</t>
  </si>
  <si>
    <t>070-0010051-0174</t>
  </si>
  <si>
    <t>070-0010051-0182</t>
  </si>
  <si>
    <t>070-0010051-0190</t>
  </si>
  <si>
    <t>070-0010051-0208</t>
  </si>
  <si>
    <t>59 College St</t>
  </si>
  <si>
    <t>070-0010052-9786</t>
  </si>
  <si>
    <t>070-0010053-1816</t>
  </si>
  <si>
    <t>070-0010053-1824</t>
  </si>
  <si>
    <t>070-0010053-2186</t>
  </si>
  <si>
    <t>070-0010053-4521</t>
  </si>
  <si>
    <t>070-0010057-2620</t>
  </si>
  <si>
    <t>40 Dickinson Street</t>
  </si>
  <si>
    <t>070-0010059-3543</t>
  </si>
  <si>
    <t>147 Woodside Ave</t>
  </si>
  <si>
    <t>Rice House</t>
  </si>
  <si>
    <t>Sep Total</t>
  </si>
  <si>
    <t>070-0010073-2844</t>
  </si>
  <si>
    <t>070-0010073-2851</t>
  </si>
  <si>
    <t>070-0010073-2901</t>
  </si>
  <si>
    <t>070-0010073-2927</t>
  </si>
  <si>
    <t>070-0010073-2869</t>
  </si>
  <si>
    <t>070-0010073-2885</t>
  </si>
  <si>
    <t>070-0010073-2919</t>
  </si>
  <si>
    <t>070-0010073-2893</t>
  </si>
  <si>
    <t>070-0010073-2877</t>
  </si>
  <si>
    <t>070-0010053-5460</t>
  </si>
  <si>
    <t>405 S Pleasant St</t>
  </si>
  <si>
    <t>Lincoln House</t>
  </si>
  <si>
    <t>Meter Number</t>
  </si>
  <si>
    <t>ccf</t>
  </si>
  <si>
    <t>$ per MMBTU</t>
  </si>
  <si>
    <t>Bill Total</t>
  </si>
  <si>
    <t>College Street</t>
  </si>
  <si>
    <t>Main Meter (Shell)</t>
  </si>
  <si>
    <t>Main Meter</t>
  </si>
  <si>
    <t>Totals for May</t>
  </si>
  <si>
    <t>Totals for June (May Usage)</t>
  </si>
  <si>
    <t>Totals for June (June Usage)</t>
  </si>
  <si>
    <t>Totals for August</t>
  </si>
  <si>
    <t>Totals for September</t>
  </si>
  <si>
    <t>Totals for October</t>
  </si>
  <si>
    <t>Totals for November</t>
  </si>
  <si>
    <t>Totals for December</t>
  </si>
  <si>
    <t>Totals for January</t>
  </si>
  <si>
    <t>Totals for February</t>
  </si>
  <si>
    <t>Totals for March</t>
  </si>
  <si>
    <t>Totals for April</t>
  </si>
  <si>
    <t>Main Meter (Sprague)</t>
  </si>
  <si>
    <t>Totals for June</t>
  </si>
  <si>
    <t>Main Meter (Berkshire Gas)</t>
  </si>
  <si>
    <t>Total Avg</t>
  </si>
  <si>
    <t>July usage</t>
  </si>
  <si>
    <t>August usage</t>
  </si>
  <si>
    <t>Sept usage</t>
  </si>
  <si>
    <t>Oct usage</t>
  </si>
  <si>
    <t>Nov usage</t>
  </si>
  <si>
    <t>Dec usage</t>
  </si>
  <si>
    <t>Jan usage</t>
  </si>
  <si>
    <t>Feb usage</t>
  </si>
  <si>
    <t>Mar usage</t>
  </si>
  <si>
    <t>Apr usage</t>
  </si>
  <si>
    <t>May usage</t>
  </si>
  <si>
    <t>June usage</t>
  </si>
  <si>
    <t>Averages</t>
  </si>
  <si>
    <t>Arbitrage Savings</t>
  </si>
  <si>
    <t>FYTD 2014</t>
  </si>
  <si>
    <t>FYTD 2015</t>
  </si>
  <si>
    <t>June (June usage)</t>
  </si>
  <si>
    <t>Gas - Main</t>
  </si>
  <si>
    <t>FY 2014</t>
  </si>
  <si>
    <t>FY 2015</t>
  </si>
  <si>
    <t>30-700502-570204</t>
  </si>
  <si>
    <t>Ref #</t>
  </si>
  <si>
    <t>Date of delivery</t>
  </si>
  <si>
    <t>11530E</t>
  </si>
  <si>
    <t>74 College St</t>
  </si>
  <si>
    <t>Clark House</t>
  </si>
  <si>
    <t>11546U</t>
  </si>
  <si>
    <t>100 Military Drive</t>
  </si>
  <si>
    <t>Bunker</t>
  </si>
  <si>
    <t>11541P</t>
  </si>
  <si>
    <t>86 Snell Street</t>
  </si>
  <si>
    <t>Observatory</t>
  </si>
  <si>
    <t>11548W</t>
  </si>
  <si>
    <t>233 S. Pleasant St.</t>
  </si>
  <si>
    <t>Chapman Dorm</t>
  </si>
  <si>
    <t>11553F</t>
  </si>
  <si>
    <t>11550Y</t>
  </si>
  <si>
    <t>Merrill Science Rd</t>
  </si>
  <si>
    <t>Waldorf Dorm</t>
  </si>
  <si>
    <t>11780C</t>
  </si>
  <si>
    <t>Plaza Dorm</t>
  </si>
  <si>
    <t>16238I</t>
  </si>
  <si>
    <t>31 Spring Street</t>
  </si>
  <si>
    <t>Harvey House</t>
  </si>
  <si>
    <t>April Totals</t>
  </si>
  <si>
    <t>11532G</t>
  </si>
  <si>
    <t>81 Lessey St</t>
  </si>
  <si>
    <t>18498E</t>
  </si>
  <si>
    <t>147 Woodside Avenue</t>
  </si>
  <si>
    <t>May Totals</t>
  </si>
  <si>
    <t>June Totals</t>
  </si>
  <si>
    <t>11539N</t>
  </si>
  <si>
    <t>67 Northampton Rd</t>
  </si>
  <si>
    <t>Sub-Total</t>
  </si>
  <si>
    <t>Whiting Energy</t>
  </si>
  <si>
    <t>30-700500-570204</t>
  </si>
  <si>
    <t xml:space="preserve"> Dec Total</t>
  </si>
  <si>
    <t>74 College Street</t>
  </si>
  <si>
    <t>4098E</t>
  </si>
  <si>
    <t>Grounds Building</t>
  </si>
  <si>
    <t>4099D</t>
  </si>
  <si>
    <t>19166Y</t>
  </si>
  <si>
    <t>151 College Street</t>
  </si>
  <si>
    <t>Temp Grounds Bldg</t>
  </si>
  <si>
    <t>16236G</t>
  </si>
  <si>
    <t>271 S. Pleasant St.</t>
  </si>
  <si>
    <t>Hitchcock House</t>
  </si>
  <si>
    <t>Jul Total</t>
  </si>
  <si>
    <t>30-700501-570201</t>
  </si>
  <si>
    <t>kwh</t>
  </si>
  <si>
    <t>54421791013-036141004</t>
  </si>
  <si>
    <t>141 College St</t>
  </si>
  <si>
    <t>TransCanada</t>
  </si>
  <si>
    <t>54421791013</t>
  </si>
  <si>
    <t>Totals May</t>
  </si>
  <si>
    <t>Totals June</t>
  </si>
  <si>
    <t>Totals June (June Usage)</t>
  </si>
  <si>
    <t>Totals August</t>
  </si>
  <si>
    <t>Totals September</t>
  </si>
  <si>
    <t>Totals October</t>
  </si>
  <si>
    <t>Totals November</t>
  </si>
  <si>
    <t>Totals December</t>
  </si>
  <si>
    <t>Totals January</t>
  </si>
  <si>
    <t>Totals February</t>
  </si>
  <si>
    <t>Totals March</t>
  </si>
  <si>
    <t>Totals April</t>
  </si>
  <si>
    <t>Totals July</t>
  </si>
  <si>
    <t>Liberty Power</t>
  </si>
  <si>
    <t>Eversource</t>
  </si>
  <si>
    <t>Integrys</t>
  </si>
  <si>
    <t>Constellation</t>
  </si>
  <si>
    <t>kWh</t>
  </si>
  <si>
    <t>FY17</t>
  </si>
  <si>
    <t>30-700500-570201</t>
  </si>
  <si>
    <t>54-004571089</t>
  </si>
  <si>
    <t>3 Mayo Smith</t>
  </si>
  <si>
    <t>Doshisha</t>
  </si>
  <si>
    <t>54-018402057</t>
  </si>
  <si>
    <t>172 Northampton Road</t>
  </si>
  <si>
    <t>Gooding Field (new)</t>
  </si>
  <si>
    <t>54-085771020</t>
  </si>
  <si>
    <t>62 Snell St</t>
  </si>
  <si>
    <t>54-106771025</t>
  </si>
  <si>
    <t>54-113871081</t>
  </si>
  <si>
    <t>Pratt Field</t>
  </si>
  <si>
    <t>54-114205008</t>
  </si>
  <si>
    <t>14 Hitchcock Road, Unit Office</t>
  </si>
  <si>
    <t>54-265502047</t>
  </si>
  <si>
    <t>Spring Street</t>
  </si>
  <si>
    <t>Area Lighting</t>
  </si>
  <si>
    <t>54-285771028</t>
  </si>
  <si>
    <t>155 Woodside Avenue</t>
  </si>
  <si>
    <t>54-300571072</t>
  </si>
  <si>
    <t>54-307091033</t>
  </si>
  <si>
    <t>Porter Dorm</t>
  </si>
  <si>
    <t>54-319805016</t>
  </si>
  <si>
    <t>22 Hitchcock Rd.</t>
  </si>
  <si>
    <t>Babbott House</t>
  </si>
  <si>
    <t>54-384471058</t>
  </si>
  <si>
    <t>145 College St</t>
  </si>
  <si>
    <t>Hills Barn</t>
  </si>
  <si>
    <t>54-387771066</t>
  </si>
  <si>
    <t>233 S Pleasant St</t>
  </si>
  <si>
    <t>54-401961099</t>
  </si>
  <si>
    <t>155 S Pleasant St</t>
  </si>
  <si>
    <t>54-423684091</t>
  </si>
  <si>
    <t>129 S Pleasant St</t>
  </si>
  <si>
    <t>54-443091012</t>
  </si>
  <si>
    <t>54-488384090</t>
  </si>
  <si>
    <t>Morgan Ponty House</t>
  </si>
  <si>
    <t>54-523871085</t>
  </si>
  <si>
    <t>54-534271002</t>
  </si>
  <si>
    <t>38 Woodside Ave</t>
  </si>
  <si>
    <t>Morgan House</t>
  </si>
  <si>
    <t>54-563102078</t>
  </si>
  <si>
    <t>54-590571030</t>
  </si>
  <si>
    <t>140 College St</t>
  </si>
  <si>
    <t>Grey Barn</t>
  </si>
  <si>
    <t>54-647594019</t>
  </si>
  <si>
    <t>101 S Pleasant St</t>
  </si>
  <si>
    <t>54-674771019</t>
  </si>
  <si>
    <t>Newport Dorm</t>
  </si>
  <si>
    <t>54-678081019</t>
  </si>
  <si>
    <t>1 Russell Street</t>
  </si>
  <si>
    <t>Boat House</t>
  </si>
  <si>
    <t>54-682271085</t>
  </si>
  <si>
    <t>54-690271036</t>
  </si>
  <si>
    <t>Tyler Dorm</t>
  </si>
  <si>
    <t>54-766081053</t>
  </si>
  <si>
    <t>100 Military Rd</t>
  </si>
  <si>
    <t>54-781181045</t>
  </si>
  <si>
    <t>86 Snell St</t>
  </si>
  <si>
    <t xml:space="preserve">Observatory </t>
  </si>
  <si>
    <t>54-809171069</t>
  </si>
  <si>
    <t>82 Lessey St</t>
  </si>
  <si>
    <t>54-829081025</t>
  </si>
  <si>
    <t>Debevoise Field Hs</t>
  </si>
  <si>
    <t>54-863571006</t>
  </si>
  <si>
    <t>54-864481072</t>
  </si>
  <si>
    <t>57Churchill St</t>
  </si>
  <si>
    <t>54-872994066</t>
  </si>
  <si>
    <t>Fiber Arts M2</t>
  </si>
  <si>
    <t>54-930244025</t>
  </si>
  <si>
    <t>54-967771049</t>
  </si>
  <si>
    <t>50 Northampton Rd</t>
  </si>
  <si>
    <t>Miner House</t>
  </si>
  <si>
    <t>54-977771062</t>
  </si>
  <si>
    <t>54-989961008</t>
  </si>
  <si>
    <t>165 S Pleasant St</t>
  </si>
  <si>
    <t>54-179861059</t>
  </si>
  <si>
    <t>37 Spring Street</t>
  </si>
  <si>
    <t>54-130271075</t>
  </si>
  <si>
    <t>355 S Pleasant St</t>
  </si>
  <si>
    <t>Dakin</t>
  </si>
  <si>
    <t>54-686471053</t>
  </si>
  <si>
    <t>April  Total</t>
  </si>
  <si>
    <t>54-654075068</t>
  </si>
  <si>
    <t>54-696806009</t>
  </si>
  <si>
    <t>June (May Usage) Total</t>
  </si>
  <si>
    <t>June  Total (June Usage)</t>
  </si>
  <si>
    <t>Total August</t>
  </si>
  <si>
    <t>036292008</t>
  </si>
  <si>
    <t>036621000</t>
  </si>
  <si>
    <t>138992003</t>
  </si>
  <si>
    <t>141831003</t>
  </si>
  <si>
    <t>171031000</t>
  </si>
  <si>
    <t>188031006</t>
  </si>
  <si>
    <t>202441009</t>
  </si>
  <si>
    <t>227621007</t>
  </si>
  <si>
    <t>244731004</t>
  </si>
  <si>
    <t>251521000</t>
  </si>
  <si>
    <t>271031000</t>
  </si>
  <si>
    <t>345031001</t>
  </si>
  <si>
    <t>413621008</t>
  </si>
  <si>
    <t>448521006</t>
  </si>
  <si>
    <t>503031007</t>
  </si>
  <si>
    <t>504303007</t>
  </si>
  <si>
    <t>535031001</t>
  </si>
  <si>
    <t>688031006</t>
  </si>
  <si>
    <t>864521005</t>
  </si>
  <si>
    <t>692031007</t>
  </si>
  <si>
    <t>733721006</t>
  </si>
  <si>
    <t>Aug usage - 54085771020</t>
  </si>
  <si>
    <t>016892009</t>
  </si>
  <si>
    <t>071521000</t>
  </si>
  <si>
    <t>105503007</t>
  </si>
  <si>
    <t>118131004</t>
  </si>
  <si>
    <t>148231006</t>
  </si>
  <si>
    <t>248231006</t>
  </si>
  <si>
    <t>41 Orchard St</t>
  </si>
  <si>
    <t>288921004</t>
  </si>
  <si>
    <t>381721003</t>
  </si>
  <si>
    <t>386031003</t>
  </si>
  <si>
    <t>176 S Pleasant St</t>
  </si>
  <si>
    <t>447921002</t>
  </si>
  <si>
    <t>101 Woodside Ave</t>
  </si>
  <si>
    <t>473031009</t>
  </si>
  <si>
    <t>516821009</t>
  </si>
  <si>
    <t>518821001</t>
  </si>
  <si>
    <t>545821007</t>
  </si>
  <si>
    <t>555641008</t>
  </si>
  <si>
    <t>619821003</t>
  </si>
  <si>
    <t>624821000</t>
  </si>
  <si>
    <t>697913004</t>
  </si>
  <si>
    <t>734831006</t>
  </si>
  <si>
    <t>781231000</t>
  </si>
  <si>
    <t>1 Russell St</t>
  </si>
  <si>
    <t>792641008</t>
  </si>
  <si>
    <t>873521009</t>
  </si>
  <si>
    <t>963721006</t>
  </si>
  <si>
    <t>964431003</t>
  </si>
  <si>
    <t>47 Churchill St</t>
  </si>
  <si>
    <t>Aug usage - 54004571089</t>
  </si>
  <si>
    <t>33 Tyler Place</t>
  </si>
  <si>
    <t>Owe</t>
  </si>
  <si>
    <t>Sept usage - 54085771020</t>
  </si>
  <si>
    <t>Total Owed</t>
  </si>
  <si>
    <t>Sept usage - 54004571089</t>
  </si>
  <si>
    <t>Oct usage - 54085771020</t>
  </si>
  <si>
    <t>Oct usage - 54004571089</t>
  </si>
  <si>
    <t>Nov usage - 54085771020</t>
  </si>
  <si>
    <t>Western Mass Electric</t>
  </si>
  <si>
    <t>Nov usage - 54004571089</t>
  </si>
  <si>
    <t>54686471053</t>
  </si>
  <si>
    <t>635031001</t>
  </si>
  <si>
    <t>953633009</t>
  </si>
  <si>
    <t>Dec usage - 54085771020</t>
  </si>
  <si>
    <t>Dec usage - 54004571089</t>
  </si>
  <si>
    <t>338821005</t>
  </si>
  <si>
    <t>381921006</t>
  </si>
  <si>
    <t>516821007</t>
  </si>
  <si>
    <t>671821008</t>
  </si>
  <si>
    <t>742821004</t>
  </si>
  <si>
    <t>976821009</t>
  </si>
  <si>
    <t xml:space="preserve"> Jan usage - 54085771020</t>
  </si>
  <si>
    <t>Jan usage - 54004571089</t>
  </si>
  <si>
    <t>Feb usage - 54085771020</t>
  </si>
  <si>
    <t>996733003</t>
  </si>
  <si>
    <t>Feb usage - 54004571089</t>
  </si>
  <si>
    <t>Mar usage - 54085771020</t>
  </si>
  <si>
    <t>Mar usage - 54004571089</t>
  </si>
  <si>
    <t>889089382</t>
  </si>
  <si>
    <t>891286432</t>
  </si>
  <si>
    <t>891496692</t>
  </si>
  <si>
    <t>886062202</t>
  </si>
  <si>
    <t>891965732</t>
  </si>
  <si>
    <t>891286452</t>
  </si>
  <si>
    <t>889072582</t>
  </si>
  <si>
    <t>891287392</t>
  </si>
  <si>
    <t>890866332</t>
  </si>
  <si>
    <t>891136122</t>
  </si>
  <si>
    <t>891334992</t>
  </si>
  <si>
    <t>891885392</t>
  </si>
  <si>
    <t>890803102</t>
  </si>
  <si>
    <t>891497522</t>
  </si>
  <si>
    <t>867190192</t>
  </si>
  <si>
    <t>891286512</t>
  </si>
  <si>
    <t>Apr usage - 54085771020</t>
  </si>
  <si>
    <t>891496682</t>
  </si>
  <si>
    <t>892915072</t>
  </si>
  <si>
    <t>889812612</t>
  </si>
  <si>
    <t>892914902</t>
  </si>
  <si>
    <t>889054482</t>
  </si>
  <si>
    <t>891012652</t>
  </si>
  <si>
    <t>886060812</t>
  </si>
  <si>
    <t>891031772</t>
  </si>
  <si>
    <t>892485162</t>
  </si>
  <si>
    <t>887945362</t>
  </si>
  <si>
    <t>886068492</t>
  </si>
  <si>
    <t>889993472</t>
  </si>
  <si>
    <t>866361662</t>
  </si>
  <si>
    <t>892528512</t>
  </si>
  <si>
    <t>893171902</t>
  </si>
  <si>
    <t>866508952</t>
  </si>
  <si>
    <t>890354072</t>
  </si>
  <si>
    <t>886062192</t>
  </si>
  <si>
    <t>890782352</t>
  </si>
  <si>
    <t>892058282</t>
  </si>
  <si>
    <t>892602502</t>
  </si>
  <si>
    <t>Apr usage - 54004571089</t>
  </si>
  <si>
    <t>May usage - 54085771020</t>
  </si>
  <si>
    <t>May usage - 54004571089</t>
  </si>
  <si>
    <t>June usage - 54085771020</t>
  </si>
  <si>
    <t>June usage - 54004571089</t>
  </si>
  <si>
    <t>July usage - 54085771020</t>
  </si>
  <si>
    <t>54914156070</t>
  </si>
  <si>
    <t>890346082</t>
  </si>
  <si>
    <t>Seligman</t>
  </si>
  <si>
    <t>54563846005</t>
  </si>
  <si>
    <t>996143008</t>
  </si>
  <si>
    <t>79 South Pleasant Street</t>
  </si>
  <si>
    <t>79 So. Plsnt St.</t>
  </si>
  <si>
    <t>54644226086</t>
  </si>
  <si>
    <t>964433003</t>
  </si>
  <si>
    <t>112 Northampton Road</t>
  </si>
  <si>
    <t>Field House</t>
  </si>
  <si>
    <t>July usage - 54004571089</t>
  </si>
  <si>
    <t>038143007</t>
  </si>
  <si>
    <t>August usage - 54085771020</t>
  </si>
  <si>
    <t>890356642</t>
  </si>
  <si>
    <t>August usage - 54004571089</t>
  </si>
  <si>
    <t>Gooding Field</t>
  </si>
  <si>
    <t>261543000</t>
  </si>
  <si>
    <t>892471492</t>
  </si>
  <si>
    <t>651431007</t>
  </si>
  <si>
    <t>891414312</t>
  </si>
  <si>
    <t>937331004</t>
  </si>
  <si>
    <t>890166442</t>
  </si>
  <si>
    <t>Dec usage - 54979666013</t>
  </si>
  <si>
    <t>Jan usage - 54085771020</t>
  </si>
  <si>
    <t>Jan usage - 54979666013</t>
  </si>
  <si>
    <t>Feb usage - 54979666013</t>
  </si>
  <si>
    <t>893059012</t>
  </si>
  <si>
    <t>Mar usage - 54979666013</t>
  </si>
  <si>
    <t>Apr usage - 54979666013</t>
  </si>
  <si>
    <t>May usage - 54979666013</t>
  </si>
  <si>
    <t>June usage - 54979666013</t>
  </si>
  <si>
    <t>July usage - 54979666013</t>
  </si>
  <si>
    <t>August usage - 54979666013</t>
  </si>
  <si>
    <t>September usage - 54085771020</t>
  </si>
  <si>
    <t>September usage - 54004571089</t>
  </si>
  <si>
    <t>September usage - 54979666013</t>
  </si>
  <si>
    <t>October usage - 54085771020</t>
  </si>
  <si>
    <t>October usage - 54004571089</t>
  </si>
  <si>
    <t>October usage - 54979666013</t>
  </si>
  <si>
    <t>November usage - 54085771020</t>
  </si>
  <si>
    <t>November usage - 54004571089</t>
  </si>
  <si>
    <t>December usage - 54085771020</t>
  </si>
  <si>
    <t>December usage - 54004571089</t>
  </si>
  <si>
    <t>January usage - 54085771020</t>
  </si>
  <si>
    <t>Area Ltng - Churchill St.</t>
  </si>
  <si>
    <t>January usage - 54004571089</t>
  </si>
  <si>
    <t>February usage - 54085771020</t>
  </si>
  <si>
    <t>February usage - 54004571089</t>
  </si>
  <si>
    <t>March usage - 54085771020</t>
  </si>
  <si>
    <t>March usage - 54004571089</t>
  </si>
  <si>
    <t>April usage - 54085771020</t>
  </si>
  <si>
    <t>April usage - 54004571089</t>
  </si>
  <si>
    <t>488921004</t>
  </si>
  <si>
    <t>893744402</t>
  </si>
  <si>
    <t>271 S Pleasant St</t>
  </si>
  <si>
    <t>047963007</t>
  </si>
  <si>
    <t>267621007</t>
  </si>
  <si>
    <t>868737952</t>
  </si>
  <si>
    <t>876933001</t>
  </si>
  <si>
    <t>890187702</t>
  </si>
  <si>
    <t>425 South East St</t>
  </si>
  <si>
    <t>Book &amp; Plow Farm</t>
  </si>
  <si>
    <t xml:space="preserve"> AMHERST COLLEGE</t>
  </si>
  <si>
    <t xml:space="preserve"> TRUSTEES OF</t>
  </si>
  <si>
    <t xml:space="preserve">141 COLLEGE ST </t>
  </si>
  <si>
    <t>AMHERST MA 01002</t>
  </si>
  <si>
    <t xml:space="preserve">Service Account </t>
  </si>
  <si>
    <t>Data from 7/29/2008 to 6/24/2011</t>
  </si>
  <si>
    <t xml:space="preserve">Account Nickname : </t>
  </si>
  <si>
    <t>Requested By amherstfacilities on 9/19/2017</t>
  </si>
  <si>
    <t xml:space="preserve">Meter No: </t>
  </si>
  <si>
    <t>Account</t>
  </si>
  <si>
    <t>Read Date</t>
  </si>
  <si>
    <t>Month</t>
  </si>
  <si>
    <t>Billed Demand</t>
  </si>
  <si>
    <t>Usage</t>
  </si>
  <si>
    <t>Number of Days</t>
  </si>
  <si>
    <t>Usage per day</t>
  </si>
  <si>
    <t>Charge</t>
  </si>
  <si>
    <t>FY2009</t>
  </si>
  <si>
    <t>FY2010</t>
  </si>
  <si>
    <t>FY2011</t>
  </si>
  <si>
    <t>FY2012</t>
  </si>
  <si>
    <t>FY2013</t>
  </si>
  <si>
    <t>Average small</t>
  </si>
  <si>
    <t>Purchased Electricity (Main)</t>
  </si>
  <si>
    <t>Purchased Electricity (non-main campus)</t>
  </si>
  <si>
    <t>Only CO2 but assume CH4 , N2O neglible based on egrid data</t>
  </si>
  <si>
    <t xml:space="preserve">2009 data for FY10, etc. </t>
  </si>
  <si>
    <t>Year</t>
  </si>
  <si>
    <t>CO2 lbs/Mwh</t>
  </si>
  <si>
    <t>Co2 MT/MWh</t>
  </si>
  <si>
    <t>MT to Lbs</t>
  </si>
  <si>
    <t>2009 (FY10)</t>
  </si>
  <si>
    <t>2010 (FY11)</t>
  </si>
  <si>
    <t>2011 (FY12)</t>
  </si>
  <si>
    <t>2012 (FY13)</t>
  </si>
  <si>
    <t>2013 (FY14)</t>
  </si>
  <si>
    <t>2014 (FY15)</t>
  </si>
  <si>
    <t>2015 (FY16)</t>
  </si>
  <si>
    <t>2016 (FY17)</t>
  </si>
  <si>
    <t>T&amp;D &amp; ELC EF</t>
  </si>
  <si>
    <t>PurchasedELC (MWh)</t>
  </si>
  <si>
    <t>Created ELC</t>
  </si>
  <si>
    <t>1st half FY17</t>
  </si>
  <si>
    <t>2nd half FY17</t>
  </si>
  <si>
    <t>Kwh</t>
  </si>
  <si>
    <t>TOTAL</t>
  </si>
  <si>
    <t>total ELC</t>
  </si>
  <si>
    <t>GHG Emissions</t>
  </si>
  <si>
    <t xml:space="preserve">MT CO2 Avoided </t>
  </si>
  <si>
    <t>17.5 Percent of emissions</t>
  </si>
  <si>
    <t>37 % reduction since 2006</t>
  </si>
  <si>
    <t>1 % reduction since 2010</t>
  </si>
  <si>
    <t>Mbtus</t>
  </si>
  <si>
    <t>traditionally designated</t>
  </si>
  <si>
    <t>needed resources</t>
  </si>
  <si>
    <t>restricted for energy savings</t>
  </si>
  <si>
    <t>Weather Underground for Chicopee</t>
  </si>
  <si>
    <t>HDD</t>
  </si>
  <si>
    <t>CDD</t>
  </si>
  <si>
    <t>MBTU</t>
  </si>
  <si>
    <t>MTBU/DD</t>
  </si>
  <si>
    <t>FY 10</t>
  </si>
  <si>
    <t>Dates</t>
  </si>
  <si>
    <t>Annual Resources to Meet CIF Guidepost</t>
  </si>
  <si>
    <t>restricted/earmarked for energy savings</t>
  </si>
  <si>
    <t>traditional designated</t>
  </si>
  <si>
    <t>total</t>
  </si>
  <si>
    <t>FY 18</t>
  </si>
  <si>
    <t>9/21/18 checked in but no new data</t>
  </si>
  <si>
    <t>ISO NE Data https://www.iso-ne.com/system-planning/system-plans-studies/emissions/</t>
  </si>
  <si>
    <t>9/21/18 source update: no new data yes for 2017</t>
  </si>
  <si>
    <t>FY18</t>
  </si>
  <si>
    <t>FY20 (Scope 2 PPA assumption)</t>
  </si>
  <si>
    <t>Solar Total</t>
  </si>
  <si>
    <t>SC ELC (KWh)</t>
  </si>
  <si>
    <t>SC NG (100 Dth)</t>
  </si>
  <si>
    <t>1 mcf NG =</t>
  </si>
  <si>
    <t>SC ELC (mWh)</t>
  </si>
  <si>
    <t>% increase NG</t>
  </si>
  <si>
    <t>% increase mWh</t>
  </si>
  <si>
    <t>SC NG (therms)</t>
  </si>
  <si>
    <t>CO2e</t>
  </si>
  <si>
    <t>Natural Gas</t>
  </si>
  <si>
    <t>Other Stationary Sources</t>
  </si>
  <si>
    <t>Mobile Sources</t>
  </si>
  <si>
    <t xml:space="preserve"> Purchased Electricity</t>
  </si>
  <si>
    <t>Transmission and Distribution Loss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</si>
</sst>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8" formatCode="&quot;$&quot;#,##0.00_);[Red]\(&quot;$&quot;#,##0.00\)"/>
    <numFmt numFmtId="41" formatCode="_(* #,##0_);_(* \(#,##0\);_(* &quot;-&quot;_);_(@_)"/>
    <numFmt numFmtId="44" formatCode="_(&quot;$&quot;* #,##0.00_);_(&quot;$&quot;* \(#,##0.00\);_(&quot;$&quot;* &quot;-&quot;??_);_(@_)"/>
    <numFmt numFmtId="43" formatCode="_(* #,##0.00_);_(* \(#,##0.00\);_(* &quot;-&quot;??_);_(@_)"/>
    <numFmt numFmtId="164" formatCode="_-* #,##0.00_-;\-* #,##0.00_-;_-* &quot;-&quot;??_-;_-@_-"/>
    <numFmt numFmtId="165" formatCode="_(* #,##0_);_(* \(#,##0\);_(* &quot;-&quot;??_);_(@_)"/>
    <numFmt numFmtId="166" formatCode="0.0000"/>
    <numFmt numFmtId="167" formatCode="#,##0.0"/>
    <numFmt numFmtId="168" formatCode="&quot;$&quot;#,##0.00"/>
    <numFmt numFmtId="169" formatCode="0.000"/>
    <numFmt numFmtId="170" formatCode="_(&quot;$&quot;* #,##0_);_(&quot;$&quot;* \(#,##0\);_(&quot;$&quot;* &quot;-&quot;??_);_(@_)"/>
    <numFmt numFmtId="171" formatCode="#,##0.000"/>
    <numFmt numFmtId="172" formatCode="mm/dd/yy;@"/>
    <numFmt numFmtId="173" formatCode="m/d/yy;@"/>
    <numFmt numFmtId="174" formatCode="0.0"/>
    <numFmt numFmtId="175" formatCode="_(* #,##0.0_);_(* \(#,##0.0\);_(* &quot;-&quot;??_);_(@_)"/>
    <numFmt numFmtId="176" formatCode="_(* #,##0.000_);_(* \(#,##0.000\);_(* &quot;-&quot;??_);_(@_)"/>
    <numFmt numFmtId="177" formatCode="0.0%"/>
    <numFmt numFmtId="178" formatCode="_(&quot;$&quot;* #,##0.0000_);_(&quot;$&quot;* \(#,##0.0000\);_(&quot;$&quot;* &quot;-&quot;??_);_(@_)"/>
    <numFmt numFmtId="179" formatCode="&quot;$&quot;#,##0.00000"/>
    <numFmt numFmtId="180" formatCode="[$-409]mmmm\-yy;@"/>
    <numFmt numFmtId="181" formatCode="_-* #,##0_-;\-* #,##0_-;_-* &quot;-&quot;??_-;_-@_-"/>
  </numFmts>
  <fonts count="45" x14ac:knownFonts="1">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0"/>
      <name val="Calibri"/>
      <family val="2"/>
    </font>
    <font>
      <b/>
      <sz val="10"/>
      <name val="Calibri"/>
      <family val="2"/>
    </font>
    <font>
      <sz val="10"/>
      <name val="Arial"/>
      <family val="2"/>
    </font>
    <font>
      <b/>
      <sz val="11"/>
      <name val="Calibri"/>
      <family val="2"/>
    </font>
    <font>
      <b/>
      <sz val="12"/>
      <color theme="1"/>
      <name val="Calibri"/>
      <family val="2"/>
      <scheme val="minor"/>
    </font>
    <font>
      <b/>
      <sz val="12"/>
      <color indexed="30"/>
      <name val="Arial"/>
      <family val="2"/>
    </font>
    <font>
      <sz val="10"/>
      <color indexed="8"/>
      <name val="Arial"/>
      <family val="2"/>
    </font>
    <font>
      <b/>
      <sz val="10"/>
      <color indexed="8"/>
      <name val="Arial"/>
      <family val="2"/>
    </font>
    <font>
      <b/>
      <sz val="10"/>
      <name val="Arial"/>
      <family val="2"/>
    </font>
    <font>
      <sz val="10"/>
      <name val="Tahoma"/>
      <family val="2"/>
    </font>
    <font>
      <b/>
      <u/>
      <sz val="10"/>
      <name val="Arial"/>
      <family val="2"/>
    </font>
    <font>
      <b/>
      <sz val="10"/>
      <name val="Arial"/>
      <family val="2"/>
    </font>
    <font>
      <b/>
      <u/>
      <sz val="8"/>
      <name val="Arial"/>
      <family val="2"/>
    </font>
    <font>
      <b/>
      <sz val="8"/>
      <name val="Arial"/>
      <family val="2"/>
    </font>
    <font>
      <sz val="8"/>
      <name val="Arial"/>
      <family val="2"/>
    </font>
    <font>
      <b/>
      <sz val="18"/>
      <name val="Arial"/>
      <family val="2"/>
    </font>
    <font>
      <sz val="11"/>
      <color indexed="8"/>
      <name val="Calibri"/>
      <family val="2"/>
      <scheme val="minor"/>
    </font>
    <font>
      <b/>
      <sz val="9"/>
      <color indexed="81"/>
      <name val="Tahoma"/>
      <family val="2"/>
    </font>
    <font>
      <sz val="9"/>
      <color indexed="81"/>
      <name val="Tahoma"/>
      <family val="2"/>
    </font>
    <font>
      <b/>
      <sz val="12"/>
      <name val="Arial"/>
      <family val="2"/>
    </font>
    <font>
      <b/>
      <sz val="11"/>
      <color indexed="8"/>
      <name val="Calibri"/>
      <family val="2"/>
      <scheme val="minor"/>
    </font>
    <font>
      <b/>
      <u/>
      <sz val="8"/>
      <color theme="0"/>
      <name val="Arial"/>
      <family val="2"/>
    </font>
    <font>
      <sz val="10"/>
      <color rgb="FFFF0000"/>
      <name val="Arial"/>
      <family val="2"/>
    </font>
    <font>
      <b/>
      <sz val="8"/>
      <color rgb="FFFF0000"/>
      <name val="Arial"/>
      <family val="2"/>
    </font>
    <font>
      <b/>
      <sz val="24"/>
      <color rgb="FFFF0000"/>
      <name val="Arial"/>
      <family val="2"/>
    </font>
    <font>
      <b/>
      <sz val="10"/>
      <color rgb="FFFF0000"/>
      <name val="Arial"/>
      <family val="2"/>
    </font>
    <font>
      <b/>
      <sz val="24"/>
      <name val="Arial"/>
      <family val="2"/>
    </font>
    <font>
      <b/>
      <sz val="11"/>
      <color theme="1"/>
      <name val="Calibri"/>
      <family val="2"/>
      <scheme val="minor"/>
    </font>
    <font>
      <sz val="10"/>
      <name val="Arial"/>
      <family val="2"/>
    </font>
    <font>
      <sz val="10"/>
      <color theme="0"/>
      <name val="Arial"/>
      <family val="2"/>
    </font>
    <font>
      <b/>
      <sz val="8"/>
      <color theme="0"/>
      <name val="Arial"/>
      <family val="2"/>
    </font>
    <font>
      <b/>
      <sz val="20"/>
      <color rgb="FFFF0000"/>
      <name val="Arial"/>
      <family val="2"/>
    </font>
    <font>
      <b/>
      <sz val="10"/>
      <color theme="0"/>
      <name val="Arial"/>
      <family val="2"/>
    </font>
    <font>
      <b/>
      <i/>
      <sz val="10"/>
      <color rgb="FFFF0000"/>
      <name val="Arial"/>
      <family val="2"/>
    </font>
    <font>
      <b/>
      <i/>
      <sz val="10"/>
      <name val="Arial"/>
      <family val="2"/>
    </font>
    <font>
      <b/>
      <sz val="12"/>
      <color rgb="FFFF0000"/>
      <name val="Arial"/>
      <family val="2"/>
    </font>
    <font>
      <b/>
      <sz val="9"/>
      <color rgb="FF000000"/>
      <name val="Tahoma"/>
      <family val="2"/>
    </font>
    <font>
      <sz val="9"/>
      <color rgb="FF000000"/>
      <name val="Tahoma"/>
      <family val="2"/>
    </font>
    <font>
      <sz val="10"/>
      <color rgb="FF000000"/>
      <name val="Tahoma"/>
      <family val="2"/>
    </font>
    <font>
      <b/>
      <sz val="10"/>
      <color rgb="FF000000"/>
      <name val="Tahoma"/>
      <family val="2"/>
    </font>
    <font>
      <sz val="10"/>
      <color rgb="FF000000"/>
      <name val="Calibri"/>
      <family val="2"/>
    </font>
  </fonts>
  <fills count="19">
    <fill>
      <patternFill patternType="none"/>
    </fill>
    <fill>
      <patternFill patternType="gray125"/>
    </fill>
    <fill>
      <patternFill patternType="solid">
        <fgColor theme="4" tint="0.79998168889431442"/>
        <bgColor indexed="64"/>
      </patternFill>
    </fill>
    <fill>
      <patternFill patternType="solid">
        <fgColor rgb="FFDCE6F1"/>
        <bgColor rgb="FF000000"/>
      </patternFill>
    </fill>
    <fill>
      <patternFill patternType="solid">
        <fgColor rgb="FFB8CCE4"/>
        <bgColor rgb="FF000000"/>
      </patternFill>
    </fill>
    <fill>
      <patternFill patternType="solid">
        <fgColor rgb="FFFFFFFF"/>
        <bgColor indexed="64"/>
      </patternFill>
    </fill>
    <fill>
      <patternFill patternType="solid">
        <fgColor indexed="65"/>
        <bgColor indexed="64"/>
      </patternFill>
    </fill>
    <fill>
      <patternFill patternType="solid">
        <fgColor rgb="FFD8E5F1"/>
        <bgColor indexed="64"/>
      </patternFill>
    </fill>
    <fill>
      <patternFill patternType="solid">
        <fgColor rgb="FFEBF2FA"/>
        <bgColor indexed="64"/>
      </patternFill>
    </fill>
    <fill>
      <patternFill patternType="solid">
        <fgColor rgb="FFBFBFBF"/>
        <bgColor indexed="64"/>
      </patternFill>
    </fill>
    <fill>
      <patternFill patternType="solid">
        <fgColor indexed="13"/>
        <bgColor indexed="64"/>
      </patternFill>
    </fill>
    <fill>
      <patternFill patternType="solid">
        <fgColor indexed="42"/>
        <bgColor indexed="64"/>
      </patternFill>
    </fill>
    <fill>
      <patternFill patternType="solid">
        <fgColor indexed="10"/>
        <bgColor indexed="64"/>
      </patternFill>
    </fill>
    <fill>
      <patternFill patternType="solid">
        <fgColor rgb="FF00FF00"/>
        <bgColor indexed="64"/>
      </patternFill>
    </fill>
    <fill>
      <patternFill patternType="solid">
        <fgColor rgb="FFFFFF00"/>
        <bgColor indexed="64"/>
      </patternFill>
    </fill>
    <fill>
      <patternFill patternType="solid">
        <fgColor rgb="FF7030A0"/>
        <bgColor indexed="64"/>
      </patternFill>
    </fill>
    <fill>
      <patternFill patternType="solid">
        <fgColor rgb="FF9999FF"/>
        <bgColor indexed="64"/>
      </patternFill>
    </fill>
    <fill>
      <patternFill patternType="solid">
        <fgColor rgb="FF00B0F0"/>
        <bgColor indexed="64"/>
      </patternFill>
    </fill>
    <fill>
      <patternFill patternType="solid">
        <fgColor rgb="FFFFFF00"/>
        <bgColor rgb="FF000000"/>
      </patternFill>
    </fill>
  </fills>
  <borders count="3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medium">
        <color auto="1"/>
      </right>
      <top/>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bottom/>
      <diagonal/>
    </border>
    <border>
      <left/>
      <right style="thin">
        <color auto="1"/>
      </right>
      <top style="thin">
        <color auto="1"/>
      </top>
      <bottom style="double">
        <color auto="1"/>
      </bottom>
      <diagonal/>
    </border>
    <border>
      <left style="thin">
        <color auto="1"/>
      </left>
      <right/>
      <top style="thin">
        <color auto="1"/>
      </top>
      <bottom style="double">
        <color auto="1"/>
      </bottom>
      <diagonal/>
    </border>
    <border>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thin">
        <color auto="1"/>
      </right>
      <top style="thin">
        <color auto="1"/>
      </top>
      <bottom style="medium">
        <color auto="1"/>
      </bottom>
      <diagonal/>
    </border>
  </borders>
  <cellStyleXfs count="17">
    <xf numFmtId="0" fontId="0" fillId="0" borderId="0"/>
    <xf numFmtId="164" fontId="3" fillId="0" borderId="0" applyFont="0" applyFill="0" applyBorder="0" applyAlignment="0" applyProtection="0"/>
    <xf numFmtId="0" fontId="6" fillId="0" borderId="0"/>
    <xf numFmtId="43" fontId="6" fillId="0" borderId="0" applyFont="0" applyFill="0" applyBorder="0" applyAlignment="0" applyProtection="0"/>
    <xf numFmtId="44" fontId="20" fillId="0" borderId="0" applyFont="0" applyFill="0" applyBorder="0" applyAlignment="0" applyProtection="0"/>
    <xf numFmtId="0" fontId="20" fillId="0" borderId="0"/>
    <xf numFmtId="43" fontId="20" fillId="0" borderId="0" applyFont="0" applyFill="0" applyBorder="0" applyAlignment="0" applyProtection="0"/>
    <xf numFmtId="0" fontId="2" fillId="0" borderId="0"/>
    <xf numFmtId="0" fontId="2" fillId="0" borderId="0"/>
    <xf numFmtId="0" fontId="2" fillId="0" borderId="0"/>
    <xf numFmtId="0" fontId="2" fillId="0" borderId="0"/>
    <xf numFmtId="9" fontId="3" fillId="0" borderId="0" applyFont="0" applyFill="0" applyBorder="0" applyAlignment="0" applyProtection="0"/>
    <xf numFmtId="0" fontId="32" fillId="0" borderId="0"/>
    <xf numFmtId="44" fontId="6" fillId="0" borderId="0" applyFont="0" applyFill="0" applyBorder="0" applyAlignment="0" applyProtection="0"/>
    <xf numFmtId="9" fontId="6" fillId="0" borderId="0" applyFont="0" applyFill="0" applyBorder="0" applyAlignment="0" applyProtection="0"/>
    <xf numFmtId="0" fontId="1" fillId="0" borderId="0"/>
    <xf numFmtId="9" fontId="1" fillId="0" borderId="0" applyFont="0" applyFill="0" applyBorder="0" applyAlignment="0" applyProtection="0"/>
  </cellStyleXfs>
  <cellXfs count="808">
    <xf numFmtId="0" fontId="0" fillId="0" borderId="0" xfId="0"/>
    <xf numFmtId="0" fontId="4" fillId="0" borderId="0" xfId="0" applyFont="1" applyFill="1" applyBorder="1" applyAlignment="1">
      <alignment wrapText="1"/>
    </xf>
    <xf numFmtId="0" fontId="4" fillId="0" borderId="1" xfId="0" applyFont="1" applyFill="1" applyBorder="1" applyAlignment="1">
      <alignment horizontal="center" wrapText="1"/>
    </xf>
    <xf numFmtId="0" fontId="4" fillId="0" borderId="2" xfId="0" applyFont="1" applyFill="1" applyBorder="1" applyAlignment="1">
      <alignment horizontal="center" wrapText="1"/>
    </xf>
    <xf numFmtId="0" fontId="4" fillId="0" borderId="3" xfId="0" applyFont="1" applyFill="1" applyBorder="1" applyAlignment="1">
      <alignment horizontal="center" wrapText="1"/>
    </xf>
    <xf numFmtId="0" fontId="4" fillId="0" borderId="1" xfId="2" applyFont="1" applyFill="1" applyBorder="1" applyAlignment="1">
      <alignment horizontal="center"/>
    </xf>
    <xf numFmtId="165" fontId="4" fillId="0" borderId="2" xfId="1" applyNumberFormat="1" applyFont="1" applyFill="1" applyBorder="1" applyAlignment="1">
      <alignment horizontal="center" wrapText="1"/>
    </xf>
    <xf numFmtId="0" fontId="4" fillId="0" borderId="3" xfId="2" applyFont="1" applyFill="1" applyBorder="1" applyAlignment="1">
      <alignment horizontal="center"/>
    </xf>
    <xf numFmtId="165" fontId="4" fillId="2" borderId="0" xfId="1" applyNumberFormat="1" applyFont="1" applyFill="1" applyBorder="1" applyAlignment="1">
      <alignment horizontal="center"/>
    </xf>
    <xf numFmtId="165" fontId="4" fillId="2" borderId="9" xfId="3" applyNumberFormat="1" applyFont="1" applyFill="1" applyBorder="1" applyAlignment="1">
      <alignment horizontal="center"/>
    </xf>
    <xf numFmtId="165" fontId="4" fillId="2" borderId="8" xfId="1" applyNumberFormat="1" applyFont="1" applyFill="1" applyBorder="1" applyAlignment="1">
      <alignment horizontal="center"/>
    </xf>
    <xf numFmtId="165" fontId="5" fillId="2" borderId="11" xfId="1" applyNumberFormat="1" applyFont="1" applyFill="1" applyBorder="1" applyAlignment="1">
      <alignment horizontal="center"/>
    </xf>
    <xf numFmtId="165" fontId="5" fillId="2" borderId="12" xfId="3" applyNumberFormat="1" applyFont="1" applyFill="1" applyBorder="1" applyAlignment="1">
      <alignment horizontal="center"/>
    </xf>
    <xf numFmtId="165" fontId="4" fillId="2" borderId="10" xfId="1" applyNumberFormat="1" applyFont="1" applyFill="1" applyBorder="1" applyAlignment="1">
      <alignment horizontal="center"/>
    </xf>
    <xf numFmtId="0" fontId="4" fillId="0" borderId="0" xfId="0" applyFont="1" applyFill="1" applyBorder="1"/>
    <xf numFmtId="0" fontId="7" fillId="3" borderId="5" xfId="0" applyFont="1" applyFill="1" applyBorder="1"/>
    <xf numFmtId="0" fontId="4" fillId="3" borderId="6" xfId="0" applyFont="1" applyFill="1" applyBorder="1"/>
    <xf numFmtId="0" fontId="4" fillId="3" borderId="5" xfId="0" applyFont="1" applyFill="1" applyBorder="1" applyAlignment="1">
      <alignment horizontal="center"/>
    </xf>
    <xf numFmtId="0" fontId="4" fillId="3" borderId="6" xfId="0" applyFont="1" applyFill="1" applyBorder="1" applyAlignment="1">
      <alignment horizontal="center"/>
    </xf>
    <xf numFmtId="0" fontId="4" fillId="3" borderId="7" xfId="0" applyFont="1" applyFill="1" applyBorder="1" applyAlignment="1">
      <alignment horizontal="center"/>
    </xf>
    <xf numFmtId="0" fontId="4" fillId="3" borderId="5" xfId="2" applyFont="1" applyFill="1" applyBorder="1" applyAlignment="1">
      <alignment horizontal="center"/>
    </xf>
    <xf numFmtId="165" fontId="4" fillId="3" borderId="6" xfId="1" applyNumberFormat="1" applyFont="1" applyFill="1" applyBorder="1" applyAlignment="1">
      <alignment horizontal="center"/>
    </xf>
    <xf numFmtId="0" fontId="4" fillId="3" borderId="7" xfId="2" applyFont="1" applyFill="1" applyBorder="1" applyAlignment="1">
      <alignment horizontal="center"/>
    </xf>
    <xf numFmtId="0" fontId="4" fillId="3" borderId="8" xfId="0" applyFont="1" applyFill="1" applyBorder="1"/>
    <xf numFmtId="0" fontId="4" fillId="3" borderId="0" xfId="0" applyFont="1" applyFill="1" applyBorder="1"/>
    <xf numFmtId="0" fontId="4" fillId="3" borderId="8" xfId="0" applyFont="1" applyFill="1" applyBorder="1" applyAlignment="1">
      <alignment horizontal="center"/>
    </xf>
    <xf numFmtId="0" fontId="4" fillId="3" borderId="0" xfId="0" applyFont="1" applyFill="1" applyBorder="1" applyAlignment="1">
      <alignment horizontal="center"/>
    </xf>
    <xf numFmtId="0" fontId="4" fillId="3" borderId="9" xfId="0" applyFont="1" applyFill="1" applyBorder="1" applyAlignment="1">
      <alignment horizontal="center"/>
    </xf>
    <xf numFmtId="0" fontId="4" fillId="3" borderId="8" xfId="2" applyFont="1" applyFill="1" applyBorder="1" applyAlignment="1">
      <alignment horizontal="center"/>
    </xf>
    <xf numFmtId="165" fontId="4" fillId="3" borderId="0" xfId="1" applyNumberFormat="1" applyFont="1" applyFill="1" applyBorder="1" applyAlignment="1">
      <alignment horizontal="center"/>
    </xf>
    <xf numFmtId="165" fontId="5" fillId="3" borderId="9" xfId="3" applyNumberFormat="1" applyFont="1" applyFill="1" applyBorder="1" applyAlignment="1">
      <alignment horizontal="center"/>
    </xf>
    <xf numFmtId="0" fontId="4" fillId="3" borderId="8" xfId="0" applyFont="1" applyFill="1" applyBorder="1" applyAlignment="1"/>
    <xf numFmtId="166" fontId="4" fillId="3" borderId="0" xfId="0" applyNumberFormat="1" applyFont="1" applyFill="1" applyBorder="1" applyAlignment="1">
      <alignment horizontal="center"/>
    </xf>
    <xf numFmtId="43" fontId="4" fillId="3" borderId="9" xfId="1" applyNumberFormat="1" applyFont="1" applyFill="1" applyBorder="1" applyAlignment="1">
      <alignment horizontal="center"/>
    </xf>
    <xf numFmtId="165" fontId="4" fillId="3" borderId="8" xfId="3" applyNumberFormat="1" applyFont="1" applyFill="1" applyBorder="1" applyAlignment="1">
      <alignment horizontal="center"/>
    </xf>
    <xf numFmtId="165" fontId="4" fillId="3" borderId="9" xfId="3" applyNumberFormat="1" applyFont="1" applyFill="1" applyBorder="1" applyAlignment="1">
      <alignment horizontal="center"/>
    </xf>
    <xf numFmtId="165" fontId="4" fillId="3" borderId="8" xfId="1" applyNumberFormat="1" applyFont="1" applyFill="1" applyBorder="1" applyAlignment="1">
      <alignment horizontal="center"/>
    </xf>
    <xf numFmtId="165" fontId="4" fillId="3" borderId="9" xfId="1" applyNumberFormat="1" applyFont="1" applyFill="1" applyBorder="1" applyAlignment="1">
      <alignment horizontal="center"/>
    </xf>
    <xf numFmtId="0" fontId="4" fillId="3" borderId="8" xfId="0" quotePrefix="1" applyFont="1" applyFill="1" applyBorder="1"/>
    <xf numFmtId="0" fontId="4" fillId="3" borderId="8" xfId="2" quotePrefix="1" applyFont="1" applyFill="1" applyBorder="1"/>
    <xf numFmtId="0" fontId="4" fillId="3" borderId="0" xfId="2" applyFont="1" applyFill="1" applyBorder="1"/>
    <xf numFmtId="0" fontId="4" fillId="3" borderId="8" xfId="2" applyFont="1" applyFill="1" applyBorder="1" applyAlignment="1"/>
    <xf numFmtId="165" fontId="4" fillId="3" borderId="8" xfId="3" applyNumberFormat="1" applyFont="1" applyFill="1" applyBorder="1"/>
    <xf numFmtId="0" fontId="4" fillId="3" borderId="10" xfId="0" applyFont="1" applyFill="1" applyBorder="1"/>
    <xf numFmtId="0" fontId="4" fillId="3" borderId="11" xfId="0" applyFont="1" applyFill="1" applyBorder="1"/>
    <xf numFmtId="0" fontId="4" fillId="3" borderId="10" xfId="0" applyFont="1" applyFill="1" applyBorder="1" applyAlignment="1"/>
    <xf numFmtId="0" fontId="4" fillId="3" borderId="11" xfId="0" applyFont="1" applyFill="1" applyBorder="1" applyAlignment="1">
      <alignment horizontal="center"/>
    </xf>
    <xf numFmtId="0" fontId="4" fillId="3" borderId="12" xfId="0" applyFont="1" applyFill="1" applyBorder="1" applyAlignment="1">
      <alignment horizontal="center"/>
    </xf>
    <xf numFmtId="165" fontId="4" fillId="3" borderId="10" xfId="3" applyNumberFormat="1" applyFont="1" applyFill="1" applyBorder="1" applyAlignment="1">
      <alignment horizontal="center"/>
    </xf>
    <xf numFmtId="165" fontId="5" fillId="3" borderId="11" xfId="1" applyNumberFormat="1" applyFont="1" applyFill="1" applyBorder="1" applyAlignment="1">
      <alignment horizontal="center"/>
    </xf>
    <xf numFmtId="165" fontId="5" fillId="3" borderId="12" xfId="3" applyNumberFormat="1" applyFont="1" applyFill="1" applyBorder="1" applyAlignment="1">
      <alignment horizontal="center"/>
    </xf>
    <xf numFmtId="165" fontId="4" fillId="3" borderId="10" xfId="1" applyNumberFormat="1" applyFont="1" applyFill="1" applyBorder="1" applyAlignment="1">
      <alignment horizontal="center"/>
    </xf>
    <xf numFmtId="0" fontId="7" fillId="4" borderId="5" xfId="0" applyFont="1" applyFill="1" applyBorder="1"/>
    <xf numFmtId="0" fontId="4" fillId="4" borderId="6" xfId="0" applyFont="1" applyFill="1" applyBorder="1"/>
    <xf numFmtId="0" fontId="4" fillId="4" borderId="5" xfId="0" applyFont="1" applyFill="1" applyBorder="1" applyAlignment="1"/>
    <xf numFmtId="0" fontId="4" fillId="4" borderId="6" xfId="0" applyFont="1" applyFill="1" applyBorder="1" applyAlignment="1">
      <alignment horizontal="center"/>
    </xf>
    <xf numFmtId="0" fontId="4" fillId="4" borderId="7" xfId="0" applyFont="1" applyFill="1" applyBorder="1" applyAlignment="1">
      <alignment horizontal="center"/>
    </xf>
    <xf numFmtId="165" fontId="4" fillId="4" borderId="5" xfId="3" applyNumberFormat="1" applyFont="1" applyFill="1" applyBorder="1" applyAlignment="1">
      <alignment horizontal="center"/>
    </xf>
    <xf numFmtId="165" fontId="4" fillId="4" borderId="6" xfId="1" applyNumberFormat="1" applyFont="1" applyFill="1" applyBorder="1" applyAlignment="1">
      <alignment horizontal="center"/>
    </xf>
    <xf numFmtId="165" fontId="4" fillId="4" borderId="7" xfId="3" applyNumberFormat="1" applyFont="1" applyFill="1" applyBorder="1" applyAlignment="1">
      <alignment horizontal="center"/>
    </xf>
    <xf numFmtId="165" fontId="4" fillId="4" borderId="5" xfId="1" applyNumberFormat="1" applyFont="1" applyFill="1" applyBorder="1" applyAlignment="1">
      <alignment horizontal="center"/>
    </xf>
    <xf numFmtId="0" fontId="4" fillId="4" borderId="8" xfId="0" applyFont="1" applyFill="1" applyBorder="1"/>
    <xf numFmtId="0" fontId="4" fillId="4" borderId="0" xfId="0" applyFont="1" applyFill="1" applyBorder="1"/>
    <xf numFmtId="0" fontId="4" fillId="4" borderId="8" xfId="0" applyFont="1" applyFill="1" applyBorder="1" applyAlignment="1"/>
    <xf numFmtId="166" fontId="4" fillId="4" borderId="0" xfId="0" applyNumberFormat="1" applyFont="1" applyFill="1" applyBorder="1" applyAlignment="1">
      <alignment horizontal="center"/>
    </xf>
    <xf numFmtId="165" fontId="4" fillId="4" borderId="9" xfId="1" applyNumberFormat="1" applyFont="1" applyFill="1" applyBorder="1" applyAlignment="1">
      <alignment horizontal="center"/>
    </xf>
    <xf numFmtId="165" fontId="4" fillId="4" borderId="0" xfId="1" applyNumberFormat="1" applyFont="1" applyFill="1" applyBorder="1" applyAlignment="1">
      <alignment horizontal="center"/>
    </xf>
    <xf numFmtId="0" fontId="4" fillId="4" borderId="8" xfId="2" applyFont="1" applyFill="1" applyBorder="1"/>
    <xf numFmtId="0" fontId="4" fillId="4" borderId="0" xfId="2" applyFont="1" applyFill="1" applyBorder="1"/>
    <xf numFmtId="0" fontId="4" fillId="4" borderId="8" xfId="2" applyFont="1" applyFill="1" applyBorder="1" applyAlignment="1"/>
    <xf numFmtId="165" fontId="4" fillId="4" borderId="0" xfId="2" applyNumberFormat="1" applyFont="1" applyFill="1" applyBorder="1" applyAlignment="1">
      <alignment horizontal="center"/>
    </xf>
    <xf numFmtId="0" fontId="4" fillId="4" borderId="10" xfId="0" applyFont="1" applyFill="1" applyBorder="1"/>
    <xf numFmtId="0" fontId="4" fillId="4" borderId="11" xfId="0" applyFont="1" applyFill="1" applyBorder="1"/>
    <xf numFmtId="0" fontId="4" fillId="4" borderId="10" xfId="0" applyFont="1" applyFill="1" applyBorder="1" applyAlignment="1"/>
    <xf numFmtId="0" fontId="4" fillId="4" borderId="11" xfId="0" applyFont="1" applyFill="1" applyBorder="1" applyAlignment="1">
      <alignment horizontal="center"/>
    </xf>
    <xf numFmtId="0" fontId="4" fillId="4" borderId="12" xfId="0" applyFont="1" applyFill="1" applyBorder="1" applyAlignment="1">
      <alignment horizontal="center"/>
    </xf>
    <xf numFmtId="165" fontId="4" fillId="4" borderId="10" xfId="3" applyNumberFormat="1" applyFont="1" applyFill="1" applyBorder="1" applyAlignment="1">
      <alignment horizontal="center"/>
    </xf>
    <xf numFmtId="165" fontId="5" fillId="4" borderId="11" xfId="1" applyNumberFormat="1" applyFont="1" applyFill="1" applyBorder="1" applyAlignment="1">
      <alignment horizontal="center"/>
    </xf>
    <xf numFmtId="165" fontId="5" fillId="4" borderId="12" xfId="3" applyNumberFormat="1" applyFont="1" applyFill="1" applyBorder="1" applyAlignment="1">
      <alignment horizontal="center"/>
    </xf>
    <xf numFmtId="0" fontId="0" fillId="0" borderId="0" xfId="0" applyNumberFormat="1" applyFont="1"/>
    <xf numFmtId="0" fontId="5" fillId="4" borderId="8" xfId="0" applyFont="1" applyFill="1" applyBorder="1"/>
    <xf numFmtId="1" fontId="5" fillId="4" borderId="8" xfId="0" applyNumberFormat="1" applyFont="1" applyFill="1" applyBorder="1"/>
    <xf numFmtId="0" fontId="0" fillId="6" borderId="0" xfId="0" applyNumberFormat="1" applyFont="1" applyFill="1" applyBorder="1" applyAlignment="1" applyProtection="1"/>
    <xf numFmtId="0" fontId="11" fillId="7" borderId="4" xfId="0" applyNumberFormat="1" applyFont="1" applyFill="1" applyBorder="1" applyAlignment="1" applyProtection="1">
      <alignment horizontal="left" vertical="center" wrapText="1"/>
    </xf>
    <xf numFmtId="0" fontId="12" fillId="8" borderId="4" xfId="0" applyNumberFormat="1" applyFont="1" applyFill="1" applyBorder="1" applyAlignment="1" applyProtection="1">
      <alignment horizontal="left" wrapText="1"/>
    </xf>
    <xf numFmtId="3" fontId="12" fillId="8" borderId="4" xfId="0" applyNumberFormat="1" applyFont="1" applyFill="1" applyBorder="1" applyAlignment="1" applyProtection="1">
      <alignment horizontal="right" wrapText="1"/>
    </xf>
    <xf numFmtId="0" fontId="10" fillId="0" borderId="4" xfId="0" applyNumberFormat="1" applyFont="1" applyFill="1" applyBorder="1" applyAlignment="1" applyProtection="1">
      <alignment horizontal="left" wrapText="1"/>
    </xf>
    <xf numFmtId="3" fontId="10" fillId="0" borderId="4" xfId="0" applyNumberFormat="1" applyFont="1" applyFill="1" applyBorder="1" applyAlignment="1" applyProtection="1">
      <alignment horizontal="right" wrapText="1"/>
    </xf>
    <xf numFmtId="0" fontId="12" fillId="0" borderId="4" xfId="0" applyNumberFormat="1" applyFont="1" applyFill="1" applyBorder="1" applyAlignment="1" applyProtection="1">
      <alignment horizontal="left" wrapText="1"/>
    </xf>
    <xf numFmtId="3" fontId="12" fillId="0" borderId="4" xfId="0" applyNumberFormat="1" applyFont="1" applyFill="1" applyBorder="1" applyAlignment="1" applyProtection="1">
      <alignment horizontal="right" wrapText="1"/>
    </xf>
    <xf numFmtId="0" fontId="12" fillId="9" borderId="4" xfId="0" applyNumberFormat="1" applyFont="1" applyFill="1" applyBorder="1" applyAlignment="1" applyProtection="1">
      <alignment horizontal="left" wrapText="1"/>
    </xf>
    <xf numFmtId="3" fontId="12" fillId="9" borderId="4" xfId="0" applyNumberFormat="1" applyFont="1" applyFill="1" applyBorder="1" applyAlignment="1" applyProtection="1">
      <alignment horizontal="right" wrapText="1"/>
    </xf>
    <xf numFmtId="0" fontId="12" fillId="0" borderId="4" xfId="0" applyNumberFormat="1" applyFont="1" applyFill="1" applyBorder="1" applyAlignment="1" applyProtection="1">
      <alignment horizontal="right" wrapText="1"/>
    </xf>
    <xf numFmtId="167" fontId="12" fillId="0" borderId="4" xfId="0" applyNumberFormat="1" applyFont="1" applyFill="1" applyBorder="1" applyAlignment="1" applyProtection="1">
      <alignment horizontal="left" wrapText="1"/>
    </xf>
    <xf numFmtId="167" fontId="12" fillId="0" borderId="4" xfId="0" applyNumberFormat="1" applyFont="1" applyFill="1" applyBorder="1" applyAlignment="1" applyProtection="1">
      <alignment horizontal="right" wrapText="1"/>
    </xf>
    <xf numFmtId="0" fontId="8" fillId="6" borderId="0" xfId="0" applyNumberFormat="1" applyFont="1" applyFill="1" applyBorder="1" applyAlignment="1" applyProtection="1"/>
    <xf numFmtId="164" fontId="4" fillId="4" borderId="8" xfId="3" applyNumberFormat="1" applyFont="1" applyFill="1" applyBorder="1" applyAlignment="1">
      <alignment horizontal="center"/>
    </xf>
    <xf numFmtId="165" fontId="0" fillId="0" borderId="0" xfId="0" applyNumberFormat="1"/>
    <xf numFmtId="164" fontId="0" fillId="0" borderId="0" xfId="0" applyNumberFormat="1"/>
    <xf numFmtId="0" fontId="0" fillId="0" borderId="0" xfId="0" applyAlignment="1">
      <alignment horizontal="right"/>
    </xf>
    <xf numFmtId="0" fontId="14" fillId="0" borderId="0" xfId="2" applyFont="1"/>
    <xf numFmtId="0" fontId="15" fillId="10" borderId="0" xfId="2" applyFont="1" applyFill="1"/>
    <xf numFmtId="0" fontId="15" fillId="0" borderId="0" xfId="2" applyFont="1"/>
    <xf numFmtId="0" fontId="6" fillId="0" borderId="0" xfId="2"/>
    <xf numFmtId="0" fontId="16" fillId="0" borderId="0" xfId="2" applyFont="1" applyAlignment="1">
      <alignment horizontal="center"/>
    </xf>
    <xf numFmtId="14" fontId="6" fillId="0" borderId="0" xfId="2" applyNumberFormat="1"/>
    <xf numFmtId="44" fontId="6" fillId="0" borderId="0" xfId="2" applyNumberFormat="1"/>
    <xf numFmtId="0" fontId="15" fillId="0" borderId="14" xfId="2" applyFont="1" applyBorder="1"/>
    <xf numFmtId="0" fontId="15" fillId="11" borderId="14" xfId="2" applyFont="1" applyFill="1" applyBorder="1"/>
    <xf numFmtId="44" fontId="15" fillId="0" borderId="14" xfId="2" applyNumberFormat="1" applyFont="1" applyBorder="1"/>
    <xf numFmtId="44" fontId="15" fillId="0" borderId="0" xfId="2" applyNumberFormat="1" applyFont="1"/>
    <xf numFmtId="168" fontId="6" fillId="0" borderId="0" xfId="2" applyNumberFormat="1"/>
    <xf numFmtId="0" fontId="6" fillId="10" borderId="0" xfId="2" applyFill="1"/>
    <xf numFmtId="168" fontId="6" fillId="10" borderId="0" xfId="2" applyNumberFormat="1" applyFill="1"/>
    <xf numFmtId="168" fontId="15" fillId="0" borderId="14" xfId="2" applyNumberFormat="1" applyFont="1" applyBorder="1"/>
    <xf numFmtId="168" fontId="15" fillId="0" borderId="0" xfId="2" applyNumberFormat="1" applyFont="1" applyFill="1" applyBorder="1"/>
    <xf numFmtId="0" fontId="16" fillId="0" borderId="0" xfId="2" applyFont="1"/>
    <xf numFmtId="0" fontId="14" fillId="10" borderId="0" xfId="2" applyFont="1" applyFill="1"/>
    <xf numFmtId="0" fontId="17" fillId="0" borderId="0" xfId="2" applyFont="1" applyAlignment="1">
      <alignment horizontal="center"/>
    </xf>
    <xf numFmtId="44" fontId="15" fillId="0" borderId="0" xfId="2" applyNumberFormat="1" applyFont="1" applyFill="1" applyBorder="1"/>
    <xf numFmtId="0" fontId="6" fillId="0" borderId="0" xfId="2" applyFill="1"/>
    <xf numFmtId="0" fontId="15" fillId="0" borderId="0" xfId="2" applyFont="1" applyFill="1" applyBorder="1"/>
    <xf numFmtId="0" fontId="15" fillId="0" borderId="0" xfId="2" applyFont="1" applyBorder="1"/>
    <xf numFmtId="44" fontId="15" fillId="0" borderId="0" xfId="2" applyNumberFormat="1" applyFont="1" applyBorder="1"/>
    <xf numFmtId="0" fontId="6" fillId="12" borderId="0" xfId="2" applyFill="1"/>
    <xf numFmtId="0" fontId="16" fillId="12" borderId="0" xfId="2" applyFont="1" applyFill="1" applyAlignment="1">
      <alignment horizontal="center"/>
    </xf>
    <xf numFmtId="44" fontId="18" fillId="0" borderId="0" xfId="2" applyNumberFormat="1" applyFont="1"/>
    <xf numFmtId="14" fontId="6" fillId="0" borderId="0" xfId="2" applyNumberFormat="1" applyFont="1"/>
    <xf numFmtId="0" fontId="6" fillId="0" borderId="0" xfId="2" applyFont="1"/>
    <xf numFmtId="44" fontId="6" fillId="0" borderId="0" xfId="2" applyNumberFormat="1" applyFont="1"/>
    <xf numFmtId="4" fontId="6" fillId="0" borderId="0" xfId="2" applyNumberFormat="1"/>
    <xf numFmtId="0" fontId="15" fillId="0" borderId="0" xfId="2" applyFont="1" applyFill="1" applyAlignment="1">
      <alignment horizontal="center"/>
    </xf>
    <xf numFmtId="0" fontId="15" fillId="0" borderId="0" xfId="2" applyFont="1" applyAlignment="1">
      <alignment horizontal="center"/>
    </xf>
    <xf numFmtId="0" fontId="15" fillId="0" borderId="18" xfId="2" applyFont="1" applyFill="1" applyBorder="1" applyAlignment="1">
      <alignment horizontal="center"/>
    </xf>
    <xf numFmtId="0" fontId="15" fillId="0" borderId="0" xfId="2" applyFont="1" applyBorder="1" applyAlignment="1">
      <alignment horizontal="center"/>
    </xf>
    <xf numFmtId="0" fontId="15" fillId="0" borderId="13" xfId="2" applyFont="1" applyBorder="1" applyAlignment="1">
      <alignment horizontal="center"/>
    </xf>
    <xf numFmtId="14" fontId="6" fillId="0" borderId="18" xfId="2" applyNumberFormat="1" applyBorder="1"/>
    <xf numFmtId="0" fontId="6" fillId="0" borderId="0" xfId="2" applyBorder="1"/>
    <xf numFmtId="44" fontId="6" fillId="0" borderId="0" xfId="2" applyNumberFormat="1" applyBorder="1"/>
    <xf numFmtId="44" fontId="6" fillId="0" borderId="13" xfId="2" applyNumberFormat="1" applyBorder="1"/>
    <xf numFmtId="0" fontId="6" fillId="0" borderId="18" xfId="2" applyBorder="1"/>
    <xf numFmtId="14" fontId="15" fillId="0" borderId="19" xfId="2" applyNumberFormat="1" applyFont="1" applyBorder="1" applyAlignment="1">
      <alignment horizontal="center"/>
    </xf>
    <xf numFmtId="0" fontId="15" fillId="0" borderId="20" xfId="2" applyFont="1" applyBorder="1"/>
    <xf numFmtId="169" fontId="15" fillId="0" borderId="20" xfId="2" applyNumberFormat="1" applyFont="1" applyBorder="1"/>
    <xf numFmtId="44" fontId="15" fillId="0" borderId="20" xfId="2" applyNumberFormat="1" applyFont="1" applyBorder="1"/>
    <xf numFmtId="44" fontId="15" fillId="0" borderId="21" xfId="2" applyNumberFormat="1" applyFont="1" applyBorder="1"/>
    <xf numFmtId="44" fontId="6" fillId="0" borderId="0" xfId="4" applyFont="1" applyBorder="1"/>
    <xf numFmtId="44" fontId="6" fillId="0" borderId="13" xfId="4" applyFont="1" applyBorder="1"/>
    <xf numFmtId="44" fontId="6" fillId="0" borderId="0" xfId="4" applyFont="1"/>
    <xf numFmtId="14" fontId="6" fillId="0" borderId="18" xfId="2" applyNumberFormat="1" applyFill="1" applyBorder="1"/>
    <xf numFmtId="0" fontId="6" fillId="0" borderId="0" xfId="2" applyFill="1" applyBorder="1"/>
    <xf numFmtId="44" fontId="6" fillId="0" borderId="0" xfId="2" applyNumberFormat="1" applyFill="1" applyBorder="1"/>
    <xf numFmtId="44" fontId="6" fillId="0" borderId="13" xfId="2" applyNumberFormat="1" applyFill="1" applyBorder="1"/>
    <xf numFmtId="44" fontId="6" fillId="0" borderId="0" xfId="4" applyFont="1" applyFill="1" applyBorder="1"/>
    <xf numFmtId="44" fontId="6" fillId="0" borderId="13" xfId="4" applyFont="1" applyFill="1" applyBorder="1"/>
    <xf numFmtId="0" fontId="15" fillId="0" borderId="25" xfId="2" applyFont="1" applyBorder="1" applyAlignment="1">
      <alignment horizontal="center"/>
    </xf>
    <xf numFmtId="14" fontId="6" fillId="0" borderId="26" xfId="2" applyNumberFormat="1" applyBorder="1"/>
    <xf numFmtId="0" fontId="6" fillId="0" borderId="27" xfId="2" applyBorder="1"/>
    <xf numFmtId="44" fontId="6" fillId="0" borderId="27" xfId="2" applyNumberFormat="1" applyBorder="1"/>
    <xf numFmtId="44" fontId="6" fillId="0" borderId="25" xfId="2" applyNumberFormat="1" applyBorder="1"/>
    <xf numFmtId="44" fontId="6" fillId="0" borderId="26" xfId="2" applyNumberFormat="1" applyFont="1" applyBorder="1"/>
    <xf numFmtId="14" fontId="6" fillId="0" borderId="26" xfId="2" applyNumberFormat="1" applyFill="1" applyBorder="1"/>
    <xf numFmtId="0" fontId="6" fillId="0" borderId="27" xfId="2" applyFill="1" applyBorder="1"/>
    <xf numFmtId="44" fontId="6" fillId="0" borderId="27" xfId="4" applyFont="1" applyFill="1" applyBorder="1"/>
    <xf numFmtId="44" fontId="6" fillId="0" borderId="27" xfId="2" applyNumberFormat="1" applyFill="1" applyBorder="1"/>
    <xf numFmtId="44" fontId="6" fillId="0" borderId="25" xfId="4" applyFont="1" applyFill="1" applyBorder="1"/>
    <xf numFmtId="44" fontId="6" fillId="0" borderId="0" xfId="2" applyNumberFormat="1" applyFont="1" applyFill="1"/>
    <xf numFmtId="0" fontId="23" fillId="0" borderId="0" xfId="2" applyFont="1"/>
    <xf numFmtId="39" fontId="6" fillId="0" borderId="0" xfId="2" applyNumberFormat="1"/>
    <xf numFmtId="39" fontId="15" fillId="0" borderId="14" xfId="2" applyNumberFormat="1" applyFont="1" applyBorder="1"/>
    <xf numFmtId="0" fontId="20" fillId="0" borderId="0" xfId="5"/>
    <xf numFmtId="14" fontId="20" fillId="0" borderId="0" xfId="5" applyNumberFormat="1"/>
    <xf numFmtId="39" fontId="6" fillId="13" borderId="0" xfId="2" applyNumberFormat="1" applyFill="1"/>
    <xf numFmtId="44" fontId="6" fillId="13" borderId="0" xfId="2" applyNumberFormat="1" applyFill="1"/>
    <xf numFmtId="43" fontId="6" fillId="13" borderId="0" xfId="2" applyNumberFormat="1" applyFill="1"/>
    <xf numFmtId="0" fontId="6" fillId="0" borderId="0" xfId="5" applyFont="1"/>
    <xf numFmtId="0" fontId="6" fillId="0" borderId="0" xfId="2" applyAlignment="1">
      <alignment horizontal="right"/>
    </xf>
    <xf numFmtId="37" fontId="6" fillId="0" borderId="0" xfId="2" applyNumberFormat="1"/>
    <xf numFmtId="39" fontId="6" fillId="0" borderId="11" xfId="2" applyNumberFormat="1" applyBorder="1"/>
    <xf numFmtId="0" fontId="24" fillId="0" borderId="0" xfId="5" applyFont="1"/>
    <xf numFmtId="39" fontId="6" fillId="0" borderId="0" xfId="2" applyNumberFormat="1" applyFill="1"/>
    <xf numFmtId="44" fontId="6" fillId="0" borderId="0" xfId="2" applyNumberFormat="1" applyFill="1"/>
    <xf numFmtId="0" fontId="20" fillId="0" borderId="0" xfId="5" applyFill="1"/>
    <xf numFmtId="43" fontId="6" fillId="0" borderId="0" xfId="2" applyNumberFormat="1" applyFill="1"/>
    <xf numFmtId="37" fontId="6" fillId="0" borderId="0" xfId="2" applyNumberFormat="1" applyFill="1"/>
    <xf numFmtId="0" fontId="6" fillId="0" borderId="0" xfId="5" applyFont="1" applyFill="1"/>
    <xf numFmtId="0" fontId="6" fillId="0" borderId="0" xfId="2" applyAlignment="1">
      <alignment horizontal="center"/>
    </xf>
    <xf numFmtId="165" fontId="6" fillId="0" borderId="0" xfId="6" applyNumberFormat="1" applyFont="1"/>
    <xf numFmtId="170" fontId="6" fillId="0" borderId="0" xfId="2" applyNumberFormat="1"/>
    <xf numFmtId="43" fontId="6" fillId="0" borderId="0" xfId="2" applyNumberFormat="1"/>
    <xf numFmtId="8" fontId="6" fillId="0" borderId="0" xfId="2" applyNumberFormat="1" applyFill="1"/>
    <xf numFmtId="0" fontId="6" fillId="0" borderId="0" xfId="2" applyBorder="1" applyAlignment="1">
      <alignment horizontal="right"/>
    </xf>
    <xf numFmtId="39" fontId="6" fillId="0" borderId="0" xfId="2" applyNumberFormat="1" applyBorder="1"/>
    <xf numFmtId="37" fontId="6" fillId="0" borderId="0" xfId="2" applyNumberFormat="1" applyBorder="1"/>
    <xf numFmtId="39" fontId="0" fillId="0" borderId="0" xfId="0" applyNumberFormat="1"/>
    <xf numFmtId="164" fontId="0" fillId="0" borderId="0" xfId="1" applyFont="1"/>
    <xf numFmtId="0" fontId="2" fillId="0" borderId="0" xfId="7"/>
    <xf numFmtId="14" fontId="2" fillId="0" borderId="0" xfId="7" applyNumberFormat="1"/>
    <xf numFmtId="21" fontId="2" fillId="0" borderId="0" xfId="7" applyNumberFormat="1"/>
    <xf numFmtId="8" fontId="2" fillId="0" borderId="0" xfId="7" applyNumberFormat="1"/>
    <xf numFmtId="0" fontId="2" fillId="0" borderId="0" xfId="8"/>
    <xf numFmtId="14" fontId="2" fillId="0" borderId="0" xfId="8" applyNumberFormat="1"/>
    <xf numFmtId="21" fontId="2" fillId="0" borderId="0" xfId="8" applyNumberFormat="1"/>
    <xf numFmtId="8" fontId="2" fillId="0" borderId="0" xfId="8" applyNumberFormat="1"/>
    <xf numFmtId="0" fontId="2" fillId="0" borderId="0" xfId="9"/>
    <xf numFmtId="0" fontId="2" fillId="0" borderId="0" xfId="10"/>
    <xf numFmtId="14" fontId="2" fillId="0" borderId="0" xfId="10" applyNumberFormat="1"/>
    <xf numFmtId="21" fontId="2" fillId="0" borderId="0" xfId="10" applyNumberFormat="1"/>
    <xf numFmtId="8" fontId="2" fillId="0" borderId="0" xfId="10" applyNumberFormat="1"/>
    <xf numFmtId="14" fontId="2" fillId="0" borderId="0" xfId="9" applyNumberFormat="1"/>
    <xf numFmtId="21" fontId="2" fillId="0" borderId="0" xfId="9" applyNumberFormat="1"/>
    <xf numFmtId="8" fontId="2" fillId="0" borderId="0" xfId="9" applyNumberFormat="1"/>
    <xf numFmtId="0" fontId="12" fillId="0" borderId="0" xfId="2" applyFont="1"/>
    <xf numFmtId="3" fontId="6" fillId="0" borderId="0" xfId="2" applyNumberFormat="1"/>
    <xf numFmtId="0" fontId="12" fillId="0" borderId="0" xfId="2" applyFont="1" applyFill="1" applyBorder="1"/>
    <xf numFmtId="0" fontId="25" fillId="15" borderId="0" xfId="2" applyFont="1" applyFill="1"/>
    <xf numFmtId="0" fontId="25" fillId="15" borderId="0" xfId="2" applyFont="1" applyFill="1" applyAlignment="1">
      <alignment horizontal="center"/>
    </xf>
    <xf numFmtId="3" fontId="25" fillId="15" borderId="0" xfId="2" applyNumberFormat="1" applyFont="1" applyFill="1" applyAlignment="1">
      <alignment horizontal="center"/>
    </xf>
    <xf numFmtId="1" fontId="25" fillId="15" borderId="0" xfId="2" applyNumberFormat="1" applyFont="1" applyFill="1" applyAlignment="1">
      <alignment horizontal="center"/>
    </xf>
    <xf numFmtId="44" fontId="25" fillId="15" borderId="0" xfId="2" applyNumberFormat="1" applyFont="1" applyFill="1" applyAlignment="1">
      <alignment horizontal="center"/>
    </xf>
    <xf numFmtId="0" fontId="26" fillId="0" borderId="0" xfId="2" applyFont="1"/>
    <xf numFmtId="3" fontId="26" fillId="0" borderId="0" xfId="2" applyNumberFormat="1" applyFont="1"/>
    <xf numFmtId="1" fontId="27" fillId="0" borderId="0" xfId="2" applyNumberFormat="1" applyFont="1"/>
    <xf numFmtId="44" fontId="26" fillId="0" borderId="0" xfId="2" applyNumberFormat="1" applyFont="1"/>
    <xf numFmtId="0" fontId="28" fillId="0" borderId="0" xfId="2" applyFont="1" applyBorder="1" applyAlignment="1"/>
    <xf numFmtId="14" fontId="26" fillId="0" borderId="0" xfId="2" applyNumberFormat="1" applyFont="1" applyFill="1"/>
    <xf numFmtId="0" fontId="26" fillId="0" borderId="0" xfId="2" applyFont="1" applyFill="1"/>
    <xf numFmtId="171" fontId="26" fillId="0" borderId="0" xfId="2" applyNumberFormat="1" applyFont="1" applyFill="1"/>
    <xf numFmtId="1" fontId="27" fillId="0" borderId="0" xfId="2" applyNumberFormat="1" applyFont="1" applyFill="1"/>
    <xf numFmtId="44" fontId="26" fillId="0" borderId="0" xfId="2" applyNumberFormat="1" applyFont="1" applyFill="1"/>
    <xf numFmtId="0" fontId="29" fillId="0" borderId="0" xfId="2" applyFont="1"/>
    <xf numFmtId="14" fontId="29" fillId="0" borderId="0" xfId="2" applyNumberFormat="1" applyFont="1" applyFill="1" applyBorder="1"/>
    <xf numFmtId="171" fontId="29" fillId="0" borderId="14" xfId="2" applyNumberFormat="1" applyFont="1" applyFill="1" applyBorder="1"/>
    <xf numFmtId="1" fontId="27" fillId="0" borderId="14" xfId="2" applyNumberFormat="1" applyFont="1" applyFill="1" applyBorder="1"/>
    <xf numFmtId="44" fontId="29" fillId="0" borderId="14" xfId="2" applyNumberFormat="1" applyFont="1" applyFill="1" applyBorder="1"/>
    <xf numFmtId="0" fontId="29" fillId="0" borderId="0" xfId="2" applyFont="1" applyFill="1" applyBorder="1"/>
    <xf numFmtId="1" fontId="17" fillId="0" borderId="0" xfId="2" applyNumberFormat="1" applyFont="1"/>
    <xf numFmtId="0" fontId="29" fillId="0" borderId="0" xfId="2" applyFont="1" applyFill="1"/>
    <xf numFmtId="3" fontId="26" fillId="0" borderId="0" xfId="2" applyNumberFormat="1" applyFont="1" applyFill="1"/>
    <xf numFmtId="3" fontId="6" fillId="0" borderId="0" xfId="2" applyNumberFormat="1" applyFill="1"/>
    <xf numFmtId="1" fontId="17" fillId="0" borderId="0" xfId="2" applyNumberFormat="1" applyFont="1" applyFill="1"/>
    <xf numFmtId="14" fontId="6" fillId="0" borderId="0" xfId="2" applyNumberFormat="1" applyFont="1" applyFill="1"/>
    <xf numFmtId="0" fontId="6" fillId="0" borderId="0" xfId="2" applyFont="1" applyFill="1"/>
    <xf numFmtId="171" fontId="6" fillId="0" borderId="0" xfId="2" applyNumberFormat="1" applyFont="1" applyFill="1"/>
    <xf numFmtId="0" fontId="12" fillId="0" borderId="0" xfId="2" applyFont="1" applyFill="1"/>
    <xf numFmtId="14" fontId="12" fillId="0" borderId="0" xfId="2" applyNumberFormat="1" applyFont="1" applyFill="1" applyBorder="1"/>
    <xf numFmtId="171" fontId="12" fillId="0" borderId="14" xfId="2" applyNumberFormat="1" applyFont="1" applyFill="1" applyBorder="1"/>
    <xf numFmtId="1" fontId="17" fillId="0" borderId="14" xfId="2" applyNumberFormat="1" applyFont="1" applyFill="1" applyBorder="1"/>
    <xf numFmtId="44" fontId="12" fillId="0" borderId="14" xfId="2" applyNumberFormat="1" applyFont="1" applyFill="1" applyBorder="1"/>
    <xf numFmtId="14" fontId="6" fillId="14" borderId="0" xfId="2" applyNumberFormat="1" applyFont="1" applyFill="1"/>
    <xf numFmtId="0" fontId="6" fillId="14" borderId="0" xfId="2" applyFont="1" applyFill="1"/>
    <xf numFmtId="171" fontId="6" fillId="14" borderId="0" xfId="2" applyNumberFormat="1" applyFont="1" applyFill="1"/>
    <xf numFmtId="1" fontId="17" fillId="14" borderId="0" xfId="2" applyNumberFormat="1" applyFont="1" applyFill="1"/>
    <xf numFmtId="44" fontId="6" fillId="14" borderId="0" xfId="2" applyNumberFormat="1" applyFont="1" applyFill="1"/>
    <xf numFmtId="0" fontId="12" fillId="14" borderId="0" xfId="2" applyFont="1" applyFill="1"/>
    <xf numFmtId="14" fontId="12" fillId="14" borderId="0" xfId="2" applyNumberFormat="1" applyFont="1" applyFill="1" applyBorder="1"/>
    <xf numFmtId="171" fontId="12" fillId="14" borderId="14" xfId="2" applyNumberFormat="1" applyFont="1" applyFill="1" applyBorder="1"/>
    <xf numFmtId="1" fontId="17" fillId="14" borderId="14" xfId="2" applyNumberFormat="1" applyFont="1" applyFill="1" applyBorder="1"/>
    <xf numFmtId="44" fontId="12" fillId="14" borderId="14" xfId="2" applyNumberFormat="1" applyFont="1" applyFill="1" applyBorder="1"/>
    <xf numFmtId="0" fontId="32" fillId="0" borderId="0" xfId="12"/>
    <xf numFmtId="0" fontId="12" fillId="0" borderId="0" xfId="12" applyFont="1"/>
    <xf numFmtId="0" fontId="12" fillId="0" borderId="0" xfId="12" applyFont="1" applyFill="1" applyBorder="1"/>
    <xf numFmtId="3" fontId="32" fillId="0" borderId="0" xfId="12" applyNumberFormat="1"/>
    <xf numFmtId="1" fontId="17" fillId="0" borderId="0" xfId="12" applyNumberFormat="1" applyFont="1"/>
    <xf numFmtId="44" fontId="32" fillId="0" borderId="0" xfId="12" applyNumberFormat="1"/>
    <xf numFmtId="0" fontId="25" fillId="15" borderId="0" xfId="12" applyFont="1" applyFill="1"/>
    <xf numFmtId="0" fontId="33" fillId="15" borderId="0" xfId="12" applyFont="1" applyFill="1"/>
    <xf numFmtId="0" fontId="25" fillId="15" borderId="0" xfId="12" applyFont="1" applyFill="1" applyAlignment="1">
      <alignment horizontal="center"/>
    </xf>
    <xf numFmtId="3" fontId="25" fillId="15" borderId="0" xfId="12" applyNumberFormat="1" applyFont="1" applyFill="1" applyAlignment="1">
      <alignment horizontal="center"/>
    </xf>
    <xf numFmtId="1" fontId="25" fillId="15" borderId="0" xfId="12" applyNumberFormat="1" applyFont="1" applyFill="1" applyAlignment="1">
      <alignment horizontal="center"/>
    </xf>
    <xf numFmtId="44" fontId="25" fillId="15" borderId="0" xfId="12" applyNumberFormat="1" applyFont="1" applyFill="1" applyAlignment="1">
      <alignment horizontal="center"/>
    </xf>
    <xf numFmtId="4" fontId="34" fillId="15" borderId="8" xfId="12" applyNumberFormat="1" applyFont="1" applyFill="1" applyBorder="1" applyAlignment="1">
      <alignment horizontal="center" wrapText="1"/>
    </xf>
    <xf numFmtId="4" fontId="34" fillId="15" borderId="8" xfId="12" applyNumberFormat="1" applyFont="1" applyFill="1" applyBorder="1" applyAlignment="1">
      <alignment horizontal="center"/>
    </xf>
    <xf numFmtId="4" fontId="34" fillId="15" borderId="28" xfId="12" applyNumberFormat="1" applyFont="1" applyFill="1" applyBorder="1" applyAlignment="1">
      <alignment horizontal="center" wrapText="1"/>
    </xf>
    <xf numFmtId="44" fontId="33" fillId="15" borderId="0" xfId="12" applyNumberFormat="1" applyFont="1" applyFill="1"/>
    <xf numFmtId="0" fontId="26" fillId="0" borderId="0" xfId="12" applyFont="1"/>
    <xf numFmtId="3" fontId="26" fillId="0" borderId="0" xfId="12" applyNumberFormat="1" applyFont="1"/>
    <xf numFmtId="1" fontId="27" fillId="0" borderId="0" xfId="12" applyNumberFormat="1" applyFont="1"/>
    <xf numFmtId="44" fontId="26" fillId="0" borderId="0" xfId="12" applyNumberFormat="1" applyFont="1"/>
    <xf numFmtId="14" fontId="26" fillId="0" borderId="0" xfId="12" applyNumberFormat="1" applyFont="1"/>
    <xf numFmtId="14" fontId="29" fillId="0" borderId="0" xfId="12" applyNumberFormat="1" applyFont="1" applyFill="1" applyBorder="1"/>
    <xf numFmtId="0" fontId="26" fillId="0" borderId="14" xfId="12" applyFont="1" applyFill="1" applyBorder="1"/>
    <xf numFmtId="3" fontId="26" fillId="0" borderId="14" xfId="12" applyNumberFormat="1" applyFont="1" applyFill="1" applyBorder="1"/>
    <xf numFmtId="1" fontId="27" fillId="0" borderId="14" xfId="12" applyNumberFormat="1" applyFont="1" applyFill="1" applyBorder="1"/>
    <xf numFmtId="44" fontId="26" fillId="0" borderId="14" xfId="12" applyNumberFormat="1" applyFont="1" applyFill="1" applyBorder="1"/>
    <xf numFmtId="44" fontId="29" fillId="0" borderId="14" xfId="12" applyNumberFormat="1" applyFont="1" applyFill="1" applyBorder="1"/>
    <xf numFmtId="4" fontId="29" fillId="0" borderId="14" xfId="12" applyNumberFormat="1" applyFont="1" applyFill="1" applyBorder="1"/>
    <xf numFmtId="0" fontId="26" fillId="0" borderId="0" xfId="12" applyFont="1" applyFill="1" applyBorder="1"/>
    <xf numFmtId="16" fontId="26" fillId="0" borderId="0" xfId="12" applyNumberFormat="1" applyFont="1"/>
    <xf numFmtId="0" fontId="28" fillId="0" borderId="0" xfId="12" applyFont="1" applyBorder="1" applyAlignment="1"/>
    <xf numFmtId="0" fontId="29" fillId="0" borderId="0" xfId="12" applyFont="1"/>
    <xf numFmtId="0" fontId="29" fillId="0" borderId="14" xfId="12" applyFont="1" applyFill="1" applyBorder="1"/>
    <xf numFmtId="3" fontId="29" fillId="0" borderId="14" xfId="12" applyNumberFormat="1" applyFont="1" applyFill="1" applyBorder="1"/>
    <xf numFmtId="0" fontId="29" fillId="0" borderId="0" xfId="12" applyFont="1" applyFill="1" applyBorder="1"/>
    <xf numFmtId="14" fontId="26" fillId="0" borderId="0" xfId="12" applyNumberFormat="1" applyFont="1" applyFill="1"/>
    <xf numFmtId="0" fontId="26" fillId="0" borderId="0" xfId="12" applyFont="1" applyFill="1"/>
    <xf numFmtId="3" fontId="26" fillId="0" borderId="0" xfId="12" applyNumberFormat="1" applyFont="1" applyFill="1"/>
    <xf numFmtId="1" fontId="27" fillId="0" borderId="0" xfId="12" applyNumberFormat="1" applyFont="1" applyFill="1"/>
    <xf numFmtId="44" fontId="26" fillId="0" borderId="0" xfId="12" applyNumberFormat="1" applyFont="1" applyFill="1"/>
    <xf numFmtId="0" fontId="29" fillId="0" borderId="0" xfId="12" applyFont="1" applyFill="1"/>
    <xf numFmtId="0" fontId="32" fillId="0" borderId="0" xfId="12" applyFill="1"/>
    <xf numFmtId="3" fontId="32" fillId="0" borderId="0" xfId="12" applyNumberFormat="1" applyFill="1"/>
    <xf numFmtId="1" fontId="17" fillId="0" borderId="0" xfId="12" applyNumberFormat="1" applyFont="1" applyFill="1"/>
    <xf numFmtId="44" fontId="32" fillId="0" borderId="0" xfId="12" applyNumberFormat="1" applyFill="1"/>
    <xf numFmtId="0" fontId="30" fillId="0" borderId="0" xfId="12" applyFont="1" applyBorder="1" applyAlignment="1"/>
    <xf numFmtId="14" fontId="6" fillId="14" borderId="0" xfId="12" applyNumberFormat="1" applyFont="1" applyFill="1"/>
    <xf numFmtId="0" fontId="6" fillId="14" borderId="0" xfId="12" applyFont="1" applyFill="1"/>
    <xf numFmtId="3" fontId="6" fillId="14" borderId="0" xfId="12" applyNumberFormat="1" applyFont="1" applyFill="1"/>
    <xf numFmtId="1" fontId="17" fillId="14" borderId="0" xfId="12" applyNumberFormat="1" applyFont="1" applyFill="1"/>
    <xf numFmtId="44" fontId="6" fillId="14" borderId="0" xfId="12" applyNumberFormat="1" applyFont="1" applyFill="1"/>
    <xf numFmtId="0" fontId="6" fillId="0" borderId="0" xfId="12" applyFont="1" applyFill="1"/>
    <xf numFmtId="0" fontId="12" fillId="14" borderId="0" xfId="12" applyFont="1" applyFill="1"/>
    <xf numFmtId="14" fontId="12" fillId="14" borderId="0" xfId="12" applyNumberFormat="1" applyFont="1" applyFill="1" applyBorder="1"/>
    <xf numFmtId="0" fontId="12" fillId="14" borderId="14" xfId="12" applyFont="1" applyFill="1" applyBorder="1"/>
    <xf numFmtId="3" fontId="12" fillId="14" borderId="14" xfId="12" applyNumberFormat="1" applyFont="1" applyFill="1" applyBorder="1"/>
    <xf numFmtId="1" fontId="17" fillId="14" borderId="14" xfId="12" applyNumberFormat="1" applyFont="1" applyFill="1" applyBorder="1"/>
    <xf numFmtId="44" fontId="12" fillId="14" borderId="14" xfId="12" applyNumberFormat="1" applyFont="1" applyFill="1" applyBorder="1"/>
    <xf numFmtId="4" fontId="12" fillId="14" borderId="14" xfId="12" applyNumberFormat="1" applyFont="1" applyFill="1" applyBorder="1"/>
    <xf numFmtId="0" fontId="12" fillId="0" borderId="0" xfId="12" applyFont="1" applyFill="1"/>
    <xf numFmtId="0" fontId="6" fillId="0" borderId="0" xfId="12" applyFont="1"/>
    <xf numFmtId="0" fontId="36" fillId="15" borderId="0" xfId="12" applyFont="1" applyFill="1" applyBorder="1" applyAlignment="1">
      <alignment horizontal="center" wrapText="1"/>
    </xf>
    <xf numFmtId="0" fontId="12" fillId="0" borderId="0" xfId="12" applyFont="1" applyFill="1" applyBorder="1" applyAlignment="1">
      <alignment horizontal="center" wrapText="1"/>
    </xf>
    <xf numFmtId="172" fontId="26" fillId="0" borderId="0" xfId="12" applyNumberFormat="1" applyFont="1" applyAlignment="1">
      <alignment horizontal="right"/>
    </xf>
    <xf numFmtId="0" fontId="26" fillId="0" borderId="0" xfId="12" applyFont="1" applyAlignment="1">
      <alignment horizontal="right"/>
    </xf>
    <xf numFmtId="0" fontId="26" fillId="0" borderId="0" xfId="12" applyFont="1" applyFill="1" applyBorder="1" applyAlignment="1">
      <alignment horizontal="right"/>
    </xf>
    <xf numFmtId="0" fontId="29" fillId="0" borderId="0" xfId="12" applyFont="1" applyAlignment="1">
      <alignment horizontal="right"/>
    </xf>
    <xf numFmtId="0" fontId="29" fillId="0" borderId="14" xfId="12" applyFont="1" applyBorder="1"/>
    <xf numFmtId="44" fontId="29" fillId="0" borderId="14" xfId="12" applyNumberFormat="1" applyFont="1" applyBorder="1"/>
    <xf numFmtId="172" fontId="26" fillId="0" borderId="0" xfId="12" applyNumberFormat="1" applyFont="1" applyFill="1" applyAlignment="1">
      <alignment horizontal="right"/>
    </xf>
    <xf numFmtId="0" fontId="26" fillId="0" borderId="0" xfId="12" applyFont="1" applyFill="1" applyAlignment="1">
      <alignment horizontal="right"/>
    </xf>
    <xf numFmtId="172" fontId="6" fillId="0" borderId="0" xfId="12" applyNumberFormat="1" applyFont="1" applyAlignment="1">
      <alignment horizontal="right"/>
    </xf>
    <xf numFmtId="0" fontId="6" fillId="0" borderId="0" xfId="12" applyFont="1" applyAlignment="1">
      <alignment horizontal="right"/>
    </xf>
    <xf numFmtId="0" fontId="29" fillId="0" borderId="0" xfId="12" applyFont="1" applyFill="1" applyAlignment="1">
      <alignment horizontal="right"/>
    </xf>
    <xf numFmtId="44" fontId="29" fillId="0" borderId="0" xfId="12" applyNumberFormat="1" applyFont="1" applyFill="1" applyBorder="1"/>
    <xf numFmtId="172" fontId="6" fillId="0" borderId="0" xfId="12" applyNumberFormat="1" applyFont="1" applyFill="1" applyAlignment="1">
      <alignment horizontal="right"/>
    </xf>
    <xf numFmtId="0" fontId="6" fillId="0" borderId="0" xfId="12" applyFont="1" applyFill="1" applyAlignment="1">
      <alignment horizontal="right"/>
    </xf>
    <xf numFmtId="44" fontId="6" fillId="0" borderId="0" xfId="12" applyNumberFormat="1" applyFont="1" applyFill="1"/>
    <xf numFmtId="0" fontId="6" fillId="0" borderId="0" xfId="12" applyFont="1" applyFill="1" applyBorder="1"/>
    <xf numFmtId="0" fontId="6" fillId="0" borderId="0" xfId="12" applyFont="1" applyFill="1" applyBorder="1" applyAlignment="1">
      <alignment horizontal="right"/>
    </xf>
    <xf numFmtId="0" fontId="12" fillId="0" borderId="0" xfId="12" applyFont="1" applyFill="1" applyAlignment="1">
      <alignment horizontal="right"/>
    </xf>
    <xf numFmtId="0" fontId="12" fillId="0" borderId="14" xfId="12" applyFont="1" applyFill="1" applyBorder="1"/>
    <xf numFmtId="44" fontId="12" fillId="0" borderId="14" xfId="12" applyNumberFormat="1" applyFont="1" applyFill="1" applyBorder="1"/>
    <xf numFmtId="0" fontId="6" fillId="14" borderId="0" xfId="12" applyFont="1" applyFill="1" applyAlignment="1">
      <alignment horizontal="right"/>
    </xf>
    <xf numFmtId="172" fontId="6" fillId="14" borderId="0" xfId="12" applyNumberFormat="1" applyFont="1" applyFill="1" applyAlignment="1">
      <alignment horizontal="right"/>
    </xf>
    <xf numFmtId="0" fontId="12" fillId="14" borderId="0" xfId="12" applyFont="1" applyFill="1" applyAlignment="1">
      <alignment horizontal="right"/>
    </xf>
    <xf numFmtId="0" fontId="12" fillId="14" borderId="0" xfId="12" applyFont="1" applyFill="1" applyBorder="1"/>
    <xf numFmtId="44" fontId="12" fillId="14" borderId="0" xfId="12" applyNumberFormat="1" applyFont="1" applyFill="1" applyBorder="1"/>
    <xf numFmtId="0" fontId="12" fillId="0" borderId="0" xfId="12" applyFont="1" applyAlignment="1">
      <alignment horizontal="center"/>
    </xf>
    <xf numFmtId="167" fontId="12" fillId="16" borderId="0" xfId="12" applyNumberFormat="1" applyFont="1" applyFill="1" applyBorder="1"/>
    <xf numFmtId="44" fontId="6" fillId="0" borderId="0" xfId="12" applyNumberFormat="1" applyFont="1"/>
    <xf numFmtId="44" fontId="6" fillId="0" borderId="0" xfId="12" applyNumberFormat="1" applyFont="1" applyFill="1" applyBorder="1"/>
    <xf numFmtId="0" fontId="6" fillId="0" borderId="0" xfId="12" applyFont="1" applyBorder="1"/>
    <xf numFmtId="44" fontId="6" fillId="14" borderId="0" xfId="12" applyNumberFormat="1" applyFont="1" applyFill="1" applyBorder="1"/>
    <xf numFmtId="49" fontId="34" fillId="15" borderId="0" xfId="12" applyNumberFormat="1" applyFont="1" applyFill="1" applyBorder="1" applyAlignment="1">
      <alignment horizontal="center" wrapText="1"/>
    </xf>
    <xf numFmtId="0" fontId="34" fillId="15" borderId="0" xfId="12" applyFont="1" applyFill="1" applyBorder="1" applyAlignment="1">
      <alignment horizontal="center"/>
    </xf>
    <xf numFmtId="3" fontId="34" fillId="15" borderId="0" xfId="12" applyNumberFormat="1" applyFont="1" applyFill="1" applyBorder="1" applyAlignment="1">
      <alignment horizontal="center"/>
    </xf>
    <xf numFmtId="173" fontId="34" fillId="15" borderId="0" xfId="12" applyNumberFormat="1" applyFont="1" applyFill="1" applyBorder="1" applyAlignment="1">
      <alignment horizontal="center"/>
    </xf>
    <xf numFmtId="173" fontId="26" fillId="0" borderId="0" xfId="12" applyNumberFormat="1" applyFont="1" applyBorder="1"/>
    <xf numFmtId="44" fontId="26" fillId="0" borderId="0" xfId="12" applyNumberFormat="1" applyFont="1" applyBorder="1"/>
    <xf numFmtId="0" fontId="26" fillId="0" borderId="0" xfId="12" applyFont="1" applyBorder="1"/>
    <xf numFmtId="173" fontId="29" fillId="0" borderId="0" xfId="12" applyNumberFormat="1" applyFont="1" applyBorder="1"/>
    <xf numFmtId="44" fontId="29" fillId="0" borderId="0" xfId="12" applyNumberFormat="1" applyFont="1" applyBorder="1"/>
    <xf numFmtId="2" fontId="27" fillId="0" borderId="0" xfId="12" applyNumberFormat="1" applyFont="1" applyBorder="1"/>
    <xf numFmtId="1" fontId="26" fillId="0" borderId="0" xfId="12" applyNumberFormat="1" applyFont="1" applyFill="1" applyBorder="1"/>
    <xf numFmtId="173" fontId="27" fillId="0" borderId="0" xfId="12" applyNumberFormat="1" applyFont="1" applyBorder="1"/>
    <xf numFmtId="14" fontId="26" fillId="0" borderId="0" xfId="12" applyNumberFormat="1" applyFont="1" applyBorder="1"/>
    <xf numFmtId="1" fontId="29" fillId="0" borderId="14" xfId="12" applyNumberFormat="1" applyFont="1" applyBorder="1"/>
    <xf numFmtId="173" fontId="26" fillId="0" borderId="14" xfId="12" applyNumberFormat="1" applyFont="1" applyBorder="1"/>
    <xf numFmtId="44" fontId="26" fillId="0" borderId="14" xfId="12" applyNumberFormat="1" applyFont="1" applyBorder="1"/>
    <xf numFmtId="173" fontId="26" fillId="0" borderId="0" xfId="12" applyNumberFormat="1" applyFont="1"/>
    <xf numFmtId="0" fontId="26" fillId="0" borderId="5" xfId="12" applyFont="1" applyFill="1" applyBorder="1"/>
    <xf numFmtId="0" fontId="26" fillId="0" borderId="6" xfId="12" applyFont="1" applyFill="1" applyBorder="1"/>
    <xf numFmtId="173" fontId="26" fillId="0" borderId="6" xfId="12" applyNumberFormat="1" applyFont="1" applyBorder="1"/>
    <xf numFmtId="44" fontId="26" fillId="0" borderId="7" xfId="12" applyNumberFormat="1" applyFont="1" applyBorder="1"/>
    <xf numFmtId="0" fontId="26" fillId="0" borderId="8" xfId="12" applyFont="1" applyFill="1" applyBorder="1"/>
    <xf numFmtId="44" fontId="26" fillId="0" borderId="9" xfId="12" applyNumberFormat="1" applyFont="1" applyBorder="1"/>
    <xf numFmtId="0" fontId="26" fillId="0" borderId="8" xfId="12" applyFont="1" applyBorder="1"/>
    <xf numFmtId="44" fontId="26" fillId="0" borderId="29" xfId="12" applyNumberFormat="1" applyFont="1" applyBorder="1"/>
    <xf numFmtId="0" fontId="29" fillId="0" borderId="0" xfId="12" applyFont="1" applyFill="1" applyBorder="1" applyAlignment="1">
      <alignment horizontal="left"/>
    </xf>
    <xf numFmtId="15" fontId="29" fillId="0" borderId="0" xfId="12" applyNumberFormat="1" applyFont="1" applyBorder="1" applyAlignment="1">
      <alignment horizontal="left"/>
    </xf>
    <xf numFmtId="173" fontId="26" fillId="0" borderId="0" xfId="12" applyNumberFormat="1" applyFont="1" applyFill="1" applyBorder="1"/>
    <xf numFmtId="44" fontId="26" fillId="0" borderId="9" xfId="12" applyNumberFormat="1" applyFont="1" applyFill="1" applyBorder="1"/>
    <xf numFmtId="173" fontId="27" fillId="0" borderId="0" xfId="12" applyNumberFormat="1" applyFont="1" applyFill="1" applyBorder="1"/>
    <xf numFmtId="1" fontId="29" fillId="0" borderId="14" xfId="12" applyNumberFormat="1" applyFont="1" applyFill="1" applyBorder="1"/>
    <xf numFmtId="173" fontId="26" fillId="0" borderId="14" xfId="12" applyNumberFormat="1" applyFont="1" applyFill="1" applyBorder="1"/>
    <xf numFmtId="44" fontId="26" fillId="0" borderId="29" xfId="12" applyNumberFormat="1" applyFont="1" applyFill="1" applyBorder="1"/>
    <xf numFmtId="15" fontId="29" fillId="0" borderId="0" xfId="12" applyNumberFormat="1" applyFont="1" applyFill="1" applyBorder="1" applyAlignment="1">
      <alignment horizontal="left"/>
    </xf>
    <xf numFmtId="0" fontId="26" fillId="0" borderId="30" xfId="12" applyFont="1" applyBorder="1"/>
    <xf numFmtId="0" fontId="26" fillId="0" borderId="14" xfId="12" applyFont="1" applyBorder="1"/>
    <xf numFmtId="44" fontId="29" fillId="0" borderId="29" xfId="12" applyNumberFormat="1" applyFont="1" applyFill="1" applyBorder="1"/>
    <xf numFmtId="173" fontId="26" fillId="0" borderId="6" xfId="12" applyNumberFormat="1" applyFont="1" applyFill="1" applyBorder="1"/>
    <xf numFmtId="44" fontId="26" fillId="0" borderId="7" xfId="12" applyNumberFormat="1" applyFont="1" applyFill="1" applyBorder="1"/>
    <xf numFmtId="173" fontId="29" fillId="0" borderId="0" xfId="12" applyNumberFormat="1" applyFont="1" applyFill="1" applyBorder="1"/>
    <xf numFmtId="2" fontId="27" fillId="0" borderId="0" xfId="12" applyNumberFormat="1" applyFont="1" applyFill="1" applyBorder="1"/>
    <xf numFmtId="174" fontId="29" fillId="0" borderId="14" xfId="12" applyNumberFormat="1" applyFont="1" applyFill="1" applyBorder="1"/>
    <xf numFmtId="0" fontId="26" fillId="14" borderId="0" xfId="12" applyFont="1" applyFill="1" applyBorder="1"/>
    <xf numFmtId="173" fontId="26" fillId="14" borderId="0" xfId="12" applyNumberFormat="1" applyFont="1" applyFill="1" applyBorder="1"/>
    <xf numFmtId="174" fontId="26" fillId="0" borderId="0" xfId="12" applyNumberFormat="1" applyFont="1" applyFill="1" applyBorder="1"/>
    <xf numFmtId="173" fontId="32" fillId="0" borderId="0" xfId="12" applyNumberFormat="1"/>
    <xf numFmtId="0" fontId="26" fillId="0" borderId="10" xfId="12" applyFont="1" applyBorder="1"/>
    <xf numFmtId="0" fontId="26" fillId="0" borderId="11" xfId="12" applyFont="1" applyBorder="1"/>
    <xf numFmtId="173" fontId="26" fillId="0" borderId="11" xfId="12" applyNumberFormat="1" applyFont="1" applyBorder="1"/>
    <xf numFmtId="44" fontId="26" fillId="0" borderId="12" xfId="12" applyNumberFormat="1" applyFont="1" applyBorder="1"/>
    <xf numFmtId="173" fontId="26" fillId="0" borderId="11" xfId="12" applyNumberFormat="1" applyFont="1" applyFill="1" applyBorder="1"/>
    <xf numFmtId="173" fontId="26" fillId="0" borderId="31" xfId="12" applyNumberFormat="1" applyFont="1" applyFill="1" applyBorder="1"/>
    <xf numFmtId="1" fontId="12" fillId="0" borderId="0" xfId="12" applyNumberFormat="1" applyFont="1" applyFill="1" applyBorder="1"/>
    <xf numFmtId="173" fontId="6" fillId="0" borderId="0" xfId="12" applyNumberFormat="1" applyFont="1" applyBorder="1"/>
    <xf numFmtId="44" fontId="12" fillId="0" borderId="0" xfId="12" applyNumberFormat="1" applyFont="1" applyFill="1" applyBorder="1"/>
    <xf numFmtId="173" fontId="26" fillId="0" borderId="0" xfId="12" applyNumberFormat="1" applyFont="1" applyFill="1"/>
    <xf numFmtId="0" fontId="26" fillId="0" borderId="10" xfId="12" applyFont="1" applyFill="1" applyBorder="1"/>
    <xf numFmtId="0" fontId="26" fillId="0" borderId="11" xfId="12" applyFont="1" applyFill="1" applyBorder="1"/>
    <xf numFmtId="44" fontId="26" fillId="0" borderId="12" xfId="12" applyNumberFormat="1" applyFont="1" applyFill="1" applyBorder="1"/>
    <xf numFmtId="0" fontId="26" fillId="0" borderId="30" xfId="12" applyFont="1" applyFill="1" applyBorder="1"/>
    <xf numFmtId="0" fontId="29" fillId="0" borderId="6" xfId="12" applyFont="1" applyFill="1" applyBorder="1"/>
    <xf numFmtId="1" fontId="29" fillId="0" borderId="6" xfId="12" applyNumberFormat="1" applyFont="1" applyFill="1" applyBorder="1"/>
    <xf numFmtId="44" fontId="29" fillId="0" borderId="7" xfId="12" applyNumberFormat="1" applyFont="1" applyFill="1" applyBorder="1"/>
    <xf numFmtId="1" fontId="29" fillId="0" borderId="0" xfId="12" applyNumberFormat="1" applyFont="1" applyFill="1" applyBorder="1"/>
    <xf numFmtId="44" fontId="29" fillId="0" borderId="9" xfId="12" applyNumberFormat="1" applyFont="1" applyFill="1" applyBorder="1"/>
    <xf numFmtId="173" fontId="6" fillId="0" borderId="0" xfId="12" applyNumberFormat="1" applyFont="1" applyFill="1"/>
    <xf numFmtId="0" fontId="6" fillId="0" borderId="5" xfId="12" applyFont="1" applyFill="1" applyBorder="1"/>
    <xf numFmtId="0" fontId="6" fillId="0" borderId="6" xfId="12" applyFont="1" applyFill="1" applyBorder="1"/>
    <xf numFmtId="173" fontId="6" fillId="0" borderId="6" xfId="12" applyNumberFormat="1" applyFont="1" applyFill="1" applyBorder="1"/>
    <xf numFmtId="44" fontId="6" fillId="0" borderId="7" xfId="12" applyNumberFormat="1" applyFont="1" applyFill="1" applyBorder="1"/>
    <xf numFmtId="0" fontId="6" fillId="0" borderId="8" xfId="12" applyFont="1" applyFill="1" applyBorder="1"/>
    <xf numFmtId="173" fontId="6" fillId="0" borderId="0" xfId="12" applyNumberFormat="1" applyFont="1" applyFill="1" applyBorder="1"/>
    <xf numFmtId="44" fontId="6" fillId="0" borderId="9" xfId="12" applyNumberFormat="1" applyFont="1" applyFill="1" applyBorder="1"/>
    <xf numFmtId="174" fontId="6" fillId="0" borderId="0" xfId="12" applyNumberFormat="1" applyFont="1" applyFill="1" applyBorder="1"/>
    <xf numFmtId="174" fontId="12" fillId="0" borderId="14" xfId="12" applyNumberFormat="1" applyFont="1" applyFill="1" applyBorder="1"/>
    <xf numFmtId="173" fontId="6" fillId="0" borderId="14" xfId="12" applyNumberFormat="1" applyFont="1" applyFill="1" applyBorder="1"/>
    <xf numFmtId="44" fontId="12" fillId="0" borderId="29" xfId="12" applyNumberFormat="1" applyFont="1" applyFill="1" applyBorder="1"/>
    <xf numFmtId="0" fontId="12" fillId="0" borderId="0" xfId="12" applyFont="1" applyFill="1" applyBorder="1" applyAlignment="1">
      <alignment horizontal="left"/>
    </xf>
    <xf numFmtId="15" fontId="12" fillId="0" borderId="0" xfId="12" applyNumberFormat="1" applyFont="1" applyFill="1" applyBorder="1" applyAlignment="1">
      <alignment horizontal="left"/>
    </xf>
    <xf numFmtId="173" fontId="6" fillId="0" borderId="11" xfId="12" applyNumberFormat="1" applyFont="1" applyFill="1" applyBorder="1"/>
    <xf numFmtId="1" fontId="12" fillId="0" borderId="14" xfId="12" applyNumberFormat="1" applyFont="1" applyFill="1" applyBorder="1"/>
    <xf numFmtId="173" fontId="6" fillId="0" borderId="31" xfId="12" applyNumberFormat="1" applyFont="1" applyFill="1" applyBorder="1"/>
    <xf numFmtId="0" fontId="6" fillId="0" borderId="10" xfId="12" applyFont="1" applyFill="1" applyBorder="1"/>
    <xf numFmtId="0" fontId="6" fillId="0" borderId="11" xfId="12" applyFont="1" applyFill="1" applyBorder="1"/>
    <xf numFmtId="44" fontId="6" fillId="0" borderId="12" xfId="12" applyNumberFormat="1" applyFont="1" applyFill="1" applyBorder="1"/>
    <xf numFmtId="0" fontId="6" fillId="0" borderId="30" xfId="12" applyFont="1" applyFill="1" applyBorder="1"/>
    <xf numFmtId="0" fontId="6" fillId="0" borderId="14" xfId="12" applyFont="1" applyFill="1" applyBorder="1"/>
    <xf numFmtId="0" fontId="6" fillId="14" borderId="5" xfId="12" applyFont="1" applyFill="1" applyBorder="1"/>
    <xf numFmtId="0" fontId="6" fillId="14" borderId="6" xfId="12" applyFont="1" applyFill="1" applyBorder="1"/>
    <xf numFmtId="173" fontId="6" fillId="14" borderId="6" xfId="12" applyNumberFormat="1" applyFont="1" applyFill="1" applyBorder="1"/>
    <xf numFmtId="44" fontId="6" fillId="14" borderId="7" xfId="12" applyNumberFormat="1" applyFont="1" applyFill="1" applyBorder="1"/>
    <xf numFmtId="0" fontId="6" fillId="14" borderId="8" xfId="12" applyFont="1" applyFill="1" applyBorder="1"/>
    <xf numFmtId="0" fontId="6" fillId="14" borderId="0" xfId="12" applyFont="1" applyFill="1" applyBorder="1"/>
    <xf numFmtId="173" fontId="6" fillId="14" borderId="0" xfId="12" applyNumberFormat="1" applyFont="1" applyFill="1" applyBorder="1"/>
    <xf numFmtId="44" fontId="6" fillId="14" borderId="9" xfId="12" applyNumberFormat="1" applyFont="1" applyFill="1" applyBorder="1"/>
    <xf numFmtId="174" fontId="6" fillId="14" borderId="0" xfId="12" applyNumberFormat="1" applyFont="1" applyFill="1" applyBorder="1"/>
    <xf numFmtId="1" fontId="12" fillId="14" borderId="14" xfId="12" applyNumberFormat="1" applyFont="1" applyFill="1" applyBorder="1"/>
    <xf numFmtId="173" fontId="6" fillId="14" borderId="31" xfId="12" applyNumberFormat="1" applyFont="1" applyFill="1" applyBorder="1"/>
    <xf numFmtId="44" fontId="12" fillId="14" borderId="29" xfId="12" applyNumberFormat="1" applyFont="1" applyFill="1" applyBorder="1"/>
    <xf numFmtId="0" fontId="12" fillId="14" borderId="0" xfId="12" applyFont="1" applyFill="1" applyBorder="1" applyAlignment="1">
      <alignment horizontal="left"/>
    </xf>
    <xf numFmtId="15" fontId="12" fillId="14" borderId="0" xfId="12" applyNumberFormat="1" applyFont="1" applyFill="1" applyBorder="1" applyAlignment="1">
      <alignment horizontal="left"/>
    </xf>
    <xf numFmtId="0" fontId="6" fillId="14" borderId="10" xfId="12" applyFont="1" applyFill="1" applyBorder="1"/>
    <xf numFmtId="0" fontId="6" fillId="14" borderId="11" xfId="12" applyFont="1" applyFill="1" applyBorder="1"/>
    <xf numFmtId="173" fontId="6" fillId="14" borderId="11" xfId="12" applyNumberFormat="1" applyFont="1" applyFill="1" applyBorder="1"/>
    <xf numFmtId="44" fontId="6" fillId="14" borderId="12" xfId="12" applyNumberFormat="1" applyFont="1" applyFill="1" applyBorder="1"/>
    <xf numFmtId="0" fontId="6" fillId="14" borderId="30" xfId="12" applyFont="1" applyFill="1" applyBorder="1"/>
    <xf numFmtId="0" fontId="6" fillId="14" borderId="14" xfId="12" applyFont="1" applyFill="1" applyBorder="1"/>
    <xf numFmtId="173" fontId="6" fillId="14" borderId="14" xfId="12" applyNumberFormat="1" applyFont="1" applyFill="1" applyBorder="1"/>
    <xf numFmtId="173" fontId="6" fillId="14" borderId="0" xfId="12" applyNumberFormat="1" applyFont="1" applyFill="1"/>
    <xf numFmtId="174" fontId="12" fillId="14" borderId="14" xfId="12" applyNumberFormat="1" applyFont="1" applyFill="1" applyBorder="1"/>
    <xf numFmtId="0" fontId="12" fillId="14" borderId="6" xfId="12" applyFont="1" applyFill="1" applyBorder="1"/>
    <xf numFmtId="1" fontId="12" fillId="14" borderId="6" xfId="12" applyNumberFormat="1" applyFont="1" applyFill="1" applyBorder="1"/>
    <xf numFmtId="44" fontId="12" fillId="14" borderId="7" xfId="12" applyNumberFormat="1" applyFont="1" applyFill="1" applyBorder="1"/>
    <xf numFmtId="1" fontId="12" fillId="14" borderId="0" xfId="12" applyNumberFormat="1" applyFont="1" applyFill="1" applyBorder="1"/>
    <xf numFmtId="44" fontId="12" fillId="14" borderId="9" xfId="12" applyNumberFormat="1" applyFont="1" applyFill="1" applyBorder="1"/>
    <xf numFmtId="0" fontId="32" fillId="0" borderId="0" xfId="12" applyAlignment="1">
      <alignment horizontal="center"/>
    </xf>
    <xf numFmtId="0" fontId="34" fillId="15" borderId="8" xfId="12" applyFont="1" applyFill="1" applyBorder="1" applyAlignment="1">
      <alignment horizontal="center"/>
    </xf>
    <xf numFmtId="3" fontId="34" fillId="15" borderId="8" xfId="12" applyNumberFormat="1" applyFont="1" applyFill="1" applyBorder="1" applyAlignment="1">
      <alignment horizontal="center"/>
    </xf>
    <xf numFmtId="44" fontId="34" fillId="15" borderId="8" xfId="12" applyNumberFormat="1" applyFont="1" applyFill="1" applyBorder="1" applyAlignment="1">
      <alignment horizontal="center" wrapText="1"/>
    </xf>
    <xf numFmtId="173" fontId="34" fillId="15" borderId="8" xfId="12" applyNumberFormat="1" applyFont="1" applyFill="1" applyBorder="1" applyAlignment="1">
      <alignment horizontal="center"/>
    </xf>
    <xf numFmtId="44" fontId="36" fillId="15" borderId="0" xfId="12" applyNumberFormat="1" applyFont="1" applyFill="1" applyAlignment="1">
      <alignment horizontal="center"/>
    </xf>
    <xf numFmtId="0" fontId="29" fillId="0" borderId="0" xfId="12" applyFont="1" applyFill="1" applyBorder="1" applyAlignment="1">
      <alignment horizontal="center"/>
    </xf>
    <xf numFmtId="0" fontId="29" fillId="0" borderId="0" xfId="12" applyFont="1" applyBorder="1" applyAlignment="1">
      <alignment horizontal="center"/>
    </xf>
    <xf numFmtId="0" fontId="29" fillId="0" borderId="14" xfId="12" applyFont="1" applyFill="1" applyBorder="1" applyAlignment="1">
      <alignment horizontal="center"/>
    </xf>
    <xf numFmtId="1" fontId="29" fillId="0" borderId="14" xfId="12" applyNumberFormat="1" applyFont="1" applyBorder="1" applyAlignment="1">
      <alignment horizontal="center"/>
    </xf>
    <xf numFmtId="0" fontId="29" fillId="0" borderId="0" xfId="12" applyFont="1" applyAlignment="1">
      <alignment horizontal="center"/>
    </xf>
    <xf numFmtId="0" fontId="26" fillId="0" borderId="0" xfId="12" applyFont="1" applyAlignment="1">
      <alignment horizontal="center"/>
    </xf>
    <xf numFmtId="0" fontId="12" fillId="0" borderId="0" xfId="12" applyFont="1" applyFill="1" applyBorder="1" applyAlignment="1">
      <alignment horizontal="center"/>
    </xf>
    <xf numFmtId="44" fontId="12" fillId="0" borderId="14" xfId="12" applyNumberFormat="1" applyFont="1" applyBorder="1"/>
    <xf numFmtId="44" fontId="26" fillId="0" borderId="0" xfId="12" applyNumberFormat="1" applyFont="1" applyFill="1" applyBorder="1"/>
    <xf numFmtId="174" fontId="29" fillId="0" borderId="0" xfId="12" applyNumberFormat="1" applyFont="1" applyFill="1" applyBorder="1" applyAlignment="1">
      <alignment horizontal="center"/>
    </xf>
    <xf numFmtId="44" fontId="26" fillId="14" borderId="0" xfId="12" applyNumberFormat="1" applyFont="1" applyFill="1"/>
    <xf numFmtId="1" fontId="12" fillId="0" borderId="0" xfId="12" applyNumberFormat="1" applyFont="1" applyBorder="1" applyAlignment="1">
      <alignment horizontal="center"/>
    </xf>
    <xf numFmtId="44" fontId="12" fillId="0" borderId="0" xfId="12" applyNumberFormat="1" applyFont="1" applyBorder="1"/>
    <xf numFmtId="175" fontId="29" fillId="0" borderId="0" xfId="3" applyNumberFormat="1" applyFont="1" applyFill="1" applyBorder="1" applyAlignment="1"/>
    <xf numFmtId="167" fontId="29" fillId="16" borderId="0" xfId="12" applyNumberFormat="1" applyFont="1" applyFill="1" applyBorder="1"/>
    <xf numFmtId="44" fontId="26" fillId="16" borderId="0" xfId="12" applyNumberFormat="1" applyFont="1" applyFill="1" applyBorder="1"/>
    <xf numFmtId="44" fontId="26" fillId="16" borderId="0" xfId="12" applyNumberFormat="1" applyFont="1" applyFill="1"/>
    <xf numFmtId="175" fontId="29" fillId="0" borderId="0" xfId="3" applyNumberFormat="1" applyFont="1" applyAlignment="1">
      <alignment horizontal="center"/>
    </xf>
    <xf numFmtId="44" fontId="29" fillId="0" borderId="0" xfId="12" applyNumberFormat="1" applyFont="1"/>
    <xf numFmtId="167" fontId="29" fillId="0" borderId="0" xfId="12" applyNumberFormat="1" applyFont="1" applyAlignment="1">
      <alignment horizontal="center"/>
    </xf>
    <xf numFmtId="10" fontId="29" fillId="0" borderId="0" xfId="14" applyNumberFormat="1" applyFont="1"/>
    <xf numFmtId="0" fontId="29" fillId="14" borderId="0" xfId="12" applyFont="1" applyFill="1" applyBorder="1" applyAlignment="1">
      <alignment horizontal="center"/>
    </xf>
    <xf numFmtId="175" fontId="29" fillId="0" borderId="0" xfId="12" applyNumberFormat="1" applyFont="1" applyAlignment="1">
      <alignment horizontal="center"/>
    </xf>
    <xf numFmtId="0" fontId="12" fillId="0" borderId="0" xfId="12" applyFont="1" applyBorder="1" applyAlignment="1">
      <alignment horizontal="center"/>
    </xf>
    <xf numFmtId="2" fontId="17" fillId="0" borderId="0" xfId="12" applyNumberFormat="1" applyFont="1" applyBorder="1"/>
    <xf numFmtId="44" fontId="6" fillId="16" borderId="0" xfId="12" applyNumberFormat="1" applyFont="1" applyFill="1" applyBorder="1"/>
    <xf numFmtId="44" fontId="6" fillId="0" borderId="0" xfId="12" applyNumberFormat="1" applyFont="1" applyBorder="1"/>
    <xf numFmtId="0" fontId="12" fillId="14" borderId="0" xfId="12" applyFont="1" applyFill="1" applyBorder="1" applyAlignment="1">
      <alignment horizontal="center"/>
    </xf>
    <xf numFmtId="44" fontId="6" fillId="16" borderId="0" xfId="12" applyNumberFormat="1" applyFont="1" applyFill="1"/>
    <xf numFmtId="0" fontId="12" fillId="0" borderId="14" xfId="12" applyFont="1" applyFill="1" applyBorder="1" applyAlignment="1">
      <alignment horizontal="center"/>
    </xf>
    <xf numFmtId="1" fontId="12" fillId="0" borderId="14" xfId="12" applyNumberFormat="1" applyFont="1" applyBorder="1" applyAlignment="1">
      <alignment horizontal="center"/>
    </xf>
    <xf numFmtId="2" fontId="17" fillId="0" borderId="0" xfId="12" applyNumberFormat="1" applyFont="1" applyFill="1" applyBorder="1"/>
    <xf numFmtId="175" fontId="12" fillId="0" borderId="0" xfId="3" applyNumberFormat="1" applyFont="1" applyAlignment="1">
      <alignment horizontal="center"/>
    </xf>
    <xf numFmtId="44" fontId="12" fillId="0" borderId="0" xfId="12" applyNumberFormat="1" applyFont="1"/>
    <xf numFmtId="167" fontId="12" fillId="0" borderId="0" xfId="12" applyNumberFormat="1" applyFont="1" applyAlignment="1">
      <alignment horizontal="center"/>
    </xf>
    <xf numFmtId="10" fontId="12" fillId="0" borderId="0" xfId="14" applyNumberFormat="1" applyFont="1"/>
    <xf numFmtId="175" fontId="12" fillId="0" borderId="0" xfId="12" applyNumberFormat="1" applyFont="1" applyAlignment="1">
      <alignment horizontal="center"/>
    </xf>
    <xf numFmtId="0" fontId="29" fillId="0" borderId="0" xfId="12" applyFont="1" applyBorder="1"/>
    <xf numFmtId="9" fontId="26" fillId="0" borderId="0" xfId="14" applyFont="1"/>
    <xf numFmtId="170" fontId="26" fillId="0" borderId="0" xfId="12" applyNumberFormat="1" applyFont="1"/>
    <xf numFmtId="175" fontId="29" fillId="0" borderId="11" xfId="12" applyNumberFormat="1" applyFont="1" applyBorder="1" applyAlignment="1">
      <alignment horizontal="center"/>
    </xf>
    <xf numFmtId="170" fontId="26" fillId="0" borderId="11" xfId="12" applyNumberFormat="1" applyFont="1" applyBorder="1"/>
    <xf numFmtId="170" fontId="29" fillId="0" borderId="0" xfId="12" applyNumberFormat="1" applyFont="1" applyAlignment="1">
      <alignment horizontal="center"/>
    </xf>
    <xf numFmtId="1" fontId="12" fillId="0" borderId="14" xfId="12" applyNumberFormat="1" applyFont="1" applyBorder="1"/>
    <xf numFmtId="170" fontId="32" fillId="0" borderId="0" xfId="12" applyNumberFormat="1"/>
    <xf numFmtId="175" fontId="12" fillId="0" borderId="11" xfId="12" applyNumberFormat="1" applyFont="1" applyBorder="1" applyAlignment="1">
      <alignment horizontal="center"/>
    </xf>
    <xf numFmtId="170" fontId="32" fillId="0" borderId="11" xfId="12" applyNumberFormat="1" applyBorder="1"/>
    <xf numFmtId="170" fontId="12" fillId="0" borderId="0" xfId="12" applyNumberFormat="1" applyFont="1" applyAlignment="1">
      <alignment horizontal="center"/>
    </xf>
    <xf numFmtId="0" fontId="12" fillId="0" borderId="0" xfId="12" applyFont="1" applyAlignment="1">
      <alignment horizontal="right"/>
    </xf>
    <xf numFmtId="14" fontId="26" fillId="0" borderId="0" xfId="12" applyNumberFormat="1" applyFont="1" applyFill="1" applyBorder="1"/>
    <xf numFmtId="3" fontId="26" fillId="0" borderId="0" xfId="12" applyNumberFormat="1" applyFont="1" applyFill="1" applyBorder="1"/>
    <xf numFmtId="1" fontId="27" fillId="0" borderId="0" xfId="12" applyNumberFormat="1" applyFont="1" applyFill="1" applyBorder="1"/>
    <xf numFmtId="0" fontId="37" fillId="0" borderId="0" xfId="12" applyFont="1"/>
    <xf numFmtId="0" fontId="28" fillId="0" borderId="0" xfId="12" applyFont="1" applyFill="1" applyBorder="1" applyAlignment="1"/>
    <xf numFmtId="0" fontId="37" fillId="0" borderId="0" xfId="12" applyFont="1" applyFill="1"/>
    <xf numFmtId="14" fontId="6" fillId="14" borderId="0" xfId="12" applyNumberFormat="1" applyFont="1" applyFill="1" applyBorder="1"/>
    <xf numFmtId="3" fontId="6" fillId="14" borderId="0" xfId="12" applyNumberFormat="1" applyFont="1" applyFill="1" applyBorder="1"/>
    <xf numFmtId="1" fontId="17" fillId="14" borderId="0" xfId="12" applyNumberFormat="1" applyFont="1" applyFill="1" applyBorder="1"/>
    <xf numFmtId="0" fontId="38" fillId="0" borderId="0" xfId="12" applyFont="1"/>
    <xf numFmtId="3" fontId="6" fillId="14" borderId="14" xfId="12" applyNumberFormat="1" applyFont="1" applyFill="1" applyBorder="1"/>
    <xf numFmtId="44" fontId="6" fillId="14" borderId="14" xfId="12" applyNumberFormat="1" applyFont="1" applyFill="1" applyBorder="1"/>
    <xf numFmtId="0" fontId="32" fillId="14" borderId="0" xfId="12" applyFill="1"/>
    <xf numFmtId="0" fontId="34" fillId="15" borderId="0" xfId="12" applyFont="1" applyFill="1" applyBorder="1" applyAlignment="1">
      <alignment horizontal="center" wrapText="1"/>
    </xf>
    <xf numFmtId="0" fontId="17" fillId="0" borderId="0" xfId="12" applyFont="1" applyFill="1" applyBorder="1" applyAlignment="1">
      <alignment horizontal="center" wrapText="1"/>
    </xf>
    <xf numFmtId="0" fontId="26" fillId="0" borderId="0" xfId="12" applyFont="1" applyFill="1" applyBorder="1" applyAlignment="1">
      <alignment horizontal="center"/>
    </xf>
    <xf numFmtId="172" fontId="26" fillId="0" borderId="0" xfId="12" applyNumberFormat="1" applyFont="1" applyFill="1"/>
    <xf numFmtId="0" fontId="26" fillId="0" borderId="6" xfId="12" applyFont="1" applyFill="1" applyBorder="1" applyAlignment="1">
      <alignment horizontal="center"/>
    </xf>
    <xf numFmtId="0" fontId="26" fillId="0" borderId="6" xfId="12" applyFont="1" applyBorder="1"/>
    <xf numFmtId="172" fontId="26" fillId="0" borderId="6" xfId="12" applyNumberFormat="1" applyFont="1" applyFill="1" applyBorder="1"/>
    <xf numFmtId="172" fontId="26" fillId="0" borderId="0" xfId="12" applyNumberFormat="1" applyFont="1" applyFill="1" applyBorder="1"/>
    <xf numFmtId="0" fontId="26" fillId="0" borderId="0" xfId="12" applyFont="1" applyBorder="1" applyAlignment="1">
      <alignment horizontal="center"/>
    </xf>
    <xf numFmtId="0" fontId="29" fillId="0" borderId="8" xfId="12" applyFont="1" applyBorder="1"/>
    <xf numFmtId="44" fontId="29" fillId="0" borderId="29" xfId="12" applyNumberFormat="1" applyFont="1" applyBorder="1"/>
    <xf numFmtId="0" fontId="26" fillId="0" borderId="9" xfId="12" applyFont="1" applyBorder="1"/>
    <xf numFmtId="0" fontId="29" fillId="0" borderId="8" xfId="12" applyFont="1" applyFill="1" applyBorder="1"/>
    <xf numFmtId="0" fontId="26" fillId="0" borderId="9" xfId="12" applyFont="1" applyFill="1" applyBorder="1"/>
    <xf numFmtId="0" fontId="26" fillId="0" borderId="14" xfId="12" applyFont="1" applyBorder="1" applyAlignment="1">
      <alignment horizontal="center"/>
    </xf>
    <xf numFmtId="172" fontId="26" fillId="0" borderId="14" xfId="12" applyNumberFormat="1" applyFont="1" applyFill="1" applyBorder="1"/>
    <xf numFmtId="0" fontId="26" fillId="0" borderId="11" xfId="12" applyFont="1" applyBorder="1" applyAlignment="1">
      <alignment horizontal="center"/>
    </xf>
    <xf numFmtId="172" fontId="26" fillId="0" borderId="11" xfId="12" applyNumberFormat="1" applyFont="1" applyFill="1" applyBorder="1"/>
    <xf numFmtId="0" fontId="26" fillId="0" borderId="12" xfId="12" applyFont="1" applyBorder="1"/>
    <xf numFmtId="172" fontId="26" fillId="14" borderId="0" xfId="12" applyNumberFormat="1" applyFont="1" applyFill="1" applyBorder="1"/>
    <xf numFmtId="172" fontId="32" fillId="0" borderId="0" xfId="12" applyNumberFormat="1" applyFill="1"/>
    <xf numFmtId="0" fontId="26" fillId="0" borderId="11" xfId="12" applyFont="1" applyFill="1" applyBorder="1" applyAlignment="1">
      <alignment horizontal="center"/>
    </xf>
    <xf numFmtId="15" fontId="29" fillId="0" borderId="11" xfId="12" applyNumberFormat="1" applyFont="1" applyFill="1" applyBorder="1" applyAlignment="1">
      <alignment horizontal="left"/>
    </xf>
    <xf numFmtId="0" fontId="26" fillId="0" borderId="12" xfId="12" applyFont="1" applyFill="1" applyBorder="1"/>
    <xf numFmtId="0" fontId="26" fillId="14" borderId="6" xfId="12" applyFont="1" applyFill="1" applyBorder="1" applyAlignment="1">
      <alignment horizontal="center"/>
    </xf>
    <xf numFmtId="0" fontId="26" fillId="14" borderId="6" xfId="12" applyFont="1" applyFill="1" applyBorder="1"/>
    <xf numFmtId="172" fontId="26" fillId="14" borderId="6" xfId="12" applyNumberFormat="1" applyFont="1" applyFill="1" applyBorder="1"/>
    <xf numFmtId="0" fontId="26" fillId="14" borderId="0" xfId="12" applyFont="1" applyFill="1" applyBorder="1" applyAlignment="1">
      <alignment horizontal="center"/>
    </xf>
    <xf numFmtId="0" fontId="26" fillId="0" borderId="2" xfId="12" applyFont="1" applyFill="1" applyBorder="1"/>
    <xf numFmtId="176" fontId="26" fillId="0" borderId="0" xfId="3" applyNumberFormat="1" applyFont="1" applyFill="1" applyBorder="1" applyAlignment="1">
      <alignment horizontal="right"/>
    </xf>
    <xf numFmtId="0" fontId="6" fillId="0" borderId="0" xfId="12" applyFont="1" applyFill="1" applyBorder="1" applyAlignment="1">
      <alignment horizontal="center"/>
    </xf>
    <xf numFmtId="172" fontId="6" fillId="0" borderId="0" xfId="12" applyNumberFormat="1" applyFont="1" applyFill="1" applyBorder="1"/>
    <xf numFmtId="0" fontId="12" fillId="0" borderId="8" xfId="12" applyFont="1" applyFill="1" applyBorder="1"/>
    <xf numFmtId="0" fontId="6" fillId="0" borderId="9" xfId="12" applyFont="1" applyFill="1" applyBorder="1"/>
    <xf numFmtId="0" fontId="6" fillId="0" borderId="11" xfId="12" applyFont="1" applyFill="1" applyBorder="1" applyAlignment="1">
      <alignment horizontal="center"/>
    </xf>
    <xf numFmtId="15" fontId="12" fillId="0" borderId="11" xfId="12" applyNumberFormat="1" applyFont="1" applyFill="1" applyBorder="1" applyAlignment="1">
      <alignment horizontal="left"/>
    </xf>
    <xf numFmtId="172" fontId="6" fillId="0" borderId="11" xfId="12" applyNumberFormat="1" applyFont="1" applyFill="1" applyBorder="1"/>
    <xf numFmtId="0" fontId="6" fillId="0" borderId="12" xfId="12" applyFont="1" applyFill="1" applyBorder="1"/>
    <xf numFmtId="172" fontId="32" fillId="14" borderId="0" xfId="12" applyNumberFormat="1" applyFill="1"/>
    <xf numFmtId="0" fontId="6" fillId="14" borderId="0" xfId="12" applyFont="1" applyFill="1" applyBorder="1" applyAlignment="1">
      <alignment horizontal="center"/>
    </xf>
    <xf numFmtId="172" fontId="6" fillId="14" borderId="0" xfId="12" applyNumberFormat="1" applyFont="1" applyFill="1" applyBorder="1"/>
    <xf numFmtId="0" fontId="12" fillId="14" borderId="8" xfId="12" applyFont="1" applyFill="1" applyBorder="1"/>
    <xf numFmtId="0" fontId="6" fillId="14" borderId="9" xfId="12" applyFont="1" applyFill="1" applyBorder="1"/>
    <xf numFmtId="0" fontId="6" fillId="14" borderId="11" xfId="12" applyFont="1" applyFill="1" applyBorder="1" applyAlignment="1">
      <alignment horizontal="center"/>
    </xf>
    <xf numFmtId="15" fontId="12" fillId="14" borderId="11" xfId="12" applyNumberFormat="1" applyFont="1" applyFill="1" applyBorder="1" applyAlignment="1">
      <alignment horizontal="left"/>
    </xf>
    <xf numFmtId="172" fontId="6" fillId="14" borderId="11" xfId="12" applyNumberFormat="1" applyFont="1" applyFill="1" applyBorder="1"/>
    <xf numFmtId="0" fontId="6" fillId="14" borderId="12" xfId="12" applyFont="1" applyFill="1" applyBorder="1"/>
    <xf numFmtId="0" fontId="6" fillId="14" borderId="6" xfId="12" applyFont="1" applyFill="1" applyBorder="1" applyAlignment="1">
      <alignment horizontal="center"/>
    </xf>
    <xf numFmtId="172" fontId="6" fillId="14" borderId="6" xfId="12" applyNumberFormat="1" applyFont="1" applyFill="1" applyBorder="1"/>
    <xf numFmtId="0" fontId="32" fillId="14" borderId="2" xfId="12" applyFill="1" applyBorder="1"/>
    <xf numFmtId="176" fontId="6" fillId="14" borderId="0" xfId="3" applyNumberFormat="1" applyFont="1" applyFill="1" applyBorder="1" applyAlignment="1">
      <alignment horizontal="right"/>
    </xf>
    <xf numFmtId="49" fontId="34" fillId="15" borderId="1" xfId="12" applyNumberFormat="1" applyFont="1" applyFill="1" applyBorder="1" applyAlignment="1">
      <alignment horizontal="center"/>
    </xf>
    <xf numFmtId="0" fontId="34" fillId="15" borderId="1" xfId="12" applyFont="1" applyFill="1" applyBorder="1" applyAlignment="1">
      <alignment horizontal="center"/>
    </xf>
    <xf numFmtId="3" fontId="34" fillId="15" borderId="1" xfId="12" applyNumberFormat="1" applyFont="1" applyFill="1" applyBorder="1" applyAlignment="1">
      <alignment horizontal="center"/>
    </xf>
    <xf numFmtId="44" fontId="34" fillId="15" borderId="1" xfId="12" applyNumberFormat="1" applyFont="1" applyFill="1" applyBorder="1" applyAlignment="1">
      <alignment horizontal="center"/>
    </xf>
    <xf numFmtId="49" fontId="26" fillId="0" borderId="0" xfId="12" applyNumberFormat="1" applyFont="1" applyFill="1" applyBorder="1"/>
    <xf numFmtId="3" fontId="29" fillId="0" borderId="0" xfId="12" applyNumberFormat="1" applyFont="1" applyFill="1" applyBorder="1"/>
    <xf numFmtId="0" fontId="39" fillId="0" borderId="0" xfId="12" applyFont="1" applyFill="1" applyBorder="1"/>
    <xf numFmtId="44" fontId="26" fillId="14" borderId="0" xfId="12" applyNumberFormat="1" applyFont="1" applyFill="1" applyBorder="1"/>
    <xf numFmtId="3" fontId="29" fillId="14" borderId="0" xfId="12" applyNumberFormat="1" applyFont="1" applyFill="1" applyBorder="1"/>
    <xf numFmtId="3" fontId="29" fillId="16" borderId="0" xfId="12" applyNumberFormat="1" applyFont="1" applyFill="1" applyBorder="1"/>
    <xf numFmtId="165" fontId="26" fillId="0" borderId="0" xfId="3" applyNumberFormat="1" applyFont="1"/>
    <xf numFmtId="165" fontId="26" fillId="0" borderId="11" xfId="3" applyNumberFormat="1" applyFont="1" applyBorder="1"/>
    <xf numFmtId="10" fontId="26" fillId="0" borderId="0" xfId="14" applyNumberFormat="1" applyFont="1"/>
    <xf numFmtId="177" fontId="26" fillId="0" borderId="0" xfId="14" applyNumberFormat="1" applyFont="1"/>
    <xf numFmtId="44" fontId="26" fillId="0" borderId="20" xfId="12" applyNumberFormat="1" applyFont="1" applyBorder="1"/>
    <xf numFmtId="178" fontId="26" fillId="0" borderId="0" xfId="12" applyNumberFormat="1" applyFont="1"/>
    <xf numFmtId="49" fontId="6" fillId="0" borderId="0" xfId="12" applyNumberFormat="1" applyFont="1" applyFill="1" applyBorder="1"/>
    <xf numFmtId="3" fontId="12" fillId="16" borderId="0" xfId="12" applyNumberFormat="1" applyFont="1" applyFill="1" applyBorder="1"/>
    <xf numFmtId="3" fontId="12" fillId="0" borderId="14" xfId="12" applyNumberFormat="1" applyFont="1" applyFill="1" applyBorder="1"/>
    <xf numFmtId="10" fontId="0" fillId="0" borderId="0" xfId="14" applyNumberFormat="1" applyFont="1"/>
    <xf numFmtId="177" fontId="6" fillId="0" borderId="0" xfId="14" applyNumberFormat="1" applyFont="1"/>
    <xf numFmtId="3" fontId="6" fillId="0" borderId="0" xfId="12" applyNumberFormat="1" applyFont="1" applyFill="1" applyBorder="1"/>
    <xf numFmtId="44" fontId="6" fillId="0" borderId="20" xfId="12" applyNumberFormat="1" applyFont="1" applyBorder="1"/>
    <xf numFmtId="178" fontId="32" fillId="0" borderId="0" xfId="12" applyNumberFormat="1"/>
    <xf numFmtId="3" fontId="12" fillId="14" borderId="0" xfId="12" applyNumberFormat="1" applyFont="1" applyFill="1" applyBorder="1"/>
    <xf numFmtId="3" fontId="6" fillId="0" borderId="0" xfId="12" applyNumberFormat="1" applyFont="1"/>
    <xf numFmtId="44" fontId="34" fillId="15" borderId="4" xfId="12" applyNumberFormat="1" applyFont="1" applyFill="1" applyBorder="1" applyAlignment="1">
      <alignment horizontal="center" wrapText="1"/>
    </xf>
    <xf numFmtId="0" fontId="34" fillId="15" borderId="4" xfId="12" applyFont="1" applyFill="1" applyBorder="1" applyAlignment="1">
      <alignment horizontal="center"/>
    </xf>
    <xf numFmtId="3" fontId="34" fillId="15" borderId="4" xfId="12" applyNumberFormat="1" applyFont="1" applyFill="1" applyBorder="1" applyAlignment="1">
      <alignment horizontal="center"/>
    </xf>
    <xf numFmtId="44" fontId="33" fillId="15" borderId="4" xfId="12" applyNumberFormat="1" applyFont="1" applyFill="1" applyBorder="1" applyAlignment="1">
      <alignment horizontal="center"/>
    </xf>
    <xf numFmtId="49" fontId="26" fillId="0" borderId="0" xfId="12" applyNumberFormat="1" applyFont="1"/>
    <xf numFmtId="0" fontId="26" fillId="0" borderId="0" xfId="12" applyFont="1" applyFill="1" applyBorder="1" applyAlignment="1">
      <alignment wrapText="1"/>
    </xf>
    <xf numFmtId="9" fontId="26" fillId="0" borderId="0" xfId="14" applyFont="1" applyFill="1" applyBorder="1"/>
    <xf numFmtId="168" fontId="29" fillId="0" borderId="14" xfId="12" applyNumberFormat="1" applyFont="1" applyFill="1" applyBorder="1"/>
    <xf numFmtId="49" fontId="26" fillId="14" borderId="0" xfId="12" applyNumberFormat="1" applyFont="1" applyFill="1"/>
    <xf numFmtId="0" fontId="26" fillId="14" borderId="0" xfId="12" applyFont="1" applyFill="1"/>
    <xf numFmtId="3" fontId="26" fillId="14" borderId="0" xfId="12" applyNumberFormat="1" applyFont="1" applyFill="1"/>
    <xf numFmtId="49" fontId="26" fillId="13" borderId="0" xfId="12" applyNumberFormat="1" applyFont="1" applyFill="1" applyBorder="1"/>
    <xf numFmtId="0" fontId="26" fillId="13" borderId="0" xfId="12" applyFont="1" applyFill="1" applyBorder="1"/>
    <xf numFmtId="3" fontId="26" fillId="13" borderId="0" xfId="12" applyNumberFormat="1" applyFont="1" applyFill="1" applyBorder="1"/>
    <xf numFmtId="44" fontId="26" fillId="13" borderId="0" xfId="12" applyNumberFormat="1" applyFont="1" applyFill="1" applyBorder="1"/>
    <xf numFmtId="49" fontId="26" fillId="13" borderId="0" xfId="12" applyNumberFormat="1" applyFont="1" applyFill="1"/>
    <xf numFmtId="0" fontId="26" fillId="13" borderId="0" xfId="12" applyFont="1" applyFill="1"/>
    <xf numFmtId="3" fontId="26" fillId="13" borderId="0" xfId="12" applyNumberFormat="1" applyFont="1" applyFill="1"/>
    <xf numFmtId="3" fontId="29" fillId="13" borderId="0" xfId="12" applyNumberFormat="1" applyFont="1" applyFill="1" applyBorder="1"/>
    <xf numFmtId="9" fontId="26" fillId="13" borderId="0" xfId="14" applyFont="1" applyFill="1" applyBorder="1"/>
    <xf numFmtId="0" fontId="29" fillId="13" borderId="14" xfId="12" applyFont="1" applyFill="1" applyBorder="1"/>
    <xf numFmtId="3" fontId="29" fillId="13" borderId="14" xfId="12" applyNumberFormat="1" applyFont="1" applyFill="1" applyBorder="1"/>
    <xf numFmtId="168" fontId="29" fillId="13" borderId="14" xfId="12" applyNumberFormat="1" applyFont="1" applyFill="1" applyBorder="1"/>
    <xf numFmtId="168" fontId="26" fillId="0" borderId="0" xfId="12" applyNumberFormat="1" applyFont="1"/>
    <xf numFmtId="41" fontId="26" fillId="0" borderId="0" xfId="12" applyNumberFormat="1" applyFont="1"/>
    <xf numFmtId="41" fontId="29" fillId="0" borderId="14" xfId="12" applyNumberFormat="1" applyFont="1" applyBorder="1"/>
    <xf numFmtId="168" fontId="26" fillId="0" borderId="0" xfId="12" applyNumberFormat="1" applyFont="1" applyFill="1"/>
    <xf numFmtId="49" fontId="26" fillId="0" borderId="0" xfId="12" applyNumberFormat="1" applyFont="1" applyFill="1"/>
    <xf numFmtId="168" fontId="29" fillId="17" borderId="14" xfId="12" applyNumberFormat="1" applyFont="1" applyFill="1" applyBorder="1"/>
    <xf numFmtId="41" fontId="26" fillId="0" borderId="0" xfId="12" applyNumberFormat="1" applyFont="1" applyFill="1"/>
    <xf numFmtId="41" fontId="29" fillId="0" borderId="14" xfId="12" applyNumberFormat="1" applyFont="1" applyFill="1" applyBorder="1"/>
    <xf numFmtId="41" fontId="26" fillId="14" borderId="0" xfId="12" applyNumberFormat="1" applyFont="1" applyFill="1"/>
    <xf numFmtId="0" fontId="29" fillId="0" borderId="0" xfId="12" applyFont="1" applyFill="1" applyAlignment="1">
      <alignment horizontal="center"/>
    </xf>
    <xf numFmtId="179" fontId="26" fillId="0" borderId="0" xfId="12" applyNumberFormat="1" applyFont="1"/>
    <xf numFmtId="0" fontId="29" fillId="0" borderId="32" xfId="12" applyFont="1" applyFill="1" applyBorder="1" applyAlignment="1">
      <alignment horizontal="center"/>
    </xf>
    <xf numFmtId="168" fontId="29" fillId="0" borderId="33" xfId="12" applyNumberFormat="1" applyFont="1" applyBorder="1"/>
    <xf numFmtId="49" fontId="6" fillId="0" borderId="0" xfId="12" applyNumberFormat="1" applyFont="1"/>
    <xf numFmtId="49" fontId="29" fillId="0" borderId="0" xfId="12" applyNumberFormat="1" applyFont="1" applyFill="1" applyBorder="1"/>
    <xf numFmtId="0" fontId="26" fillId="0" borderId="0" xfId="12" applyFont="1" applyFill="1" applyAlignment="1">
      <alignment horizontal="left"/>
    </xf>
    <xf numFmtId="49" fontId="26" fillId="0" borderId="5" xfId="12" applyNumberFormat="1" applyFont="1" applyFill="1" applyBorder="1"/>
    <xf numFmtId="49" fontId="26" fillId="0" borderId="6" xfId="12" applyNumberFormat="1" applyFont="1" applyFill="1" applyBorder="1"/>
    <xf numFmtId="41" fontId="26" fillId="0" borderId="6" xfId="12" applyNumberFormat="1" applyFont="1" applyFill="1" applyBorder="1"/>
    <xf numFmtId="49" fontId="26" fillId="0" borderId="8" xfId="12" applyNumberFormat="1" applyFont="1" applyFill="1" applyBorder="1"/>
    <xf numFmtId="41" fontId="26" fillId="0" borderId="0" xfId="12" applyNumberFormat="1" applyFont="1" applyFill="1" applyBorder="1"/>
    <xf numFmtId="0" fontId="26" fillId="0" borderId="0" xfId="12" applyFont="1" applyFill="1" applyBorder="1" applyAlignment="1">
      <alignment horizontal="left"/>
    </xf>
    <xf numFmtId="168" fontId="29" fillId="0" borderId="29" xfId="12" applyNumberFormat="1" applyFont="1" applyFill="1" applyBorder="1"/>
    <xf numFmtId="41" fontId="26" fillId="14" borderId="0" xfId="12" applyNumberFormat="1" applyFont="1" applyFill="1" applyBorder="1"/>
    <xf numFmtId="49" fontId="26" fillId="0" borderId="8" xfId="12" applyNumberFormat="1" applyFont="1" applyBorder="1"/>
    <xf numFmtId="49" fontId="26" fillId="0" borderId="0" xfId="12" applyNumberFormat="1" applyFont="1" applyBorder="1"/>
    <xf numFmtId="3" fontId="26" fillId="0" borderId="0" xfId="12" applyNumberFormat="1" applyFont="1" applyBorder="1"/>
    <xf numFmtId="49" fontId="26" fillId="0" borderId="10" xfId="12" applyNumberFormat="1" applyFont="1" applyFill="1" applyBorder="1"/>
    <xf numFmtId="49" fontId="26" fillId="0" borderId="11" xfId="12" applyNumberFormat="1" applyFont="1" applyFill="1" applyBorder="1"/>
    <xf numFmtId="0" fontId="29" fillId="0" borderId="20" xfId="12" applyFont="1" applyFill="1" applyBorder="1"/>
    <xf numFmtId="41" fontId="29" fillId="0" borderId="20" xfId="12" applyNumberFormat="1" applyFont="1" applyFill="1" applyBorder="1"/>
    <xf numFmtId="168" fontId="29" fillId="0" borderId="34" xfId="12" applyNumberFormat="1" applyFont="1" applyFill="1" applyBorder="1"/>
    <xf numFmtId="43" fontId="26" fillId="0" borderId="0" xfId="12" applyNumberFormat="1" applyFont="1"/>
    <xf numFmtId="41" fontId="29" fillId="0" borderId="6" xfId="12" applyNumberFormat="1" applyFont="1" applyFill="1" applyBorder="1"/>
    <xf numFmtId="168" fontId="29" fillId="0" borderId="7" xfId="12" applyNumberFormat="1" applyFont="1" applyFill="1" applyBorder="1"/>
    <xf numFmtId="49" fontId="26" fillId="14" borderId="8" xfId="12" applyNumberFormat="1" applyFont="1" applyFill="1" applyBorder="1"/>
    <xf numFmtId="49" fontId="26" fillId="14" borderId="0" xfId="12" applyNumberFormat="1" applyFont="1" applyFill="1" applyBorder="1"/>
    <xf numFmtId="44" fontId="26" fillId="14" borderId="9" xfId="12" applyNumberFormat="1" applyFont="1" applyFill="1" applyBorder="1"/>
    <xf numFmtId="169" fontId="26" fillId="0" borderId="0" xfId="12" applyNumberFormat="1" applyFont="1" applyFill="1"/>
    <xf numFmtId="168" fontId="29" fillId="0" borderId="0" xfId="12" applyNumberFormat="1" applyFont="1" applyFill="1" applyBorder="1"/>
    <xf numFmtId="41" fontId="26" fillId="13" borderId="0" xfId="12" applyNumberFormat="1" applyFont="1" applyFill="1" applyBorder="1"/>
    <xf numFmtId="41" fontId="6" fillId="0" borderId="0" xfId="12" applyNumberFormat="1" applyFont="1" applyFill="1" applyBorder="1"/>
    <xf numFmtId="0" fontId="30" fillId="0" borderId="0" xfId="12" applyFont="1" applyFill="1" applyBorder="1" applyAlignment="1"/>
    <xf numFmtId="49" fontId="6" fillId="0" borderId="0" xfId="12" applyNumberFormat="1" applyFont="1" applyFill="1"/>
    <xf numFmtId="3" fontId="6" fillId="0" borderId="0" xfId="12" applyNumberFormat="1" applyFont="1" applyFill="1"/>
    <xf numFmtId="49" fontId="6" fillId="0" borderId="5" xfId="12" applyNumberFormat="1" applyFont="1" applyFill="1" applyBorder="1"/>
    <xf numFmtId="49" fontId="6" fillId="0" borderId="6" xfId="12" applyNumberFormat="1" applyFont="1" applyFill="1" applyBorder="1"/>
    <xf numFmtId="41" fontId="6" fillId="0" borderId="6" xfId="12" applyNumberFormat="1" applyFont="1" applyFill="1" applyBorder="1"/>
    <xf numFmtId="49" fontId="6" fillId="0" borderId="8" xfId="12" applyNumberFormat="1" applyFont="1" applyFill="1" applyBorder="1"/>
    <xf numFmtId="0" fontId="6" fillId="0" borderId="0" xfId="12" applyFont="1" applyFill="1" applyBorder="1" applyAlignment="1">
      <alignment horizontal="left"/>
    </xf>
    <xf numFmtId="41" fontId="12" fillId="0" borderId="14" xfId="12" applyNumberFormat="1" applyFont="1" applyFill="1" applyBorder="1"/>
    <xf numFmtId="168" fontId="12" fillId="0" borderId="29" xfId="12" applyNumberFormat="1" applyFont="1" applyFill="1" applyBorder="1"/>
    <xf numFmtId="169" fontId="6" fillId="0" borderId="0" xfId="12" applyNumberFormat="1" applyFont="1" applyFill="1"/>
    <xf numFmtId="0" fontId="6" fillId="0" borderId="0" xfId="12" applyFont="1" applyFill="1" applyBorder="1" applyAlignment="1">
      <alignment wrapText="1"/>
    </xf>
    <xf numFmtId="49" fontId="6" fillId="0" borderId="10" xfId="12" applyNumberFormat="1" applyFont="1" applyFill="1" applyBorder="1"/>
    <xf numFmtId="49" fontId="6" fillId="0" borderId="11" xfId="12" applyNumberFormat="1" applyFont="1" applyFill="1" applyBorder="1"/>
    <xf numFmtId="0" fontId="12" fillId="0" borderId="20" xfId="12" applyFont="1" applyFill="1" applyBorder="1"/>
    <xf numFmtId="41" fontId="12" fillId="0" borderId="20" xfId="12" applyNumberFormat="1" applyFont="1" applyFill="1" applyBorder="1"/>
    <xf numFmtId="168" fontId="12" fillId="0" borderId="34" xfId="12" applyNumberFormat="1" applyFont="1" applyFill="1" applyBorder="1"/>
    <xf numFmtId="0" fontId="12" fillId="0" borderId="6" xfId="12" applyFont="1" applyFill="1" applyBorder="1"/>
    <xf numFmtId="41" fontId="12" fillId="0" borderId="6" xfId="12" applyNumberFormat="1" applyFont="1" applyFill="1" applyBorder="1"/>
    <xf numFmtId="168" fontId="12" fillId="0" borderId="7" xfId="12" applyNumberFormat="1" applyFont="1" applyFill="1" applyBorder="1"/>
    <xf numFmtId="49" fontId="6" fillId="14" borderId="5" xfId="12" applyNumberFormat="1" applyFont="1" applyFill="1" applyBorder="1"/>
    <xf numFmtId="49" fontId="6" fillId="14" borderId="6" xfId="12" applyNumberFormat="1" applyFont="1" applyFill="1" applyBorder="1"/>
    <xf numFmtId="41" fontId="6" fillId="14" borderId="6" xfId="12" applyNumberFormat="1" applyFont="1" applyFill="1" applyBorder="1"/>
    <xf numFmtId="49" fontId="6" fillId="14" borderId="8" xfId="12" applyNumberFormat="1" applyFont="1" applyFill="1" applyBorder="1"/>
    <xf numFmtId="49" fontId="6" fillId="14" borderId="0" xfId="12" applyNumberFormat="1" applyFont="1" applyFill="1" applyBorder="1"/>
    <xf numFmtId="41" fontId="6" fillId="14" borderId="0" xfId="12" applyNumberFormat="1" applyFont="1" applyFill="1" applyBorder="1"/>
    <xf numFmtId="0" fontId="6" fillId="14" borderId="0" xfId="12" applyFont="1" applyFill="1" applyBorder="1" applyAlignment="1">
      <alignment horizontal="left"/>
    </xf>
    <xf numFmtId="41" fontId="12" fillId="14" borderId="14" xfId="12" applyNumberFormat="1" applyFont="1" applyFill="1" applyBorder="1"/>
    <xf numFmtId="168" fontId="12" fillId="14" borderId="29" xfId="12" applyNumberFormat="1" applyFont="1" applyFill="1" applyBorder="1"/>
    <xf numFmtId="0" fontId="6" fillId="14" borderId="0" xfId="12" applyFont="1" applyFill="1" applyBorder="1" applyAlignment="1">
      <alignment wrapText="1"/>
    </xf>
    <xf numFmtId="49" fontId="6" fillId="14" borderId="10" xfId="12" applyNumberFormat="1" applyFont="1" applyFill="1" applyBorder="1"/>
    <xf numFmtId="49" fontId="6" fillId="14" borderId="11" xfId="12" applyNumberFormat="1" applyFont="1" applyFill="1" applyBorder="1"/>
    <xf numFmtId="0" fontId="12" fillId="14" borderId="20" xfId="12" applyFont="1" applyFill="1" applyBorder="1"/>
    <xf numFmtId="41" fontId="12" fillId="14" borderId="20" xfId="12" applyNumberFormat="1" applyFont="1" applyFill="1" applyBorder="1"/>
    <xf numFmtId="168" fontId="12" fillId="14" borderId="34" xfId="12" applyNumberFormat="1" applyFont="1" applyFill="1" applyBorder="1"/>
    <xf numFmtId="41" fontId="12" fillId="14" borderId="6" xfId="12" applyNumberFormat="1" applyFont="1" applyFill="1" applyBorder="1"/>
    <xf numFmtId="168" fontId="12" fillId="14" borderId="7" xfId="12" applyNumberFormat="1" applyFont="1" applyFill="1" applyBorder="1"/>
    <xf numFmtId="168" fontId="12" fillId="0" borderId="0" xfId="12" applyNumberFormat="1" applyFont="1" applyFill="1" applyBorder="1"/>
    <xf numFmtId="0" fontId="1" fillId="0" borderId="0" xfId="15"/>
    <xf numFmtId="10" fontId="0" fillId="0" borderId="0" xfId="16" applyNumberFormat="1" applyFont="1"/>
    <xf numFmtId="0" fontId="31" fillId="0" borderId="0" xfId="15" applyFont="1" applyAlignment="1">
      <alignment horizontal="center"/>
    </xf>
    <xf numFmtId="14" fontId="1" fillId="0" borderId="0" xfId="15" applyNumberFormat="1"/>
    <xf numFmtId="180" fontId="1" fillId="0" borderId="0" xfId="15" applyNumberFormat="1"/>
    <xf numFmtId="8" fontId="1" fillId="0" borderId="0" xfId="15" applyNumberFormat="1"/>
    <xf numFmtId="3" fontId="1" fillId="0" borderId="0" xfId="15" applyNumberFormat="1"/>
    <xf numFmtId="0" fontId="1" fillId="14" borderId="0" xfId="15" applyFill="1"/>
    <xf numFmtId="14" fontId="1" fillId="14" borderId="0" xfId="15" applyNumberFormat="1" applyFill="1"/>
    <xf numFmtId="180" fontId="1" fillId="14" borderId="0" xfId="15" applyNumberFormat="1" applyFill="1"/>
    <xf numFmtId="8" fontId="1" fillId="14" borderId="0" xfId="15" applyNumberFormat="1" applyFill="1"/>
    <xf numFmtId="10" fontId="1" fillId="0" borderId="0" xfId="11" applyNumberFormat="1" applyFont="1"/>
    <xf numFmtId="9" fontId="0" fillId="0" borderId="0" xfId="11" applyFont="1"/>
    <xf numFmtId="9" fontId="0" fillId="0" borderId="0" xfId="0" applyNumberFormat="1"/>
    <xf numFmtId="43" fontId="4" fillId="4" borderId="0" xfId="3" applyFont="1" applyFill="1" applyBorder="1" applyAlignment="1">
      <alignment horizontal="center"/>
    </xf>
    <xf numFmtId="0" fontId="0" fillId="6" borderId="0" xfId="0" applyNumberFormat="1" applyFont="1" applyFill="1" applyBorder="1" applyAlignment="1" applyProtection="1">
      <alignment horizontal="right"/>
    </xf>
    <xf numFmtId="181" fontId="4" fillId="4" borderId="9" xfId="3" applyNumberFormat="1" applyFont="1" applyFill="1" applyBorder="1" applyAlignment="1">
      <alignment horizontal="center"/>
    </xf>
    <xf numFmtId="164" fontId="5" fillId="4" borderId="12" xfId="3" applyNumberFormat="1" applyFont="1" applyFill="1" applyBorder="1" applyAlignment="1">
      <alignment horizontal="center"/>
    </xf>
    <xf numFmtId="165" fontId="4" fillId="0" borderId="8" xfId="1" applyNumberFormat="1" applyFont="1" applyFill="1" applyBorder="1" applyAlignment="1">
      <alignment horizontal="center"/>
    </xf>
    <xf numFmtId="0" fontId="0" fillId="0" borderId="0" xfId="0" applyFill="1"/>
    <xf numFmtId="0" fontId="0" fillId="0" borderId="0" xfId="0" applyAlignment="1">
      <alignment wrapText="1"/>
    </xf>
    <xf numFmtId="164" fontId="4" fillId="4" borderId="0" xfId="1" applyNumberFormat="1" applyFont="1" applyFill="1" applyBorder="1" applyAlignment="1">
      <alignment horizontal="center"/>
    </xf>
    <xf numFmtId="164" fontId="4" fillId="4" borderId="0" xfId="2" applyNumberFormat="1" applyFont="1" applyFill="1" applyBorder="1" applyAlignment="1">
      <alignment horizontal="center"/>
    </xf>
    <xf numFmtId="1" fontId="0" fillId="0" borderId="0" xfId="0" applyNumberFormat="1"/>
    <xf numFmtId="3" fontId="0" fillId="0" borderId="0" xfId="0" applyNumberFormat="1"/>
    <xf numFmtId="17" fontId="0" fillId="0" borderId="0" xfId="0" applyNumberFormat="1"/>
    <xf numFmtId="0" fontId="13" fillId="5" borderId="0" xfId="0" applyNumberFormat="1" applyFont="1" applyFill="1" applyBorder="1" applyAlignment="1" applyProtection="1">
      <alignment horizontal="left" wrapText="1"/>
    </xf>
    <xf numFmtId="0" fontId="5" fillId="0" borderId="0" xfId="0" applyFont="1" applyFill="1" applyBorder="1" applyAlignment="1">
      <alignment horizontal="center"/>
    </xf>
    <xf numFmtId="0" fontId="4" fillId="0" borderId="0" xfId="2" applyFont="1" applyFill="1" applyBorder="1" applyAlignment="1">
      <alignment horizontal="center"/>
    </xf>
    <xf numFmtId="165" fontId="5" fillId="3" borderId="0" xfId="3" applyNumberFormat="1" applyFont="1" applyFill="1" applyBorder="1" applyAlignment="1">
      <alignment horizontal="center"/>
    </xf>
    <xf numFmtId="165" fontId="4" fillId="3" borderId="0" xfId="3" applyNumberFormat="1" applyFont="1" applyFill="1" applyBorder="1" applyAlignment="1">
      <alignment horizontal="center"/>
    </xf>
    <xf numFmtId="165" fontId="4" fillId="2" borderId="0" xfId="3" applyNumberFormat="1" applyFont="1" applyFill="1" applyBorder="1" applyAlignment="1">
      <alignment horizontal="center"/>
    </xf>
    <xf numFmtId="165" fontId="5" fillId="2" borderId="0" xfId="3" applyNumberFormat="1" applyFont="1" applyFill="1" applyBorder="1" applyAlignment="1">
      <alignment horizontal="center"/>
    </xf>
    <xf numFmtId="165" fontId="4" fillId="4" borderId="0" xfId="3" applyNumberFormat="1" applyFont="1" applyFill="1" applyBorder="1" applyAlignment="1">
      <alignment horizontal="center"/>
    </xf>
    <xf numFmtId="181" fontId="4" fillId="4" borderId="0" xfId="3" applyNumberFormat="1" applyFont="1" applyFill="1" applyBorder="1" applyAlignment="1">
      <alignment horizontal="center"/>
    </xf>
    <xf numFmtId="164" fontId="5" fillId="4" borderId="0" xfId="3" applyNumberFormat="1" applyFont="1" applyFill="1" applyBorder="1" applyAlignment="1">
      <alignment horizontal="center"/>
    </xf>
    <xf numFmtId="1" fontId="5" fillId="4" borderId="0" xfId="0" applyNumberFormat="1" applyFont="1" applyFill="1" applyBorder="1"/>
    <xf numFmtId="0" fontId="4" fillId="14" borderId="1" xfId="0" applyFont="1" applyFill="1" applyBorder="1" applyAlignment="1">
      <alignment horizontal="center" wrapText="1"/>
    </xf>
    <xf numFmtId="0" fontId="4" fillId="18" borderId="5" xfId="0" applyFont="1" applyFill="1" applyBorder="1" applyAlignment="1">
      <alignment horizontal="center"/>
    </xf>
    <xf numFmtId="0" fontId="4" fillId="18" borderId="8" xfId="0" applyFont="1" applyFill="1" applyBorder="1" applyAlignment="1">
      <alignment horizontal="center"/>
    </xf>
    <xf numFmtId="165" fontId="4" fillId="18" borderId="0" xfId="1" applyNumberFormat="1" applyFont="1" applyFill="1" applyBorder="1" applyAlignment="1">
      <alignment horizontal="center"/>
    </xf>
    <xf numFmtId="165" fontId="4" fillId="14" borderId="8" xfId="1" applyNumberFormat="1" applyFont="1" applyFill="1" applyBorder="1" applyAlignment="1">
      <alignment horizontal="center"/>
    </xf>
    <xf numFmtId="165" fontId="4" fillId="14" borderId="10" xfId="1" applyNumberFormat="1" applyFont="1" applyFill="1" applyBorder="1" applyAlignment="1">
      <alignment horizontal="center"/>
    </xf>
    <xf numFmtId="0" fontId="5" fillId="0" borderId="4" xfId="0" applyFont="1" applyFill="1" applyBorder="1" applyAlignment="1">
      <alignment horizontal="center"/>
    </xf>
    <xf numFmtId="0" fontId="0" fillId="0" borderId="0" xfId="0" applyAlignment="1">
      <alignment horizontal="center"/>
    </xf>
    <xf numFmtId="0" fontId="5" fillId="0" borderId="1" xfId="0" applyFont="1" applyFill="1" applyBorder="1" applyAlignment="1">
      <alignment horizontal="center"/>
    </xf>
    <xf numFmtId="0" fontId="5" fillId="0" borderId="2" xfId="0" applyFont="1" applyFill="1" applyBorder="1" applyAlignment="1">
      <alignment horizontal="center"/>
    </xf>
    <xf numFmtId="0" fontId="5" fillId="0" borderId="3" xfId="0" applyFont="1" applyFill="1" applyBorder="1" applyAlignment="1">
      <alignment horizontal="center"/>
    </xf>
    <xf numFmtId="0" fontId="9" fillId="5" borderId="0" xfId="0" applyNumberFormat="1" applyFont="1" applyFill="1" applyBorder="1" applyAlignment="1" applyProtection="1">
      <alignment horizontal="left" wrapText="1"/>
    </xf>
    <xf numFmtId="0" fontId="10" fillId="5" borderId="0" xfId="0" applyNumberFormat="1" applyFont="1" applyFill="1" applyBorder="1" applyAlignment="1" applyProtection="1">
      <alignment horizontal="left" wrapText="1"/>
    </xf>
    <xf numFmtId="0" fontId="13" fillId="5" borderId="0" xfId="0" applyNumberFormat="1" applyFont="1" applyFill="1" applyBorder="1" applyAlignment="1" applyProtection="1">
      <alignment horizontal="left" wrapText="1"/>
    </xf>
    <xf numFmtId="0" fontId="28" fillId="0" borderId="15" xfId="12" applyFont="1" applyBorder="1" applyAlignment="1">
      <alignment horizontal="center"/>
    </xf>
    <xf numFmtId="0" fontId="28" fillId="0" borderId="16" xfId="12" applyFont="1" applyBorder="1" applyAlignment="1">
      <alignment horizontal="center"/>
    </xf>
    <xf numFmtId="0" fontId="28" fillId="0" borderId="17" xfId="12" applyFont="1" applyBorder="1" applyAlignment="1">
      <alignment horizontal="center"/>
    </xf>
    <xf numFmtId="0" fontId="30" fillId="0" borderId="15" xfId="12" applyFont="1" applyBorder="1" applyAlignment="1">
      <alignment horizontal="center"/>
    </xf>
    <xf numFmtId="0" fontId="30" fillId="0" borderId="16" xfId="12" applyFont="1" applyBorder="1" applyAlignment="1">
      <alignment horizontal="center"/>
    </xf>
    <xf numFmtId="0" fontId="30" fillId="0" borderId="17" xfId="12" applyFont="1" applyBorder="1" applyAlignment="1">
      <alignment horizontal="center"/>
    </xf>
    <xf numFmtId="0" fontId="28" fillId="0" borderId="15" xfId="12" applyFont="1" applyFill="1" applyBorder="1" applyAlignment="1">
      <alignment horizontal="center"/>
    </xf>
    <xf numFmtId="0" fontId="28" fillId="0" borderId="16" xfId="12" applyFont="1" applyFill="1" applyBorder="1" applyAlignment="1">
      <alignment horizontal="center"/>
    </xf>
    <xf numFmtId="0" fontId="28" fillId="0" borderId="17" xfId="12" applyFont="1" applyFill="1" applyBorder="1" applyAlignment="1">
      <alignment horizontal="center"/>
    </xf>
    <xf numFmtId="0" fontId="30" fillId="0" borderId="15" xfId="12" applyFont="1" applyFill="1" applyBorder="1" applyAlignment="1">
      <alignment horizontal="center"/>
    </xf>
    <xf numFmtId="0" fontId="30" fillId="0" borderId="16" xfId="12" applyFont="1" applyFill="1" applyBorder="1" applyAlignment="1">
      <alignment horizontal="center"/>
    </xf>
    <xf numFmtId="0" fontId="30" fillId="0" borderId="17" xfId="12" applyFont="1" applyFill="1" applyBorder="1" applyAlignment="1">
      <alignment horizontal="center"/>
    </xf>
    <xf numFmtId="0" fontId="14" fillId="0" borderId="18" xfId="2" applyFont="1" applyBorder="1" applyAlignment="1">
      <alignment horizontal="center"/>
    </xf>
    <xf numFmtId="0" fontId="14" fillId="0" borderId="0" xfId="2" applyFont="1" applyBorder="1" applyAlignment="1">
      <alignment horizontal="center"/>
    </xf>
    <xf numFmtId="0" fontId="14" fillId="0" borderId="13" xfId="2" applyFont="1" applyBorder="1" applyAlignment="1">
      <alignment horizontal="center"/>
    </xf>
    <xf numFmtId="0" fontId="14" fillId="0" borderId="22" xfId="2" applyFont="1" applyBorder="1" applyAlignment="1">
      <alignment horizontal="center"/>
    </xf>
    <xf numFmtId="0" fontId="14" fillId="0" borderId="23" xfId="2" applyFont="1" applyBorder="1" applyAlignment="1">
      <alignment horizontal="center"/>
    </xf>
    <xf numFmtId="0" fontId="14" fillId="0" borderId="24" xfId="2" applyFont="1" applyBorder="1" applyAlignment="1">
      <alignment horizontal="center"/>
    </xf>
    <xf numFmtId="0" fontId="19" fillId="10" borderId="15" xfId="2" applyFont="1" applyFill="1" applyBorder="1" applyAlignment="1">
      <alignment horizontal="center"/>
    </xf>
    <xf numFmtId="0" fontId="19" fillId="10" borderId="16" xfId="2" applyFont="1" applyFill="1" applyBorder="1" applyAlignment="1">
      <alignment horizontal="center"/>
    </xf>
    <xf numFmtId="0" fontId="19" fillId="10" borderId="17" xfId="2" applyFont="1" applyFill="1" applyBorder="1" applyAlignment="1">
      <alignment horizontal="center"/>
    </xf>
    <xf numFmtId="0" fontId="14" fillId="0" borderId="0" xfId="2" applyFont="1" applyAlignment="1">
      <alignment horizontal="center"/>
    </xf>
    <xf numFmtId="0" fontId="19" fillId="0" borderId="15" xfId="2" applyFont="1" applyBorder="1" applyAlignment="1">
      <alignment horizontal="center"/>
    </xf>
    <xf numFmtId="0" fontId="19" fillId="0" borderId="16" xfId="2" applyFont="1" applyBorder="1" applyAlignment="1">
      <alignment horizontal="center"/>
    </xf>
    <xf numFmtId="0" fontId="19" fillId="0" borderId="17" xfId="2" applyFont="1" applyBorder="1" applyAlignment="1">
      <alignment horizontal="center"/>
    </xf>
    <xf numFmtId="0" fontId="15" fillId="0" borderId="15" xfId="2" applyFont="1" applyFill="1" applyBorder="1" applyAlignment="1">
      <alignment horizontal="center"/>
    </xf>
    <xf numFmtId="0" fontId="15" fillId="0" borderId="16" xfId="2" applyFont="1" applyFill="1" applyBorder="1" applyAlignment="1">
      <alignment horizontal="center"/>
    </xf>
    <xf numFmtId="0" fontId="15" fillId="0" borderId="17" xfId="2" applyFont="1" applyFill="1" applyBorder="1" applyAlignment="1">
      <alignment horizontal="center"/>
    </xf>
    <xf numFmtId="0" fontId="6" fillId="0" borderId="10" xfId="2" applyBorder="1" applyAlignment="1">
      <alignment horizontal="center"/>
    </xf>
    <xf numFmtId="0" fontId="6" fillId="0" borderId="11" xfId="2" applyBorder="1" applyAlignment="1">
      <alignment horizontal="center"/>
    </xf>
    <xf numFmtId="0" fontId="6" fillId="0" borderId="12" xfId="2" applyBorder="1" applyAlignment="1">
      <alignment horizontal="center"/>
    </xf>
    <xf numFmtId="0" fontId="35" fillId="0" borderId="15" xfId="12" applyFont="1" applyBorder="1" applyAlignment="1">
      <alignment horizontal="center"/>
    </xf>
    <xf numFmtId="0" fontId="35" fillId="0" borderId="16" xfId="12" applyFont="1" applyBorder="1" applyAlignment="1">
      <alignment horizontal="center"/>
    </xf>
    <xf numFmtId="0" fontId="35" fillId="0" borderId="17" xfId="12" applyFont="1" applyBorder="1" applyAlignment="1">
      <alignment horizontal="center"/>
    </xf>
    <xf numFmtId="0" fontId="28" fillId="0" borderId="15" xfId="2" applyFont="1" applyBorder="1" applyAlignment="1">
      <alignment horizontal="center"/>
    </xf>
    <xf numFmtId="0" fontId="28" fillId="0" borderId="16" xfId="2" applyFont="1" applyBorder="1" applyAlignment="1">
      <alignment horizontal="center"/>
    </xf>
    <xf numFmtId="0" fontId="28" fillId="0" borderId="17" xfId="2" applyFont="1" applyBorder="1" applyAlignment="1">
      <alignment horizontal="center"/>
    </xf>
    <xf numFmtId="0" fontId="30" fillId="0" borderId="15" xfId="2" applyFont="1" applyBorder="1" applyAlignment="1">
      <alignment horizontal="center"/>
    </xf>
    <xf numFmtId="0" fontId="30" fillId="0" borderId="16" xfId="2" applyFont="1" applyBorder="1" applyAlignment="1">
      <alignment horizontal="center"/>
    </xf>
    <xf numFmtId="0" fontId="30" fillId="0" borderId="17" xfId="2" applyFont="1" applyBorder="1" applyAlignment="1">
      <alignment horizontal="center"/>
    </xf>
    <xf numFmtId="181" fontId="0" fillId="0" borderId="0" xfId="0" applyNumberFormat="1"/>
  </cellXfs>
  <cellStyles count="17">
    <cellStyle name="Comma" xfId="1" builtinId="3"/>
    <cellStyle name="Comma 2" xfId="3" xr:uid="{00000000-0005-0000-0000-000001000000}"/>
    <cellStyle name="Comma 3" xfId="6" xr:uid="{00000000-0005-0000-0000-000002000000}"/>
    <cellStyle name="Currency 2" xfId="4" xr:uid="{00000000-0005-0000-0000-000003000000}"/>
    <cellStyle name="Currency 3" xfId="13" xr:uid="{00000000-0005-0000-0000-000004000000}"/>
    <cellStyle name="Normal" xfId="0" builtinId="0"/>
    <cellStyle name="Normal 12" xfId="9" xr:uid="{00000000-0005-0000-0000-000006000000}"/>
    <cellStyle name="Normal 19" xfId="8" xr:uid="{00000000-0005-0000-0000-000007000000}"/>
    <cellStyle name="Normal 2" xfId="2" xr:uid="{00000000-0005-0000-0000-000008000000}"/>
    <cellStyle name="Normal 26" xfId="7" xr:uid="{00000000-0005-0000-0000-000009000000}"/>
    <cellStyle name="Normal 3" xfId="5" xr:uid="{00000000-0005-0000-0000-00000A000000}"/>
    <cellStyle name="Normal 4" xfId="12" xr:uid="{00000000-0005-0000-0000-00000B000000}"/>
    <cellStyle name="Normal 5" xfId="10" xr:uid="{00000000-0005-0000-0000-00000C000000}"/>
    <cellStyle name="Normal 7" xfId="15" xr:uid="{00000000-0005-0000-0000-00000D000000}"/>
    <cellStyle name="Percent" xfId="11" builtinId="5"/>
    <cellStyle name="Percent 2" xfId="14" xr:uid="{00000000-0005-0000-0000-00000F000000}"/>
    <cellStyle name="Percent 5" xfId="16" xr:uid="{00000000-0005-0000-0000-000010000000}"/>
  </cellStyles>
  <dxfs count="0"/>
  <tableStyles count="0" defaultTableStyle="TableStyleMedium9" defaultPivotStyle="PivotStyleMedium7"/>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Energy Use</a:t>
            </a:r>
            <a:r>
              <a:rPr lang="en-US" baseline="0"/>
              <a:t> Over Time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0347746449106098E-2"/>
          <c:y val="0.10804866984219599"/>
          <c:w val="0.91381780310317096"/>
          <c:h val="0.79675524206924198"/>
        </c:manualLayout>
      </c:layout>
      <c:lineChart>
        <c:grouping val="standard"/>
        <c:varyColors val="0"/>
        <c:ser>
          <c:idx val="0"/>
          <c:order val="0"/>
          <c:tx>
            <c:strRef>
              <c:f>Updated!$J$35</c:f>
              <c:strCache>
                <c:ptCount val="1"/>
                <c:pt idx="0">
                  <c:v>NG ( 100 Dth)</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Updated!$A$36:$A$43</c:f>
              <c:numCache>
                <c:formatCode>General</c:formatCode>
                <c:ptCount val="8"/>
                <c:pt idx="0">
                  <c:v>2010</c:v>
                </c:pt>
                <c:pt idx="1">
                  <c:v>2011</c:v>
                </c:pt>
                <c:pt idx="2">
                  <c:v>2012</c:v>
                </c:pt>
                <c:pt idx="3">
                  <c:v>2013</c:v>
                </c:pt>
                <c:pt idx="4">
                  <c:v>2014</c:v>
                </c:pt>
                <c:pt idx="5">
                  <c:v>2015</c:v>
                </c:pt>
                <c:pt idx="6">
                  <c:v>2016</c:v>
                </c:pt>
                <c:pt idx="7">
                  <c:v>2017</c:v>
                </c:pt>
              </c:numCache>
            </c:numRef>
          </c:cat>
          <c:val>
            <c:numRef>
              <c:f>Updated!$J$36:$J$43</c:f>
              <c:numCache>
                <c:formatCode>_-* #,##0.00_-;\-* #,##0.00_-;_-* "-"??_-;_-@_-</c:formatCode>
                <c:ptCount val="8"/>
                <c:pt idx="0" formatCode="_(* #,##0_);_(* \(#,##0\);_(* &quot;-&quot;??_);_(@_)">
                  <c:v>1635</c:v>
                </c:pt>
                <c:pt idx="1">
                  <c:v>1903.73</c:v>
                </c:pt>
                <c:pt idx="2">
                  <c:v>2001.56</c:v>
                </c:pt>
                <c:pt idx="3">
                  <c:v>2355.1839000000004</c:v>
                </c:pt>
                <c:pt idx="4">
                  <c:v>2302.6571000000004</c:v>
                </c:pt>
                <c:pt idx="5">
                  <c:v>2562.6894000000002</c:v>
                </c:pt>
                <c:pt idx="6">
                  <c:v>2457.5012999999999</c:v>
                </c:pt>
                <c:pt idx="7">
                  <c:v>2626.8301000000006</c:v>
                </c:pt>
              </c:numCache>
            </c:numRef>
          </c:val>
          <c:smooth val="0"/>
          <c:extLst>
            <c:ext xmlns:c16="http://schemas.microsoft.com/office/drawing/2014/chart" uri="{C3380CC4-5D6E-409C-BE32-E72D297353CC}">
              <c16:uniqueId val="{00000000-F3A0-1F44-8BEF-904BA4F002DC}"/>
            </c:ext>
          </c:extLst>
        </c:ser>
        <c:ser>
          <c:idx val="1"/>
          <c:order val="1"/>
          <c:tx>
            <c:strRef>
              <c:f>Updated!$K$35</c:f>
              <c:strCache>
                <c:ptCount val="1"/>
                <c:pt idx="0">
                  <c:v>Distallate Oil &amp;Propane( 100 Gal)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Updated!$A$36:$A$43</c:f>
              <c:numCache>
                <c:formatCode>General</c:formatCode>
                <c:ptCount val="8"/>
                <c:pt idx="0">
                  <c:v>2010</c:v>
                </c:pt>
                <c:pt idx="1">
                  <c:v>2011</c:v>
                </c:pt>
                <c:pt idx="2">
                  <c:v>2012</c:v>
                </c:pt>
                <c:pt idx="3">
                  <c:v>2013</c:v>
                </c:pt>
                <c:pt idx="4">
                  <c:v>2014</c:v>
                </c:pt>
                <c:pt idx="5">
                  <c:v>2015</c:v>
                </c:pt>
                <c:pt idx="6">
                  <c:v>2016</c:v>
                </c:pt>
                <c:pt idx="7">
                  <c:v>2017</c:v>
                </c:pt>
              </c:numCache>
            </c:numRef>
          </c:cat>
          <c:val>
            <c:numRef>
              <c:f>Updated!$K$36:$K$43</c:f>
              <c:numCache>
                <c:formatCode>_-* #,##0.00_-;\-* #,##0.00_-;_-* "-"??_-;_-@_-</c:formatCode>
                <c:ptCount val="8"/>
                <c:pt idx="0">
                  <c:v>2238.6010000000001</c:v>
                </c:pt>
                <c:pt idx="1">
                  <c:v>1980.5921999999998</c:v>
                </c:pt>
                <c:pt idx="2">
                  <c:v>595.35</c:v>
                </c:pt>
                <c:pt idx="3">
                  <c:v>562.86539999999991</c:v>
                </c:pt>
                <c:pt idx="4">
                  <c:v>796.88100000000009</c:v>
                </c:pt>
                <c:pt idx="5">
                  <c:v>559.59199999999998</c:v>
                </c:pt>
                <c:pt idx="6">
                  <c:v>111.87900000000002</c:v>
                </c:pt>
                <c:pt idx="7">
                  <c:v>124.77900000000001</c:v>
                </c:pt>
              </c:numCache>
            </c:numRef>
          </c:val>
          <c:smooth val="0"/>
          <c:extLst>
            <c:ext xmlns:c16="http://schemas.microsoft.com/office/drawing/2014/chart" uri="{C3380CC4-5D6E-409C-BE32-E72D297353CC}">
              <c16:uniqueId val="{00000001-F3A0-1F44-8BEF-904BA4F002DC}"/>
            </c:ext>
          </c:extLst>
        </c:ser>
        <c:ser>
          <c:idx val="2"/>
          <c:order val="2"/>
          <c:tx>
            <c:strRef>
              <c:f>Updated!$L$35</c:f>
              <c:strCache>
                <c:ptCount val="1"/>
                <c:pt idx="0">
                  <c:v>Residual Oil (bbl)</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Updated!$A$36:$A$43</c:f>
              <c:numCache>
                <c:formatCode>General</c:formatCode>
                <c:ptCount val="8"/>
                <c:pt idx="0">
                  <c:v>2010</c:v>
                </c:pt>
                <c:pt idx="1">
                  <c:v>2011</c:v>
                </c:pt>
                <c:pt idx="2">
                  <c:v>2012</c:v>
                </c:pt>
                <c:pt idx="3">
                  <c:v>2013</c:v>
                </c:pt>
                <c:pt idx="4">
                  <c:v>2014</c:v>
                </c:pt>
                <c:pt idx="5">
                  <c:v>2015</c:v>
                </c:pt>
                <c:pt idx="6">
                  <c:v>2016</c:v>
                </c:pt>
                <c:pt idx="7">
                  <c:v>2017</c:v>
                </c:pt>
              </c:numCache>
            </c:numRef>
          </c:cat>
          <c:val>
            <c:numRef>
              <c:f>Updated!$L$36:$L$43</c:f>
              <c:numCache>
                <c:formatCode>_(* #,##0_);_(* \(#,##0\);_(* "-"??_);_(@_)</c:formatCode>
                <c:ptCount val="8"/>
                <c:pt idx="0">
                  <c:v>7172.38</c:v>
                </c:pt>
                <c:pt idx="1">
                  <c:v>6795.86</c:v>
                </c:pt>
                <c:pt idx="2">
                  <c:v>4220</c:v>
                </c:pt>
                <c:pt idx="3">
                  <c:v>988</c:v>
                </c:pt>
                <c:pt idx="4">
                  <c:v>4270.2142857142853</c:v>
                </c:pt>
                <c:pt idx="5">
                  <c:v>1921.2619047619048</c:v>
                </c:pt>
                <c:pt idx="6">
                  <c:v>429.59523809523807</c:v>
                </c:pt>
                <c:pt idx="7">
                  <c:v>0</c:v>
                </c:pt>
              </c:numCache>
            </c:numRef>
          </c:val>
          <c:smooth val="0"/>
          <c:extLst>
            <c:ext xmlns:c16="http://schemas.microsoft.com/office/drawing/2014/chart" uri="{C3380CC4-5D6E-409C-BE32-E72D297353CC}">
              <c16:uniqueId val="{00000002-F3A0-1F44-8BEF-904BA4F002DC}"/>
            </c:ext>
          </c:extLst>
        </c:ser>
        <c:ser>
          <c:idx val="3"/>
          <c:order val="3"/>
          <c:tx>
            <c:strRef>
              <c:f>Updated!$M$35</c:f>
              <c:strCache>
                <c:ptCount val="1"/>
                <c:pt idx="0">
                  <c:v>Mobile (10 Gals)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Updated!$A$36:$A$43</c:f>
              <c:numCache>
                <c:formatCode>General</c:formatCode>
                <c:ptCount val="8"/>
                <c:pt idx="0">
                  <c:v>2010</c:v>
                </c:pt>
                <c:pt idx="1">
                  <c:v>2011</c:v>
                </c:pt>
                <c:pt idx="2">
                  <c:v>2012</c:v>
                </c:pt>
                <c:pt idx="3">
                  <c:v>2013</c:v>
                </c:pt>
                <c:pt idx="4">
                  <c:v>2014</c:v>
                </c:pt>
                <c:pt idx="5">
                  <c:v>2015</c:v>
                </c:pt>
                <c:pt idx="6">
                  <c:v>2016</c:v>
                </c:pt>
                <c:pt idx="7">
                  <c:v>2017</c:v>
                </c:pt>
              </c:numCache>
            </c:numRef>
          </c:cat>
          <c:val>
            <c:numRef>
              <c:f>Updated!$M$36:$M$43</c:f>
              <c:numCache>
                <c:formatCode>_(* #,##0_);_(* \(#,##0\);_(* "-"??_);_(@_)</c:formatCode>
                <c:ptCount val="8"/>
                <c:pt idx="0">
                  <c:v>3215.4142999999999</c:v>
                </c:pt>
                <c:pt idx="1">
                  <c:v>4696.2</c:v>
                </c:pt>
                <c:pt idx="2">
                  <c:v>4314.2</c:v>
                </c:pt>
                <c:pt idx="3">
                  <c:v>3547.9426486486482</c:v>
                </c:pt>
                <c:pt idx="4">
                  <c:v>3600.229499999999</c:v>
                </c:pt>
                <c:pt idx="5">
                  <c:v>3973.3391999999999</c:v>
                </c:pt>
                <c:pt idx="6">
                  <c:v>3869.7491</c:v>
                </c:pt>
                <c:pt idx="7">
                  <c:v>3587.7595000000001</c:v>
                </c:pt>
              </c:numCache>
            </c:numRef>
          </c:val>
          <c:smooth val="0"/>
          <c:extLst>
            <c:ext xmlns:c16="http://schemas.microsoft.com/office/drawing/2014/chart" uri="{C3380CC4-5D6E-409C-BE32-E72D297353CC}">
              <c16:uniqueId val="{00000003-F3A0-1F44-8BEF-904BA4F002DC}"/>
            </c:ext>
          </c:extLst>
        </c:ser>
        <c:ser>
          <c:idx val="4"/>
          <c:order val="4"/>
          <c:tx>
            <c:strRef>
              <c:f>Updated!$N$35</c:f>
              <c:strCache>
                <c:ptCount val="1"/>
                <c:pt idx="0">
                  <c:v>PurchasedELC (MWh)</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Updated!$A$36:$A$43</c:f>
              <c:numCache>
                <c:formatCode>General</c:formatCode>
                <c:ptCount val="8"/>
                <c:pt idx="0">
                  <c:v>2010</c:v>
                </c:pt>
                <c:pt idx="1">
                  <c:v>2011</c:v>
                </c:pt>
                <c:pt idx="2">
                  <c:v>2012</c:v>
                </c:pt>
                <c:pt idx="3">
                  <c:v>2013</c:v>
                </c:pt>
                <c:pt idx="4">
                  <c:v>2014</c:v>
                </c:pt>
                <c:pt idx="5">
                  <c:v>2015</c:v>
                </c:pt>
                <c:pt idx="6">
                  <c:v>2016</c:v>
                </c:pt>
                <c:pt idx="7">
                  <c:v>2017</c:v>
                </c:pt>
              </c:numCache>
            </c:numRef>
          </c:cat>
          <c:val>
            <c:numRef>
              <c:f>Updated!$N$36:$N$43</c:f>
              <c:numCache>
                <c:formatCode>_(* #,##0_);_(* \(#,##0\);_(* "-"??_);_(@_)</c:formatCode>
                <c:ptCount val="8"/>
                <c:pt idx="0">
                  <c:v>9808.9548479999994</c:v>
                </c:pt>
                <c:pt idx="1">
                  <c:v>9944.9804159999985</c:v>
                </c:pt>
                <c:pt idx="2">
                  <c:v>11005.476048</c:v>
                </c:pt>
                <c:pt idx="3">
                  <c:v>10140.86161</c:v>
                </c:pt>
                <c:pt idx="4">
                  <c:v>10954.0162</c:v>
                </c:pt>
                <c:pt idx="5">
                  <c:v>9899.5691000000006</c:v>
                </c:pt>
                <c:pt idx="6">
                  <c:v>11634.9306</c:v>
                </c:pt>
                <c:pt idx="7">
                  <c:v>11786.0771</c:v>
                </c:pt>
              </c:numCache>
            </c:numRef>
          </c:val>
          <c:smooth val="0"/>
          <c:extLst>
            <c:ext xmlns:c16="http://schemas.microsoft.com/office/drawing/2014/chart" uri="{C3380CC4-5D6E-409C-BE32-E72D297353CC}">
              <c16:uniqueId val="{00000004-F3A0-1F44-8BEF-904BA4F002DC}"/>
            </c:ext>
          </c:extLst>
        </c:ser>
        <c:dLbls>
          <c:showLegendKey val="0"/>
          <c:showVal val="0"/>
          <c:showCatName val="0"/>
          <c:showSerName val="0"/>
          <c:showPercent val="0"/>
          <c:showBubbleSize val="0"/>
        </c:dLbls>
        <c:marker val="1"/>
        <c:smooth val="0"/>
        <c:axId val="-479469232"/>
        <c:axId val="-479471712"/>
      </c:lineChart>
      <c:catAx>
        <c:axId val="-479469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9471712"/>
        <c:crosses val="autoZero"/>
        <c:auto val="1"/>
        <c:lblAlgn val="ctr"/>
        <c:lblOffset val="100"/>
        <c:noMultiLvlLbl val="0"/>
      </c:catAx>
      <c:valAx>
        <c:axId val="-47947171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9469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Energy</a:t>
            </a:r>
            <a:r>
              <a:rPr lang="en-US" baseline="0"/>
              <a:t> Use on Campus Over Time (Million BTUs)</a:t>
            </a:r>
            <a:endParaRPr lang="en-US"/>
          </a:p>
        </c:rich>
      </c:tx>
      <c:layout>
        <c:manualLayout>
          <c:xMode val="edge"/>
          <c:yMode val="edge"/>
          <c:x val="0.17340966754155732"/>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Updated!$AO$12</c:f>
              <c:strCache>
                <c:ptCount val="1"/>
                <c:pt idx="0">
                  <c:v>Mbtus</c:v>
                </c:pt>
              </c:strCache>
            </c:strRef>
          </c:tx>
          <c:spPr>
            <a:ln w="28575"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0"/>
          </c:trendline>
          <c:cat>
            <c:strRef>
              <c:f>Updated!$AN$13:$AN$20</c:f>
              <c:strCache>
                <c:ptCount val="8"/>
                <c:pt idx="0">
                  <c:v>FY10</c:v>
                </c:pt>
                <c:pt idx="1">
                  <c:v>FY11</c:v>
                </c:pt>
                <c:pt idx="2">
                  <c:v>FY12</c:v>
                </c:pt>
                <c:pt idx="3">
                  <c:v>FY13</c:v>
                </c:pt>
                <c:pt idx="4">
                  <c:v>FY14</c:v>
                </c:pt>
                <c:pt idx="5">
                  <c:v>FY15</c:v>
                </c:pt>
                <c:pt idx="6">
                  <c:v>FY16</c:v>
                </c:pt>
                <c:pt idx="7">
                  <c:v>FY17</c:v>
                </c:pt>
              </c:strCache>
            </c:strRef>
          </c:cat>
          <c:val>
            <c:numRef>
              <c:f>Updated!$AO$13:$AO$20</c:f>
              <c:numCache>
                <c:formatCode>0</c:formatCode>
                <c:ptCount val="8"/>
                <c:pt idx="0">
                  <c:v>279047.76229779224</c:v>
                </c:pt>
                <c:pt idx="1">
                  <c:v>302377.467019431</c:v>
                </c:pt>
                <c:pt idx="2">
                  <c:v>280069.60687804676</c:v>
                </c:pt>
                <c:pt idx="3">
                  <c:v>290301.41238088993</c:v>
                </c:pt>
                <c:pt idx="4">
                  <c:v>311829.87440150831</c:v>
                </c:pt>
                <c:pt idx="5">
                  <c:v>316586.21713359334</c:v>
                </c:pt>
                <c:pt idx="6">
                  <c:v>266337.39070747234</c:v>
                </c:pt>
                <c:pt idx="7">
                  <c:v>311265.44836710073</c:v>
                </c:pt>
              </c:numCache>
            </c:numRef>
          </c:val>
          <c:smooth val="0"/>
          <c:extLst>
            <c:ext xmlns:c16="http://schemas.microsoft.com/office/drawing/2014/chart" uri="{C3380CC4-5D6E-409C-BE32-E72D297353CC}">
              <c16:uniqueId val="{00000000-2165-984E-8609-98908F83B4F2}"/>
            </c:ext>
          </c:extLst>
        </c:ser>
        <c:dLbls>
          <c:showLegendKey val="0"/>
          <c:showVal val="0"/>
          <c:showCatName val="0"/>
          <c:showSerName val="0"/>
          <c:showPercent val="0"/>
          <c:showBubbleSize val="0"/>
        </c:dLbls>
        <c:smooth val="0"/>
        <c:axId val="549476080"/>
        <c:axId val="549477776"/>
      </c:lineChart>
      <c:catAx>
        <c:axId val="549476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9477776"/>
        <c:crosses val="autoZero"/>
        <c:auto val="1"/>
        <c:lblAlgn val="ctr"/>
        <c:lblOffset val="100"/>
        <c:noMultiLvlLbl val="0"/>
      </c:catAx>
      <c:valAx>
        <c:axId val="549477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94760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BC8-244F-A6D6-14A281A7499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BC8-244F-A6D6-14A281A7499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BC8-244F-A6D6-14A281A74995}"/>
              </c:ext>
            </c:extLst>
          </c:dPt>
          <c:cat>
            <c:strRef>
              <c:f>Updated!$AP$25:$AP$27</c:f>
              <c:strCache>
                <c:ptCount val="3"/>
                <c:pt idx="0">
                  <c:v>restricted for energy savings</c:v>
                </c:pt>
                <c:pt idx="1">
                  <c:v>traditionally designated</c:v>
                </c:pt>
                <c:pt idx="2">
                  <c:v>needed resources</c:v>
                </c:pt>
              </c:strCache>
            </c:strRef>
          </c:cat>
          <c:val>
            <c:numRef>
              <c:f>Updated!$AQ$25:$AQ$27</c:f>
              <c:numCache>
                <c:formatCode>General</c:formatCode>
                <c:ptCount val="3"/>
                <c:pt idx="0" formatCode="#,##0">
                  <c:v>75000</c:v>
                </c:pt>
                <c:pt idx="1">
                  <c:v>465000</c:v>
                </c:pt>
                <c:pt idx="2" formatCode="#,##0">
                  <c:v>200000</c:v>
                </c:pt>
              </c:numCache>
            </c:numRef>
          </c:val>
          <c:extLst>
            <c:ext xmlns:c16="http://schemas.microsoft.com/office/drawing/2014/chart" uri="{C3380CC4-5D6E-409C-BE32-E72D297353CC}">
              <c16:uniqueId val="{00000000-C92A-7241-9AEE-22A1DD774399}"/>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Campus Scope</a:t>
            </a:r>
            <a:r>
              <a:rPr lang="en-US" baseline="0"/>
              <a:t> 1 and 2 Greenhouse Gas Emissions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Updated!$B$35</c:f>
              <c:strCache>
                <c:ptCount val="1"/>
                <c:pt idx="0">
                  <c:v>Natural Gas</c:v>
                </c:pt>
              </c:strCache>
            </c:strRef>
          </c:tx>
          <c:spPr>
            <a:solidFill>
              <a:schemeClr val="accent2"/>
            </a:solidFill>
            <a:ln>
              <a:noFill/>
            </a:ln>
            <a:effectLst/>
          </c:spPr>
          <c:invertIfNegative val="0"/>
          <c:cat>
            <c:numRef>
              <c:f>Updated!$A$36:$A$44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Updated!$B$36:$B$44</c:f>
              <c:numCache>
                <c:formatCode>_(* #,##0_);_(* \(#,##0\);_(* "-"??_);_(@_)</c:formatCode>
                <c:ptCount val="9"/>
                <c:pt idx="0">
                  <c:v>8677.73</c:v>
                </c:pt>
                <c:pt idx="1">
                  <c:v>10104.009133272171</c:v>
                </c:pt>
                <c:pt idx="2">
                  <c:v>10623.239913639143</c:v>
                </c:pt>
                <c:pt idx="3">
                  <c:v>12500.091733667892</c:v>
                </c:pt>
                <c:pt idx="4">
                  <c:v>12221.306786778596</c:v>
                </c:pt>
                <c:pt idx="5">
                  <c:v>13601.423050190828</c:v>
                </c:pt>
                <c:pt idx="6">
                  <c:v>13043.139300335779</c:v>
                </c:pt>
                <c:pt idx="7">
                  <c:v>13941.848540472787</c:v>
                </c:pt>
                <c:pt idx="8">
                  <c:v>14222.985231804281</c:v>
                </c:pt>
              </c:numCache>
            </c:numRef>
          </c:val>
          <c:extLst>
            <c:ext xmlns:c16="http://schemas.microsoft.com/office/drawing/2014/chart" uri="{C3380CC4-5D6E-409C-BE32-E72D297353CC}">
              <c16:uniqueId val="{00000001-657C-F242-A384-D3C3361B6B24}"/>
            </c:ext>
          </c:extLst>
        </c:ser>
        <c:ser>
          <c:idx val="2"/>
          <c:order val="1"/>
          <c:tx>
            <c:strRef>
              <c:f>Updated!$C$35</c:f>
              <c:strCache>
                <c:ptCount val="1"/>
                <c:pt idx="0">
                  <c:v>Other Stationary Sources</c:v>
                </c:pt>
              </c:strCache>
            </c:strRef>
          </c:tx>
          <c:spPr>
            <a:solidFill>
              <a:schemeClr val="accent3"/>
            </a:solidFill>
            <a:ln>
              <a:noFill/>
            </a:ln>
            <a:effectLst/>
          </c:spPr>
          <c:invertIfNegative val="0"/>
          <c:cat>
            <c:numRef>
              <c:f>Updated!$A$36:$A$44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Updated!$C$36:$C$44</c:f>
              <c:numCache>
                <c:formatCode>_(* #,##0_);_(* \(#,##0\);_(* "-"??_);_(@_)</c:formatCode>
                <c:ptCount val="9"/>
                <c:pt idx="0">
                  <c:v>5685.5899999999929</c:v>
                </c:pt>
                <c:pt idx="1">
                  <c:v>5240.5356337026806</c:v>
                </c:pt>
                <c:pt idx="2">
                  <c:v>2588.7484047362232</c:v>
                </c:pt>
                <c:pt idx="3">
                  <c:v>1027.1182682120707</c:v>
                </c:pt>
                <c:pt idx="4">
                  <c:v>2820.7604689091368</c:v>
                </c:pt>
                <c:pt idx="5">
                  <c:v>1460.2661876423736</c:v>
                </c:pt>
                <c:pt idx="6">
                  <c:v>296.69638543298242</c:v>
                </c:pt>
                <c:pt idx="7">
                  <c:v>106.79721351278749</c:v>
                </c:pt>
                <c:pt idx="8">
                  <c:v>256.17346835967805</c:v>
                </c:pt>
              </c:numCache>
            </c:numRef>
          </c:val>
          <c:extLst>
            <c:ext xmlns:c16="http://schemas.microsoft.com/office/drawing/2014/chart" uri="{C3380CC4-5D6E-409C-BE32-E72D297353CC}">
              <c16:uniqueId val="{00000002-657C-F242-A384-D3C3361B6B24}"/>
            </c:ext>
          </c:extLst>
        </c:ser>
        <c:ser>
          <c:idx val="3"/>
          <c:order val="2"/>
          <c:tx>
            <c:strRef>
              <c:f>Updated!$D$35</c:f>
              <c:strCache>
                <c:ptCount val="1"/>
                <c:pt idx="0">
                  <c:v>Mobile Sources</c:v>
                </c:pt>
              </c:strCache>
            </c:strRef>
          </c:tx>
          <c:spPr>
            <a:solidFill>
              <a:schemeClr val="accent4"/>
            </a:solidFill>
            <a:ln>
              <a:noFill/>
            </a:ln>
            <a:effectLst/>
          </c:spPr>
          <c:invertIfNegative val="0"/>
          <c:cat>
            <c:numRef>
              <c:f>Updated!$A$36:$A$44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Updated!$D$36:$D$44</c:f>
              <c:numCache>
                <c:formatCode>_(* #,##0_);_(* \(#,##0\);_(* "-"??_);_(@_)</c:formatCode>
                <c:ptCount val="9"/>
                <c:pt idx="0">
                  <c:v>297.13</c:v>
                </c:pt>
                <c:pt idx="1">
                  <c:v>442.02113139310075</c:v>
                </c:pt>
                <c:pt idx="2">
                  <c:v>408.56373236610818</c:v>
                </c:pt>
                <c:pt idx="3">
                  <c:v>327.55068418795952</c:v>
                </c:pt>
                <c:pt idx="4">
                  <c:v>328.98987505576588</c:v>
                </c:pt>
                <c:pt idx="5">
                  <c:v>364.97710922540529</c:v>
                </c:pt>
                <c:pt idx="6">
                  <c:v>353.30338806450635</c:v>
                </c:pt>
                <c:pt idx="7">
                  <c:v>326.28305224171487</c:v>
                </c:pt>
                <c:pt idx="8">
                  <c:v>270.00761045646959</c:v>
                </c:pt>
              </c:numCache>
            </c:numRef>
          </c:val>
          <c:extLst>
            <c:ext xmlns:c16="http://schemas.microsoft.com/office/drawing/2014/chart" uri="{C3380CC4-5D6E-409C-BE32-E72D297353CC}">
              <c16:uniqueId val="{00000003-657C-F242-A384-D3C3361B6B24}"/>
            </c:ext>
          </c:extLst>
        </c:ser>
        <c:ser>
          <c:idx val="4"/>
          <c:order val="3"/>
          <c:tx>
            <c:strRef>
              <c:f>Updated!$E$35</c:f>
              <c:strCache>
                <c:ptCount val="1"/>
                <c:pt idx="0">
                  <c:v> Purchased Electricity</c:v>
                </c:pt>
              </c:strCache>
            </c:strRef>
          </c:tx>
          <c:spPr>
            <a:solidFill>
              <a:schemeClr val="accent5"/>
            </a:solidFill>
            <a:ln>
              <a:noFill/>
            </a:ln>
            <a:effectLst/>
          </c:spPr>
          <c:invertIfNegative val="0"/>
          <c:cat>
            <c:numRef>
              <c:f>Updated!$A$36:$A$44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Updated!$E$36:$E$44</c:f>
              <c:numCache>
                <c:formatCode>_(* #,##0_);_(* \(#,##0\);_(* "-"??_);_(@_)</c:formatCode>
                <c:ptCount val="9"/>
                <c:pt idx="0">
                  <c:v>3683.9975207264742</c:v>
                </c:pt>
                <c:pt idx="1">
                  <c:v>3739.5962863731615</c:v>
                </c:pt>
                <c:pt idx="2">
                  <c:v>3893.7646022625217</c:v>
                </c:pt>
                <c:pt idx="3">
                  <c:v>3307.2726808202769</c:v>
                </c:pt>
                <c:pt idx="4">
                  <c:v>3627.1247770590853</c:v>
                </c:pt>
                <c:pt idx="5">
                  <c:v>3260.0117782656421</c:v>
                </c:pt>
                <c:pt idx="6">
                  <c:v>3942.3089503860074</c:v>
                </c:pt>
                <c:pt idx="7">
                  <c:v>3795.7175118614546</c:v>
                </c:pt>
                <c:pt idx="8" formatCode="_-* #,##0_-;\-* #,##0_-;_-* &quot;-&quot;??_-;_-@_-">
                  <c:v>4052.4317115874846</c:v>
                </c:pt>
              </c:numCache>
            </c:numRef>
          </c:val>
          <c:extLst>
            <c:ext xmlns:c16="http://schemas.microsoft.com/office/drawing/2014/chart" uri="{C3380CC4-5D6E-409C-BE32-E72D297353CC}">
              <c16:uniqueId val="{00000004-657C-F242-A384-D3C3361B6B24}"/>
            </c:ext>
          </c:extLst>
        </c:ser>
        <c:ser>
          <c:idx val="5"/>
          <c:order val="4"/>
          <c:tx>
            <c:strRef>
              <c:f>Updated!$F$35</c:f>
              <c:strCache>
                <c:ptCount val="1"/>
                <c:pt idx="0">
                  <c:v>Transmission and Distribution Loss</c:v>
                </c:pt>
              </c:strCache>
            </c:strRef>
          </c:tx>
          <c:spPr>
            <a:solidFill>
              <a:schemeClr val="accent6"/>
            </a:solidFill>
            <a:ln>
              <a:noFill/>
            </a:ln>
            <a:effectLst/>
          </c:spPr>
          <c:invertIfNegative val="0"/>
          <c:cat>
            <c:numRef>
              <c:f>Updated!$A$36:$A$44</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Updated!$F$36:$F$44</c:f>
              <c:numCache>
                <c:formatCode>_-* #,##0.00_-;\-* #,##0.00_-;_-* "-"??_-;_-@_-</c:formatCode>
                <c:ptCount val="9"/>
                <c:pt idx="0">
                  <c:v>214.95014532577082</c:v>
                </c:pt>
                <c:pt idx="1">
                  <c:v>212.57118240634867</c:v>
                </c:pt>
                <c:pt idx="2">
                  <c:v>226.07921650795703</c:v>
                </c:pt>
                <c:pt idx="3">
                  <c:v>164.97466903063591</c:v>
                </c:pt>
                <c:pt idx="4">
                  <c:v>181.3342854183494</c:v>
                </c:pt>
                <c:pt idx="5">
                  <c:v>158.85750074513695</c:v>
                </c:pt>
                <c:pt idx="6">
                  <c:v>727.52064219684121</c:v>
                </c:pt>
                <c:pt idx="7">
                  <c:v>713.78638540882321</c:v>
                </c:pt>
                <c:pt idx="8" formatCode="_-* #,##0_-;\-* #,##0_-;_-* &quot;-&quot;??_-;_-@_-">
                  <c:v>185.92676791099515</c:v>
                </c:pt>
              </c:numCache>
            </c:numRef>
          </c:val>
          <c:extLst>
            <c:ext xmlns:c16="http://schemas.microsoft.com/office/drawing/2014/chart" uri="{C3380CC4-5D6E-409C-BE32-E72D297353CC}">
              <c16:uniqueId val="{00000005-657C-F242-A384-D3C3361B6B24}"/>
            </c:ext>
          </c:extLst>
        </c:ser>
        <c:dLbls>
          <c:showLegendKey val="0"/>
          <c:showVal val="0"/>
          <c:showCatName val="0"/>
          <c:showSerName val="0"/>
          <c:showPercent val="0"/>
          <c:showBubbleSize val="0"/>
        </c:dLbls>
        <c:gapWidth val="150"/>
        <c:overlap val="100"/>
        <c:axId val="731472959"/>
        <c:axId val="731474639"/>
      </c:barChart>
      <c:catAx>
        <c:axId val="73147295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1474639"/>
        <c:crosses val="autoZero"/>
        <c:auto val="1"/>
        <c:lblAlgn val="ctr"/>
        <c:lblOffset val="100"/>
        <c:noMultiLvlLbl val="0"/>
      </c:catAx>
      <c:valAx>
        <c:axId val="7314746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Metric Ton 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1472959"/>
        <c:crosses val="autoZero"/>
        <c:crossBetween val="between"/>
      </c:valAx>
      <c:spPr>
        <a:noFill/>
        <a:ln>
          <a:noFill/>
        </a:ln>
        <a:effectLst/>
      </c:spPr>
    </c:plotArea>
    <c:legend>
      <c:legendPos val="b"/>
      <c:layout>
        <c:manualLayout>
          <c:xMode val="edge"/>
          <c:yMode val="edge"/>
          <c:x val="0.17609120734908137"/>
          <c:y val="0.77256780402449698"/>
          <c:w val="0.75892869641294836"/>
          <c:h val="0.227432195975503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Energy Use</a:t>
            </a:r>
            <a:r>
              <a:rPr lang="en-US" baseline="0"/>
              <a:t> Weather Normalized (</a:t>
            </a:r>
            <a:r>
              <a:rPr lang="en-US"/>
              <a:t>MBTU/DD)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'Degree day data'!$F$2</c:f>
              <c:strCache>
                <c:ptCount val="1"/>
                <c:pt idx="0">
                  <c:v>MTBU/DD</c:v>
                </c:pt>
              </c:strCache>
            </c:strRef>
          </c:tx>
          <c:spPr>
            <a:ln w="28575"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0"/>
          </c:trendline>
          <c:cat>
            <c:strRef>
              <c:f>'Degree day data'!$A$3:$A$10</c:f>
              <c:strCache>
                <c:ptCount val="8"/>
                <c:pt idx="0">
                  <c:v>FY10</c:v>
                </c:pt>
                <c:pt idx="1">
                  <c:v>FY11</c:v>
                </c:pt>
                <c:pt idx="2">
                  <c:v>FY12</c:v>
                </c:pt>
                <c:pt idx="3">
                  <c:v>FY13</c:v>
                </c:pt>
                <c:pt idx="4">
                  <c:v>FY14</c:v>
                </c:pt>
                <c:pt idx="5">
                  <c:v>FY15</c:v>
                </c:pt>
                <c:pt idx="6">
                  <c:v>FY16</c:v>
                </c:pt>
                <c:pt idx="7">
                  <c:v>FY17</c:v>
                </c:pt>
              </c:strCache>
            </c:strRef>
          </c:cat>
          <c:val>
            <c:numRef>
              <c:f>'Degree day data'!$F$3:$F$10</c:f>
              <c:numCache>
                <c:formatCode>0</c:formatCode>
                <c:ptCount val="8"/>
                <c:pt idx="0">
                  <c:v>42.402030435768459</c:v>
                </c:pt>
                <c:pt idx="1">
                  <c:v>40.603930041551095</c:v>
                </c:pt>
                <c:pt idx="2">
                  <c:v>46.662713575149411</c:v>
                </c:pt>
                <c:pt idx="3">
                  <c:v>42.017862553320299</c:v>
                </c:pt>
                <c:pt idx="4">
                  <c:v>41.400673712361694</c:v>
                </c:pt>
                <c:pt idx="5">
                  <c:v>43.314573420932184</c:v>
                </c:pt>
                <c:pt idx="6">
                  <c:v>42.620801841490213</c:v>
                </c:pt>
                <c:pt idx="7">
                  <c:v>44.831549527164157</c:v>
                </c:pt>
              </c:numCache>
            </c:numRef>
          </c:val>
          <c:smooth val="0"/>
          <c:extLst>
            <c:ext xmlns:c16="http://schemas.microsoft.com/office/drawing/2014/chart" uri="{C3380CC4-5D6E-409C-BE32-E72D297353CC}">
              <c16:uniqueId val="{00000000-1534-454A-BC96-FA1E669511B2}"/>
            </c:ext>
          </c:extLst>
        </c:ser>
        <c:dLbls>
          <c:showLegendKey val="0"/>
          <c:showVal val="0"/>
          <c:showCatName val="0"/>
          <c:showSerName val="0"/>
          <c:showPercent val="0"/>
          <c:showBubbleSize val="0"/>
        </c:dLbls>
        <c:smooth val="0"/>
        <c:axId val="573155440"/>
        <c:axId val="573157136"/>
      </c:lineChart>
      <c:catAx>
        <c:axId val="57315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3157136"/>
        <c:crosses val="autoZero"/>
        <c:auto val="1"/>
        <c:lblAlgn val="ctr"/>
        <c:lblOffset val="100"/>
        <c:noMultiLvlLbl val="0"/>
      </c:catAx>
      <c:valAx>
        <c:axId val="573157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31554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Annual Resources to Meet CIF Guidepost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287D-C14E-A109-B037EF834249}"/>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287D-C14E-A109-B037EF834249}"/>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287D-C14E-A109-B037EF834249}"/>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'Degree day data'!$I$72:$I$74</c:f>
              <c:strCache>
                <c:ptCount val="3"/>
                <c:pt idx="0">
                  <c:v>restricted/earmarked for energy savings</c:v>
                </c:pt>
                <c:pt idx="1">
                  <c:v>traditional designated</c:v>
                </c:pt>
                <c:pt idx="2">
                  <c:v>needed resources</c:v>
                </c:pt>
              </c:strCache>
            </c:strRef>
          </c:cat>
          <c:val>
            <c:numRef>
              <c:f>'Degree day data'!$J$72:$J$74</c:f>
              <c:numCache>
                <c:formatCode>General</c:formatCode>
                <c:ptCount val="3"/>
                <c:pt idx="0">
                  <c:v>375</c:v>
                </c:pt>
                <c:pt idx="1">
                  <c:v>180</c:v>
                </c:pt>
                <c:pt idx="2">
                  <c:v>180</c:v>
                </c:pt>
              </c:numCache>
            </c:numRef>
          </c:val>
          <c:extLst>
            <c:ext xmlns:c16="http://schemas.microsoft.com/office/drawing/2014/chart" uri="{C3380CC4-5D6E-409C-BE32-E72D297353CC}">
              <c16:uniqueId val="{00000000-5097-6040-A661-C69E3ABEA450}"/>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12</xdr:col>
      <xdr:colOff>305627</xdr:colOff>
      <xdr:row>44</xdr:row>
      <xdr:rowOff>109331</xdr:rowOff>
    </xdr:from>
    <xdr:to>
      <xdr:col>21</xdr:col>
      <xdr:colOff>564916</xdr:colOff>
      <xdr:row>70</xdr:row>
      <xdr:rowOff>10195</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43</xdr:col>
      <xdr:colOff>351692</xdr:colOff>
      <xdr:row>4</xdr:row>
      <xdr:rowOff>142630</xdr:rowOff>
    </xdr:from>
    <xdr:to>
      <xdr:col>48</xdr:col>
      <xdr:colOff>722923</xdr:colOff>
      <xdr:row>18</xdr:row>
      <xdr:rowOff>13676</xdr:rowOff>
    </xdr:to>
    <xdr:graphicFrame macro="">
      <xdr:nvGraphicFramePr>
        <xdr:cNvPr id="4" name="Chart 3">
          <a:extLst>
            <a:ext uri="{FF2B5EF4-FFF2-40B4-BE49-F238E27FC236}">
              <a16:creationId xmlns:a16="http://schemas.microsoft.com/office/drawing/2014/main" id="{B0C075EF-899C-A94E-93F8-769607E141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92808</xdr:colOff>
      <xdr:row>32</xdr:row>
      <xdr:rowOff>976</xdr:rowOff>
    </xdr:from>
    <xdr:to>
      <xdr:col>44</xdr:col>
      <xdr:colOff>424962</xdr:colOff>
      <xdr:row>42</xdr:row>
      <xdr:rowOff>86946</xdr:rowOff>
    </xdr:to>
    <xdr:graphicFrame macro="">
      <xdr:nvGraphicFramePr>
        <xdr:cNvPr id="5" name="Chart 4">
          <a:extLst>
            <a:ext uri="{FF2B5EF4-FFF2-40B4-BE49-F238E27FC236}">
              <a16:creationId xmlns:a16="http://schemas.microsoft.com/office/drawing/2014/main" id="{E6506A80-7784-7443-AEA3-B159B26CEA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309222</xdr:colOff>
      <xdr:row>47</xdr:row>
      <xdr:rowOff>69574</xdr:rowOff>
    </xdr:from>
    <xdr:to>
      <xdr:col>8</xdr:col>
      <xdr:colOff>684701</xdr:colOff>
      <xdr:row>61</xdr:row>
      <xdr:rowOff>29817</xdr:rowOff>
    </xdr:to>
    <xdr:graphicFrame macro="">
      <xdr:nvGraphicFramePr>
        <xdr:cNvPr id="7" name="Chart 6">
          <a:extLst>
            <a:ext uri="{FF2B5EF4-FFF2-40B4-BE49-F238E27FC236}">
              <a16:creationId xmlns:a16="http://schemas.microsoft.com/office/drawing/2014/main" id="{7A891BF8-9D19-ED4B-9D4B-D11C9219B2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50800</xdr:colOff>
      <xdr:row>57</xdr:row>
      <xdr:rowOff>0</xdr:rowOff>
    </xdr:from>
    <xdr:to>
      <xdr:col>8</xdr:col>
      <xdr:colOff>749300</xdr:colOff>
      <xdr:row>69</xdr:row>
      <xdr:rowOff>0</xdr:rowOff>
    </xdr:to>
    <xdr:pic>
      <xdr:nvPicPr>
        <xdr:cNvPr id="2" name="Picture 1">
          <a:extLst>
            <a:ext uri="{FF2B5EF4-FFF2-40B4-BE49-F238E27FC236}">
              <a16:creationId xmlns:a16="http://schemas.microsoft.com/office/drawing/2014/main" id="{A1ECF9A4-814E-4846-8EFB-0FA2D0ACE0C8}"/>
            </a:ext>
          </a:extLst>
        </xdr:cNvPr>
        <xdr:cNvPicPr>
          <a:picLocks noChangeAspect="1"/>
        </xdr:cNvPicPr>
      </xdr:nvPicPr>
      <xdr:blipFill>
        <a:blip xmlns:r="http://schemas.openxmlformats.org/officeDocument/2006/relationships" r:embed="rId1"/>
        <a:stretch>
          <a:fillRect/>
        </a:stretch>
      </xdr:blipFill>
      <xdr:spPr>
        <a:xfrm>
          <a:off x="6311900" y="11099800"/>
          <a:ext cx="5905500" cy="2438400"/>
        </a:xfrm>
        <a:prstGeom prst="rect">
          <a:avLst/>
        </a:prstGeom>
      </xdr:spPr>
    </xdr:pic>
    <xdr:clientData/>
  </xdr:twoCellAnchor>
  <xdr:twoCellAnchor editAs="oneCell">
    <xdr:from>
      <xdr:col>0</xdr:col>
      <xdr:colOff>2044700</xdr:colOff>
      <xdr:row>82</xdr:row>
      <xdr:rowOff>0</xdr:rowOff>
    </xdr:from>
    <xdr:to>
      <xdr:col>6</xdr:col>
      <xdr:colOff>419100</xdr:colOff>
      <xdr:row>96</xdr:row>
      <xdr:rowOff>152400</xdr:rowOff>
    </xdr:to>
    <xdr:pic>
      <xdr:nvPicPr>
        <xdr:cNvPr id="3" name="Picture 2">
          <a:extLst>
            <a:ext uri="{FF2B5EF4-FFF2-40B4-BE49-F238E27FC236}">
              <a16:creationId xmlns:a16="http://schemas.microsoft.com/office/drawing/2014/main" id="{96D5DCFD-1357-0F46-B2D7-4136A399C098}"/>
            </a:ext>
          </a:extLst>
        </xdr:cNvPr>
        <xdr:cNvPicPr>
          <a:picLocks noChangeAspect="1"/>
        </xdr:cNvPicPr>
      </xdr:nvPicPr>
      <xdr:blipFill>
        <a:blip xmlns:r="http://schemas.openxmlformats.org/officeDocument/2006/relationships" r:embed="rId2"/>
        <a:stretch>
          <a:fillRect/>
        </a:stretch>
      </xdr:blipFill>
      <xdr:spPr>
        <a:xfrm>
          <a:off x="2044700" y="16179800"/>
          <a:ext cx="7759700" cy="2997200"/>
        </a:xfrm>
        <a:prstGeom prst="rect">
          <a:avLst/>
        </a:prstGeom>
      </xdr:spPr>
    </xdr:pic>
    <xdr:clientData/>
  </xdr:twoCellAnchor>
  <xdr:twoCellAnchor editAs="oneCell">
    <xdr:from>
      <xdr:col>0</xdr:col>
      <xdr:colOff>12700</xdr:colOff>
      <xdr:row>55</xdr:row>
      <xdr:rowOff>190500</xdr:rowOff>
    </xdr:from>
    <xdr:to>
      <xdr:col>2</xdr:col>
      <xdr:colOff>622300</xdr:colOff>
      <xdr:row>68</xdr:row>
      <xdr:rowOff>190500</xdr:rowOff>
    </xdr:to>
    <xdr:pic>
      <xdr:nvPicPr>
        <xdr:cNvPr id="5" name="Picture 4">
          <a:extLst>
            <a:ext uri="{FF2B5EF4-FFF2-40B4-BE49-F238E27FC236}">
              <a16:creationId xmlns:a16="http://schemas.microsoft.com/office/drawing/2014/main" id="{1571486F-41D4-CA4C-B9F8-A333D7BC165D}"/>
            </a:ext>
          </a:extLst>
        </xdr:cNvPr>
        <xdr:cNvPicPr>
          <a:picLocks noChangeAspect="1"/>
        </xdr:cNvPicPr>
      </xdr:nvPicPr>
      <xdr:blipFill>
        <a:blip xmlns:r="http://schemas.openxmlformats.org/officeDocument/2006/relationships" r:embed="rId3"/>
        <a:stretch>
          <a:fillRect/>
        </a:stretch>
      </xdr:blipFill>
      <xdr:spPr>
        <a:xfrm>
          <a:off x="12700" y="10883900"/>
          <a:ext cx="5829300" cy="2641600"/>
        </a:xfrm>
        <a:prstGeom prst="rect">
          <a:avLst/>
        </a:prstGeom>
      </xdr:spPr>
    </xdr:pic>
    <xdr:clientData/>
  </xdr:twoCellAnchor>
  <xdr:twoCellAnchor editAs="oneCell">
    <xdr:from>
      <xdr:col>0</xdr:col>
      <xdr:colOff>2184400</xdr:colOff>
      <xdr:row>70</xdr:row>
      <xdr:rowOff>165100</xdr:rowOff>
    </xdr:from>
    <xdr:to>
      <xdr:col>6</xdr:col>
      <xdr:colOff>571500</xdr:colOff>
      <xdr:row>81</xdr:row>
      <xdr:rowOff>152400</xdr:rowOff>
    </xdr:to>
    <xdr:pic>
      <xdr:nvPicPr>
        <xdr:cNvPr id="6" name="Picture 5">
          <a:extLst>
            <a:ext uri="{FF2B5EF4-FFF2-40B4-BE49-F238E27FC236}">
              <a16:creationId xmlns:a16="http://schemas.microsoft.com/office/drawing/2014/main" id="{3F9E4D4F-524A-7040-B0F2-B4D9B6B681D9}"/>
            </a:ext>
          </a:extLst>
        </xdr:cNvPr>
        <xdr:cNvPicPr>
          <a:picLocks noChangeAspect="1"/>
        </xdr:cNvPicPr>
      </xdr:nvPicPr>
      <xdr:blipFill>
        <a:blip xmlns:r="http://schemas.openxmlformats.org/officeDocument/2006/relationships" r:embed="rId4"/>
        <a:stretch>
          <a:fillRect/>
        </a:stretch>
      </xdr:blipFill>
      <xdr:spPr>
        <a:xfrm>
          <a:off x="2184400" y="13906500"/>
          <a:ext cx="7772400" cy="2222500"/>
        </a:xfrm>
        <a:prstGeom prst="rect">
          <a:avLst/>
        </a:prstGeom>
      </xdr:spPr>
    </xdr:pic>
    <xdr:clientData/>
  </xdr:twoCellAnchor>
  <xdr:twoCellAnchor editAs="oneCell">
    <xdr:from>
      <xdr:col>0</xdr:col>
      <xdr:colOff>1905000</xdr:colOff>
      <xdr:row>95</xdr:row>
      <xdr:rowOff>88900</xdr:rowOff>
    </xdr:from>
    <xdr:to>
      <xdr:col>6</xdr:col>
      <xdr:colOff>533400</xdr:colOff>
      <xdr:row>108</xdr:row>
      <xdr:rowOff>114300</xdr:rowOff>
    </xdr:to>
    <xdr:pic>
      <xdr:nvPicPr>
        <xdr:cNvPr id="8" name="Picture 7">
          <a:extLst>
            <a:ext uri="{FF2B5EF4-FFF2-40B4-BE49-F238E27FC236}">
              <a16:creationId xmlns:a16="http://schemas.microsoft.com/office/drawing/2014/main" id="{798EFD22-64B1-DD48-AC6F-0CA7DB1B620C}"/>
            </a:ext>
          </a:extLst>
        </xdr:cNvPr>
        <xdr:cNvPicPr>
          <a:picLocks noChangeAspect="1"/>
        </xdr:cNvPicPr>
      </xdr:nvPicPr>
      <xdr:blipFill>
        <a:blip xmlns:r="http://schemas.openxmlformats.org/officeDocument/2006/relationships" r:embed="rId5"/>
        <a:stretch>
          <a:fillRect/>
        </a:stretch>
      </xdr:blipFill>
      <xdr:spPr>
        <a:xfrm>
          <a:off x="1905000" y="18910300"/>
          <a:ext cx="8013700" cy="2667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317500</xdr:colOff>
      <xdr:row>11</xdr:row>
      <xdr:rowOff>120650</xdr:rowOff>
    </xdr:from>
    <xdr:to>
      <xdr:col>17</xdr:col>
      <xdr:colOff>609600</xdr:colOff>
      <xdr:row>28</xdr:row>
      <xdr:rowOff>63500</xdr:rowOff>
    </xdr:to>
    <xdr:graphicFrame macro="">
      <xdr:nvGraphicFramePr>
        <xdr:cNvPr id="2" name="Chart 1">
          <a:extLst>
            <a:ext uri="{FF2B5EF4-FFF2-40B4-BE49-F238E27FC236}">
              <a16:creationId xmlns:a16="http://schemas.microsoft.com/office/drawing/2014/main" id="{A9985116-5958-7A4D-9B65-65A4FFF5CF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717550</xdr:colOff>
      <xdr:row>78</xdr:row>
      <xdr:rowOff>50800</xdr:rowOff>
    </xdr:from>
    <xdr:to>
      <xdr:col>11</xdr:col>
      <xdr:colOff>133350</xdr:colOff>
      <xdr:row>91</xdr:row>
      <xdr:rowOff>152400</xdr:rowOff>
    </xdr:to>
    <xdr:graphicFrame macro="">
      <xdr:nvGraphicFramePr>
        <xdr:cNvPr id="3" name="Chart 2">
          <a:extLst>
            <a:ext uri="{FF2B5EF4-FFF2-40B4-BE49-F238E27FC236}">
              <a16:creationId xmlns:a16="http://schemas.microsoft.com/office/drawing/2014/main" id="{E460D16B-12AD-A64E-B951-D1D7A19BB6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Physical%20Plant%20Financial/FY1718/Utility%20Invoices%2017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Small"/>
      <sheetName val="NG"/>
      <sheetName val="NG Cogen"/>
      <sheetName val="NG Main"/>
      <sheetName val="NG Small"/>
      <sheetName val="Electricity Main"/>
      <sheetName val="Electricity Small"/>
      <sheetName val="Water"/>
      <sheetName val="Water (2)"/>
      <sheetName val="CoGen Diesel #2"/>
      <sheetName val="Heat Plant Oil #6"/>
      <sheetName val="Wood Pellets"/>
      <sheetName val="Propane Gas"/>
      <sheetName val="Summary FY18"/>
      <sheetName val="SC usage"/>
      <sheetName val="T5 Summary"/>
      <sheetName val="T5"/>
      <sheetName val="Total Budget Variance"/>
      <sheetName val="CES Budget FY17"/>
      <sheetName val="Utilities FY17"/>
      <sheetName val="CES budget"/>
      <sheetName val="Summary FY16"/>
      <sheetName val="Summary FY15"/>
      <sheetName val="Summary FY14"/>
      <sheetName val="Summary FY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4">
          <cell r="O4">
            <v>8264300</v>
          </cell>
        </row>
        <row r="5">
          <cell r="O5">
            <v>8748600</v>
          </cell>
        </row>
        <row r="6">
          <cell r="O6">
            <v>7662900</v>
          </cell>
        </row>
        <row r="7">
          <cell r="O7">
            <v>9487800</v>
          </cell>
        </row>
        <row r="8">
          <cell r="O8">
            <v>9569700</v>
          </cell>
        </row>
      </sheetData>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AQ44"/>
  <sheetViews>
    <sheetView tabSelected="1" zoomScale="115" zoomScaleNormal="130" workbookViewId="0">
      <pane xSplit="3" ySplit="4" topLeftCell="D28" activePane="bottomRight" state="frozen"/>
      <selection pane="topRight" activeCell="D1" sqref="D1"/>
      <selection pane="bottomLeft" activeCell="A5" sqref="A5"/>
      <selection pane="bottomRight" activeCell="K57" sqref="K57"/>
    </sheetView>
  </sheetViews>
  <sheetFormatPr baseColWidth="10" defaultColWidth="11" defaultRowHeight="16" x14ac:dyDescent="0.2"/>
  <cols>
    <col min="2" max="2" width="18.1640625" customWidth="1"/>
    <col min="3" max="3" width="9.33203125" customWidth="1"/>
    <col min="9" max="9" width="11.1640625" customWidth="1"/>
    <col min="11" max="11" width="11.5" bestFit="1" customWidth="1"/>
    <col min="14" max="14" width="17.5" customWidth="1"/>
    <col min="25" max="25" width="14.6640625" customWidth="1"/>
    <col min="27" max="27" width="9.33203125" customWidth="1"/>
    <col min="30" max="30" width="11.5" bestFit="1" customWidth="1"/>
    <col min="32" max="32" width="11.5" bestFit="1" customWidth="1"/>
    <col min="41" max="41" width="12.6640625" bestFit="1" customWidth="1"/>
    <col min="42" max="42" width="22.5" customWidth="1"/>
  </cols>
  <sheetData>
    <row r="1" spans="1:41" x14ac:dyDescent="0.2">
      <c r="A1" s="14"/>
      <c r="B1" s="14"/>
      <c r="C1" s="761" t="s">
        <v>0</v>
      </c>
      <c r="D1" s="762"/>
      <c r="E1" s="763"/>
      <c r="F1" s="761" t="s">
        <v>1</v>
      </c>
      <c r="G1" s="762"/>
      <c r="H1" s="763"/>
      <c r="I1" s="759" t="s">
        <v>2</v>
      </c>
      <c r="J1" s="759"/>
      <c r="K1" s="759"/>
      <c r="L1" s="759" t="s">
        <v>3</v>
      </c>
      <c r="M1" s="759"/>
      <c r="N1" s="759"/>
      <c r="O1" s="759" t="s">
        <v>4</v>
      </c>
      <c r="P1" s="759"/>
      <c r="Q1" s="759"/>
      <c r="R1" s="759" t="s">
        <v>5</v>
      </c>
      <c r="S1" s="759"/>
      <c r="T1" s="759"/>
      <c r="U1" s="759" t="s">
        <v>6</v>
      </c>
      <c r="V1" s="759"/>
      <c r="W1" s="759"/>
      <c r="X1" s="759" t="s">
        <v>7</v>
      </c>
      <c r="Y1" s="759"/>
      <c r="Z1" s="759"/>
      <c r="AA1" s="759" t="s">
        <v>1445</v>
      </c>
      <c r="AB1" s="759"/>
      <c r="AC1" s="759"/>
      <c r="AD1" s="743" t="s">
        <v>1788</v>
      </c>
      <c r="AE1" s="743"/>
      <c r="AF1" s="743"/>
      <c r="AG1" s="759" t="s">
        <v>1793</v>
      </c>
      <c r="AH1" s="759"/>
      <c r="AI1" s="759"/>
      <c r="AJ1" s="743"/>
      <c r="AK1" s="743"/>
      <c r="AL1" s="743"/>
    </row>
    <row r="2" spans="1:41" ht="30" x14ac:dyDescent="0.2">
      <c r="A2" s="1"/>
      <c r="B2" s="1"/>
      <c r="C2" s="2" t="s">
        <v>8</v>
      </c>
      <c r="D2" s="3" t="s">
        <v>9</v>
      </c>
      <c r="E2" s="4" t="s">
        <v>10</v>
      </c>
      <c r="F2" s="5" t="s">
        <v>11</v>
      </c>
      <c r="G2" s="6" t="s">
        <v>12</v>
      </c>
      <c r="H2" s="7" t="s">
        <v>13</v>
      </c>
      <c r="I2" s="2" t="s">
        <v>11</v>
      </c>
      <c r="J2" s="6" t="s">
        <v>12</v>
      </c>
      <c r="K2" s="7" t="s">
        <v>13</v>
      </c>
      <c r="L2" s="2" t="s">
        <v>11</v>
      </c>
      <c r="M2" s="6" t="s">
        <v>12</v>
      </c>
      <c r="N2" s="7" t="s">
        <v>13</v>
      </c>
      <c r="O2" s="2" t="s">
        <v>11</v>
      </c>
      <c r="P2" s="6" t="s">
        <v>12</v>
      </c>
      <c r="Q2" s="7" t="s">
        <v>13</v>
      </c>
      <c r="R2" s="2" t="s">
        <v>11</v>
      </c>
      <c r="S2" s="6" t="s">
        <v>12</v>
      </c>
      <c r="T2" s="7" t="s">
        <v>13</v>
      </c>
      <c r="U2" s="2" t="s">
        <v>11</v>
      </c>
      <c r="V2" s="6" t="s">
        <v>12</v>
      </c>
      <c r="W2" s="7" t="s">
        <v>13</v>
      </c>
      <c r="X2" s="2" t="s">
        <v>11</v>
      </c>
      <c r="Y2" s="6" t="s">
        <v>12</v>
      </c>
      <c r="Z2" s="7" t="s">
        <v>13</v>
      </c>
      <c r="AA2" s="2" t="s">
        <v>11</v>
      </c>
      <c r="AB2" s="6" t="s">
        <v>12</v>
      </c>
      <c r="AC2" s="7" t="s">
        <v>13</v>
      </c>
      <c r="AD2" s="753" t="s">
        <v>11</v>
      </c>
      <c r="AE2" s="6" t="s">
        <v>12</v>
      </c>
      <c r="AF2" s="7" t="s">
        <v>13</v>
      </c>
      <c r="AG2" s="753" t="s">
        <v>11</v>
      </c>
      <c r="AH2" s="6" t="s">
        <v>12</v>
      </c>
      <c r="AI2" s="7" t="s">
        <v>13</v>
      </c>
      <c r="AJ2" s="753"/>
      <c r="AK2" s="744"/>
      <c r="AL2" s="744"/>
    </row>
    <row r="3" spans="1:41" x14ac:dyDescent="0.2">
      <c r="A3" s="15" t="s">
        <v>14</v>
      </c>
      <c r="B3" s="16"/>
      <c r="C3" s="17"/>
      <c r="D3" s="18"/>
      <c r="E3" s="19"/>
      <c r="F3" s="20"/>
      <c r="G3" s="21"/>
      <c r="H3" s="22"/>
      <c r="I3" s="17"/>
      <c r="J3" s="21"/>
      <c r="K3" s="22"/>
      <c r="L3" s="20"/>
      <c r="M3" s="21"/>
      <c r="N3" s="22"/>
      <c r="O3" s="17"/>
      <c r="P3" s="21"/>
      <c r="Q3" s="22"/>
      <c r="R3" s="17"/>
      <c r="S3" s="21"/>
      <c r="T3" s="22"/>
      <c r="U3" s="17"/>
      <c r="V3" s="21"/>
      <c r="W3" s="22"/>
      <c r="X3" s="17"/>
      <c r="Y3" s="21"/>
      <c r="Z3" s="19"/>
      <c r="AA3" s="17"/>
      <c r="AB3" s="21"/>
      <c r="AC3" s="19"/>
      <c r="AD3" s="754"/>
      <c r="AE3" s="21"/>
      <c r="AF3" s="19"/>
      <c r="AG3" s="17"/>
      <c r="AH3" s="21"/>
      <c r="AI3" s="19"/>
      <c r="AJ3" s="754"/>
      <c r="AK3" s="26"/>
      <c r="AL3" s="26"/>
    </row>
    <row r="4" spans="1:41" x14ac:dyDescent="0.2">
      <c r="A4" s="23" t="s">
        <v>15</v>
      </c>
      <c r="B4" s="24"/>
      <c r="C4" s="25"/>
      <c r="D4" s="26"/>
      <c r="E4" s="27"/>
      <c r="F4" s="28"/>
      <c r="G4" s="29"/>
      <c r="H4" s="30">
        <f>SUM(H5:H9)</f>
        <v>14363.319999999992</v>
      </c>
      <c r="I4" s="25"/>
      <c r="J4" s="29"/>
      <c r="K4" s="30">
        <f>SUM(K5:K9)</f>
        <v>15344.544766974852</v>
      </c>
      <c r="L4" s="28"/>
      <c r="M4" s="29"/>
      <c r="N4" s="30">
        <f>SUM(N5:N9)</f>
        <v>13211.988318375366</v>
      </c>
      <c r="O4" s="28"/>
      <c r="P4" s="29"/>
      <c r="Q4" s="30">
        <f>SUM(Q5:Q9)</f>
        <v>13527.210001879963</v>
      </c>
      <c r="R4" s="25"/>
      <c r="S4" s="29"/>
      <c r="T4" s="30">
        <f>SUM(T5:T9)</f>
        <v>15042.067255687733</v>
      </c>
      <c r="U4" s="25"/>
      <c r="V4" s="29"/>
      <c r="W4" s="30">
        <f>SUM(W5:W9)</f>
        <v>15061.689237833201</v>
      </c>
      <c r="X4" s="25"/>
      <c r="Y4" s="29"/>
      <c r="Z4" s="30">
        <f>SUM(Z5:Z9)</f>
        <v>13339.835685768761</v>
      </c>
      <c r="AA4" s="25"/>
      <c r="AB4" s="29"/>
      <c r="AC4" s="30">
        <f>SUM(AC5:AC9)</f>
        <v>14048.645753985575</v>
      </c>
      <c r="AD4" s="755"/>
      <c r="AE4" s="29"/>
      <c r="AF4" s="30">
        <f>SUM(AF5:AF9)</f>
        <v>14479.15870016396</v>
      </c>
      <c r="AG4" s="25"/>
      <c r="AH4" s="29"/>
      <c r="AI4" s="30"/>
      <c r="AJ4" s="755"/>
      <c r="AK4" s="745"/>
      <c r="AL4" s="745"/>
    </row>
    <row r="5" spans="1:41" x14ac:dyDescent="0.2">
      <c r="A5" s="23"/>
      <c r="B5" s="24" t="s">
        <v>1117</v>
      </c>
      <c r="C5" s="31" t="s">
        <v>16</v>
      </c>
      <c r="D5" s="32">
        <v>1.02440966242033E-2</v>
      </c>
      <c r="E5" s="33">
        <v>138.69</v>
      </c>
      <c r="F5" s="34">
        <f>18284.1+202526</f>
        <v>220810.1</v>
      </c>
      <c r="G5" s="29">
        <f>F5*$E5</f>
        <v>30624152.769000001</v>
      </c>
      <c r="H5" s="35">
        <f>$D5*F5</f>
        <v>2261.9999999999932</v>
      </c>
      <c r="I5" s="36">
        <f>37060.92+157532</f>
        <v>194592.91999999998</v>
      </c>
      <c r="J5" s="29">
        <f>I5*$E5</f>
        <v>26988092.074799996</v>
      </c>
      <c r="K5" s="35">
        <f>$D5*I5</f>
        <v>1993.4286748658626</v>
      </c>
      <c r="L5" s="34">
        <v>54044</v>
      </c>
      <c r="M5" s="29">
        <f>L5*$E5</f>
        <v>7495362.3600000003</v>
      </c>
      <c r="N5" s="35">
        <f>$D5*L5</f>
        <v>553.63195795844308</v>
      </c>
      <c r="O5" s="29">
        <f>SUM('Oil Small'!F36,'Oil Small'!F41,'Oil Small'!F48,'Oil Small'!F87,'Oil Small'!F111,'Oil Small'!F137,'Oil Small'!F177,'Oil Small'!F212,'Oil Small'!F236,'Oil Small'!F256,'Oil Small'!F266,'CoGen Diesel #2'!D14,'CoGen Diesel #2'!D19)</f>
        <v>52234.34</v>
      </c>
      <c r="P5" s="29">
        <f>O5*$E5</f>
        <v>7244380.614599999</v>
      </c>
      <c r="Q5" s="35">
        <f>$D5*O5</f>
        <v>535.09362606148738</v>
      </c>
      <c r="R5" s="29">
        <f>SUM('CoGen Diesel #2'!D24,'CoGen Diesel #2'!D27,'CoGen Diesel #2'!D32,'CoGen Diesel #2'!D35,'Oil Small'!F279,'Oil Small'!F288,'Oil Small'!F295,'Oil Small'!F307,'Oil Small'!F336,'Oil Small'!F369,'Oil Small'!F420,'Oil Small'!F467,'Oil Small'!F496,'Oil Small'!F513,'Oil Small'!F520,'Oil Small'!F528)</f>
        <v>74567.8</v>
      </c>
      <c r="S5" s="29">
        <f>R5*$E5</f>
        <v>10341808.182</v>
      </c>
      <c r="T5" s="35">
        <f>$D5*R5</f>
        <v>763.87974825426681</v>
      </c>
      <c r="U5" s="29">
        <f>SUM('Oil Small'!F540,'Oil Small'!F552,'Oil Small'!F563,'Oil Small'!F579,'Oil Small'!F594,'Oil Small'!F608,'Oil Small'!F620,'Oil Small'!F627,'CoGen Diesel #2'!D43,'CoGen Diesel #2'!D46)</f>
        <v>50448.299999999996</v>
      </c>
      <c r="V5" s="29">
        <f>U5*$E5</f>
        <v>6996674.726999999</v>
      </c>
      <c r="W5" s="35">
        <f>$D5*U5</f>
        <v>516.79725972679523</v>
      </c>
      <c r="X5" s="29">
        <f>SUM('Oil Small'!F636,'Oil Small'!F643,'Oil Small'!F655,'Oil Small'!F665,'Oil Small'!F677,'Oil Small'!F690,'Oil Small'!F703,'Oil Small'!F715,'Oil Small'!F728)</f>
        <v>6439.1</v>
      </c>
      <c r="Y5" s="29">
        <f>X5*$E5</f>
        <v>893038.77899999998</v>
      </c>
      <c r="Z5" s="35">
        <f>$D5*X5</f>
        <v>65.962762572907465</v>
      </c>
      <c r="AA5" s="29">
        <f>SUM('Oil Small'!F744,'Oil Small'!F751,'Oil Small'!F760,'Oil Small'!F772,'Oil Small'!F783,'Oil Small'!F800,'Oil Small'!F811,'Oil Small'!F823,'Oil Small'!F833,'Oil Small'!F842,'Oil Small'!F849,'Bulk Fuels'!J419)</f>
        <v>7927.6</v>
      </c>
      <c r="AB5" s="29">
        <f>AA5*$E5</f>
        <v>1099478.844</v>
      </c>
      <c r="AC5" s="35">
        <f>$D5*AA5</f>
        <v>81.211100398034077</v>
      </c>
      <c r="AD5" s="756">
        <v>7839.5</v>
      </c>
      <c r="AE5" s="29">
        <f>AD5*$E5</f>
        <v>1087260.2549999999</v>
      </c>
      <c r="AF5" s="35">
        <f>$D5*AD5</f>
        <v>80.308595485441771</v>
      </c>
      <c r="AG5" s="29"/>
      <c r="AH5" s="29"/>
      <c r="AI5" s="35"/>
      <c r="AJ5" s="756"/>
      <c r="AK5" s="746"/>
      <c r="AL5" s="746"/>
    </row>
    <row r="6" spans="1:41" x14ac:dyDescent="0.2">
      <c r="A6" s="23"/>
      <c r="B6" s="24" t="s">
        <v>1116</v>
      </c>
      <c r="C6" s="31" t="s">
        <v>17</v>
      </c>
      <c r="D6" s="32">
        <v>5.307480122324159E-2</v>
      </c>
      <c r="E6" s="37">
        <v>1000</v>
      </c>
      <c r="F6" s="34">
        <v>163500</v>
      </c>
      <c r="G6" s="29">
        <f>F6*$E6</f>
        <v>163500000</v>
      </c>
      <c r="H6" s="35">
        <f>$D6*F6</f>
        <v>8677.73</v>
      </c>
      <c r="I6" s="36">
        <v>190373</v>
      </c>
      <c r="J6" s="29">
        <f>I6*$E6</f>
        <v>190373000</v>
      </c>
      <c r="K6" s="35">
        <f>$D6*I6</f>
        <v>10104.009133272171</v>
      </c>
      <c r="L6" s="34">
        <v>200156</v>
      </c>
      <c r="M6" s="29">
        <f>L6*$E6</f>
        <v>200156000</v>
      </c>
      <c r="N6" s="35">
        <f>$D6*L6</f>
        <v>10623.239913639143</v>
      </c>
      <c r="O6" s="29">
        <f>SUM('NG Main'!D17,'NG Main'!D21,'NG Main'!D25,'NG Main'!D29,'NG Main'!D33,'NG Main'!D37,'NG Main'!D41,'NG Main'!D45,'NG Main'!D49,'NG Main'!D53,'NG Main'!D57,'NG Main'!D61,'NG Cogen'!D17,'NG Cogen'!D21,'NG Cogen'!D25,'NG Cogen'!D29,'NG Cogen'!D33,'NG Cogen'!D37,'NG Cogen'!D41,'NG Cogen'!D45,'NG Cogen'!D49,'NG Cogen'!D53,'NG Cogen'!D57,'NG Cogen'!D61,'NG Small'!D232,'NG Small'!D273,'NG Small'!D315,'NG Small'!D356,'NG Small'!D396,'NG Small'!D436,'NG Small'!D497)/10</f>
        <v>235518.39000000004</v>
      </c>
      <c r="P6" s="29">
        <f>O6*$E6</f>
        <v>235518390.00000003</v>
      </c>
      <c r="Q6" s="35">
        <f>$D6*O6</f>
        <v>12500.091733667892</v>
      </c>
      <c r="R6" s="29">
        <f>SUM('NG Main'!D68,'NG Main'!D72,'NG Main'!D76,'NG Main'!D80,'NG Main'!D84,'NG Main'!D88,'NG Main'!D92,'NG Main'!D96,'NG Main'!D100,'NG Main'!D104,'NG Main'!D108,'NG Main'!D112,'NG Cogen'!D68,'NG Cogen'!D72,'NG Cogen'!D76,'NG Cogen'!D80,'NG Cogen'!D84,'NG Cogen'!D88,'NG Cogen'!D92,'NG Cogen'!D96,'NG Cogen'!D100,'NG Cogen'!D104,'NG Cogen'!D108,'NG Cogen'!D112,'NG Small'!D539,'NG Small'!D578,'NG Small'!D619,'NG Small'!D661,'NG Small'!D703,'NG Small'!D746,'NG Small'!D789,'NG Small'!D832,'NG Small'!D876,'NG Small'!D920,'NG Small'!D964,'NG Small'!D1008)/10</f>
        <v>230265.71000000005</v>
      </c>
      <c r="S6" s="29">
        <f>R6*$E6</f>
        <v>230265710.00000006</v>
      </c>
      <c r="T6" s="35">
        <f>$D6*R6</f>
        <v>12221.306786778596</v>
      </c>
      <c r="U6" s="29">
        <f>SUM('NG Main'!D124,'NG Main'!D128,'NG Main'!D132,'NG Main'!D136,'NG Main'!D140,'NG Main'!D144,'NG Main'!D148,'NG Main'!D152,'NG Main'!D156,'NG Main'!D160,'NG Main'!D164,'NG Main'!D168,'NG Cogen'!D124,'NG Cogen'!D128,'NG Cogen'!D132,'NG Cogen'!D136,'NG Cogen'!D140,'NG Cogen'!D144,'NG Cogen'!D148,'NG Cogen'!D152,'NG Cogen'!D156,'NG Cogen'!D160,'NG Cogen'!D164,'NG Cogen'!D168,'NG Small'!D1055,'NG Small'!D1099,'NG Small'!D1144,'NG Small'!D1189,'NG Small'!D1234,'NG Small'!D1279,'NG Small'!D1324,'NG Small'!D1369,'NG Small'!D1414,'NG Small'!D1459,'NG Small'!D1504,'NG Small'!D1549)/10</f>
        <v>256268.94000000003</v>
      </c>
      <c r="V6" s="29">
        <f>U6*$E6</f>
        <v>256268940.00000003</v>
      </c>
      <c r="W6" s="35">
        <f>$D6*U6</f>
        <v>13601.423050190828</v>
      </c>
      <c r="X6" s="29">
        <f>SUM('NG Main'!D185,'NG Main'!D189,'NG Main'!D193,'NG Main'!D197,'NG Main'!D201,'NG Main'!D205,'NG Main'!D209,'NG Main'!D213,'NG Main'!D217,'NG Main'!D221,'NG Main'!D225,'NG Main'!D229,'NG Cogen'!D185,'NG Cogen'!D189,'NG Cogen'!D193,'NG Cogen'!D197,'NG Cogen'!D201,'NG Cogen'!D205,'NG Cogen'!D209,'NG Cogen'!D213,'NG Cogen'!D217,'NG Cogen'!D221,'NG Cogen'!D225,'NG Cogen'!D229,'NG Small'!D1596,'NG Small'!D1641,'NG Small'!D1686,'NG Small'!D1731,'NG Small'!D1776,'NG Small'!D1821,'NG Small'!D1866,'NG Small'!D1917,'NG Small'!D1963,'NG Small'!D2008,'NG Small'!D2045,'NG Small'!D2082)/10</f>
        <v>245750.12999999998</v>
      </c>
      <c r="Y6" s="29">
        <f>X6*$E6</f>
        <v>245750129.99999997</v>
      </c>
      <c r="Z6" s="35">
        <f>$D6*X6</f>
        <v>13043.139300335779</v>
      </c>
      <c r="AA6" s="29">
        <f>SUM('NG Main'!D246,'NG Main'!D250,'NG Main'!D254,'NG Main'!D258,'NG Main'!D262,'NG Main'!D266,'NG Main'!D270,'NG Main'!D274,'NG Main'!D278,'NG Main'!D282,'NG Main'!D286,'NG Main'!D290,'NG Cogen'!D246,'NG Cogen'!D250,'NG Cogen'!D254,'NG Cogen'!D258,'NG Cogen'!D262,'NG Cogen'!D266,'NG Cogen'!D270,'NG Cogen'!D274,'NG Cogen'!D278,'NG Cogen'!D282,'NG Cogen'!D286,'NG Cogen'!D290,'NG Small'!D2129,'NG Small'!D2174,'NG Small'!D2220,'NG Small'!D2266,'NG Small'!D2312,'NG Small'!D2358,'NG Small'!D2404,'NG Small'!D2450,'NG Small'!D2496,'NG Small'!D2542,'NG Small'!D2588,'NG Small'!D2633)/10</f>
        <v>262683.01000000007</v>
      </c>
      <c r="AB6" s="29">
        <f>AA6*$E6</f>
        <v>262683010.00000006</v>
      </c>
      <c r="AC6" s="35">
        <f>$D6*AA6</f>
        <v>13941.848540472787</v>
      </c>
      <c r="AD6" s="756">
        <v>267980</v>
      </c>
      <c r="AE6" s="29">
        <f>AD6*$E6</f>
        <v>267980000</v>
      </c>
      <c r="AF6" s="35">
        <f>$D6*AD6</f>
        <v>14222.985231804281</v>
      </c>
      <c r="AG6" s="29"/>
      <c r="AH6" s="29"/>
      <c r="AI6" s="35"/>
      <c r="AJ6" s="756"/>
      <c r="AK6" s="746"/>
      <c r="AL6" s="746"/>
    </row>
    <row r="7" spans="1:41" x14ac:dyDescent="0.2">
      <c r="A7" s="23"/>
      <c r="B7" s="24" t="s">
        <v>1118</v>
      </c>
      <c r="C7" s="31" t="s">
        <v>16</v>
      </c>
      <c r="D7" s="32">
        <v>5.6229508196721303E-3</v>
      </c>
      <c r="E7" s="37">
        <v>91.65</v>
      </c>
      <c r="F7" s="34">
        <v>3050</v>
      </c>
      <c r="G7" s="29">
        <f>F7*$E7</f>
        <v>279532.5</v>
      </c>
      <c r="H7" s="35">
        <f>$D7*F7</f>
        <v>17.149999999999999</v>
      </c>
      <c r="I7" s="36">
        <v>3466.3</v>
      </c>
      <c r="J7" s="29">
        <f>I7*$E7</f>
        <v>317686.39500000002</v>
      </c>
      <c r="K7" s="35">
        <f>$D7*I7</f>
        <v>19.490834426229508</v>
      </c>
      <c r="L7" s="34">
        <v>5491</v>
      </c>
      <c r="M7" s="29">
        <f>L7*$E7</f>
        <v>503250.15</v>
      </c>
      <c r="N7" s="35">
        <f>$D7*L7</f>
        <v>30.875622950819668</v>
      </c>
      <c r="O7" s="29">
        <f>SUM('Propane Gas'!E7,'Propane Gas'!E11,'Propane Gas'!E18,'Propane Gas'!E29,'Propane Gas'!E35,'Propane Gas'!E39,'Propane Gas'!E43,'Propane Gas'!E49,'Propane Gas'!E54,'Propane Gas'!E60,'Propane Gas'!E65)</f>
        <v>4052.2</v>
      </c>
      <c r="P7" s="29">
        <f>O7*$E7</f>
        <v>371384.13</v>
      </c>
      <c r="Q7" s="35">
        <f>$D7*O7</f>
        <v>22.785321311475407</v>
      </c>
      <c r="R7" s="29">
        <f>SUM('Propane Gas'!E71,'Propane Gas'!E74,'Propane Gas'!E78,'Propane Gas'!E87,'Propane Gas'!E92,'Propane Gas'!E106,'Propane Gas'!E113,'Propane Gas'!E119,'Propane Gas'!E124,'Propane Gas'!E128,'Propane Gas'!E133)</f>
        <v>5120.3000000000011</v>
      </c>
      <c r="S7" s="29">
        <f>R7*$E7</f>
        <v>469275.49500000011</v>
      </c>
      <c r="T7" s="35">
        <f>$D7*R7</f>
        <v>28.791195081967214</v>
      </c>
      <c r="U7" s="29">
        <f>SUM('Propane Gas'!E140,'Propane Gas'!E143,'Propane Gas'!E148,'Propane Gas'!E160,'Propane Gas'!E166,'Propane Gas'!E172,'Propane Gas'!E176,'Propane Gas'!E182,'Propane Gas'!E191,'Propane Gas'!E195,'Propane Gas'!E198)</f>
        <v>5510.9000000000005</v>
      </c>
      <c r="V7" s="29">
        <f>U7*$E7</f>
        <v>505073.9850000001</v>
      </c>
      <c r="W7" s="35">
        <f>$D7*U7</f>
        <v>30.987519672131146</v>
      </c>
      <c r="X7" s="29">
        <f>SUM('Propane Gas'!E203,'Propane Gas'!E206,'Propane Gas'!E210,'Propane Gas'!E224,'Propane Gas'!E228,'Propane Gas'!E237,'Propane Gas'!E243,'Propane Gas'!E249,'Propane Gas'!E252,'Propane Gas'!E257,'Propane Gas'!E260,'Propane Gas'!E265)</f>
        <v>4748.8000000000011</v>
      </c>
      <c r="Y7" s="29">
        <f>X7*$E7</f>
        <v>435227.52000000014</v>
      </c>
      <c r="Z7" s="35">
        <f>$D7*X7</f>
        <v>26.702268852459017</v>
      </c>
      <c r="AA7" s="29">
        <f>SUM('Propane Gas'!E270,'Propane Gas'!E273,'Propane Gas'!E277,'Propane Gas'!E291,'Propane Gas'!E298,'Propane Gas'!E304,'Propane Gas'!E315,'Propane Gas'!E324,'Propane Gas'!E329,'Propane Gas'!E332,'Propane Gas'!E335)</f>
        <v>4550.3</v>
      </c>
      <c r="AB7" s="29">
        <f>AA7*$E7</f>
        <v>417034.99500000005</v>
      </c>
      <c r="AC7" s="35">
        <f>$D7*AA7</f>
        <v>25.586113114754095</v>
      </c>
      <c r="AD7" s="756">
        <v>4123</v>
      </c>
      <c r="AE7" s="29">
        <f>AD7*$E7</f>
        <v>377872.95</v>
      </c>
      <c r="AF7" s="35">
        <f>$D7*AD7</f>
        <v>23.183426229508193</v>
      </c>
      <c r="AG7" s="29"/>
      <c r="AH7" s="29"/>
      <c r="AI7" s="35"/>
      <c r="AJ7" s="756"/>
      <c r="AK7" s="746"/>
      <c r="AL7" s="746"/>
    </row>
    <row r="8" spans="1:41" x14ac:dyDescent="0.2">
      <c r="A8" s="38"/>
      <c r="B8" s="24" t="s">
        <v>1115</v>
      </c>
      <c r="C8" s="31" t="s">
        <v>18</v>
      </c>
      <c r="D8" s="32">
        <v>0.47493858384525101</v>
      </c>
      <c r="E8" s="37">
        <f>149.69*42</f>
        <v>6286.98</v>
      </c>
      <c r="F8" s="34">
        <v>7172.38</v>
      </c>
      <c r="G8" s="29">
        <f>F8*$E8</f>
        <v>45092609.612399995</v>
      </c>
      <c r="H8" s="35">
        <f>$D8*F8</f>
        <v>3406.4400000000014</v>
      </c>
      <c r="I8" s="36">
        <v>6795.86</v>
      </c>
      <c r="J8" s="29">
        <f>I8*$E8</f>
        <v>42725435.902799994</v>
      </c>
      <c r="K8" s="35">
        <f>$D8*I8</f>
        <v>3227.6161244105874</v>
      </c>
      <c r="L8" s="34">
        <v>4220</v>
      </c>
      <c r="M8" s="29">
        <f>L8*$E8</f>
        <v>26531055.599999998</v>
      </c>
      <c r="N8" s="35">
        <f>$D8*L8</f>
        <v>2004.2408238269593</v>
      </c>
      <c r="O8" s="29">
        <f>SUM('Heat Plant Oil #6'!D44,'Heat Plant Oil #6'!D49)/42</f>
        <v>988</v>
      </c>
      <c r="P8" s="29">
        <f>O8*$E8</f>
        <v>6211536.2399999993</v>
      </c>
      <c r="Q8" s="35">
        <f>$D8*O8</f>
        <v>469.23932083910802</v>
      </c>
      <c r="R8" s="29">
        <f>SUM('Heat Plant Oil #6'!D55,'Heat Plant Oil #6'!D68,'Heat Plant Oil #6'!D75,'Heat Plant Oil #6'!D82)/42</f>
        <v>4270.2142857142853</v>
      </c>
      <c r="S8" s="29">
        <f>R8*$E8</f>
        <v>26846751.809999995</v>
      </c>
      <c r="T8" s="35">
        <f>$D8*R8</f>
        <v>2028.0895255729026</v>
      </c>
      <c r="U8" s="29">
        <f>SUM('Heat Plant Oil #6'!D95,'Heat Plant Oil #6'!D98)/42</f>
        <v>1921.2619047619048</v>
      </c>
      <c r="V8" s="29">
        <f>U8*$E8</f>
        <v>12078935.17</v>
      </c>
      <c r="W8" s="35">
        <f>$D8*U8</f>
        <v>912.48140824344853</v>
      </c>
      <c r="X8" s="29">
        <f>'Heat Plant Oil #6'!D104/42</f>
        <v>429.59523809523807</v>
      </c>
      <c r="Y8" s="29">
        <f>X8*$E8</f>
        <v>2700856.6699999995</v>
      </c>
      <c r="Z8" s="35">
        <f>$D8*X8</f>
        <v>204.03135400761579</v>
      </c>
      <c r="AA8" s="29">
        <v>0</v>
      </c>
      <c r="AB8" s="29">
        <f>AA8*$E8</f>
        <v>0</v>
      </c>
      <c r="AC8" s="35">
        <f>$D8*AA8</f>
        <v>0</v>
      </c>
      <c r="AD8" s="756">
        <f>13502/42</f>
        <v>321.47619047619048</v>
      </c>
      <c r="AE8" s="29">
        <f>AD8*$E8</f>
        <v>2021114.38</v>
      </c>
      <c r="AF8" s="35">
        <f>$D8*AD8</f>
        <v>152.68144664472808</v>
      </c>
      <c r="AG8" s="29"/>
      <c r="AH8" s="29"/>
      <c r="AI8" s="35"/>
      <c r="AJ8" s="756"/>
      <c r="AK8" s="746"/>
      <c r="AL8" s="746"/>
    </row>
    <row r="9" spans="1:41" x14ac:dyDescent="0.2">
      <c r="A9" s="38"/>
      <c r="B9" s="24" t="s">
        <v>1114</v>
      </c>
      <c r="C9" s="31" t="s">
        <v>19</v>
      </c>
      <c r="D9" s="32">
        <v>0</v>
      </c>
      <c r="E9" s="37">
        <f>15380/2000</f>
        <v>7.69</v>
      </c>
      <c r="F9" s="34">
        <v>0</v>
      </c>
      <c r="G9" s="29">
        <f>F9*$E9</f>
        <v>0</v>
      </c>
      <c r="H9" s="35">
        <f>$D9*F9</f>
        <v>0</v>
      </c>
      <c r="I9" s="36">
        <v>0</v>
      </c>
      <c r="J9" s="29">
        <f>I9*$E9</f>
        <v>0</v>
      </c>
      <c r="K9" s="35">
        <f>$D9*I9</f>
        <v>0</v>
      </c>
      <c r="L9" s="34">
        <v>1680</v>
      </c>
      <c r="M9" s="29">
        <f>L9*$E9</f>
        <v>12919.2</v>
      </c>
      <c r="N9" s="35">
        <f>$D9*L9</f>
        <v>0</v>
      </c>
      <c r="O9" s="29">
        <v>9700</v>
      </c>
      <c r="P9" s="29">
        <f>O9*$E9</f>
        <v>74593</v>
      </c>
      <c r="Q9" s="35">
        <f>$D9*O9</f>
        <v>0</v>
      </c>
      <c r="R9" s="29">
        <v>9700</v>
      </c>
      <c r="S9" s="29">
        <f>R9*$E9</f>
        <v>74593</v>
      </c>
      <c r="T9" s="35">
        <f>$D9*R9</f>
        <v>0</v>
      </c>
      <c r="U9" s="29">
        <f>SUM('Wood Pellets'!C8)*2000</f>
        <v>30072</v>
      </c>
      <c r="V9" s="29">
        <f>U9*$E9</f>
        <v>231253.68000000002</v>
      </c>
      <c r="W9" s="35">
        <f>$D9*U9</f>
        <v>0</v>
      </c>
      <c r="X9" s="29">
        <f>SUM('Wood Pellets'!C14,'Wood Pellets'!C17,'Wood Pellets'!C20,'Wood Pellets'!C23)*2000</f>
        <v>86114</v>
      </c>
      <c r="Y9" s="29">
        <f>X9*$E9</f>
        <v>662216.66</v>
      </c>
      <c r="Z9" s="35">
        <f>$D9*X9</f>
        <v>0</v>
      </c>
      <c r="AA9" s="29">
        <f>SUM('Wood Pellets'!C29,'Wood Pellets'!C33)*2000</f>
        <v>58522.000000000007</v>
      </c>
      <c r="AB9" s="29">
        <f>AA9*$E9</f>
        <v>450034.18000000005</v>
      </c>
      <c r="AC9" s="35">
        <f>$D9*AA9</f>
        <v>0</v>
      </c>
      <c r="AD9" s="756">
        <v>51591</v>
      </c>
      <c r="AE9" s="29">
        <f>AD9*$E9</f>
        <v>396734.79000000004</v>
      </c>
      <c r="AF9" s="35">
        <f>$D9*AD9</f>
        <v>0</v>
      </c>
      <c r="AG9" s="29"/>
      <c r="AH9" s="29"/>
      <c r="AI9" s="35"/>
      <c r="AJ9" s="756"/>
      <c r="AK9" s="746"/>
      <c r="AL9" s="746"/>
    </row>
    <row r="10" spans="1:41" x14ac:dyDescent="0.2">
      <c r="A10" s="39" t="s">
        <v>20</v>
      </c>
      <c r="B10" s="40"/>
      <c r="C10" s="31"/>
      <c r="D10" s="32"/>
      <c r="E10" s="37"/>
      <c r="F10" s="34"/>
      <c r="G10" s="29"/>
      <c r="H10" s="30">
        <f>H11+H12</f>
        <v>297.13</v>
      </c>
      <c r="I10" s="36"/>
      <c r="J10" s="29"/>
      <c r="K10" s="30">
        <f>K11+K12</f>
        <v>442.02113139310075</v>
      </c>
      <c r="L10" s="34"/>
      <c r="M10" s="29"/>
      <c r="N10" s="30">
        <f>N11+N12</f>
        <v>408.56373236610818</v>
      </c>
      <c r="O10" s="29"/>
      <c r="P10" s="29"/>
      <c r="Q10" s="30">
        <f>Q11+Q12</f>
        <v>327.55068418795952</v>
      </c>
      <c r="R10" s="36"/>
      <c r="S10" s="29"/>
      <c r="T10" s="30">
        <f>T11+T12</f>
        <v>328.98987505576588</v>
      </c>
      <c r="U10" s="29"/>
      <c r="V10" s="29"/>
      <c r="W10" s="30">
        <f>W11+W12</f>
        <v>364.97710922540529</v>
      </c>
      <c r="X10" s="29"/>
      <c r="Y10" s="29"/>
      <c r="Z10" s="30">
        <f>Z11+Z12</f>
        <v>353.30338806450635</v>
      </c>
      <c r="AA10" s="29"/>
      <c r="AB10" s="29"/>
      <c r="AC10" s="30">
        <f>AC11+AC12</f>
        <v>326.28305224171487</v>
      </c>
      <c r="AD10" s="756"/>
      <c r="AE10" s="29"/>
      <c r="AF10" s="30">
        <f>AF11+AF12</f>
        <v>270.00761045646959</v>
      </c>
      <c r="AG10" s="29"/>
      <c r="AH10" s="29"/>
      <c r="AI10" s="30"/>
      <c r="AJ10" s="756"/>
      <c r="AK10" s="745"/>
      <c r="AL10" s="745"/>
    </row>
    <row r="11" spans="1:41" x14ac:dyDescent="0.2">
      <c r="A11" s="39"/>
      <c r="B11" s="40" t="s">
        <v>1119</v>
      </c>
      <c r="C11" s="41" t="s">
        <v>16</v>
      </c>
      <c r="D11" s="32">
        <v>1.0274879668104274E-2</v>
      </c>
      <c r="E11" s="37">
        <v>138.69</v>
      </c>
      <c r="F11" s="42">
        <v>9291.5930000000008</v>
      </c>
      <c r="G11" s="29">
        <f>F11*$E11</f>
        <v>1288651.0331700002</v>
      </c>
      <c r="H11" s="35">
        <f>$D11*F11</f>
        <v>95.47</v>
      </c>
      <c r="I11" s="36">
        <v>19109</v>
      </c>
      <c r="J11" s="29">
        <f>I11*$E11</f>
        <v>2650227.21</v>
      </c>
      <c r="K11" s="35">
        <f>$D11*I11</f>
        <v>196.34267557780458</v>
      </c>
      <c r="L11" s="42">
        <v>19272</v>
      </c>
      <c r="M11" s="29">
        <f>L11*$E11</f>
        <v>2672833.6800000002</v>
      </c>
      <c r="N11" s="35">
        <f>$D11*L11</f>
        <v>198.01748096370557</v>
      </c>
      <c r="O11" s="29">
        <f>SUM('Bulk Fuels'!C256)</f>
        <v>10041</v>
      </c>
      <c r="P11" s="29">
        <f>O11*$E11</f>
        <v>1392586.29</v>
      </c>
      <c r="Q11" s="35">
        <f>$D11*O11</f>
        <v>103.17006674743502</v>
      </c>
      <c r="R11" s="29">
        <f>SUM('Bulk Fuels'!C282)</f>
        <v>7859.4</v>
      </c>
      <c r="S11" s="29">
        <f>R11*$E11</f>
        <v>1090020.186</v>
      </c>
      <c r="T11" s="35">
        <f>$D11*R11</f>
        <v>80.754389263498723</v>
      </c>
      <c r="U11" s="29">
        <f>SUM('Bulk Fuels'!C309)</f>
        <v>9975.1</v>
      </c>
      <c r="V11" s="29">
        <f>U11*$E11</f>
        <v>1383446.6189999999</v>
      </c>
      <c r="W11" s="35">
        <f>$D11*U11</f>
        <v>102.49295217730695</v>
      </c>
      <c r="X11" s="29">
        <f>SUM('Bulk Fuels'!C366)</f>
        <v>8231</v>
      </c>
      <c r="Y11" s="29">
        <f>X11*$E11</f>
        <v>1141557.3899999999</v>
      </c>
      <c r="Z11" s="9">
        <f>$D11*X11</f>
        <v>84.572534548166274</v>
      </c>
      <c r="AA11" s="29">
        <f>SUM('Bulk Fuels'!C419)</f>
        <v>6754.5</v>
      </c>
      <c r="AB11" s="29">
        <f>AA11*$E11</f>
        <v>936781.60499999998</v>
      </c>
      <c r="AC11" s="9">
        <f>$D11*AA11</f>
        <v>69.401674718210316</v>
      </c>
      <c r="AD11" s="756">
        <v>9079.5</v>
      </c>
      <c r="AE11" s="29">
        <f>AD11*$E11</f>
        <v>1259235.855</v>
      </c>
      <c r="AF11" s="9">
        <f>$D11*AD11</f>
        <v>93.290769946552757</v>
      </c>
      <c r="AG11" s="29"/>
      <c r="AH11" s="29"/>
      <c r="AI11" s="9"/>
      <c r="AJ11" s="756"/>
      <c r="AK11" s="747"/>
      <c r="AL11" s="747"/>
    </row>
    <row r="12" spans="1:41" x14ac:dyDescent="0.2">
      <c r="A12" s="39"/>
      <c r="B12" s="40" t="s">
        <v>1120</v>
      </c>
      <c r="C12" s="41" t="s">
        <v>16</v>
      </c>
      <c r="D12" s="32">
        <v>8.8205383913867869E-3</v>
      </c>
      <c r="E12" s="37">
        <v>124.24</v>
      </c>
      <c r="F12" s="42">
        <v>22862.55</v>
      </c>
      <c r="G12" s="29">
        <f>F12*$E12</f>
        <v>2840443.2119999998</v>
      </c>
      <c r="H12" s="35">
        <f>$D12*F12</f>
        <v>201.65999999999997</v>
      </c>
      <c r="I12" s="36">
        <v>27853</v>
      </c>
      <c r="J12" s="29">
        <f>I12*$E12</f>
        <v>3460456.7199999997</v>
      </c>
      <c r="K12" s="35">
        <f>$D12*I12</f>
        <v>245.67845581529616</v>
      </c>
      <c r="L12" s="42">
        <v>23870</v>
      </c>
      <c r="M12" s="29">
        <f>L12*$E12</f>
        <v>2965608.8</v>
      </c>
      <c r="N12" s="35">
        <f>$D12*L12</f>
        <v>210.54625140240259</v>
      </c>
      <c r="O12" s="29">
        <f>SUM('Bulk Fuels'!C243,Gasoline!B176)</f>
        <v>25438.426486486482</v>
      </c>
      <c r="P12" s="29">
        <f>O12*$E12</f>
        <v>3160470.1066810805</v>
      </c>
      <c r="Q12" s="35">
        <f>$D12*O12</f>
        <v>224.3806174405245</v>
      </c>
      <c r="R12" s="29">
        <f>SUM('Bulk Fuels'!C269,Gasoline!B199)</f>
        <v>28142.894999999993</v>
      </c>
      <c r="S12" s="29">
        <f>R12*$E12</f>
        <v>3496473.2747999988</v>
      </c>
      <c r="T12" s="35">
        <f>$D12*R12</f>
        <v>248.23548579226718</v>
      </c>
      <c r="U12" s="29">
        <f>SUM(Gasoline!B222,'Bulk Fuels'!C295)</f>
        <v>29758.292000000001</v>
      </c>
      <c r="V12" s="29">
        <f>U12*$E12</f>
        <v>3697170.19808</v>
      </c>
      <c r="W12" s="35">
        <f>$D12*U12</f>
        <v>262.48415704809833</v>
      </c>
      <c r="X12" s="29">
        <f>SUM('Bulk Fuels'!C352,Gasoline!B248,'Wex FY16'!X655)</f>
        <v>30466.491000000002</v>
      </c>
      <c r="Y12" s="29">
        <f>X12*$E12</f>
        <v>3785156.8418399999</v>
      </c>
      <c r="Z12" s="9">
        <f>$D12*X12</f>
        <v>268.73085351634006</v>
      </c>
      <c r="AA12" s="29">
        <f>SUM('Bulk Fuels'!C408,'Wex FY17'!X914)</f>
        <v>29123.094999999998</v>
      </c>
      <c r="AB12" s="29">
        <f>AA12*$E12</f>
        <v>3618253.3227999997</v>
      </c>
      <c r="AC12" s="9">
        <f>$D12*AA12</f>
        <v>256.88137752350457</v>
      </c>
      <c r="AD12" s="756">
        <v>20034.7</v>
      </c>
      <c r="AE12" s="29">
        <f>AD12*$E12</f>
        <v>2489111.128</v>
      </c>
      <c r="AF12" s="9">
        <f>$D12*AD12</f>
        <v>176.71684050991686</v>
      </c>
      <c r="AG12" s="29"/>
      <c r="AH12" s="29"/>
      <c r="AI12" s="9"/>
      <c r="AJ12" s="756"/>
      <c r="AK12" s="747"/>
      <c r="AL12" s="747"/>
      <c r="AN12" t="s">
        <v>1748</v>
      </c>
      <c r="AO12" t="s">
        <v>1773</v>
      </c>
    </row>
    <row r="13" spans="1:41" x14ac:dyDescent="0.2">
      <c r="A13" s="23"/>
      <c r="B13" s="24"/>
      <c r="C13" s="31"/>
      <c r="D13" s="26"/>
      <c r="E13" s="27"/>
      <c r="F13" s="34"/>
      <c r="G13" s="29"/>
      <c r="H13" s="35"/>
      <c r="I13" s="36"/>
      <c r="J13" s="29"/>
      <c r="K13" s="35"/>
      <c r="L13" s="34"/>
      <c r="M13" s="29"/>
      <c r="N13" s="35"/>
      <c r="O13" s="34"/>
      <c r="P13" s="29"/>
      <c r="Q13" s="35"/>
      <c r="R13" s="29"/>
      <c r="S13" s="29"/>
      <c r="T13" s="35"/>
      <c r="U13" s="36"/>
      <c r="V13" s="29"/>
      <c r="W13" s="35"/>
      <c r="X13" s="29"/>
      <c r="Y13" s="8"/>
      <c r="Z13" s="9"/>
      <c r="AA13" s="10"/>
      <c r="AB13" s="8"/>
      <c r="AC13" s="9"/>
      <c r="AD13" s="757"/>
      <c r="AE13" s="8"/>
      <c r="AF13" s="9"/>
      <c r="AG13" s="10"/>
      <c r="AH13" s="8"/>
      <c r="AI13" s="9"/>
      <c r="AJ13" s="757"/>
      <c r="AK13" s="747"/>
      <c r="AL13" s="747"/>
      <c r="AN13" t="s">
        <v>1</v>
      </c>
      <c r="AO13" s="739">
        <f>$G$20/1000</f>
        <v>279047.76229779224</v>
      </c>
    </row>
    <row r="14" spans="1:41" x14ac:dyDescent="0.2">
      <c r="A14" s="43" t="s">
        <v>22</v>
      </c>
      <c r="B14" s="44"/>
      <c r="C14" s="45"/>
      <c r="D14" s="46"/>
      <c r="E14" s="47"/>
      <c r="F14" s="48"/>
      <c r="G14" s="49">
        <f>G5+G6+G7+G8+G11+G12</f>
        <v>243625389.12657002</v>
      </c>
      <c r="H14" s="50">
        <f>H4+H10</f>
        <v>14660.449999999992</v>
      </c>
      <c r="I14" s="51"/>
      <c r="J14" s="49">
        <f>J5+J6+J7+J8+J11+J12</f>
        <v>266514898.3026</v>
      </c>
      <c r="K14" s="50">
        <f>K4+K10</f>
        <v>15786.565898367953</v>
      </c>
      <c r="L14" s="48"/>
      <c r="M14" s="49">
        <f>M5+M6+M7+M8+M11+M12+M9</f>
        <v>240337029.79000002</v>
      </c>
      <c r="N14" s="50">
        <f>N4+N10</f>
        <v>13620.552050741475</v>
      </c>
      <c r="O14" s="48"/>
      <c r="P14" s="49">
        <f>P5+P6+P7+P8+P11+P12+P9</f>
        <v>253973340.38128111</v>
      </c>
      <c r="Q14" s="50">
        <f>Q4+Q10</f>
        <v>13854.760686067923</v>
      </c>
      <c r="R14" s="51"/>
      <c r="S14" s="49">
        <f>S5+S6+S7+S8+S11+S12+S9</f>
        <v>272584631.9478001</v>
      </c>
      <c r="T14" s="50">
        <f>T4+T10</f>
        <v>15371.057130743498</v>
      </c>
      <c r="U14" s="51"/>
      <c r="V14" s="49">
        <f>V5+V6+V7+V8+V9+V11+V12</f>
        <v>281161494.37908006</v>
      </c>
      <c r="W14" s="50">
        <f>W4+W10</f>
        <v>15426.666347058606</v>
      </c>
      <c r="X14" s="13"/>
      <c r="Y14" s="11">
        <f>Y5+Y6+Y7+Y8+Y9+Y11+Y12</f>
        <v>255368183.86083996</v>
      </c>
      <c r="Z14" s="12">
        <f>Z4+Z10</f>
        <v>13693.139073833268</v>
      </c>
      <c r="AA14" s="13"/>
      <c r="AB14" s="11">
        <f>AB5+AB6+AB7+AB8+AB9+AB11+AB12</f>
        <v>269204592.94680005</v>
      </c>
      <c r="AC14" s="12">
        <f>AC4+AC10</f>
        <v>14374.92880622729</v>
      </c>
      <c r="AD14" s="758"/>
      <c r="AE14" s="11">
        <f>AE5+AE6+AE7+AE8+AE9+AE11+AE12</f>
        <v>275611329.35800004</v>
      </c>
      <c r="AF14" s="12">
        <f>AF4+AF10</f>
        <v>14749.166310620429</v>
      </c>
      <c r="AG14" s="13"/>
      <c r="AH14" s="11"/>
      <c r="AI14" s="12"/>
      <c r="AJ14" s="758"/>
      <c r="AK14" s="748"/>
      <c r="AL14" s="748"/>
      <c r="AN14" t="s">
        <v>2</v>
      </c>
      <c r="AO14" s="739">
        <f>$J$20/1000</f>
        <v>302377.467019431</v>
      </c>
    </row>
    <row r="15" spans="1:41" x14ac:dyDescent="0.2">
      <c r="A15" s="52" t="s">
        <v>23</v>
      </c>
      <c r="B15" s="53"/>
      <c r="C15" s="54"/>
      <c r="D15" s="55"/>
      <c r="E15" s="56"/>
      <c r="F15" s="57"/>
      <c r="G15" s="58"/>
      <c r="H15" s="59"/>
      <c r="I15" s="60"/>
      <c r="J15" s="58"/>
      <c r="K15" s="59"/>
      <c r="L15" s="57"/>
      <c r="M15" s="58"/>
      <c r="N15" s="59"/>
      <c r="O15" s="60"/>
      <c r="P15" s="58"/>
      <c r="Q15" s="59"/>
      <c r="R15" s="60"/>
      <c r="S15" s="58"/>
      <c r="T15" s="59"/>
      <c r="U15" s="60"/>
      <c r="V15" s="58"/>
      <c r="W15" s="59"/>
      <c r="X15" s="66"/>
      <c r="Y15" s="58"/>
      <c r="Z15" s="59"/>
      <c r="AA15" s="60"/>
      <c r="AB15" s="58"/>
      <c r="AC15" s="59"/>
      <c r="AD15" s="60"/>
      <c r="AE15" s="58"/>
      <c r="AF15" s="59"/>
      <c r="AG15" s="60"/>
      <c r="AH15" s="58"/>
      <c r="AI15" s="59"/>
      <c r="AJ15" s="60"/>
      <c r="AK15" s="749"/>
      <c r="AL15" s="749"/>
      <c r="AN15" t="s">
        <v>3</v>
      </c>
      <c r="AO15" s="739">
        <f>$M$20/1000</f>
        <v>280069.60687804676</v>
      </c>
    </row>
    <row r="16" spans="1:41" x14ac:dyDescent="0.2">
      <c r="A16" s="61" t="s">
        <v>1744</v>
      </c>
      <c r="B16" s="62"/>
      <c r="C16" s="63" t="s">
        <v>24</v>
      </c>
      <c r="D16" s="64" t="s">
        <v>1760</v>
      </c>
      <c r="E16" s="65">
        <v>3412.14</v>
      </c>
      <c r="F16" s="66">
        <f>SUM('T5'!L13)/1000</f>
        <v>8174.1290399999998</v>
      </c>
      <c r="G16" s="66">
        <f>F16*$E$16</f>
        <v>27891272.662545599</v>
      </c>
      <c r="H16" s="732">
        <f>F16*'T&amp;D &amp; ELC EF'!$C$45</f>
        <v>3069.9979339387287</v>
      </c>
      <c r="I16" s="66">
        <f>SUM('T5'!M13)/1000</f>
        <v>8287.4836799999994</v>
      </c>
      <c r="J16" s="66">
        <f>I16*$E$16</f>
        <v>28278054.563875198</v>
      </c>
      <c r="K16" s="732">
        <f>I16*'T&amp;D &amp; ELC EF'!$C$46</f>
        <v>3116.3302386443011</v>
      </c>
      <c r="L16" s="66">
        <f>SUM('T5'!N13)/1000</f>
        <v>9171.2300400000004</v>
      </c>
      <c r="M16" s="66">
        <f>L16*$E$16</f>
        <v>31293520.868685599</v>
      </c>
      <c r="N16" s="732">
        <f>L16*'T&amp;D &amp; ELC EF'!$C$47</f>
        <v>3244.8038352187682</v>
      </c>
      <c r="O16" s="66">
        <f>SUM('Electricity Main'!$D$18,'Electricity Main'!$D$22,'Electricity Main'!$D$26,'Electricity Main'!$D$30,'Electricity Main'!$D$34,'Electricity Main'!$D$38,'Electricity Main'!$D$42,'Electricity Main'!$D$46,'Electricity Main'!$D$50,'Electricity Main'!$D$54,'Electricity Main'!$D$58,'Electricity Main'!$D$62)/1000</f>
        <v>8264.2999999999993</v>
      </c>
      <c r="P16" s="66">
        <f>O16*$E$16</f>
        <v>28198948.601999998</v>
      </c>
      <c r="Q16" s="732">
        <f>O16*'T&amp;D &amp; ELC EF'!$C$48</f>
        <v>2695.2634467618</v>
      </c>
      <c r="R16" s="66">
        <f>SUM('Electricity Main'!$D$68,'Electricity Main'!$D$72,'Electricity Main'!$D$76,'Electricity Main'!$D$80,'Electricity Main'!$D$84,'Electricity Main'!$D$88,'Electricity Main'!$D$92,'Electricity Main'!$D$96,'Electricity Main'!$D$100,'Electricity Main'!$D$104,'Electricity Main'!$D$108,'Electricity Main'!$D$112)/1000</f>
        <v>8748.6</v>
      </c>
      <c r="S16" s="66">
        <f>R16*$E$16</f>
        <v>29851448.004000001</v>
      </c>
      <c r="T16" s="732">
        <f>R16*'T&amp;D &amp; ELC EF'!$C$49</f>
        <v>2896.8611370667059</v>
      </c>
      <c r="U16" s="66">
        <f>SUM('Electricity Main'!$D$118,'Electricity Main'!$D$122,'Electricity Main'!$D$126,'Electricity Main'!$D$130,'Electricity Main'!$D$134,'Electricity Main'!$D$138,'Electricity Main'!$D$142,'Electricity Main'!$D$146,'Electricity Main'!$D$150,'Electricity Main'!$D$154,'Electricity Main'!$D$158,'Electricity Main'!$D$162)/1000</f>
        <v>7662.9</v>
      </c>
      <c r="V16" s="66">
        <f>U16*$E$16</f>
        <v>26146887.605999999</v>
      </c>
      <c r="W16" s="732">
        <f>U16*'T&amp;D &amp; ELC EF'!$C$50</f>
        <v>2523.4577387486279</v>
      </c>
      <c r="X16" s="66">
        <f>SUM('Electricity Main'!$D$172,'Electricity Main'!$D$176,'Electricity Main'!$D$180,'Electricity Main'!$D$184,'Electricity Main'!$D$188,'Electricity Main'!$D$192,'Electricity Main'!$D$196,'Electricity Main'!$D$200,'Electricity Main'!$D$204,'Electricity Main'!$D$208,'Electricity Main'!$D$212,'Electricity Main'!$D$216)/1000</f>
        <v>9487.7999999999993</v>
      </c>
      <c r="Y16" s="66">
        <f>X17*$E$16</f>
        <v>7326310.205484</v>
      </c>
      <c r="Z16" s="66">
        <f>X16*'T&amp;D &amp; ELC EF'!$C$51</f>
        <v>3214.7883081891664</v>
      </c>
      <c r="AA16" s="66">
        <f>SUM('Electricity Main'!$D$223,'Electricity Main'!$D$227,'Electricity Main'!$D$231,'Electricity Main'!$D$235,'Electricity Main'!$D$239,'Electricity Main'!$D$243,'Electricity Main'!$D$247,'Electricity Main'!$D$251,'Electricity Main'!$D$255,'Electricity Main'!$D$259,'Electricity Main'!$D$263,'Electricity Main'!$D$267)/1000</f>
        <v>9569.7000000000007</v>
      </c>
      <c r="AB16" s="66">
        <f>AA16*$E$16</f>
        <v>32653156.158</v>
      </c>
      <c r="AC16" s="732">
        <f>AA16*'T&amp;D &amp; ELC EF'!$C$52</f>
        <v>3081.9311264526314</v>
      </c>
      <c r="AD16" s="66">
        <f>10384500/1000</f>
        <v>10384.5</v>
      </c>
      <c r="AE16" s="66">
        <f>AD16*$E$16</f>
        <v>35433367.829999998</v>
      </c>
      <c r="AF16" s="732">
        <f>AD16*'T&amp;D &amp; ELC EF'!$C$52</f>
        <v>3344.3382533044246</v>
      </c>
      <c r="AG16" s="66">
        <f>AVERAGE(AD16,AA16,X16)</f>
        <v>9814</v>
      </c>
      <c r="AH16" s="66">
        <f>AG16*$E$16</f>
        <v>33486741.959999997</v>
      </c>
      <c r="AI16" s="732">
        <f>AG16*'T&amp;D &amp; ELC EF'!$C$52</f>
        <v>3160.6081773729716</v>
      </c>
      <c r="AJ16" s="66"/>
      <c r="AK16" s="750"/>
      <c r="AL16" s="750"/>
      <c r="AN16" t="s">
        <v>4</v>
      </c>
      <c r="AO16" s="739">
        <f>$P$20/1000</f>
        <v>290301.41238088993</v>
      </c>
    </row>
    <row r="17" spans="1:43" x14ac:dyDescent="0.2">
      <c r="A17" s="61" t="s">
        <v>1745</v>
      </c>
      <c r="B17" s="62"/>
      <c r="C17" s="63" t="s">
        <v>24</v>
      </c>
      <c r="D17" s="64" t="s">
        <v>1760</v>
      </c>
      <c r="E17" s="65"/>
      <c r="F17" s="730">
        <f>F16*0.2</f>
        <v>1634.8258080000001</v>
      </c>
      <c r="G17" s="66">
        <f>F17*$E$16</f>
        <v>5578254.5325091202</v>
      </c>
      <c r="H17" s="732">
        <f>F17*'T&amp;D &amp; ELC EF'!$C$45</f>
        <v>613.99958678774578</v>
      </c>
      <c r="I17" s="730">
        <f>I16*0.2</f>
        <v>1657.4967360000001</v>
      </c>
      <c r="J17" s="66">
        <f>I17*$E$16</f>
        <v>5655610.9127750397</v>
      </c>
      <c r="K17" s="732">
        <f>I17*'T&amp;D &amp; ELC EF'!$C$46</f>
        <v>623.26604772886037</v>
      </c>
      <c r="L17" s="730">
        <f>L16*0.2</f>
        <v>1834.2460080000001</v>
      </c>
      <c r="M17" s="66">
        <f>L17*$E$16</f>
        <v>6258704.1737371199</v>
      </c>
      <c r="N17" s="732">
        <f>L17*'T&amp;D &amp; ELC EF'!$C$47</f>
        <v>648.96076704375366</v>
      </c>
      <c r="O17" s="66">
        <f>SUM('Electricity Small'!$E$215,'Electricity Small'!$E$246,'Electricity Small'!$E$302,'Electricity Small'!$E$331,'Electricity Small'!$E$358,'Electricity Small'!$E$383,'Electricity Small'!$E$410,'Electricity Small'!$E$434,'Electricity Small'!$E$464,'Electricity Small'!$E$500,'Electricity Small'!$E$530,'Electricity Small'!$E$564,'Electricity Small'!$E$594,'Electricity Small'!$E$628,'Electricity Small'!$E$658,'Electricity Small'!$E$692,'Electricity Small'!$E$722,'Electricity Small'!$E$756,'Electricity Small'!$E$786,'Electricity Small'!$E$820,'Electricity Small'!$E$850,'Electricity Small'!$E$884,'Electricity Small'!$E$914)/1000</f>
        <v>1876.56161</v>
      </c>
      <c r="P17" s="66">
        <f>O17*$E$16</f>
        <v>6403090.9319453994</v>
      </c>
      <c r="Q17" s="732">
        <f>O17*'T&amp;D &amp; ELC EF'!$C$48</f>
        <v>612.0092340584772</v>
      </c>
      <c r="R17" s="66">
        <f>SUM('Electricity Small'!$E$950,'Electricity Small'!$E$983,'Electricity Small'!$E$1018,'Electricity Small'!$E$1048,'Electricity Small'!$E$1080,'Electricity Small'!$E$1113,'Electricity Small'!$E$1145,'Electricity Small'!$E$1178,'Electricity Small'!$E$1208,'Electricity Small'!$E$1241,'Electricity Small'!$E$1271,'Electricity Small'!$E$1304,'Electricity Small'!$E$1312,'Electricity Small'!$E$1342,'Electricity Small'!$E$1374,'Electricity Small'!$E$1382,'Electricity Small'!$E$1450,'Electricity Small'!$E$1513,'Electricity Small'!$E$1576,'Electricity Small'!$E$1639,'Electricity Small'!$E$1702)/1000</f>
        <v>2205.4161999999997</v>
      </c>
      <c r="S17" s="66">
        <f>R17*$E$16</f>
        <v>7525188.832667999</v>
      </c>
      <c r="T17" s="732">
        <f>R17*'T&amp;D &amp; ELC EF'!$C$49</f>
        <v>730.26363999237958</v>
      </c>
      <c r="U17" s="66">
        <f>SUM('Electricity Small'!$E$1767,'Electricity Small'!$E$1830,'Electricity Small'!$E$1893,'Electricity Small'!$E$1956,'Electricity Small'!$E$2016,'Electricity Small'!$E$2076,'Electricity Small'!$E$2136,'Electricity Small'!$E$2196,'Electricity Small'!$E$2256,'Electricity Small'!$E$2316,'Electricity Small'!$E$2376,'Electricity Small'!$E$2436)/1000</f>
        <v>2236.6691000000001</v>
      </c>
      <c r="V17" s="66">
        <f>U17*$E$16</f>
        <v>7631828.1028739996</v>
      </c>
      <c r="W17" s="732">
        <f>U17*'T&amp;D &amp; ELC EF'!$C$50</f>
        <v>736.5540395170143</v>
      </c>
      <c r="X17" s="66">
        <f>SUM('Electricity Small'!$E$2498,'Electricity Small'!$E$2558,'Electricity Small'!$E$2618,'Electricity Small'!$E$2678,'Electricity Small'!$E$2738,'Electricity Small'!$E$2798,'Electricity Small'!$E$2858,'Electricity Small'!$E$2918,'Electricity Small'!$E$2978,'Electricity Small'!$E$3038,'Electricity Small'!$E$3098,'Electricity Small'!$E$3158)/1000</f>
        <v>2147.1306</v>
      </c>
      <c r="Y17" s="66">
        <f>X18*$E$16</f>
        <v>1821448.3205741881</v>
      </c>
      <c r="Z17" s="66">
        <f>X17*'T&amp;D &amp; ELC EF'!$C$51</f>
        <v>727.52064219684121</v>
      </c>
      <c r="AA17" s="66">
        <f>SUM('Electricity Small'!$E$3220,'Electricity Small'!$E$3281,'Electricity Small'!$E$3342,'Electricity Small'!$E$3403,'Electricity Small'!$E$3464,'Electricity Small'!$E$3525,'Electricity Small'!$E$3586,'Electricity Small'!$E$3648,'Electricity Small'!$E$3710,'Electricity Small'!$E$3772,'Electricity Small'!$E$3834,'Electricity Small'!$E$3895)/1000</f>
        <v>2216.3770999999997</v>
      </c>
      <c r="AB17" s="66">
        <f>AA17*$E$16</f>
        <v>7562588.9579939991</v>
      </c>
      <c r="AC17" s="732">
        <f>AA17*'T&amp;D &amp; ELC EF'!$C$52</f>
        <v>713.78638540882321</v>
      </c>
      <c r="AD17" s="66">
        <f>2198700/1000</f>
        <v>2198.6999999999998</v>
      </c>
      <c r="AE17" s="66">
        <f>AD17*$E$16</f>
        <v>7502272.2179999994</v>
      </c>
      <c r="AF17" s="732">
        <f>AD17*'T&amp;D &amp; ELC EF'!$C$52</f>
        <v>708.09345828306004</v>
      </c>
      <c r="AG17" s="66">
        <f>AVERAGE(AD17,AA17,X17)</f>
        <v>2187.4025666666662</v>
      </c>
      <c r="AH17" s="66">
        <f>AG17*$E$16</f>
        <v>7463723.793825998</v>
      </c>
      <c r="AI17" s="732">
        <f>AG17*'T&amp;D &amp; ELC EF'!$C$52</f>
        <v>704.45510896813641</v>
      </c>
      <c r="AJ17" s="66"/>
      <c r="AK17" s="750"/>
      <c r="AL17" s="750"/>
      <c r="AN17" t="s">
        <v>5</v>
      </c>
      <c r="AO17" s="739">
        <f>$S$20/1000</f>
        <v>311829.87440150831</v>
      </c>
    </row>
    <row r="18" spans="1:43" x14ac:dyDescent="0.2">
      <c r="A18" s="67" t="s">
        <v>25</v>
      </c>
      <c r="B18" s="68"/>
      <c r="C18" s="69" t="s">
        <v>24</v>
      </c>
      <c r="D18" s="64" t="s">
        <v>1760</v>
      </c>
      <c r="E18" s="65">
        <v>3412.14</v>
      </c>
      <c r="F18" s="96">
        <f>F16*'T&amp;D &amp; ELC EF'!$H$33+F17*'T&amp;D &amp; ELC EF'!$H$33</f>
        <v>572.32293404360007</v>
      </c>
      <c r="G18" s="70">
        <f>F18*$E$18</f>
        <v>1952845.9761675296</v>
      </c>
      <c r="H18" s="732">
        <f>F18*'T&amp;D &amp; ELC EF'!$C$45</f>
        <v>214.95014532577082</v>
      </c>
      <c r="I18" s="96">
        <f>I16*'T&amp;D &amp; ELC EF'!$G$33+I17*'T&amp;D &amp; ELC EF'!$G$33</f>
        <v>565.30600742663978</v>
      </c>
      <c r="J18" s="70">
        <f>I18*$E$18</f>
        <v>1928903.2401807345</v>
      </c>
      <c r="K18" s="732">
        <f>I18*'T&amp;D &amp; ELC EF'!$C$46</f>
        <v>212.57118240634867</v>
      </c>
      <c r="L18" s="96">
        <f>L16*'T&amp;D &amp; ELC EF'!$F$33+L17*'T&amp;D &amp; ELC EF'!$F$33</f>
        <v>638.9984132022721</v>
      </c>
      <c r="M18" s="70">
        <f>L18*$E$18</f>
        <v>2180352.0456240005</v>
      </c>
      <c r="N18" s="732">
        <f>L18*'T&amp;D &amp; ELC EF'!$C$47</f>
        <v>226.07921650795703</v>
      </c>
      <c r="O18" s="738">
        <f>O16*'T&amp;D &amp; ELC EF'!$E$33+O17*'T&amp;D &amp; ELC EF'!$E$33</f>
        <v>505.85042397541099</v>
      </c>
      <c r="P18" s="70">
        <f>O18*$E$18</f>
        <v>1726032.4656634587</v>
      </c>
      <c r="Q18" s="732">
        <f>O18*'T&amp;D &amp; ELC EF'!$C$48</f>
        <v>164.97466903063591</v>
      </c>
      <c r="R18" s="737">
        <f>R16*'T&amp;D &amp; ELC EF'!$D$33+R17*'T&amp;D &amp; ELC EF'!$D$33</f>
        <v>547.63451002602937</v>
      </c>
      <c r="S18" s="70">
        <f>R18*$E$18</f>
        <v>1868605.6170402158</v>
      </c>
      <c r="T18" s="732">
        <f>R18*'T&amp;D &amp; ELC EF'!$C$49</f>
        <v>181.3342854183494</v>
      </c>
      <c r="U18" s="737">
        <f>U16*'T&amp;D &amp; ELC EF'!$C$33+U17*'T&amp;D &amp; ELC EF'!$C$33</f>
        <v>482.39727726273253</v>
      </c>
      <c r="V18" s="70">
        <f>U18*$E$18</f>
        <v>1646007.0456392602</v>
      </c>
      <c r="W18" s="732">
        <f>U18*'T&amp;D &amp; ELC EF'!$C$50</f>
        <v>158.85750074513695</v>
      </c>
      <c r="X18" s="96">
        <f>X17*'T&amp;D &amp; ELC EF'!$B$33+X16*'T&amp;D &amp; ELC EF'!$B$33</f>
        <v>533.81406406952476</v>
      </c>
      <c r="Y18" s="70">
        <f>X18*$E$18</f>
        <v>1821448.3205741881</v>
      </c>
      <c r="Z18" s="66">
        <f>X18*'T&amp;D &amp; ELC EF'!$C$51</f>
        <v>180.87430299096218</v>
      </c>
      <c r="AA18" s="96">
        <f>AA16*'T&amp;D &amp; ELC EF'!$B$33+AA17*'T&amp;D &amp; ELC EF'!$B$33</f>
        <v>540.74871028347673</v>
      </c>
      <c r="AB18" s="70">
        <f>AA18*$E$18</f>
        <v>1845110.3043066622</v>
      </c>
      <c r="AC18" s="732">
        <f>AA18*'T&amp;D &amp; ELC EF'!$C$52</f>
        <v>174.14864434744695</v>
      </c>
      <c r="AD18" s="96">
        <f>AD16*'T&amp;D &amp; ELC EF'!$B$33+AD17*'T&amp;D &amp; ELC EF'!$B$33</f>
        <v>577.3209451717438</v>
      </c>
      <c r="AE18" s="70">
        <f>AD18*$E$18</f>
        <v>1969899.8898583138</v>
      </c>
      <c r="AF18" s="732">
        <f>AD18*'T&amp;D &amp; ELC EF'!$C$52</f>
        <v>185.92676791099515</v>
      </c>
      <c r="AG18" s="96">
        <f>AG16*'T&amp;D &amp; ELC EF'!$B$33+AG17*'T&amp;D &amp; ELC EF'!$B$33</f>
        <v>550.62790650824843</v>
      </c>
      <c r="AH18" s="70">
        <f>AG18*$E$18</f>
        <v>1878819.5049130546</v>
      </c>
      <c r="AI18" s="732">
        <f>AG18*'T&amp;D &amp; ELC EF'!$C$52</f>
        <v>177.33024903196758</v>
      </c>
      <c r="AJ18" s="96"/>
      <c r="AK18" s="750"/>
      <c r="AL18" s="750"/>
      <c r="AN18" t="s">
        <v>6</v>
      </c>
      <c r="AO18" s="739">
        <f>$V$20/1000</f>
        <v>316586.21713359334</v>
      </c>
    </row>
    <row r="19" spans="1:43" x14ac:dyDescent="0.2">
      <c r="A19" s="71" t="s">
        <v>26</v>
      </c>
      <c r="B19" s="72"/>
      <c r="C19" s="73"/>
      <c r="D19" s="74"/>
      <c r="E19" s="75"/>
      <c r="F19" s="76"/>
      <c r="G19" s="77">
        <f>G16+G18+G17</f>
        <v>35422373.171222247</v>
      </c>
      <c r="H19" s="78">
        <f>H16+H18+H17</f>
        <v>3898.947666052245</v>
      </c>
      <c r="I19" s="76"/>
      <c r="J19" s="77">
        <f>J16+J18+J17</f>
        <v>35862568.716830969</v>
      </c>
      <c r="K19" s="78">
        <f>K16+K18+K17</f>
        <v>3952.1674687795103</v>
      </c>
      <c r="L19" s="76"/>
      <c r="M19" s="77">
        <f>M16+M18+M17</f>
        <v>39732577.088046715</v>
      </c>
      <c r="N19" s="78">
        <f>N16+N18+N17</f>
        <v>4119.8438187704787</v>
      </c>
      <c r="O19" s="66"/>
      <c r="P19" s="77">
        <f>P16+P18+P17</f>
        <v>36328071.999608859</v>
      </c>
      <c r="Q19" s="733">
        <f>Q16+Q18+Q17</f>
        <v>3472.2473498509135</v>
      </c>
      <c r="R19" s="76"/>
      <c r="S19" s="77">
        <f>S16+S18+S17</f>
        <v>39245242.453708217</v>
      </c>
      <c r="T19" s="733">
        <f>T16+T18+T17</f>
        <v>3808.4590624774346</v>
      </c>
      <c r="U19" s="76"/>
      <c r="V19" s="77">
        <f>V16+V18+V17</f>
        <v>35424722.754513264</v>
      </c>
      <c r="W19" s="733">
        <f>W16+W18+W17</f>
        <v>3418.8692790107789</v>
      </c>
      <c r="X19" s="76"/>
      <c r="Y19" s="77">
        <f>Y16+Y18+Y17</f>
        <v>10969206.846632376</v>
      </c>
      <c r="Z19" s="733">
        <f>Z16+Z18+Z17</f>
        <v>4123.1832533769702</v>
      </c>
      <c r="AA19" s="76"/>
      <c r="AB19" s="77">
        <f>AB16+AB18+AB17</f>
        <v>42060855.420300663</v>
      </c>
      <c r="AC19" s="733">
        <f>AC16+AC18+AC17</f>
        <v>3969.8661562089014</v>
      </c>
      <c r="AD19" s="76"/>
      <c r="AE19" s="77">
        <f>AE16+AE18+AE17</f>
        <v>44905539.937858313</v>
      </c>
      <c r="AF19" s="733">
        <f>AF16+AF18+AF17</f>
        <v>4238.3584794984799</v>
      </c>
      <c r="AG19" s="76"/>
      <c r="AH19" s="77">
        <f>AH16+AH18+AH17</f>
        <v>42829285.258739054</v>
      </c>
      <c r="AI19" s="733">
        <f>AI16+AI18+AI17</f>
        <v>4042.3935353730753</v>
      </c>
      <c r="AJ19" s="76"/>
      <c r="AK19" s="751"/>
      <c r="AL19" s="751"/>
      <c r="AN19" t="s">
        <v>7</v>
      </c>
      <c r="AO19" s="739">
        <f>$Y$20/1000</f>
        <v>266337.39070747234</v>
      </c>
    </row>
    <row r="20" spans="1:43" x14ac:dyDescent="0.2">
      <c r="A20" s="80" t="s">
        <v>29</v>
      </c>
      <c r="B20" s="81"/>
      <c r="C20" s="81"/>
      <c r="D20" s="81"/>
      <c r="E20" s="81"/>
      <c r="F20" s="81"/>
      <c r="G20" s="81">
        <f>G14+G19</f>
        <v>279047762.29779226</v>
      </c>
      <c r="H20" s="81">
        <f>H19+H14</f>
        <v>18559.397666052238</v>
      </c>
      <c r="I20" s="81"/>
      <c r="J20" s="81">
        <f>J14+J19</f>
        <v>302377467.01943099</v>
      </c>
      <c r="K20" s="81">
        <f>K19+K14</f>
        <v>19738.733367147463</v>
      </c>
      <c r="L20" s="81"/>
      <c r="M20" s="81">
        <f>M14+M19</f>
        <v>280069606.87804675</v>
      </c>
      <c r="N20" s="81">
        <f>N19+N14</f>
        <v>17740.395869511955</v>
      </c>
      <c r="O20" s="81"/>
      <c r="P20" s="81">
        <f>P14+P19</f>
        <v>290301412.38088995</v>
      </c>
      <c r="Q20" s="81">
        <f>Q19+Q14</f>
        <v>17327.008035918836</v>
      </c>
      <c r="R20" s="81"/>
      <c r="S20" s="81">
        <f>S14+S19</f>
        <v>311829874.40150833</v>
      </c>
      <c r="T20" s="81">
        <f>T19+T14</f>
        <v>19179.516193220934</v>
      </c>
      <c r="U20" s="81"/>
      <c r="V20" s="81">
        <f>V14+V19</f>
        <v>316586217.13359332</v>
      </c>
      <c r="W20" s="81">
        <f>W19+W14</f>
        <v>18845.535626069384</v>
      </c>
      <c r="X20" s="81"/>
      <c r="Y20" s="81">
        <f>Y14+Y19</f>
        <v>266337390.70747232</v>
      </c>
      <c r="Z20" s="81">
        <f>Z19+Z14</f>
        <v>17816.32232721024</v>
      </c>
      <c r="AA20" s="81"/>
      <c r="AB20" s="81">
        <f>AB14+AB19</f>
        <v>311265448.36710072</v>
      </c>
      <c r="AC20" s="81">
        <f>AC19+AC14</f>
        <v>18344.79496243619</v>
      </c>
      <c r="AD20" s="81"/>
      <c r="AE20" s="81">
        <f>AE14+AE19</f>
        <v>320516869.29585838</v>
      </c>
      <c r="AF20" s="81">
        <f>AF19+AF14</f>
        <v>18987.524790118907</v>
      </c>
      <c r="AG20" s="81"/>
      <c r="AH20" s="81"/>
      <c r="AI20" s="81"/>
      <c r="AJ20" s="81"/>
      <c r="AK20" s="752"/>
      <c r="AL20" s="752"/>
      <c r="AN20" t="s">
        <v>1445</v>
      </c>
      <c r="AO20" s="739">
        <f>$AB$20/1000</f>
        <v>311265.44836710073</v>
      </c>
    </row>
    <row r="21" spans="1:43" x14ac:dyDescent="0.2">
      <c r="D21" t="s">
        <v>27</v>
      </c>
      <c r="O21" s="734">
        <f>SUM('Electricity Main'!$D$18,'Electricity Main'!$D$22,'Electricity Main'!$D$26,'Electricity Main'!$D$30,'Electricity Main'!$D$34,'Electricity Main'!$D$38,'Electricity Main'!$D$42,'Electricity Main'!$D$46,'Electricity Main'!$D$50,'Electricity Main'!$D$54,'Electricity Main'!$D$58,'Electricity Main'!$D$62,'Electricity Small'!$E$215,'Electricity Small'!$E$246,'Electricity Small'!$E$302,'Electricity Small'!$E$331,'Electricity Small'!$E$358,'Electricity Small'!$E$383,'Electricity Small'!$E$410,'Electricity Small'!$E$434,'Electricity Small'!$E$464,'Electricity Small'!$E$500,'Electricity Small'!$E$530,'Electricity Small'!$E$564,'Electricity Small'!$E$594,'Electricity Small'!$E$628,'Electricity Small'!$E$658,'Electricity Small'!$E$692,'Electricity Small'!$E$722,'Electricity Small'!$E$756,'Electricity Small'!$E$786,'Electricity Small'!$E$820,'Electricity Small'!$E$850,'Electricity Small'!$E$884,'Electricity Small'!$E$914)/1000</f>
        <v>10140.861609999998</v>
      </c>
      <c r="P21" s="735"/>
      <c r="Q21" s="735"/>
      <c r="R21" s="734">
        <f>SUM('Electricity Main'!$D$68,'Electricity Main'!$D$72,'Electricity Main'!$D$76,'Electricity Main'!$D$80,'Electricity Main'!$D$84,'Electricity Main'!$D$88,'Electricity Main'!$D$92,'Electricity Main'!$D$96,'Electricity Main'!$D$100,'Electricity Main'!$D$104,'Electricity Main'!$D$108,'Electricity Main'!$D$112,'Electricity Small'!$E$950,'Electricity Small'!$E$983,'Electricity Small'!$E$1018,'Electricity Small'!$E$1048,'Electricity Small'!$E$1080,'Electricity Small'!$E$1113,'Electricity Small'!$E$1145,'Electricity Small'!$E$1178,'Electricity Small'!$E$1208,'Electricity Small'!$E$1241,'Electricity Small'!$E$1271,'Electricity Small'!$E$1304,'Electricity Small'!$E$1312,'Electricity Small'!$E$1342,'Electricity Small'!$E$1374,'Electricity Small'!$E$1382,'Electricity Small'!$E$1450,'Electricity Small'!$E$1513,'Electricity Small'!$E$1576,'Electricity Small'!$E$1639,'Electricity Small'!$E$1702)/1000</f>
        <v>10954.0162</v>
      </c>
      <c r="S21" s="735"/>
      <c r="T21" s="735"/>
      <c r="U21" s="734">
        <f>SUM('Electricity Main'!$D$118,'Electricity Main'!$D$122,'Electricity Main'!$D$126,'Electricity Main'!$D$130,'Electricity Main'!$D$134,'Electricity Main'!$D$138,'Electricity Main'!$D$142,'Electricity Main'!$D$146,'Electricity Main'!$D$150,'Electricity Main'!$D$154,'Electricity Main'!$D$158,'Electricity Main'!$D$162,'Electricity Small'!$E$1767,'Electricity Small'!$E$1830,'Electricity Small'!$E$1893,'Electricity Small'!$E$1956,'Electricity Small'!$E$2016,'Electricity Small'!$E$2076,'Electricity Small'!$E$2136,'Electricity Small'!$E$2196,'Electricity Small'!$E$2256,'Electricity Small'!$E$2316,'Electricity Small'!$E$2376,'Electricity Small'!$E$2436)/1000</f>
        <v>9899.569099999997</v>
      </c>
      <c r="V21" s="735"/>
      <c r="W21" s="735"/>
      <c r="X21" s="734">
        <f>SUM('Electricity Main'!$D$172,'Electricity Main'!$D$176,'Electricity Main'!$D$180,'Electricity Main'!$D$184,'Electricity Main'!$D$188,'Electricity Main'!$D$192,'Electricity Main'!$D$196,'Electricity Main'!$D$200,'Electricity Main'!$D$204,'Electricity Main'!$D$208,'Electricity Main'!$D$212,'Electricity Main'!$D$216,'Electricity Small'!$E$2498,'Electricity Small'!$E$2558,'Electricity Small'!$E$2618,'Electricity Small'!$E$2678,'Electricity Small'!$E$2738,'Electricity Small'!$E$2798,'Electricity Small'!$E$2858,'Electricity Small'!$E$2918,'Electricity Small'!$E$2978,'Electricity Small'!$E$3038,'Electricity Small'!$E$3098,'Electricity Small'!$E$3158)/1000</f>
        <v>11634.9306</v>
      </c>
      <c r="Y21" s="735"/>
      <c r="Z21" s="735"/>
      <c r="AA21" s="734">
        <f>SUM('Electricity Main'!$D$223,'Electricity Main'!$D$227,'Electricity Main'!$D$231,'Electricity Main'!$D$235,'Electricity Main'!$D$239,'Electricity Main'!$D$243,'Electricity Main'!$D$247,'Electricity Main'!$D$251,'Electricity Main'!$D$255,'Electricity Main'!$D$259,'Electricity Main'!$D$263,'Electricity Main'!$D$267,'Electricity Small'!$E$3220,'Electricity Small'!$E$3281,'Electricity Small'!$E$3342,'Electricity Small'!$E$3403,'Electricity Small'!$E$3464,'Electricity Small'!$E$3525,'Electricity Small'!$E$3586,'Electricity Small'!$E$3648,'Electricity Small'!$E$3710,'Electricity Small'!$E$3772,'Electricity Small'!$E$3834,'Electricity Small'!$E$3895)/1000</f>
        <v>11786.0771</v>
      </c>
      <c r="AF21" t="s">
        <v>1794</v>
      </c>
      <c r="AG21" s="97">
        <f>SUM(AG16:AG18)-10000</f>
        <v>2552.0304731749147</v>
      </c>
      <c r="AH21" s="70">
        <f>AG21*$E$18</f>
        <v>8707885.2587390523</v>
      </c>
      <c r="AI21" s="732">
        <f>AG21*'T&amp;D &amp; ELC EF'!$C$52</f>
        <v>821.88387838003348</v>
      </c>
      <c r="AM21" t="s">
        <v>1743</v>
      </c>
      <c r="AN21" t="s">
        <v>1792</v>
      </c>
      <c r="AO21" s="739">
        <f>AE20/1000</f>
        <v>320516.86929585837</v>
      </c>
    </row>
    <row r="22" spans="1:43" x14ac:dyDescent="0.2">
      <c r="B22" s="79"/>
      <c r="O22" s="728">
        <f>O17/O21</f>
        <v>0.18504952361735269</v>
      </c>
      <c r="R22" s="728">
        <f>R17/R21</f>
        <v>0.20133402760532704</v>
      </c>
      <c r="U22" s="728">
        <f>U17/U21</f>
        <v>0.22593600563887178</v>
      </c>
      <c r="X22" s="728">
        <f>X17/X21</f>
        <v>0.18454176254390378</v>
      </c>
      <c r="AA22" s="728">
        <f>AA17/AA21</f>
        <v>0.1880504497972442</v>
      </c>
      <c r="AM22" s="729">
        <f>AVERAGE(AA22,X22,U22,R22,O22)</f>
        <v>0.19698235384053991</v>
      </c>
    </row>
    <row r="23" spans="1:43" x14ac:dyDescent="0.2">
      <c r="S23" s="99"/>
      <c r="U23" s="194"/>
      <c r="AA23" t="s">
        <v>1762</v>
      </c>
      <c r="AB23">
        <f>(AB24+AB25)/1000</f>
        <v>7845.2336099999984</v>
      </c>
      <c r="AC23" t="s">
        <v>24</v>
      </c>
      <c r="AF23" s="98"/>
    </row>
    <row r="24" spans="1:43" x14ac:dyDescent="0.2">
      <c r="A24" t="s">
        <v>95</v>
      </c>
      <c r="S24" s="99"/>
      <c r="U24" s="195"/>
      <c r="AA24" t="s">
        <v>1763</v>
      </c>
      <c r="AB24">
        <v>3083687.6030000001</v>
      </c>
      <c r="AC24" t="s">
        <v>1765</v>
      </c>
      <c r="AD24" s="97">
        <f>AD16*1000</f>
        <v>10384500</v>
      </c>
    </row>
    <row r="25" spans="1:43" x14ac:dyDescent="0.2">
      <c r="A25" t="s">
        <v>96</v>
      </c>
      <c r="S25" s="99"/>
      <c r="U25" s="195"/>
      <c r="AA25" t="s">
        <v>1764</v>
      </c>
      <c r="AB25">
        <v>4761546.0069999984</v>
      </c>
      <c r="AC25" t="s">
        <v>1765</v>
      </c>
      <c r="AP25" t="s">
        <v>1776</v>
      </c>
      <c r="AQ25" s="740">
        <v>75000</v>
      </c>
    </row>
    <row r="26" spans="1:43" x14ac:dyDescent="0.2">
      <c r="AA26" t="s">
        <v>1766</v>
      </c>
      <c r="AB26" s="97">
        <f>AA21+AB23</f>
        <v>19631.310709999998</v>
      </c>
      <c r="AP26" t="s">
        <v>1774</v>
      </c>
      <c r="AQ26">
        <f>540000-75000</f>
        <v>465000</v>
      </c>
    </row>
    <row r="27" spans="1:43" x14ac:dyDescent="0.2">
      <c r="A27" t="s">
        <v>30</v>
      </c>
      <c r="AB27" s="98">
        <f>10000/AB26</f>
        <v>0.50939033810442913</v>
      </c>
      <c r="AC27" t="s">
        <v>1767</v>
      </c>
      <c r="AP27" t="s">
        <v>1775</v>
      </c>
      <c r="AQ27" s="740">
        <f>740000-AQ26-AQ25</f>
        <v>200000</v>
      </c>
    </row>
    <row r="28" spans="1:43" x14ac:dyDescent="0.2">
      <c r="A28" t="s">
        <v>31</v>
      </c>
      <c r="AB28" s="98">
        <f>10000/AA21</f>
        <v>0.84845872932563793</v>
      </c>
    </row>
    <row r="29" spans="1:43" x14ac:dyDescent="0.2">
      <c r="A29" t="s">
        <v>32</v>
      </c>
      <c r="AA29" t="s">
        <v>1768</v>
      </c>
    </row>
    <row r="30" spans="1:43" x14ac:dyDescent="0.2">
      <c r="AA30">
        <f>10000*'T&amp;D &amp; ELC EF'!C52</f>
        <v>3220.509656993042</v>
      </c>
      <c r="AB30" t="s">
        <v>1769</v>
      </c>
    </row>
    <row r="31" spans="1:43" x14ac:dyDescent="0.2">
      <c r="AA31">
        <f>AA30/AC20</f>
        <v>0.17555441004315037</v>
      </c>
      <c r="AB31" t="s">
        <v>1770</v>
      </c>
    </row>
    <row r="33" spans="1:31" x14ac:dyDescent="0.2">
      <c r="O33" t="s">
        <v>1797</v>
      </c>
      <c r="P33">
        <v>1.02</v>
      </c>
      <c r="Q33" t="s">
        <v>17</v>
      </c>
      <c r="AA33">
        <v>2006</v>
      </c>
      <c r="AB33">
        <v>29191</v>
      </c>
      <c r="AC33">
        <f>(AB33-AC20)/AB33</f>
        <v>0.3715598998857117</v>
      </c>
      <c r="AE33" t="s">
        <v>1771</v>
      </c>
    </row>
    <row r="34" spans="1:31" x14ac:dyDescent="0.2">
      <c r="B34" s="760" t="s">
        <v>101</v>
      </c>
      <c r="C34" s="760"/>
      <c r="D34" s="760"/>
      <c r="E34" s="760"/>
      <c r="F34" s="760"/>
      <c r="G34" s="760"/>
      <c r="H34" s="760"/>
      <c r="J34" s="760" t="s">
        <v>102</v>
      </c>
      <c r="K34" s="760"/>
      <c r="L34" s="760"/>
      <c r="M34" s="760"/>
      <c r="AA34">
        <v>2010</v>
      </c>
      <c r="AB34" s="739">
        <f>H20</f>
        <v>18559.397666052238</v>
      </c>
      <c r="AC34">
        <f>(AB34-AC20)/AB34</f>
        <v>1.1563020927591159E-2</v>
      </c>
      <c r="AE34" t="s">
        <v>1772</v>
      </c>
    </row>
    <row r="35" spans="1:31" s="736" customFormat="1" ht="68" x14ac:dyDescent="0.2">
      <c r="A35" s="736" t="s">
        <v>97</v>
      </c>
      <c r="B35" s="736" t="s">
        <v>1803</v>
      </c>
      <c r="C35" s="736" t="s">
        <v>1804</v>
      </c>
      <c r="D35" s="736" t="s">
        <v>1805</v>
      </c>
      <c r="E35" s="736" t="s">
        <v>1806</v>
      </c>
      <c r="F35" s="736" t="s">
        <v>1807</v>
      </c>
      <c r="G35" s="736" t="s">
        <v>100</v>
      </c>
      <c r="H35" s="736" t="s">
        <v>98</v>
      </c>
      <c r="I35" s="736" t="s">
        <v>99</v>
      </c>
      <c r="J35" s="736" t="s">
        <v>105</v>
      </c>
      <c r="K35" s="736" t="s">
        <v>104</v>
      </c>
      <c r="L35" s="736" t="s">
        <v>103</v>
      </c>
      <c r="M35" s="736" t="s">
        <v>106</v>
      </c>
      <c r="N35" s="736" t="s">
        <v>1761</v>
      </c>
      <c r="O35" s="736" t="s">
        <v>1801</v>
      </c>
      <c r="P35" s="736" t="s">
        <v>1795</v>
      </c>
      <c r="Q35" s="736" t="s">
        <v>1796</v>
      </c>
      <c r="R35" s="736" t="s">
        <v>1798</v>
      </c>
      <c r="S35" s="736" t="s">
        <v>1799</v>
      </c>
      <c r="T35" s="736" t="s">
        <v>1800</v>
      </c>
      <c r="U35" s="736" t="s">
        <v>1802</v>
      </c>
      <c r="W35" s="736" t="s">
        <v>107</v>
      </c>
      <c r="X35" s="736" t="s">
        <v>108</v>
      </c>
      <c r="Y35" s="736" t="s">
        <v>109</v>
      </c>
      <c r="Z35" s="736" t="s">
        <v>110</v>
      </c>
      <c r="AA35" s="736" t="s">
        <v>111</v>
      </c>
    </row>
    <row r="36" spans="1:31" x14ac:dyDescent="0.2">
      <c r="A36">
        <v>2010</v>
      </c>
      <c r="B36" s="97">
        <f>H6</f>
        <v>8677.73</v>
      </c>
      <c r="C36" s="97">
        <f>H4-H6</f>
        <v>5685.5899999999929</v>
      </c>
      <c r="D36" s="97">
        <f>H10</f>
        <v>297.13</v>
      </c>
      <c r="E36" s="97">
        <f>H16+H17</f>
        <v>3683.9975207264742</v>
      </c>
      <c r="F36" s="98">
        <f>H18</f>
        <v>214.95014532577082</v>
      </c>
      <c r="G36" s="97">
        <f>H14</f>
        <v>14660.449999999992</v>
      </c>
      <c r="H36" s="97">
        <f>H19</f>
        <v>3898.947666052245</v>
      </c>
      <c r="I36" s="97">
        <f>G36+H36</f>
        <v>18559.397666052238</v>
      </c>
      <c r="J36" s="97">
        <f>F$6/100</f>
        <v>1635</v>
      </c>
      <c r="K36" s="98">
        <f>(F$5+F$7)/100</f>
        <v>2238.6010000000001</v>
      </c>
      <c r="L36" s="97">
        <f>F$8</f>
        <v>7172.38</v>
      </c>
      <c r="M36" s="97">
        <f>(F$11+F$12)/10</f>
        <v>3215.4142999999999</v>
      </c>
      <c r="N36" s="97">
        <f>F$16+F17</f>
        <v>9808.9548479999994</v>
      </c>
      <c r="O36" s="97"/>
      <c r="P36" s="97"/>
      <c r="Q36" s="97"/>
      <c r="R36" s="97"/>
      <c r="S36" s="97"/>
      <c r="T36" s="97"/>
      <c r="U36" s="97"/>
      <c r="V36" s="97"/>
    </row>
    <row r="37" spans="1:31" x14ac:dyDescent="0.2">
      <c r="A37">
        <v>2011</v>
      </c>
      <c r="B37" s="97">
        <f>K6</f>
        <v>10104.009133272171</v>
      </c>
      <c r="C37" s="97">
        <f>K4-K6</f>
        <v>5240.5356337026806</v>
      </c>
      <c r="D37" s="97">
        <f>K10</f>
        <v>442.02113139310075</v>
      </c>
      <c r="E37" s="97">
        <f>K16+K17</f>
        <v>3739.5962863731615</v>
      </c>
      <c r="F37" s="98">
        <f>K18</f>
        <v>212.57118240634867</v>
      </c>
      <c r="G37" s="97">
        <f>K14</f>
        <v>15786.565898367953</v>
      </c>
      <c r="H37" s="97">
        <f>K19</f>
        <v>3952.1674687795103</v>
      </c>
      <c r="I37" s="97">
        <f t="shared" ref="I37:I42" si="0">G37+H37</f>
        <v>19738.733367147463</v>
      </c>
      <c r="J37" s="98">
        <f>I$6/100</f>
        <v>1903.73</v>
      </c>
      <c r="K37" s="98">
        <f>(I$5+I$7)/100</f>
        <v>1980.5921999999998</v>
      </c>
      <c r="L37" s="97">
        <f>I$8</f>
        <v>6795.86</v>
      </c>
      <c r="M37" s="97">
        <f>(I$11+I$12)/10</f>
        <v>4696.2</v>
      </c>
      <c r="N37" s="97">
        <f>I16+I17</f>
        <v>9944.9804159999985</v>
      </c>
      <c r="O37" s="97"/>
      <c r="P37" s="97"/>
      <c r="Q37" s="97"/>
      <c r="R37" s="97"/>
      <c r="S37" s="97"/>
      <c r="T37" s="97"/>
      <c r="U37" s="97"/>
      <c r="V37" s="97"/>
      <c r="W37" s="98">
        <f>(J37-$J$36)/$J$36</f>
        <v>0.16436085626911315</v>
      </c>
      <c r="X37" s="98">
        <f>(N37-$N$36)/$N$36</f>
        <v>1.386748844375954E-2</v>
      </c>
      <c r="Y37" s="98">
        <f>(M37-$M$36)/$M$36</f>
        <v>0.46052718618561844</v>
      </c>
    </row>
    <row r="38" spans="1:31" x14ac:dyDescent="0.2">
      <c r="A38">
        <v>2012</v>
      </c>
      <c r="B38" s="97">
        <f>N6</f>
        <v>10623.239913639143</v>
      </c>
      <c r="C38" s="97">
        <f>N4-N6</f>
        <v>2588.7484047362232</v>
      </c>
      <c r="D38" s="97">
        <f>N10</f>
        <v>408.56373236610818</v>
      </c>
      <c r="E38" s="97">
        <f>N16+N17</f>
        <v>3893.7646022625217</v>
      </c>
      <c r="F38" s="98">
        <f>N18</f>
        <v>226.07921650795703</v>
      </c>
      <c r="G38" s="97">
        <f>N14</f>
        <v>13620.552050741475</v>
      </c>
      <c r="H38" s="97">
        <f>N19</f>
        <v>4119.8438187704787</v>
      </c>
      <c r="I38" s="97">
        <f t="shared" si="0"/>
        <v>17740.395869511955</v>
      </c>
      <c r="J38" s="98">
        <f>L$6/100</f>
        <v>2001.56</v>
      </c>
      <c r="K38" s="98">
        <f>(L$5+L$7)/100</f>
        <v>595.35</v>
      </c>
      <c r="L38" s="97">
        <f>L$8</f>
        <v>4220</v>
      </c>
      <c r="M38" s="97">
        <f>(L$11+L$12)/10</f>
        <v>4314.2</v>
      </c>
      <c r="N38" s="97">
        <f>L$16+L17</f>
        <v>11005.476048</v>
      </c>
      <c r="O38" s="97"/>
      <c r="P38" s="97"/>
      <c r="Q38" s="97"/>
      <c r="R38" s="97"/>
      <c r="S38" s="97"/>
      <c r="T38" s="97"/>
      <c r="U38" s="97"/>
      <c r="V38" s="97"/>
      <c r="W38" s="98">
        <f t="shared" ref="W38:W42" si="1">(J38-$J$36)/$J$36</f>
        <v>0.22419571865443422</v>
      </c>
      <c r="X38" s="98">
        <f t="shared" ref="X38:X42" si="2">(N38-$N$36)/$N$36</f>
        <v>0.12198253723677464</v>
      </c>
      <c r="Y38" s="98">
        <f t="shared" ref="Y38:Y42" si="3">(M38-$M$36)/$M$36</f>
        <v>0.34172445522805567</v>
      </c>
    </row>
    <row r="39" spans="1:31" x14ac:dyDescent="0.2">
      <c r="A39">
        <v>2013</v>
      </c>
      <c r="B39" s="97">
        <f>Q6</f>
        <v>12500.091733667892</v>
      </c>
      <c r="C39" s="97">
        <f>Q4-Q6</f>
        <v>1027.1182682120707</v>
      </c>
      <c r="D39" s="97">
        <f>Q10</f>
        <v>327.55068418795952</v>
      </c>
      <c r="E39" s="97">
        <f>Q16+Q17</f>
        <v>3307.2726808202769</v>
      </c>
      <c r="F39" s="98">
        <f>Q18</f>
        <v>164.97466903063591</v>
      </c>
      <c r="G39" s="97">
        <f>Q14</f>
        <v>13854.760686067923</v>
      </c>
      <c r="H39" s="97">
        <f>Q19</f>
        <v>3472.2473498509135</v>
      </c>
      <c r="I39" s="97">
        <f t="shared" si="0"/>
        <v>17327.008035918836</v>
      </c>
      <c r="J39" s="98">
        <f>O$6/100</f>
        <v>2355.1839000000004</v>
      </c>
      <c r="K39" s="98">
        <f>(O$5+O$7)/100</f>
        <v>562.86539999999991</v>
      </c>
      <c r="L39" s="97">
        <f>O$8</f>
        <v>988</v>
      </c>
      <c r="M39" s="97">
        <f>(O$11+O$12)/10</f>
        <v>3547.9426486486482</v>
      </c>
      <c r="N39" s="97">
        <f>O$16+O17</f>
        <v>10140.86161</v>
      </c>
      <c r="O39" s="97"/>
      <c r="P39" s="97"/>
      <c r="Q39" s="97"/>
      <c r="R39" s="97"/>
      <c r="S39" s="97"/>
      <c r="T39" s="97"/>
      <c r="U39" s="97"/>
      <c r="V39" s="97"/>
      <c r="W39" s="98">
        <f t="shared" si="1"/>
        <v>0.44047944954128465</v>
      </c>
      <c r="X39" s="98">
        <f t="shared" si="2"/>
        <v>3.383711793389229E-2</v>
      </c>
      <c r="Y39" s="98">
        <f t="shared" si="3"/>
        <v>0.10341695272321463</v>
      </c>
    </row>
    <row r="40" spans="1:31" x14ac:dyDescent="0.2">
      <c r="A40">
        <v>2014</v>
      </c>
      <c r="B40" s="97">
        <f>T6</f>
        <v>12221.306786778596</v>
      </c>
      <c r="C40" s="97">
        <f>T4-T6</f>
        <v>2820.7604689091368</v>
      </c>
      <c r="D40" s="97">
        <f>T10</f>
        <v>328.98987505576588</v>
      </c>
      <c r="E40" s="97">
        <f>T16+T17</f>
        <v>3627.1247770590853</v>
      </c>
      <c r="F40" s="98">
        <f>T18</f>
        <v>181.3342854183494</v>
      </c>
      <c r="G40" s="97">
        <f>T14</f>
        <v>15371.057130743498</v>
      </c>
      <c r="H40" s="97">
        <f>T19</f>
        <v>3808.4590624774346</v>
      </c>
      <c r="I40" s="97">
        <f t="shared" si="0"/>
        <v>19179.516193220934</v>
      </c>
      <c r="J40" s="98">
        <f>R$6/100</f>
        <v>2302.6571000000004</v>
      </c>
      <c r="K40" s="98">
        <f>(R$5+R$7)/100</f>
        <v>796.88100000000009</v>
      </c>
      <c r="L40" s="97">
        <f>R$8</f>
        <v>4270.2142857142853</v>
      </c>
      <c r="M40" s="97">
        <f>(R$11+R$12)/10</f>
        <v>3600.229499999999</v>
      </c>
      <c r="N40" s="97">
        <f>R$16+R17</f>
        <v>10954.0162</v>
      </c>
      <c r="O40" s="97"/>
      <c r="P40" s="97"/>
      <c r="Q40" s="97"/>
      <c r="R40" s="97"/>
      <c r="S40" s="97"/>
      <c r="T40" s="97"/>
      <c r="U40" s="97"/>
      <c r="V40" s="97"/>
      <c r="W40" s="98">
        <f t="shared" si="1"/>
        <v>0.4083529663608565</v>
      </c>
      <c r="X40" s="98">
        <f t="shared" si="2"/>
        <v>0.11673632611668851</v>
      </c>
      <c r="Y40" s="98">
        <f t="shared" si="3"/>
        <v>0.11967826354445184</v>
      </c>
    </row>
    <row r="41" spans="1:31" x14ac:dyDescent="0.2">
      <c r="A41">
        <v>2015</v>
      </c>
      <c r="B41" s="97">
        <f>W6</f>
        <v>13601.423050190828</v>
      </c>
      <c r="C41" s="97">
        <f>W4-W6</f>
        <v>1460.2661876423736</v>
      </c>
      <c r="D41" s="97">
        <f>W10</f>
        <v>364.97710922540529</v>
      </c>
      <c r="E41" s="97">
        <f>W16+W17</f>
        <v>3260.0117782656421</v>
      </c>
      <c r="F41" s="98">
        <f>W18</f>
        <v>158.85750074513695</v>
      </c>
      <c r="G41" s="97">
        <f>W14</f>
        <v>15426.666347058606</v>
      </c>
      <c r="H41" s="97">
        <f>W19</f>
        <v>3418.8692790107789</v>
      </c>
      <c r="I41" s="97">
        <f t="shared" si="0"/>
        <v>18845.535626069384</v>
      </c>
      <c r="J41" s="98">
        <f>U$6/100</f>
        <v>2562.6894000000002</v>
      </c>
      <c r="K41" s="98">
        <f>(U$5+U$7)/100</f>
        <v>559.59199999999998</v>
      </c>
      <c r="L41" s="97">
        <f>U$8</f>
        <v>1921.2619047619048</v>
      </c>
      <c r="M41" s="97">
        <f>(U$11+U$12)/10</f>
        <v>3973.3391999999999</v>
      </c>
      <c r="N41" s="97">
        <f>U$16+U17</f>
        <v>9899.5691000000006</v>
      </c>
      <c r="O41" s="97"/>
      <c r="P41" s="97"/>
      <c r="Q41" s="97"/>
      <c r="R41" s="97"/>
      <c r="S41" s="97"/>
      <c r="T41" s="97"/>
      <c r="U41" s="97"/>
      <c r="V41" s="97"/>
      <c r="W41" s="98">
        <f t="shared" si="1"/>
        <v>0.56739412844036707</v>
      </c>
      <c r="X41" s="98">
        <f t="shared" si="2"/>
        <v>9.2379110113323688E-3</v>
      </c>
      <c r="Y41" s="98">
        <f t="shared" si="3"/>
        <v>0.23571609419041273</v>
      </c>
    </row>
    <row r="42" spans="1:31" x14ac:dyDescent="0.2">
      <c r="A42">
        <v>2016</v>
      </c>
      <c r="B42" s="97">
        <f>Z6</f>
        <v>13043.139300335779</v>
      </c>
      <c r="C42" s="97">
        <f>Z4-Z6</f>
        <v>296.69638543298242</v>
      </c>
      <c r="D42" s="97">
        <f>Z10</f>
        <v>353.30338806450635</v>
      </c>
      <c r="E42" s="97">
        <f>Z$16+Z$17</f>
        <v>3942.3089503860074</v>
      </c>
      <c r="F42" s="98">
        <f>Z17</f>
        <v>727.52064219684121</v>
      </c>
      <c r="G42" s="97">
        <f>Z14</f>
        <v>13693.139073833268</v>
      </c>
      <c r="H42" s="97">
        <f>Z19</f>
        <v>4123.1832533769702</v>
      </c>
      <c r="I42" s="97">
        <f t="shared" si="0"/>
        <v>17816.32232721024</v>
      </c>
      <c r="J42" s="98">
        <f>X$6/100</f>
        <v>2457.5012999999999</v>
      </c>
      <c r="K42" s="98">
        <f>(X$5+X$7)/100</f>
        <v>111.87900000000002</v>
      </c>
      <c r="L42" s="97">
        <f>X$8</f>
        <v>429.59523809523807</v>
      </c>
      <c r="M42" s="97">
        <f>(X$11+X$12)/10</f>
        <v>3869.7491</v>
      </c>
      <c r="N42" s="97">
        <f>X$16+X17</f>
        <v>11634.9306</v>
      </c>
      <c r="O42" s="97"/>
      <c r="P42" s="97"/>
      <c r="Q42" s="97"/>
      <c r="R42" s="97"/>
      <c r="S42" s="97"/>
      <c r="T42" s="97"/>
      <c r="U42" s="97"/>
      <c r="V42" s="97"/>
      <c r="W42" s="98">
        <f t="shared" si="1"/>
        <v>0.50305889908256873</v>
      </c>
      <c r="X42" s="98">
        <f t="shared" si="2"/>
        <v>0.18615395628743345</v>
      </c>
      <c r="Y42" s="98">
        <f t="shared" si="3"/>
        <v>0.20349937487060379</v>
      </c>
    </row>
    <row r="43" spans="1:31" x14ac:dyDescent="0.2">
      <c r="A43">
        <v>2017</v>
      </c>
      <c r="B43" s="97">
        <f>AC6</f>
        <v>13941.848540472787</v>
      </c>
      <c r="C43" s="97">
        <f>AC4-AC6</f>
        <v>106.79721351278749</v>
      </c>
      <c r="D43" s="97">
        <f>AC10</f>
        <v>326.28305224171487</v>
      </c>
      <c r="E43" s="97">
        <f>AC16+AC17</f>
        <v>3795.7175118614546</v>
      </c>
      <c r="F43" s="98">
        <f>AC17</f>
        <v>713.78638540882321</v>
      </c>
      <c r="G43" s="97">
        <f>AC14</f>
        <v>14374.92880622729</v>
      </c>
      <c r="H43" s="97">
        <f>AC19</f>
        <v>3969.8661562089014</v>
      </c>
      <c r="I43" s="97">
        <f t="shared" ref="I43" si="4">G43+H43</f>
        <v>18344.79496243619</v>
      </c>
      <c r="J43" s="98">
        <f>AA$6/100</f>
        <v>2626.8301000000006</v>
      </c>
      <c r="K43" s="98">
        <f>(AA$5+AA$7)/100</f>
        <v>124.77900000000001</v>
      </c>
      <c r="L43" s="97">
        <f>AA$8</f>
        <v>0</v>
      </c>
      <c r="M43" s="97">
        <f>(AA$11+AA$12)/10</f>
        <v>3587.7595000000001</v>
      </c>
      <c r="N43" s="97">
        <f>AA$16+AA$17</f>
        <v>11786.0771</v>
      </c>
      <c r="O43" s="97">
        <v>55066</v>
      </c>
      <c r="P43" s="97">
        <v>416917</v>
      </c>
      <c r="Q43" s="98">
        <f>O43/1000</f>
        <v>55.066000000000003</v>
      </c>
      <c r="R43" s="98">
        <f>P43/1000</f>
        <v>416.91699999999997</v>
      </c>
      <c r="S43" s="728">
        <f>Q43/J43</f>
        <v>2.0962908868754012E-2</v>
      </c>
      <c r="T43" s="728">
        <f>R43/N43/2</f>
        <v>1.768684340271285E-2</v>
      </c>
      <c r="U43" s="98">
        <f>O43/10*$D$6+R43*'T&amp;D &amp; ELC EF'!$C$52</f>
        <v>426.530222882359</v>
      </c>
      <c r="V43" s="728">
        <f>U43/I43</f>
        <v>2.3250748986606048E-2</v>
      </c>
      <c r="W43" s="98">
        <f t="shared" ref="W43" si="5">(J43-$J$36)/$J$36</f>
        <v>0.60662391437308905</v>
      </c>
      <c r="X43" s="98">
        <f t="shared" ref="X43" si="6">(N43-$N$36)/$N$36</f>
        <v>0.201562988375171</v>
      </c>
      <c r="Y43" s="98">
        <f t="shared" ref="Y43" si="7">(M43-$M$36)/$M$36</f>
        <v>0.1158000696830888</v>
      </c>
    </row>
    <row r="44" spans="1:31" x14ac:dyDescent="0.2">
      <c r="A44">
        <v>2018</v>
      </c>
      <c r="B44" s="97">
        <f>AF6</f>
        <v>14222.985231804281</v>
      </c>
      <c r="C44" s="97">
        <f>AF5+AF7+AF8</f>
        <v>256.17346835967805</v>
      </c>
      <c r="D44" s="97">
        <f>AF11+AF12</f>
        <v>270.00761045646959</v>
      </c>
      <c r="E44" s="807">
        <f>AF16+AF17</f>
        <v>4052.4317115874846</v>
      </c>
      <c r="F44" s="807">
        <f>AF18</f>
        <v>185.92676791099515</v>
      </c>
      <c r="G44" s="97">
        <f>B44+C44+D44</f>
        <v>14749.166310620429</v>
      </c>
      <c r="H44" s="807">
        <f>E44+F44</f>
        <v>4238.3584794984799</v>
      </c>
      <c r="I44" s="97">
        <f>G44+H44</f>
        <v>18987.524790118907</v>
      </c>
      <c r="J44" s="98">
        <f>AD$6/100</f>
        <v>2679.8</v>
      </c>
      <c r="K44" s="98">
        <f>(AD$5+AD$7)/100</f>
        <v>119.625</v>
      </c>
      <c r="L44" s="97">
        <f>AD$8</f>
        <v>321.47619047619048</v>
      </c>
      <c r="M44" s="97">
        <f>(AD$11+AD$12)/10</f>
        <v>2911.42</v>
      </c>
      <c r="N44" s="97">
        <f>AD$16+AD$17</f>
        <v>12583.2</v>
      </c>
      <c r="O44" s="97">
        <v>49778</v>
      </c>
      <c r="P44" s="97">
        <v>635759</v>
      </c>
      <c r="Q44" s="98">
        <f>O44/1000</f>
        <v>49.777999999999999</v>
      </c>
      <c r="R44" s="98">
        <f>P44/1000</f>
        <v>635.75900000000001</v>
      </c>
      <c r="S44" s="728">
        <f>Q44/J44</f>
        <v>1.8575266810956038E-2</v>
      </c>
      <c r="T44" s="728">
        <f>R44/N44/2</f>
        <v>2.5262214698963698E-2</v>
      </c>
      <c r="U44" s="98">
        <f>O44/10*$D$6+R44*'T&amp;D &amp; ELC EF'!$C$52</f>
        <v>468.94254543107593</v>
      </c>
      <c r="V44" s="728">
        <f>U44/AF20</f>
        <v>2.4697402669099516E-2</v>
      </c>
      <c r="W44" s="98">
        <f t="shared" ref="W44" si="8">(J44-$J$36)/$J$36</f>
        <v>0.63902140672782881</v>
      </c>
      <c r="X44" s="98">
        <f t="shared" ref="X44" si="9">(N44-$N$36)/$N$36</f>
        <v>0.28282780326648738</v>
      </c>
      <c r="Y44" s="98">
        <f t="shared" ref="Y44" si="10">(M44-$M$36)/$M$36</f>
        <v>-9.4542808993540853E-2</v>
      </c>
    </row>
  </sheetData>
  <mergeCells count="12">
    <mergeCell ref="AG1:AI1"/>
    <mergeCell ref="AA1:AC1"/>
    <mergeCell ref="U1:W1"/>
    <mergeCell ref="X1:Z1"/>
    <mergeCell ref="B34:H34"/>
    <mergeCell ref="J34:M34"/>
    <mergeCell ref="C1:E1"/>
    <mergeCell ref="F1:H1"/>
    <mergeCell ref="I1:K1"/>
    <mergeCell ref="L1:N1"/>
    <mergeCell ref="O1:Q1"/>
    <mergeCell ref="R1:T1"/>
  </mergeCells>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FF00"/>
  </sheetPr>
  <dimension ref="A1:AL655"/>
  <sheetViews>
    <sheetView topLeftCell="R620" workbookViewId="0">
      <selection activeCell="X655" sqref="X655"/>
    </sheetView>
  </sheetViews>
  <sheetFormatPr baseColWidth="10" defaultColWidth="8.83203125" defaultRowHeight="15" x14ac:dyDescent="0.2"/>
  <cols>
    <col min="1" max="1" width="14" style="204" bestFit="1" customWidth="1"/>
    <col min="2" max="2" width="11.1640625" style="204" bestFit="1" customWidth="1"/>
    <col min="3" max="3" width="14.1640625" style="204" bestFit="1" customWidth="1"/>
    <col min="4" max="4" width="17" style="204" bestFit="1" customWidth="1"/>
    <col min="5" max="5" width="14.33203125" style="204" bestFit="1" customWidth="1"/>
    <col min="6" max="6" width="12.1640625" style="204" bestFit="1" customWidth="1"/>
    <col min="7" max="7" width="12.83203125" style="204" bestFit="1" customWidth="1"/>
    <col min="8" max="8" width="12.1640625" style="204" bestFit="1" customWidth="1"/>
    <col min="9" max="9" width="12.83203125" style="204" bestFit="1" customWidth="1"/>
    <col min="10" max="10" width="13.83203125" style="204" bestFit="1" customWidth="1"/>
    <col min="11" max="11" width="14.1640625" style="204" bestFit="1" customWidth="1"/>
    <col min="12" max="12" width="10.1640625" style="204" bestFit="1" customWidth="1"/>
    <col min="13" max="13" width="25.6640625" style="204" bestFit="1" customWidth="1"/>
    <col min="14" max="14" width="19.5" style="204" bestFit="1" customWidth="1"/>
    <col min="15" max="15" width="25" style="204" bestFit="1" customWidth="1"/>
    <col min="16" max="16" width="15.1640625" style="204" bestFit="1" customWidth="1"/>
    <col min="17" max="17" width="8.1640625" style="204" bestFit="1" customWidth="1"/>
    <col min="18" max="18" width="11" style="204" bestFit="1" customWidth="1"/>
    <col min="19" max="19" width="14.1640625" style="204" bestFit="1" customWidth="1"/>
    <col min="20" max="20" width="14.5" style="204" bestFit="1" customWidth="1"/>
    <col min="21" max="21" width="7.6640625" style="204" bestFit="1" customWidth="1"/>
    <col min="22" max="22" width="15.6640625" style="204" bestFit="1" customWidth="1"/>
    <col min="23" max="23" width="6.83203125" style="204" bestFit="1" customWidth="1"/>
    <col min="24" max="24" width="6.1640625" style="204" bestFit="1" customWidth="1"/>
    <col min="25" max="25" width="7.6640625" style="204" bestFit="1" customWidth="1"/>
    <col min="26" max="26" width="7.83203125" style="204" bestFit="1" customWidth="1"/>
    <col min="27" max="27" width="8.83203125" style="204" bestFit="1" customWidth="1"/>
    <col min="28" max="28" width="18.1640625" style="204" bestFit="1" customWidth="1"/>
    <col min="29" max="29" width="16.33203125" style="204" bestFit="1" customWidth="1"/>
    <col min="30" max="30" width="16.83203125" style="204" bestFit="1" customWidth="1"/>
    <col min="31" max="31" width="7.5" style="204" bestFit="1" customWidth="1"/>
    <col min="32" max="32" width="11.1640625" style="204" bestFit="1" customWidth="1"/>
    <col min="33" max="33" width="17.33203125" style="204" bestFit="1" customWidth="1"/>
    <col min="34" max="34" width="20.33203125" style="204" bestFit="1" customWidth="1"/>
    <col min="35" max="35" width="8.83203125" style="204"/>
    <col min="36" max="36" width="11.6640625" style="204" bestFit="1" customWidth="1"/>
    <col min="37" max="37" width="12.1640625" style="204" bestFit="1" customWidth="1"/>
    <col min="38" max="38" width="7" style="204" bestFit="1" customWidth="1"/>
    <col min="39" max="16384" width="8.83203125" style="204"/>
  </cols>
  <sheetData>
    <row r="1" spans="1:38" x14ac:dyDescent="0.2">
      <c r="A1" s="204" t="s">
        <v>223</v>
      </c>
      <c r="B1" s="204" t="s">
        <v>224</v>
      </c>
      <c r="C1" s="204" t="s">
        <v>225</v>
      </c>
      <c r="D1" s="204" t="s">
        <v>226</v>
      </c>
      <c r="E1" s="204" t="s">
        <v>227</v>
      </c>
      <c r="F1" s="204" t="s">
        <v>228</v>
      </c>
      <c r="G1" s="204" t="s">
        <v>229</v>
      </c>
      <c r="H1" s="204" t="s">
        <v>230</v>
      </c>
      <c r="I1" s="204" t="s">
        <v>231</v>
      </c>
      <c r="J1" s="204" t="s">
        <v>232</v>
      </c>
      <c r="K1" s="204" t="s">
        <v>233</v>
      </c>
      <c r="L1" s="204" t="s">
        <v>234</v>
      </c>
      <c r="M1" s="204" t="s">
        <v>235</v>
      </c>
      <c r="N1" s="204" t="s">
        <v>236</v>
      </c>
      <c r="O1" s="204" t="s">
        <v>237</v>
      </c>
      <c r="P1" s="204" t="s">
        <v>238</v>
      </c>
      <c r="Q1" s="204" t="s">
        <v>239</v>
      </c>
      <c r="R1" s="204" t="s">
        <v>240</v>
      </c>
      <c r="S1" s="204" t="s">
        <v>241</v>
      </c>
      <c r="T1" s="204" t="s">
        <v>242</v>
      </c>
      <c r="U1" s="204" t="s">
        <v>243</v>
      </c>
      <c r="V1" s="204" t="s">
        <v>244</v>
      </c>
      <c r="W1" s="204" t="s">
        <v>245</v>
      </c>
      <c r="X1" s="204" t="s">
        <v>246</v>
      </c>
      <c r="Y1" s="204" t="s">
        <v>247</v>
      </c>
      <c r="Z1" s="204" t="s">
        <v>248</v>
      </c>
      <c r="AA1" s="204" t="s">
        <v>249</v>
      </c>
      <c r="AB1" s="204" t="s">
        <v>250</v>
      </c>
      <c r="AC1" s="204" t="s">
        <v>251</v>
      </c>
      <c r="AD1" s="204" t="s">
        <v>252</v>
      </c>
      <c r="AE1" s="204" t="s">
        <v>253</v>
      </c>
      <c r="AF1" s="204" t="s">
        <v>254</v>
      </c>
      <c r="AG1" s="204" t="s">
        <v>851</v>
      </c>
      <c r="AH1" s="204" t="s">
        <v>852</v>
      </c>
      <c r="AI1" s="204" t="s">
        <v>129</v>
      </c>
      <c r="AJ1" s="204" t="s">
        <v>265</v>
      </c>
      <c r="AK1" s="204" t="s">
        <v>266</v>
      </c>
      <c r="AL1" s="204" t="s">
        <v>267</v>
      </c>
    </row>
    <row r="2" spans="1:38" s="205" customFormat="1" x14ac:dyDescent="0.2">
      <c r="A2" s="205" t="str">
        <f>"0496002595700"</f>
        <v>0496002595700</v>
      </c>
      <c r="B2" s="205">
        <v>2</v>
      </c>
      <c r="C2" s="205" t="s">
        <v>156</v>
      </c>
      <c r="D2" s="205">
        <v>42</v>
      </c>
      <c r="E2" s="205">
        <v>42</v>
      </c>
      <c r="F2" s="205" t="s">
        <v>243</v>
      </c>
      <c r="G2" s="205">
        <v>2262</v>
      </c>
      <c r="H2" s="205" t="s">
        <v>270</v>
      </c>
      <c r="I2" s="205">
        <v>3813</v>
      </c>
      <c r="J2" s="206">
        <v>42298</v>
      </c>
      <c r="K2" s="207">
        <v>0.59305555555555556</v>
      </c>
      <c r="L2" s="206">
        <v>42300</v>
      </c>
      <c r="M2" s="205" t="s">
        <v>853</v>
      </c>
      <c r="N2" s="205" t="s">
        <v>272</v>
      </c>
      <c r="O2" s="205" t="s">
        <v>273</v>
      </c>
      <c r="P2" s="205" t="s">
        <v>274</v>
      </c>
      <c r="Q2" s="205" t="s">
        <v>275</v>
      </c>
      <c r="R2" s="205" t="s">
        <v>276</v>
      </c>
      <c r="S2" s="205" t="s">
        <v>156</v>
      </c>
      <c r="T2" s="205" t="s">
        <v>277</v>
      </c>
      <c r="U2" s="205">
        <v>2262</v>
      </c>
      <c r="V2" s="205" t="s">
        <v>156</v>
      </c>
      <c r="W2" s="205" t="s">
        <v>280</v>
      </c>
      <c r="X2" s="205">
        <v>5.3250000000000002</v>
      </c>
      <c r="Y2" s="208">
        <v>-0.16</v>
      </c>
      <c r="Z2" s="208">
        <v>2.15</v>
      </c>
      <c r="AA2" s="208">
        <v>11.44</v>
      </c>
      <c r="AB2" s="208">
        <v>0</v>
      </c>
      <c r="AC2" s="208">
        <v>0</v>
      </c>
      <c r="AD2" s="208">
        <v>0</v>
      </c>
      <c r="AE2" s="208">
        <v>11.28</v>
      </c>
      <c r="AF2" s="208">
        <v>-2.25</v>
      </c>
      <c r="AG2" s="205" t="s">
        <v>279</v>
      </c>
      <c r="AH2" s="208">
        <v>0</v>
      </c>
      <c r="AI2" s="208">
        <v>11.44</v>
      </c>
      <c r="AJ2" s="208">
        <v>0</v>
      </c>
      <c r="AK2" s="205" t="str">
        <f t="shared" ref="AK2:AK65" si="0">"1.00000000"</f>
        <v>1.00000000</v>
      </c>
      <c r="AL2" s="205">
        <v>716.1</v>
      </c>
    </row>
    <row r="3" spans="1:38" s="205" customFormat="1" x14ac:dyDescent="0.2">
      <c r="A3" s="205" t="str">
        <f t="shared" ref="A3:A9" si="1">"0496002595734"</f>
        <v>0496002595734</v>
      </c>
      <c r="B3" s="205">
        <v>3</v>
      </c>
      <c r="C3" s="205" t="s">
        <v>599</v>
      </c>
      <c r="D3" s="205">
        <v>82</v>
      </c>
      <c r="E3" s="205">
        <v>82</v>
      </c>
      <c r="F3" s="205" t="s">
        <v>243</v>
      </c>
      <c r="G3" s="205">
        <v>2086</v>
      </c>
      <c r="H3" s="205" t="s">
        <v>270</v>
      </c>
      <c r="I3" s="205">
        <v>28535</v>
      </c>
      <c r="J3" s="206">
        <v>42298</v>
      </c>
      <c r="K3" s="207">
        <v>0.59722222222222221</v>
      </c>
      <c r="L3" s="206">
        <v>42300</v>
      </c>
      <c r="M3" s="205" t="s">
        <v>853</v>
      </c>
      <c r="N3" s="205" t="s">
        <v>272</v>
      </c>
      <c r="O3" s="205" t="s">
        <v>273</v>
      </c>
      <c r="P3" s="205" t="s">
        <v>274</v>
      </c>
      <c r="Q3" s="205" t="s">
        <v>275</v>
      </c>
      <c r="R3" s="205" t="s">
        <v>276</v>
      </c>
      <c r="S3" s="205" t="s">
        <v>436</v>
      </c>
      <c r="T3" s="205" t="s">
        <v>435</v>
      </c>
      <c r="U3" s="205">
        <v>2086</v>
      </c>
      <c r="V3" s="205" t="s">
        <v>599</v>
      </c>
      <c r="W3" s="205" t="s">
        <v>335</v>
      </c>
      <c r="X3" s="205">
        <v>10.502000000000001</v>
      </c>
      <c r="Y3" s="208">
        <v>-0.32</v>
      </c>
      <c r="Z3" s="208">
        <v>2.35</v>
      </c>
      <c r="AA3" s="208">
        <v>24.67</v>
      </c>
      <c r="AB3" s="208">
        <v>0</v>
      </c>
      <c r="AC3" s="208">
        <v>0</v>
      </c>
      <c r="AD3" s="208">
        <v>0</v>
      </c>
      <c r="AE3" s="208">
        <v>24.35</v>
      </c>
      <c r="AF3" s="208">
        <v>0</v>
      </c>
      <c r="AG3" s="205" t="s">
        <v>279</v>
      </c>
      <c r="AH3" s="208">
        <v>0</v>
      </c>
      <c r="AI3" s="208">
        <v>24.67</v>
      </c>
      <c r="AJ3" s="208">
        <v>0</v>
      </c>
      <c r="AK3" s="205" t="str">
        <f t="shared" si="0"/>
        <v>1.00000000</v>
      </c>
      <c r="AL3" s="205">
        <v>2717.1</v>
      </c>
    </row>
    <row r="4" spans="1:38" s="205" customFormat="1" x14ac:dyDescent="0.2">
      <c r="A4" s="205" t="str">
        <f t="shared" si="1"/>
        <v>0496002595734</v>
      </c>
      <c r="B4" s="205">
        <v>3</v>
      </c>
      <c r="C4" s="205" t="s">
        <v>599</v>
      </c>
      <c r="D4" s="205">
        <v>82</v>
      </c>
      <c r="E4" s="205">
        <v>82</v>
      </c>
      <c r="F4" s="205" t="s">
        <v>243</v>
      </c>
      <c r="G4" s="205">
        <v>2086</v>
      </c>
      <c r="H4" s="205" t="s">
        <v>270</v>
      </c>
      <c r="I4" s="205">
        <v>28723</v>
      </c>
      <c r="J4" s="206">
        <v>42299</v>
      </c>
      <c r="K4" s="207">
        <v>0.43611111111111112</v>
      </c>
      <c r="L4" s="206">
        <v>42303</v>
      </c>
      <c r="M4" s="205" t="s">
        <v>853</v>
      </c>
      <c r="N4" s="205" t="s">
        <v>272</v>
      </c>
      <c r="O4" s="205" t="s">
        <v>273</v>
      </c>
      <c r="P4" s="205" t="s">
        <v>274</v>
      </c>
      <c r="Q4" s="205" t="s">
        <v>275</v>
      </c>
      <c r="R4" s="205" t="s">
        <v>276</v>
      </c>
      <c r="S4" s="205" t="s">
        <v>436</v>
      </c>
      <c r="T4" s="205" t="s">
        <v>435</v>
      </c>
      <c r="U4" s="205">
        <v>2086</v>
      </c>
      <c r="V4" s="205" t="s">
        <v>599</v>
      </c>
      <c r="W4" s="205" t="s">
        <v>280</v>
      </c>
      <c r="X4" s="205">
        <v>9.2319999999999993</v>
      </c>
      <c r="Y4" s="208">
        <v>-0.28000000000000003</v>
      </c>
      <c r="Z4" s="208">
        <v>2.15</v>
      </c>
      <c r="AA4" s="208">
        <v>19.84</v>
      </c>
      <c r="AB4" s="208">
        <v>0</v>
      </c>
      <c r="AC4" s="208">
        <v>0</v>
      </c>
      <c r="AD4" s="208">
        <v>0</v>
      </c>
      <c r="AE4" s="208">
        <v>19.559999999999999</v>
      </c>
      <c r="AF4" s="208">
        <v>0</v>
      </c>
      <c r="AG4" s="205" t="s">
        <v>279</v>
      </c>
      <c r="AH4" s="208">
        <v>0</v>
      </c>
      <c r="AI4" s="208">
        <v>19.84</v>
      </c>
      <c r="AJ4" s="208">
        <v>0</v>
      </c>
      <c r="AK4" s="205" t="str">
        <f t="shared" si="0"/>
        <v>1.00000000</v>
      </c>
      <c r="AL4" s="205">
        <v>20.399999999999999</v>
      </c>
    </row>
    <row r="5" spans="1:38" s="205" customFormat="1" x14ac:dyDescent="0.2">
      <c r="A5" s="205" t="str">
        <f t="shared" si="1"/>
        <v>0496002595734</v>
      </c>
      <c r="B5" s="205">
        <v>2</v>
      </c>
      <c r="C5" s="205" t="s">
        <v>599</v>
      </c>
      <c r="D5" s="205">
        <v>80</v>
      </c>
      <c r="E5" s="205">
        <v>80</v>
      </c>
      <c r="F5" s="205" t="s">
        <v>243</v>
      </c>
      <c r="G5" s="205">
        <v>2086</v>
      </c>
      <c r="H5" s="205" t="s">
        <v>270</v>
      </c>
      <c r="I5" s="205">
        <v>34106</v>
      </c>
      <c r="J5" s="206">
        <v>42300</v>
      </c>
      <c r="K5" s="207">
        <v>0.9537268518518518</v>
      </c>
      <c r="L5" s="206">
        <v>42304</v>
      </c>
      <c r="M5" s="205" t="s">
        <v>305</v>
      </c>
      <c r="N5" s="205" t="s">
        <v>854</v>
      </c>
      <c r="O5" s="205" t="s">
        <v>855</v>
      </c>
      <c r="P5" s="205" t="s">
        <v>856</v>
      </c>
      <c r="Q5" s="205" t="s">
        <v>395</v>
      </c>
      <c r="R5" s="205" t="s">
        <v>857</v>
      </c>
      <c r="S5" s="205" t="s">
        <v>436</v>
      </c>
      <c r="T5" s="205" t="s">
        <v>435</v>
      </c>
      <c r="U5" s="205">
        <v>2086</v>
      </c>
      <c r="V5" s="205" t="s">
        <v>599</v>
      </c>
      <c r="W5" s="205" t="s">
        <v>335</v>
      </c>
      <c r="X5" s="205">
        <v>8.9499999999999993</v>
      </c>
      <c r="Y5" s="208">
        <v>0</v>
      </c>
      <c r="Z5" s="208">
        <v>2.44</v>
      </c>
      <c r="AA5" s="208">
        <v>21.83</v>
      </c>
      <c r="AB5" s="208">
        <v>-1.64</v>
      </c>
      <c r="AC5" s="208">
        <v>0</v>
      </c>
      <c r="AD5" s="208">
        <v>0</v>
      </c>
      <c r="AE5" s="208">
        <v>20.190000000000001</v>
      </c>
      <c r="AF5" s="208">
        <v>-2.69</v>
      </c>
      <c r="AG5" s="205" t="s">
        <v>279</v>
      </c>
      <c r="AH5" s="208">
        <v>0</v>
      </c>
      <c r="AI5" s="208">
        <v>21.83</v>
      </c>
      <c r="AJ5" s="208">
        <v>0</v>
      </c>
      <c r="AK5" s="205" t="str">
        <f t="shared" si="0"/>
        <v>1.00000000</v>
      </c>
      <c r="AL5" s="205">
        <v>3810.7</v>
      </c>
    </row>
    <row r="6" spans="1:38" s="205" customFormat="1" x14ac:dyDescent="0.2">
      <c r="A6" s="205" t="str">
        <f t="shared" si="1"/>
        <v>0496002595734</v>
      </c>
      <c r="B6" s="205">
        <v>1</v>
      </c>
      <c r="C6" s="205" t="s">
        <v>599</v>
      </c>
      <c r="D6" s="205">
        <v>81</v>
      </c>
      <c r="E6" s="205">
        <v>81</v>
      </c>
      <c r="F6" s="205" t="s">
        <v>243</v>
      </c>
      <c r="G6" s="205">
        <v>2086</v>
      </c>
      <c r="H6" s="205" t="s">
        <v>270</v>
      </c>
      <c r="I6" s="205">
        <v>1217</v>
      </c>
      <c r="J6" s="206">
        <v>42302</v>
      </c>
      <c r="K6" s="207">
        <v>0.39305555555555555</v>
      </c>
      <c r="L6" s="206">
        <v>42304</v>
      </c>
      <c r="M6" s="205" t="s">
        <v>853</v>
      </c>
      <c r="N6" s="205" t="s">
        <v>352</v>
      </c>
      <c r="O6" s="205" t="s">
        <v>353</v>
      </c>
      <c r="P6" s="205" t="s">
        <v>343</v>
      </c>
      <c r="Q6" s="205" t="s">
        <v>275</v>
      </c>
      <c r="R6" s="205" t="s">
        <v>602</v>
      </c>
      <c r="S6" s="205" t="s">
        <v>436</v>
      </c>
      <c r="T6" s="205" t="s">
        <v>435</v>
      </c>
      <c r="U6" s="205">
        <v>2086</v>
      </c>
      <c r="V6" s="205" t="s">
        <v>599</v>
      </c>
      <c r="W6" s="205" t="s">
        <v>280</v>
      </c>
      <c r="X6" s="205">
        <v>12.252000000000001</v>
      </c>
      <c r="Y6" s="208">
        <v>-0.37</v>
      </c>
      <c r="Z6" s="208">
        <v>2.11</v>
      </c>
      <c r="AA6" s="208">
        <v>25.84</v>
      </c>
      <c r="AB6" s="208">
        <v>-2.2400000000000002</v>
      </c>
      <c r="AC6" s="208">
        <v>0</v>
      </c>
      <c r="AD6" s="208">
        <v>0</v>
      </c>
      <c r="AE6" s="208">
        <v>23.23</v>
      </c>
      <c r="AF6" s="208">
        <v>-2.94</v>
      </c>
      <c r="AG6" s="205" t="s">
        <v>279</v>
      </c>
      <c r="AH6" s="208">
        <v>0</v>
      </c>
      <c r="AI6" s="208">
        <v>25.84</v>
      </c>
      <c r="AJ6" s="208">
        <v>0</v>
      </c>
      <c r="AK6" s="205" t="str">
        <f t="shared" si="0"/>
        <v>1.00000000</v>
      </c>
      <c r="AL6" s="205">
        <v>99.3</v>
      </c>
    </row>
    <row r="7" spans="1:38" s="205" customFormat="1" x14ac:dyDescent="0.2">
      <c r="A7" s="205" t="str">
        <f t="shared" si="1"/>
        <v>0496002595734</v>
      </c>
      <c r="B7" s="205">
        <v>1</v>
      </c>
      <c r="C7" s="205" t="s">
        <v>599</v>
      </c>
      <c r="D7" s="205">
        <v>81</v>
      </c>
      <c r="E7" s="205">
        <v>81</v>
      </c>
      <c r="F7" s="205" t="s">
        <v>243</v>
      </c>
      <c r="G7" s="205">
        <v>2086</v>
      </c>
      <c r="H7" s="205" t="s">
        <v>270</v>
      </c>
      <c r="I7" s="205">
        <v>36972</v>
      </c>
      <c r="J7" s="206">
        <v>42302</v>
      </c>
      <c r="K7" s="207">
        <v>0.73263888888888884</v>
      </c>
      <c r="L7" s="206">
        <v>42304</v>
      </c>
      <c r="M7" s="205" t="s">
        <v>853</v>
      </c>
      <c r="N7" s="205" t="s">
        <v>272</v>
      </c>
      <c r="O7" s="205" t="s">
        <v>273</v>
      </c>
      <c r="P7" s="205" t="s">
        <v>274</v>
      </c>
      <c r="Q7" s="205" t="s">
        <v>275</v>
      </c>
      <c r="R7" s="205" t="s">
        <v>276</v>
      </c>
      <c r="S7" s="205" t="s">
        <v>436</v>
      </c>
      <c r="T7" s="205" t="s">
        <v>435</v>
      </c>
      <c r="U7" s="205">
        <v>2086</v>
      </c>
      <c r="V7" s="205" t="s">
        <v>599</v>
      </c>
      <c r="W7" s="205" t="s">
        <v>280</v>
      </c>
      <c r="X7" s="205">
        <v>9.1069999999999993</v>
      </c>
      <c r="Y7" s="208">
        <v>-0.27</v>
      </c>
      <c r="Z7" s="208">
        <v>2.13</v>
      </c>
      <c r="AA7" s="208">
        <v>19.39</v>
      </c>
      <c r="AB7" s="208">
        <v>-1.67</v>
      </c>
      <c r="AC7" s="208">
        <v>0</v>
      </c>
      <c r="AD7" s="208">
        <v>0</v>
      </c>
      <c r="AE7" s="208">
        <v>17.45</v>
      </c>
      <c r="AF7" s="208">
        <v>-2.19</v>
      </c>
      <c r="AG7" s="205" t="s">
        <v>279</v>
      </c>
      <c r="AH7" s="208">
        <v>0</v>
      </c>
      <c r="AI7" s="208">
        <v>19.39</v>
      </c>
      <c r="AJ7" s="208">
        <v>0</v>
      </c>
      <c r="AK7" s="205" t="str">
        <f t="shared" si="0"/>
        <v>1.00000000</v>
      </c>
      <c r="AL7" s="205">
        <v>3926.1</v>
      </c>
    </row>
    <row r="8" spans="1:38" s="205" customFormat="1" x14ac:dyDescent="0.2">
      <c r="A8" s="205" t="str">
        <f t="shared" si="1"/>
        <v>0496002595734</v>
      </c>
      <c r="B8" s="205">
        <v>3</v>
      </c>
      <c r="C8" s="205" t="s">
        <v>599</v>
      </c>
      <c r="D8" s="205">
        <v>82</v>
      </c>
      <c r="E8" s="205">
        <v>82</v>
      </c>
      <c r="F8" s="205" t="s">
        <v>243</v>
      </c>
      <c r="G8" s="205">
        <v>2086</v>
      </c>
      <c r="H8" s="205" t="s">
        <v>270</v>
      </c>
      <c r="I8" s="205">
        <v>28916</v>
      </c>
      <c r="J8" s="206">
        <v>42302</v>
      </c>
      <c r="K8" s="207">
        <v>0.85902777777777783</v>
      </c>
      <c r="L8" s="206">
        <v>42304</v>
      </c>
      <c r="M8" s="205" t="s">
        <v>853</v>
      </c>
      <c r="N8" s="205" t="s">
        <v>272</v>
      </c>
      <c r="O8" s="205" t="s">
        <v>273</v>
      </c>
      <c r="P8" s="205" t="s">
        <v>274</v>
      </c>
      <c r="Q8" s="205" t="s">
        <v>275</v>
      </c>
      <c r="R8" s="205" t="s">
        <v>276</v>
      </c>
      <c r="S8" s="205" t="s">
        <v>436</v>
      </c>
      <c r="T8" s="205" t="s">
        <v>435</v>
      </c>
      <c r="U8" s="205">
        <v>2086</v>
      </c>
      <c r="V8" s="205" t="s">
        <v>599</v>
      </c>
      <c r="W8" s="205" t="s">
        <v>280</v>
      </c>
      <c r="X8" s="205">
        <v>10.061</v>
      </c>
      <c r="Y8" s="208">
        <v>-0.3</v>
      </c>
      <c r="Z8" s="208">
        <v>2.13</v>
      </c>
      <c r="AA8" s="208">
        <v>21.42</v>
      </c>
      <c r="AB8" s="208">
        <v>-1.84</v>
      </c>
      <c r="AC8" s="208">
        <v>0</v>
      </c>
      <c r="AD8" s="208">
        <v>0</v>
      </c>
      <c r="AE8" s="208">
        <v>19.28</v>
      </c>
      <c r="AF8" s="208">
        <v>-2.41</v>
      </c>
      <c r="AG8" s="205" t="s">
        <v>279</v>
      </c>
      <c r="AH8" s="208">
        <v>0</v>
      </c>
      <c r="AI8" s="208">
        <v>21.42</v>
      </c>
      <c r="AJ8" s="208">
        <v>0</v>
      </c>
      <c r="AK8" s="205" t="str">
        <f t="shared" si="0"/>
        <v>1.00000000</v>
      </c>
      <c r="AL8" s="205">
        <v>19.2</v>
      </c>
    </row>
    <row r="9" spans="1:38" s="205" customFormat="1" x14ac:dyDescent="0.2">
      <c r="A9" s="205" t="str">
        <f t="shared" si="1"/>
        <v>0496002595734</v>
      </c>
      <c r="B9" s="205">
        <v>3</v>
      </c>
      <c r="C9" s="205" t="s">
        <v>599</v>
      </c>
      <c r="D9" s="205">
        <v>82</v>
      </c>
      <c r="E9" s="205">
        <v>82</v>
      </c>
      <c r="F9" s="205" t="s">
        <v>243</v>
      </c>
      <c r="G9" s="205">
        <v>2086</v>
      </c>
      <c r="H9" s="205" t="s">
        <v>270</v>
      </c>
      <c r="I9" s="205">
        <v>29125</v>
      </c>
      <c r="J9" s="206">
        <v>42303</v>
      </c>
      <c r="K9" s="207">
        <v>0.8618055555555556</v>
      </c>
      <c r="L9" s="206">
        <v>42305</v>
      </c>
      <c r="M9" s="205" t="s">
        <v>853</v>
      </c>
      <c r="N9" s="205" t="s">
        <v>272</v>
      </c>
      <c r="O9" s="205" t="s">
        <v>273</v>
      </c>
      <c r="P9" s="205" t="s">
        <v>274</v>
      </c>
      <c r="Q9" s="205" t="s">
        <v>275</v>
      </c>
      <c r="R9" s="205" t="s">
        <v>276</v>
      </c>
      <c r="S9" s="205" t="s">
        <v>436</v>
      </c>
      <c r="T9" s="205" t="s">
        <v>435</v>
      </c>
      <c r="U9" s="205">
        <v>2086</v>
      </c>
      <c r="V9" s="205" t="s">
        <v>599</v>
      </c>
      <c r="W9" s="205" t="s">
        <v>280</v>
      </c>
      <c r="X9" s="205">
        <v>10.192</v>
      </c>
      <c r="Y9" s="208">
        <v>-0.31</v>
      </c>
      <c r="Z9" s="208">
        <v>2.13</v>
      </c>
      <c r="AA9" s="208">
        <v>21.7</v>
      </c>
      <c r="AB9" s="208">
        <v>-1.87</v>
      </c>
      <c r="AC9" s="208">
        <v>0</v>
      </c>
      <c r="AD9" s="208">
        <v>0</v>
      </c>
      <c r="AE9" s="208">
        <v>19.52</v>
      </c>
      <c r="AF9" s="208">
        <v>-2.4500000000000002</v>
      </c>
      <c r="AG9" s="205" t="s">
        <v>279</v>
      </c>
      <c r="AH9" s="208">
        <v>0</v>
      </c>
      <c r="AI9" s="208">
        <v>21.7</v>
      </c>
      <c r="AJ9" s="208">
        <v>0</v>
      </c>
      <c r="AK9" s="205" t="str">
        <f t="shared" si="0"/>
        <v>1.00000000</v>
      </c>
      <c r="AL9" s="205">
        <v>20.5</v>
      </c>
    </row>
    <row r="10" spans="1:38" s="205" customFormat="1" x14ac:dyDescent="0.2">
      <c r="A10" s="205" t="str">
        <f>"0496002595700"</f>
        <v>0496002595700</v>
      </c>
      <c r="B10" s="205">
        <v>2</v>
      </c>
      <c r="C10" s="205" t="s">
        <v>156</v>
      </c>
      <c r="D10" s="205">
        <v>42</v>
      </c>
      <c r="E10" s="205">
        <v>42</v>
      </c>
      <c r="F10" s="205" t="s">
        <v>243</v>
      </c>
      <c r="G10" s="205">
        <v>2262</v>
      </c>
      <c r="H10" s="205" t="s">
        <v>270</v>
      </c>
      <c r="I10" s="205">
        <v>20000</v>
      </c>
      <c r="J10" s="206">
        <v>42306</v>
      </c>
      <c r="K10" s="207">
        <v>0.36270833333333335</v>
      </c>
      <c r="L10" s="206">
        <v>42310</v>
      </c>
      <c r="M10" s="205" t="s">
        <v>310</v>
      </c>
      <c r="N10" s="205" t="s">
        <v>331</v>
      </c>
      <c r="O10" s="205" t="s">
        <v>332</v>
      </c>
      <c r="P10" s="205" t="s">
        <v>274</v>
      </c>
      <c r="Q10" s="205" t="s">
        <v>275</v>
      </c>
      <c r="R10" s="205" t="s">
        <v>858</v>
      </c>
      <c r="S10" s="205" t="s">
        <v>156</v>
      </c>
      <c r="T10" s="205" t="s">
        <v>277</v>
      </c>
      <c r="U10" s="205">
        <v>2262</v>
      </c>
      <c r="V10" s="205" t="s">
        <v>156</v>
      </c>
      <c r="W10" s="205" t="s">
        <v>280</v>
      </c>
      <c r="X10" s="205">
        <v>3.8069999999999999</v>
      </c>
      <c r="Y10" s="208">
        <v>0</v>
      </c>
      <c r="Z10" s="208">
        <v>2.16</v>
      </c>
      <c r="AA10" s="208">
        <v>8.2200000000000006</v>
      </c>
      <c r="AB10" s="208">
        <v>-0.7</v>
      </c>
      <c r="AC10" s="208">
        <v>0</v>
      </c>
      <c r="AD10" s="208">
        <v>0</v>
      </c>
      <c r="AE10" s="208">
        <v>7.52</v>
      </c>
      <c r="AF10" s="208">
        <v>-0.91</v>
      </c>
      <c r="AG10" s="205" t="s">
        <v>279</v>
      </c>
      <c r="AH10" s="208">
        <v>0</v>
      </c>
      <c r="AI10" s="208">
        <v>8.2200000000000006</v>
      </c>
      <c r="AJ10" s="208">
        <v>0</v>
      </c>
      <c r="AK10" s="205" t="str">
        <f t="shared" si="0"/>
        <v>1.00000000</v>
      </c>
      <c r="AL10" s="205">
        <v>4251.8999999999996</v>
      </c>
    </row>
    <row r="11" spans="1:38" s="205" customFormat="1" x14ac:dyDescent="0.2">
      <c r="A11" s="205" t="str">
        <f>"0496002595718"</f>
        <v>0496002595718</v>
      </c>
      <c r="B11" s="205">
        <v>1</v>
      </c>
      <c r="C11" s="205" t="s">
        <v>599</v>
      </c>
      <c r="D11" s="205">
        <v>49</v>
      </c>
      <c r="E11" s="205">
        <v>49</v>
      </c>
      <c r="F11" s="205" t="s">
        <v>243</v>
      </c>
      <c r="G11" s="205">
        <v>2972</v>
      </c>
      <c r="H11" s="205" t="s">
        <v>270</v>
      </c>
      <c r="I11" s="205">
        <v>11700</v>
      </c>
      <c r="J11" s="206">
        <v>42306</v>
      </c>
      <c r="K11" s="207">
        <v>0.77222222222222225</v>
      </c>
      <c r="L11" s="206">
        <v>42310</v>
      </c>
      <c r="M11" s="205" t="s">
        <v>853</v>
      </c>
      <c r="N11" s="205" t="s">
        <v>272</v>
      </c>
      <c r="O11" s="205" t="s">
        <v>273</v>
      </c>
      <c r="P11" s="205" t="s">
        <v>274</v>
      </c>
      <c r="Q11" s="205" t="s">
        <v>275</v>
      </c>
      <c r="R11" s="205" t="s">
        <v>276</v>
      </c>
      <c r="S11" s="205" t="s">
        <v>436</v>
      </c>
      <c r="T11" s="205" t="s">
        <v>859</v>
      </c>
      <c r="U11" s="205">
        <v>2972</v>
      </c>
      <c r="V11" s="205" t="s">
        <v>599</v>
      </c>
      <c r="W11" s="205" t="s">
        <v>280</v>
      </c>
      <c r="X11" s="205">
        <v>15.555999999999999</v>
      </c>
      <c r="Y11" s="208">
        <v>-0.47</v>
      </c>
      <c r="Z11" s="208">
        <v>2.13</v>
      </c>
      <c r="AA11" s="208">
        <v>33.119999999999997</v>
      </c>
      <c r="AB11" s="208">
        <v>-2.85</v>
      </c>
      <c r="AC11" s="208">
        <v>0</v>
      </c>
      <c r="AD11" s="208">
        <v>0</v>
      </c>
      <c r="AE11" s="208">
        <v>29.8</v>
      </c>
      <c r="AF11" s="208">
        <v>-3.73</v>
      </c>
      <c r="AG11" s="205" t="s">
        <v>279</v>
      </c>
      <c r="AH11" s="208">
        <v>0</v>
      </c>
      <c r="AI11" s="208">
        <v>33.119999999999997</v>
      </c>
      <c r="AJ11" s="208">
        <v>0</v>
      </c>
      <c r="AK11" s="205" t="str">
        <f t="shared" si="0"/>
        <v>1.00000000</v>
      </c>
      <c r="AL11" s="205">
        <v>752.1</v>
      </c>
    </row>
    <row r="12" spans="1:38" s="205" customFormat="1" x14ac:dyDescent="0.2">
      <c r="A12" s="205" t="str">
        <f>"0496002595734"</f>
        <v>0496002595734</v>
      </c>
      <c r="B12" s="205">
        <v>2</v>
      </c>
      <c r="C12" s="205" t="s">
        <v>599</v>
      </c>
      <c r="D12" s="205">
        <v>80</v>
      </c>
      <c r="E12" s="205">
        <v>80</v>
      </c>
      <c r="F12" s="205" t="s">
        <v>243</v>
      </c>
      <c r="G12" s="205">
        <v>2086</v>
      </c>
      <c r="H12" s="205" t="s">
        <v>270</v>
      </c>
      <c r="I12" s="205">
        <v>34862</v>
      </c>
      <c r="J12" s="206">
        <v>42306</v>
      </c>
      <c r="K12" s="207">
        <v>0.52339120370370373</v>
      </c>
      <c r="L12" s="206">
        <v>42310</v>
      </c>
      <c r="M12" s="205" t="s">
        <v>310</v>
      </c>
      <c r="N12" s="205" t="s">
        <v>331</v>
      </c>
      <c r="O12" s="205" t="s">
        <v>332</v>
      </c>
      <c r="P12" s="205" t="s">
        <v>274</v>
      </c>
      <c r="Q12" s="205" t="s">
        <v>275</v>
      </c>
      <c r="R12" s="205" t="s">
        <v>858</v>
      </c>
      <c r="S12" s="205" t="s">
        <v>436</v>
      </c>
      <c r="T12" s="205" t="s">
        <v>435</v>
      </c>
      <c r="U12" s="205">
        <v>2086</v>
      </c>
      <c r="V12" s="205" t="s">
        <v>599</v>
      </c>
      <c r="W12" s="205" t="s">
        <v>280</v>
      </c>
      <c r="X12" s="205">
        <v>3.0110000000000001</v>
      </c>
      <c r="Y12" s="208">
        <v>0</v>
      </c>
      <c r="Z12" s="208">
        <v>2.16</v>
      </c>
      <c r="AA12" s="208">
        <v>6.5</v>
      </c>
      <c r="AB12" s="208">
        <v>-0.55000000000000004</v>
      </c>
      <c r="AC12" s="208">
        <v>0</v>
      </c>
      <c r="AD12" s="208">
        <v>0</v>
      </c>
      <c r="AE12" s="208">
        <v>5.95</v>
      </c>
      <c r="AF12" s="208">
        <v>-0.72</v>
      </c>
      <c r="AG12" s="205" t="s">
        <v>279</v>
      </c>
      <c r="AH12" s="208">
        <v>0</v>
      </c>
      <c r="AI12" s="208">
        <v>6.5</v>
      </c>
      <c r="AJ12" s="208">
        <v>0</v>
      </c>
      <c r="AK12" s="205" t="str">
        <f t="shared" si="0"/>
        <v>1.00000000</v>
      </c>
      <c r="AL12" s="205">
        <v>251.1</v>
      </c>
    </row>
    <row r="13" spans="1:38" s="205" customFormat="1" x14ac:dyDescent="0.2">
      <c r="A13" s="205" t="str">
        <f>"0496002595734"</f>
        <v>0496002595734</v>
      </c>
      <c r="B13" s="205">
        <v>3</v>
      </c>
      <c r="C13" s="205" t="s">
        <v>599</v>
      </c>
      <c r="D13" s="205">
        <v>82</v>
      </c>
      <c r="E13" s="205">
        <v>82</v>
      </c>
      <c r="F13" s="205" t="s">
        <v>243</v>
      </c>
      <c r="G13" s="205">
        <v>2086</v>
      </c>
      <c r="H13" s="205" t="s">
        <v>270</v>
      </c>
      <c r="I13" s="205">
        <v>29249</v>
      </c>
      <c r="J13" s="206">
        <v>42306</v>
      </c>
      <c r="K13" s="207">
        <v>0.82430555555555562</v>
      </c>
      <c r="L13" s="206">
        <v>42310</v>
      </c>
      <c r="M13" s="205" t="s">
        <v>853</v>
      </c>
      <c r="N13" s="205" t="s">
        <v>272</v>
      </c>
      <c r="O13" s="205" t="s">
        <v>273</v>
      </c>
      <c r="P13" s="205" t="s">
        <v>274</v>
      </c>
      <c r="Q13" s="205" t="s">
        <v>275</v>
      </c>
      <c r="R13" s="205" t="s">
        <v>276</v>
      </c>
      <c r="S13" s="205" t="s">
        <v>436</v>
      </c>
      <c r="T13" s="205" t="s">
        <v>435</v>
      </c>
      <c r="U13" s="205">
        <v>2086</v>
      </c>
      <c r="V13" s="205" t="s">
        <v>599</v>
      </c>
      <c r="W13" s="205" t="s">
        <v>280</v>
      </c>
      <c r="X13" s="205">
        <v>7.4630000000000001</v>
      </c>
      <c r="Y13" s="208">
        <v>-0.22</v>
      </c>
      <c r="Z13" s="208">
        <v>2.13</v>
      </c>
      <c r="AA13" s="208">
        <v>15.89</v>
      </c>
      <c r="AB13" s="208">
        <v>-1.37</v>
      </c>
      <c r="AC13" s="208">
        <v>0</v>
      </c>
      <c r="AD13" s="208">
        <v>0</v>
      </c>
      <c r="AE13" s="208">
        <v>14.3</v>
      </c>
      <c r="AF13" s="208">
        <v>-1.79</v>
      </c>
      <c r="AG13" s="205" t="s">
        <v>279</v>
      </c>
      <c r="AH13" s="208">
        <v>0</v>
      </c>
      <c r="AI13" s="208">
        <v>15.89</v>
      </c>
      <c r="AJ13" s="208">
        <v>0</v>
      </c>
      <c r="AK13" s="205" t="str">
        <f t="shared" si="0"/>
        <v>1.00000000</v>
      </c>
      <c r="AL13" s="205">
        <v>16.600000000000001</v>
      </c>
    </row>
    <row r="14" spans="1:38" s="205" customFormat="1" x14ac:dyDescent="0.2">
      <c r="A14" s="205" t="str">
        <f>"0496002595718"</f>
        <v>0496002595718</v>
      </c>
      <c r="B14" s="205">
        <v>4</v>
      </c>
      <c r="C14" s="205" t="s">
        <v>599</v>
      </c>
      <c r="D14" s="205">
        <v>46</v>
      </c>
      <c r="E14" s="205">
        <v>46</v>
      </c>
      <c r="F14" s="205" t="s">
        <v>243</v>
      </c>
      <c r="G14" s="205">
        <v>2972</v>
      </c>
      <c r="H14" s="205" t="s">
        <v>270</v>
      </c>
      <c r="I14" s="205">
        <v>25439</v>
      </c>
      <c r="J14" s="206">
        <v>42307</v>
      </c>
      <c r="K14" s="207">
        <v>0.55486111111111114</v>
      </c>
      <c r="L14" s="206">
        <v>42311</v>
      </c>
      <c r="M14" s="205" t="s">
        <v>853</v>
      </c>
      <c r="N14" s="205" t="s">
        <v>588</v>
      </c>
      <c r="O14" s="205" t="s">
        <v>589</v>
      </c>
      <c r="P14" s="205" t="s">
        <v>590</v>
      </c>
      <c r="Q14" s="205" t="s">
        <v>275</v>
      </c>
      <c r="R14" s="205" t="s">
        <v>611</v>
      </c>
      <c r="S14" s="205" t="s">
        <v>436</v>
      </c>
      <c r="T14" s="205" t="s">
        <v>859</v>
      </c>
      <c r="U14" s="205">
        <v>2972</v>
      </c>
      <c r="V14" s="205" t="s">
        <v>599</v>
      </c>
      <c r="W14" s="205" t="s">
        <v>280</v>
      </c>
      <c r="X14" s="205">
        <v>14.119</v>
      </c>
      <c r="Y14" s="208">
        <v>-0.7</v>
      </c>
      <c r="Z14" s="208">
        <v>2.04</v>
      </c>
      <c r="AA14" s="208">
        <v>28.79</v>
      </c>
      <c r="AB14" s="208">
        <v>-2.58</v>
      </c>
      <c r="AC14" s="208">
        <v>0</v>
      </c>
      <c r="AD14" s="208">
        <v>0</v>
      </c>
      <c r="AE14" s="208">
        <v>25.51</v>
      </c>
      <c r="AF14" s="208">
        <v>-3.39</v>
      </c>
      <c r="AG14" s="205" t="s">
        <v>279</v>
      </c>
      <c r="AH14" s="208">
        <v>0</v>
      </c>
      <c r="AI14" s="208">
        <v>28.79</v>
      </c>
      <c r="AJ14" s="208">
        <v>0</v>
      </c>
      <c r="AK14" s="205" t="str">
        <f t="shared" si="0"/>
        <v>1.00000000</v>
      </c>
      <c r="AL14" s="205">
        <v>1801.8</v>
      </c>
    </row>
    <row r="15" spans="1:38" s="205" customFormat="1" x14ac:dyDescent="0.2">
      <c r="A15" s="205" t="str">
        <f>"0496002595734"</f>
        <v>0496002595734</v>
      </c>
      <c r="B15" s="205">
        <v>2</v>
      </c>
      <c r="C15" s="205" t="s">
        <v>599</v>
      </c>
      <c r="D15" s="205">
        <v>80</v>
      </c>
      <c r="E15" s="205">
        <v>80</v>
      </c>
      <c r="F15" s="205" t="s">
        <v>243</v>
      </c>
      <c r="G15" s="205">
        <v>2086</v>
      </c>
      <c r="H15" s="205" t="s">
        <v>270</v>
      </c>
      <c r="I15" s="205">
        <v>34967</v>
      </c>
      <c r="J15" s="206">
        <v>42307</v>
      </c>
      <c r="K15" s="207">
        <v>0.64166666666666672</v>
      </c>
      <c r="L15" s="206">
        <v>42311</v>
      </c>
      <c r="M15" s="205" t="s">
        <v>853</v>
      </c>
      <c r="N15" s="205" t="s">
        <v>272</v>
      </c>
      <c r="O15" s="205" t="s">
        <v>273</v>
      </c>
      <c r="P15" s="205" t="s">
        <v>274</v>
      </c>
      <c r="Q15" s="205" t="s">
        <v>275</v>
      </c>
      <c r="R15" s="205" t="s">
        <v>276</v>
      </c>
      <c r="S15" s="205" t="s">
        <v>436</v>
      </c>
      <c r="T15" s="205" t="s">
        <v>435</v>
      </c>
      <c r="U15" s="205">
        <v>2086</v>
      </c>
      <c r="V15" s="205" t="s">
        <v>599</v>
      </c>
      <c r="W15" s="205" t="s">
        <v>280</v>
      </c>
      <c r="X15" s="205">
        <v>2.5289999999999999</v>
      </c>
      <c r="Y15" s="208">
        <v>-0.08</v>
      </c>
      <c r="Z15" s="208">
        <v>2.13</v>
      </c>
      <c r="AA15" s="208">
        <v>5.38</v>
      </c>
      <c r="AB15" s="208">
        <v>-0.46</v>
      </c>
      <c r="AC15" s="208">
        <v>0</v>
      </c>
      <c r="AD15" s="208">
        <v>0</v>
      </c>
      <c r="AE15" s="208">
        <v>4.84</v>
      </c>
      <c r="AF15" s="208">
        <v>-0.61</v>
      </c>
      <c r="AG15" s="205" t="s">
        <v>279</v>
      </c>
      <c r="AH15" s="208">
        <v>0</v>
      </c>
      <c r="AI15" s="208">
        <v>5.38</v>
      </c>
      <c r="AJ15" s="208">
        <v>0</v>
      </c>
      <c r="AK15" s="205" t="str">
        <f t="shared" si="0"/>
        <v>1.00000000</v>
      </c>
      <c r="AL15" s="205">
        <v>41.5</v>
      </c>
    </row>
    <row r="16" spans="1:38" s="205" customFormat="1" x14ac:dyDescent="0.2">
      <c r="A16" s="205" t="str">
        <f>"0496002595809"</f>
        <v>0496002595809</v>
      </c>
      <c r="B16" s="205">
        <v>2</v>
      </c>
      <c r="C16" s="205" t="s">
        <v>599</v>
      </c>
      <c r="D16" s="205">
        <v>2014</v>
      </c>
      <c r="E16" s="205">
        <v>2014</v>
      </c>
      <c r="F16" s="205" t="s">
        <v>243</v>
      </c>
      <c r="G16" s="205">
        <v>2233</v>
      </c>
      <c r="H16" s="205" t="s">
        <v>270</v>
      </c>
      <c r="I16" s="205">
        <v>5780</v>
      </c>
      <c r="J16" s="206">
        <v>42307</v>
      </c>
      <c r="K16" s="207">
        <v>0.39583333333333331</v>
      </c>
      <c r="L16" s="206">
        <v>42311</v>
      </c>
      <c r="M16" s="205" t="s">
        <v>853</v>
      </c>
      <c r="N16" s="205" t="s">
        <v>272</v>
      </c>
      <c r="O16" s="205" t="s">
        <v>273</v>
      </c>
      <c r="P16" s="205" t="s">
        <v>274</v>
      </c>
      <c r="Q16" s="205" t="s">
        <v>275</v>
      </c>
      <c r="R16" s="205" t="s">
        <v>276</v>
      </c>
      <c r="S16" s="205" t="s">
        <v>436</v>
      </c>
      <c r="T16" s="205" t="s">
        <v>570</v>
      </c>
      <c r="U16" s="205">
        <v>2233</v>
      </c>
      <c r="V16" s="205" t="s">
        <v>570</v>
      </c>
      <c r="W16" s="205" t="s">
        <v>280</v>
      </c>
      <c r="X16" s="205">
        <v>6.5579999999999998</v>
      </c>
      <c r="Y16" s="208">
        <v>-0.2</v>
      </c>
      <c r="Z16" s="208">
        <v>2.13</v>
      </c>
      <c r="AA16" s="208">
        <v>13.97</v>
      </c>
      <c r="AB16" s="208">
        <v>-1.2</v>
      </c>
      <c r="AC16" s="208">
        <v>0</v>
      </c>
      <c r="AD16" s="208">
        <v>0</v>
      </c>
      <c r="AE16" s="208">
        <v>12.57</v>
      </c>
      <c r="AF16" s="208">
        <v>-1.57</v>
      </c>
      <c r="AG16" s="205" t="s">
        <v>279</v>
      </c>
      <c r="AH16" s="208">
        <v>0</v>
      </c>
      <c r="AI16" s="208">
        <v>13.97</v>
      </c>
      <c r="AJ16" s="208">
        <v>0</v>
      </c>
      <c r="AK16" s="205" t="str">
        <f t="shared" si="0"/>
        <v>1.00000000</v>
      </c>
      <c r="AL16" s="205">
        <v>881.4</v>
      </c>
    </row>
    <row r="17" spans="1:38" s="205" customFormat="1" x14ac:dyDescent="0.2">
      <c r="A17" s="205" t="str">
        <f>"0496002595916"</f>
        <v>0496002595916</v>
      </c>
      <c r="B17" s="205">
        <v>1</v>
      </c>
      <c r="C17" s="205" t="s">
        <v>599</v>
      </c>
      <c r="D17" s="205">
        <v>1989</v>
      </c>
      <c r="E17" s="205">
        <v>1989</v>
      </c>
      <c r="F17" s="205" t="s">
        <v>243</v>
      </c>
      <c r="G17" s="205">
        <v>2411</v>
      </c>
      <c r="H17" s="205" t="s">
        <v>270</v>
      </c>
      <c r="I17" s="205">
        <v>78440</v>
      </c>
      <c r="J17" s="206">
        <v>42307</v>
      </c>
      <c r="K17" s="207">
        <v>0.48541666666666666</v>
      </c>
      <c r="L17" s="206">
        <v>42311</v>
      </c>
      <c r="M17" s="205" t="s">
        <v>853</v>
      </c>
      <c r="N17" s="205" t="s">
        <v>272</v>
      </c>
      <c r="O17" s="205" t="s">
        <v>273</v>
      </c>
      <c r="P17" s="205" t="s">
        <v>274</v>
      </c>
      <c r="Q17" s="205" t="s">
        <v>275</v>
      </c>
      <c r="R17" s="205" t="s">
        <v>276</v>
      </c>
      <c r="S17" s="205" t="s">
        <v>436</v>
      </c>
      <c r="T17" s="205" t="s">
        <v>580</v>
      </c>
      <c r="U17" s="205">
        <v>2411</v>
      </c>
      <c r="V17" s="205" t="s">
        <v>580</v>
      </c>
      <c r="W17" s="205" t="s">
        <v>280</v>
      </c>
      <c r="X17" s="205">
        <v>12.541</v>
      </c>
      <c r="Y17" s="208">
        <v>-0.38</v>
      </c>
      <c r="Z17" s="208">
        <v>2.13</v>
      </c>
      <c r="AA17" s="208">
        <v>26.7</v>
      </c>
      <c r="AB17" s="208">
        <v>-2.2999999999999998</v>
      </c>
      <c r="AC17" s="208">
        <v>0</v>
      </c>
      <c r="AD17" s="208">
        <v>0</v>
      </c>
      <c r="AE17" s="208">
        <v>24.02</v>
      </c>
      <c r="AF17" s="208">
        <v>-3.01</v>
      </c>
      <c r="AG17" s="205" t="s">
        <v>279</v>
      </c>
      <c r="AH17" s="208">
        <v>0</v>
      </c>
      <c r="AI17" s="208">
        <v>26.7</v>
      </c>
      <c r="AJ17" s="208">
        <v>0</v>
      </c>
      <c r="AK17" s="205" t="str">
        <f t="shared" si="0"/>
        <v>1.00000000</v>
      </c>
      <c r="AL17" s="205">
        <v>6254.7</v>
      </c>
    </row>
    <row r="18" spans="1:38" s="205" customFormat="1" x14ac:dyDescent="0.2">
      <c r="A18" s="205" t="str">
        <f>"0496002595734"</f>
        <v>0496002595734</v>
      </c>
      <c r="B18" s="205">
        <v>2</v>
      </c>
      <c r="C18" s="205" t="s">
        <v>599</v>
      </c>
      <c r="D18" s="205">
        <v>80</v>
      </c>
      <c r="E18" s="205">
        <v>80</v>
      </c>
      <c r="F18" s="205" t="s">
        <v>243</v>
      </c>
      <c r="G18" s="205">
        <v>2086</v>
      </c>
      <c r="H18" s="205" t="s">
        <v>270</v>
      </c>
      <c r="I18" s="205">
        <v>353806</v>
      </c>
      <c r="J18" s="206">
        <v>42308</v>
      </c>
      <c r="K18" s="207">
        <v>0.79166666666666663</v>
      </c>
      <c r="L18" s="206">
        <v>42311</v>
      </c>
      <c r="M18" s="205" t="s">
        <v>853</v>
      </c>
      <c r="N18" s="205" t="s">
        <v>272</v>
      </c>
      <c r="O18" s="205" t="s">
        <v>273</v>
      </c>
      <c r="P18" s="205" t="s">
        <v>274</v>
      </c>
      <c r="Q18" s="205" t="s">
        <v>275</v>
      </c>
      <c r="R18" s="205" t="s">
        <v>276</v>
      </c>
      <c r="S18" s="205" t="s">
        <v>436</v>
      </c>
      <c r="T18" s="205" t="s">
        <v>435</v>
      </c>
      <c r="U18" s="205">
        <v>2086</v>
      </c>
      <c r="V18" s="205" t="s">
        <v>599</v>
      </c>
      <c r="W18" s="205" t="s">
        <v>280</v>
      </c>
      <c r="X18" s="205">
        <v>9.5630000000000006</v>
      </c>
      <c r="Y18" s="208">
        <v>-0.28999999999999998</v>
      </c>
      <c r="Z18" s="208">
        <v>2.13</v>
      </c>
      <c r="AA18" s="208">
        <v>20.36</v>
      </c>
      <c r="AB18" s="208">
        <v>-1.75</v>
      </c>
      <c r="AC18" s="208">
        <v>0</v>
      </c>
      <c r="AD18" s="208">
        <v>0</v>
      </c>
      <c r="AE18" s="208">
        <v>18.32</v>
      </c>
      <c r="AF18" s="208">
        <v>-2.2999999999999998</v>
      </c>
      <c r="AG18" s="205" t="s">
        <v>279</v>
      </c>
      <c r="AH18" s="208">
        <v>0</v>
      </c>
      <c r="AI18" s="208">
        <v>20.36</v>
      </c>
      <c r="AJ18" s="208">
        <v>0</v>
      </c>
      <c r="AK18" s="205" t="str">
        <f t="shared" si="0"/>
        <v>1.00000000</v>
      </c>
      <c r="AL18" s="205">
        <v>33340.9</v>
      </c>
    </row>
    <row r="19" spans="1:38" s="205" customFormat="1" x14ac:dyDescent="0.2">
      <c r="A19" s="205" t="str">
        <f>"0496002595700"</f>
        <v>0496002595700</v>
      </c>
      <c r="B19" s="205">
        <v>4</v>
      </c>
      <c r="C19" s="205" t="s">
        <v>156</v>
      </c>
      <c r="D19" s="205">
        <v>85</v>
      </c>
      <c r="E19" s="205">
        <v>85</v>
      </c>
      <c r="F19" s="205" t="s">
        <v>243</v>
      </c>
      <c r="G19" s="205">
        <v>2262</v>
      </c>
      <c r="H19" s="205" t="s">
        <v>270</v>
      </c>
      <c r="I19" s="205">
        <v>65318</v>
      </c>
      <c r="J19" s="206">
        <v>42310</v>
      </c>
      <c r="K19" s="207">
        <v>0.66377314814814814</v>
      </c>
      <c r="L19" s="206">
        <v>42312</v>
      </c>
      <c r="M19" s="205" t="s">
        <v>319</v>
      </c>
      <c r="N19" s="205" t="s">
        <v>440</v>
      </c>
      <c r="O19" s="205" t="s">
        <v>441</v>
      </c>
      <c r="P19" s="205" t="s">
        <v>442</v>
      </c>
      <c r="Q19" s="205" t="s">
        <v>275</v>
      </c>
      <c r="R19" s="205">
        <v>1093</v>
      </c>
      <c r="S19" s="205" t="s">
        <v>156</v>
      </c>
      <c r="T19" s="205" t="s">
        <v>277</v>
      </c>
      <c r="U19" s="205">
        <v>2262</v>
      </c>
      <c r="V19" s="205" t="s">
        <v>156</v>
      </c>
      <c r="W19" s="205" t="s">
        <v>280</v>
      </c>
      <c r="X19" s="205">
        <v>16.079000000000001</v>
      </c>
      <c r="Y19" s="208">
        <v>0</v>
      </c>
      <c r="Z19" s="208">
        <v>2.08</v>
      </c>
      <c r="AA19" s="208">
        <v>33.43</v>
      </c>
      <c r="AB19" s="208">
        <v>-2.94</v>
      </c>
      <c r="AC19" s="208">
        <v>0</v>
      </c>
      <c r="AD19" s="208">
        <v>0</v>
      </c>
      <c r="AE19" s="208">
        <v>30.49</v>
      </c>
      <c r="AF19" s="208">
        <v>-3.86</v>
      </c>
      <c r="AG19" s="205" t="s">
        <v>279</v>
      </c>
      <c r="AH19" s="208">
        <v>0</v>
      </c>
      <c r="AI19" s="208">
        <v>33.43</v>
      </c>
      <c r="AJ19" s="208">
        <v>0</v>
      </c>
      <c r="AK19" s="205" t="str">
        <f t="shared" si="0"/>
        <v>1.00000000</v>
      </c>
      <c r="AL19" s="205">
        <v>4062.3</v>
      </c>
    </row>
    <row r="20" spans="1:38" s="205" customFormat="1" x14ac:dyDescent="0.2">
      <c r="A20" s="205" t="str">
        <f>"0496002595718"</f>
        <v>0496002595718</v>
      </c>
      <c r="B20" s="205">
        <v>5</v>
      </c>
      <c r="C20" s="205" t="s">
        <v>599</v>
      </c>
      <c r="D20" s="205">
        <v>45</v>
      </c>
      <c r="E20" s="205">
        <v>45</v>
      </c>
      <c r="F20" s="205" t="s">
        <v>243</v>
      </c>
      <c r="G20" s="205">
        <v>2972</v>
      </c>
      <c r="H20" s="205" t="s">
        <v>270</v>
      </c>
      <c r="I20" s="205">
        <v>6967</v>
      </c>
      <c r="J20" s="206">
        <v>42310</v>
      </c>
      <c r="K20" s="207">
        <v>0.76666666666666661</v>
      </c>
      <c r="L20" s="206">
        <v>42312</v>
      </c>
      <c r="M20" s="205" t="s">
        <v>853</v>
      </c>
      <c r="N20" s="205" t="s">
        <v>352</v>
      </c>
      <c r="O20" s="205" t="s">
        <v>353</v>
      </c>
      <c r="P20" s="205" t="s">
        <v>343</v>
      </c>
      <c r="Q20" s="205" t="s">
        <v>275</v>
      </c>
      <c r="R20" s="205" t="s">
        <v>602</v>
      </c>
      <c r="S20" s="205" t="s">
        <v>436</v>
      </c>
      <c r="T20" s="205" t="s">
        <v>859</v>
      </c>
      <c r="U20" s="205">
        <v>2972</v>
      </c>
      <c r="V20" s="205" t="s">
        <v>599</v>
      </c>
      <c r="W20" s="205" t="s">
        <v>280</v>
      </c>
      <c r="X20" s="205">
        <v>11.167</v>
      </c>
      <c r="Y20" s="208">
        <v>-0.34</v>
      </c>
      <c r="Z20" s="208">
        <v>2.1</v>
      </c>
      <c r="AA20" s="208">
        <v>23.44</v>
      </c>
      <c r="AB20" s="208">
        <v>-2.04</v>
      </c>
      <c r="AC20" s="208">
        <v>0</v>
      </c>
      <c r="AD20" s="208">
        <v>0</v>
      </c>
      <c r="AE20" s="208">
        <v>21.06</v>
      </c>
      <c r="AF20" s="208">
        <v>-2.68</v>
      </c>
      <c r="AG20" s="205" t="s">
        <v>279</v>
      </c>
      <c r="AH20" s="208">
        <v>0</v>
      </c>
      <c r="AI20" s="208">
        <v>23.44</v>
      </c>
      <c r="AJ20" s="208">
        <v>0</v>
      </c>
      <c r="AK20" s="205" t="str">
        <f t="shared" si="0"/>
        <v>1.00000000</v>
      </c>
      <c r="AL20" s="205">
        <v>623.9</v>
      </c>
    </row>
    <row r="21" spans="1:38" s="205" customFormat="1" x14ac:dyDescent="0.2">
      <c r="A21" s="205" t="str">
        <f>"0496002595718"</f>
        <v>0496002595718</v>
      </c>
      <c r="B21" s="205">
        <v>6</v>
      </c>
      <c r="C21" s="205" t="s">
        <v>599</v>
      </c>
      <c r="D21" s="205">
        <v>44</v>
      </c>
      <c r="E21" s="205">
        <v>44</v>
      </c>
      <c r="F21" s="205" t="s">
        <v>243</v>
      </c>
      <c r="G21" s="205">
        <v>2972</v>
      </c>
      <c r="H21" s="205" t="s">
        <v>270</v>
      </c>
      <c r="I21" s="205">
        <v>11598</v>
      </c>
      <c r="J21" s="206">
        <v>42310</v>
      </c>
      <c r="K21" s="207">
        <v>0.83611111111111114</v>
      </c>
      <c r="L21" s="206">
        <v>42312</v>
      </c>
      <c r="M21" s="205" t="s">
        <v>853</v>
      </c>
      <c r="N21" s="205" t="s">
        <v>454</v>
      </c>
      <c r="O21" s="205" t="s">
        <v>455</v>
      </c>
      <c r="P21" s="205" t="s">
        <v>456</v>
      </c>
      <c r="Q21" s="205" t="s">
        <v>275</v>
      </c>
      <c r="R21" s="205" t="s">
        <v>706</v>
      </c>
      <c r="S21" s="205" t="s">
        <v>436</v>
      </c>
      <c r="T21" s="205" t="s">
        <v>859</v>
      </c>
      <c r="U21" s="205">
        <v>2972</v>
      </c>
      <c r="V21" s="205" t="s">
        <v>599</v>
      </c>
      <c r="W21" s="205" t="s">
        <v>280</v>
      </c>
      <c r="X21" s="205">
        <v>8.7609999999999992</v>
      </c>
      <c r="Y21" s="208">
        <v>-0.26</v>
      </c>
      <c r="Z21" s="208">
        <v>2.19</v>
      </c>
      <c r="AA21" s="208">
        <v>19.18</v>
      </c>
      <c r="AB21" s="208">
        <v>-1.6</v>
      </c>
      <c r="AC21" s="208">
        <v>0</v>
      </c>
      <c r="AD21" s="208">
        <v>0</v>
      </c>
      <c r="AE21" s="208">
        <v>17.32</v>
      </c>
      <c r="AF21" s="208">
        <v>-2.1</v>
      </c>
      <c r="AG21" s="205" t="s">
        <v>279</v>
      </c>
      <c r="AH21" s="208">
        <v>0</v>
      </c>
      <c r="AI21" s="208">
        <v>19.18</v>
      </c>
      <c r="AJ21" s="208">
        <v>0</v>
      </c>
      <c r="AK21" s="205" t="str">
        <f t="shared" si="0"/>
        <v>1.00000000</v>
      </c>
      <c r="AL21" s="205">
        <v>1323.8</v>
      </c>
    </row>
    <row r="22" spans="1:38" s="205" customFormat="1" x14ac:dyDescent="0.2">
      <c r="A22" s="205" t="str">
        <f>"0496002595734"</f>
        <v>0496002595734</v>
      </c>
      <c r="B22" s="205">
        <v>3</v>
      </c>
      <c r="C22" s="205" t="s">
        <v>599</v>
      </c>
      <c r="D22" s="205">
        <v>82</v>
      </c>
      <c r="E22" s="205">
        <v>82</v>
      </c>
      <c r="F22" s="205" t="s">
        <v>243</v>
      </c>
      <c r="G22" s="205">
        <v>2086</v>
      </c>
      <c r="H22" s="205" t="s">
        <v>270</v>
      </c>
      <c r="I22" s="205">
        <v>29400</v>
      </c>
      <c r="J22" s="206">
        <v>42310</v>
      </c>
      <c r="K22" s="207">
        <v>0.43520833333333336</v>
      </c>
      <c r="L22" s="206">
        <v>42312</v>
      </c>
      <c r="M22" s="205" t="s">
        <v>860</v>
      </c>
      <c r="N22" s="205" t="s">
        <v>529</v>
      </c>
      <c r="O22" s="205" t="s">
        <v>530</v>
      </c>
      <c r="P22" s="205" t="s">
        <v>531</v>
      </c>
      <c r="Q22" s="205" t="s">
        <v>309</v>
      </c>
      <c r="R22" s="205" t="s">
        <v>532</v>
      </c>
      <c r="S22" s="205" t="s">
        <v>436</v>
      </c>
      <c r="T22" s="205" t="s">
        <v>435</v>
      </c>
      <c r="U22" s="205">
        <v>2086</v>
      </c>
      <c r="V22" s="205" t="s">
        <v>599</v>
      </c>
      <c r="W22" s="205" t="s">
        <v>280</v>
      </c>
      <c r="X22" s="205">
        <v>8.7949999999999999</v>
      </c>
      <c r="Y22" s="208">
        <v>0</v>
      </c>
      <c r="Z22" s="208">
        <v>2.31</v>
      </c>
      <c r="AA22" s="208">
        <v>20.309999999999999</v>
      </c>
      <c r="AB22" s="208">
        <v>-1.61</v>
      </c>
      <c r="AC22" s="208">
        <v>0</v>
      </c>
      <c r="AD22" s="208">
        <v>0</v>
      </c>
      <c r="AE22" s="208">
        <v>18.7</v>
      </c>
      <c r="AF22" s="208">
        <v>-2.2000000000000002</v>
      </c>
      <c r="AG22" s="205" t="s">
        <v>279</v>
      </c>
      <c r="AH22" s="208">
        <v>0</v>
      </c>
      <c r="AI22" s="208">
        <v>20.309999999999999</v>
      </c>
      <c r="AJ22" s="208">
        <v>0</v>
      </c>
      <c r="AK22" s="205" t="str">
        <f t="shared" si="0"/>
        <v>1.00000000</v>
      </c>
      <c r="AL22" s="205">
        <v>17.2</v>
      </c>
    </row>
    <row r="23" spans="1:38" s="205" customFormat="1" x14ac:dyDescent="0.2">
      <c r="A23" s="205" t="str">
        <f>"0496002595734"</f>
        <v>0496002595734</v>
      </c>
      <c r="B23" s="205">
        <v>3</v>
      </c>
      <c r="C23" s="205" t="s">
        <v>599</v>
      </c>
      <c r="D23" s="205">
        <v>82</v>
      </c>
      <c r="E23" s="205">
        <v>82</v>
      </c>
      <c r="F23" s="205" t="s">
        <v>243</v>
      </c>
      <c r="G23" s="205">
        <v>2086</v>
      </c>
      <c r="H23" s="205" t="s">
        <v>270</v>
      </c>
      <c r="I23" s="205">
        <v>29686</v>
      </c>
      <c r="J23" s="206">
        <v>42311</v>
      </c>
      <c r="K23" s="207">
        <v>0.53611111111111109</v>
      </c>
      <c r="L23" s="206">
        <v>42313</v>
      </c>
      <c r="M23" s="205" t="s">
        <v>853</v>
      </c>
      <c r="N23" s="205" t="s">
        <v>272</v>
      </c>
      <c r="O23" s="205" t="s">
        <v>273</v>
      </c>
      <c r="P23" s="205" t="s">
        <v>274</v>
      </c>
      <c r="Q23" s="205" t="s">
        <v>275</v>
      </c>
      <c r="R23" s="205" t="s">
        <v>276</v>
      </c>
      <c r="S23" s="205" t="s">
        <v>436</v>
      </c>
      <c r="T23" s="205" t="s">
        <v>435</v>
      </c>
      <c r="U23" s="205">
        <v>2086</v>
      </c>
      <c r="V23" s="205" t="s">
        <v>599</v>
      </c>
      <c r="W23" s="205" t="s">
        <v>280</v>
      </c>
      <c r="X23" s="205">
        <v>9.7390000000000008</v>
      </c>
      <c r="Y23" s="208">
        <v>-0.28999999999999998</v>
      </c>
      <c r="Z23" s="208">
        <v>2.11</v>
      </c>
      <c r="AA23" s="208">
        <v>20.54</v>
      </c>
      <c r="AB23" s="208">
        <v>-1.78</v>
      </c>
      <c r="AC23" s="208">
        <v>0</v>
      </c>
      <c r="AD23" s="208">
        <v>0</v>
      </c>
      <c r="AE23" s="208">
        <v>18.47</v>
      </c>
      <c r="AF23" s="208">
        <v>-2.34</v>
      </c>
      <c r="AG23" s="205" t="s">
        <v>279</v>
      </c>
      <c r="AH23" s="208">
        <v>0</v>
      </c>
      <c r="AI23" s="208">
        <v>20.54</v>
      </c>
      <c r="AJ23" s="208">
        <v>0</v>
      </c>
      <c r="AK23" s="205" t="str">
        <f t="shared" si="0"/>
        <v>1.00000000</v>
      </c>
      <c r="AL23" s="205">
        <v>29.4</v>
      </c>
    </row>
    <row r="24" spans="1:38" s="205" customFormat="1" x14ac:dyDescent="0.2">
      <c r="A24" s="205" t="str">
        <f>"0496002595734"</f>
        <v>0496002595734</v>
      </c>
      <c r="B24" s="205">
        <v>1</v>
      </c>
      <c r="C24" s="205" t="s">
        <v>435</v>
      </c>
      <c r="D24" s="205">
        <v>81</v>
      </c>
      <c r="E24" s="205">
        <v>81</v>
      </c>
      <c r="F24" s="205" t="s">
        <v>243</v>
      </c>
      <c r="G24" s="205">
        <v>2086</v>
      </c>
      <c r="H24" s="205" t="s">
        <v>270</v>
      </c>
      <c r="I24" s="205">
        <v>37190</v>
      </c>
      <c r="J24" s="206">
        <v>42313</v>
      </c>
      <c r="K24" s="207">
        <v>0.63402777777777775</v>
      </c>
      <c r="L24" s="206">
        <v>42317</v>
      </c>
      <c r="M24" s="205" t="s">
        <v>853</v>
      </c>
      <c r="N24" s="205" t="s">
        <v>272</v>
      </c>
      <c r="O24" s="205" t="s">
        <v>273</v>
      </c>
      <c r="P24" s="205" t="s">
        <v>274</v>
      </c>
      <c r="Q24" s="205" t="s">
        <v>275</v>
      </c>
      <c r="R24" s="205" t="s">
        <v>276</v>
      </c>
      <c r="S24" s="205" t="s">
        <v>436</v>
      </c>
      <c r="T24" s="205" t="s">
        <v>435</v>
      </c>
      <c r="U24" s="205">
        <v>2086</v>
      </c>
      <c r="V24" s="205" t="s">
        <v>435</v>
      </c>
      <c r="W24" s="205" t="s">
        <v>280</v>
      </c>
      <c r="X24" s="205">
        <v>14.632</v>
      </c>
      <c r="Y24" s="208">
        <v>-0.44</v>
      </c>
      <c r="Z24" s="208">
        <v>2.11</v>
      </c>
      <c r="AA24" s="208">
        <v>30.86</v>
      </c>
      <c r="AB24" s="208">
        <v>-2.68</v>
      </c>
      <c r="AC24" s="208">
        <v>0</v>
      </c>
      <c r="AD24" s="208">
        <v>0</v>
      </c>
      <c r="AE24" s="208">
        <v>27.74</v>
      </c>
      <c r="AF24" s="208">
        <v>-3.51</v>
      </c>
      <c r="AG24" s="205" t="s">
        <v>279</v>
      </c>
      <c r="AH24" s="208">
        <v>0</v>
      </c>
      <c r="AI24" s="208">
        <v>30.86</v>
      </c>
      <c r="AJ24" s="208">
        <v>0</v>
      </c>
      <c r="AK24" s="205" t="str">
        <f t="shared" si="0"/>
        <v>1.00000000</v>
      </c>
      <c r="AL24" s="205">
        <v>14.9</v>
      </c>
    </row>
    <row r="25" spans="1:38" s="205" customFormat="1" x14ac:dyDescent="0.2">
      <c r="A25" s="205" t="str">
        <f>"0496002595718"</f>
        <v>0496002595718</v>
      </c>
      <c r="B25" s="205">
        <v>4</v>
      </c>
      <c r="C25" s="205" t="s">
        <v>859</v>
      </c>
      <c r="D25" s="205">
        <v>46</v>
      </c>
      <c r="E25" s="205">
        <v>46</v>
      </c>
      <c r="F25" s="205" t="s">
        <v>243</v>
      </c>
      <c r="G25" s="205">
        <v>2972</v>
      </c>
      <c r="H25" s="205" t="s">
        <v>270</v>
      </c>
      <c r="I25" s="205">
        <v>25558</v>
      </c>
      <c r="J25" s="206">
        <v>42314</v>
      </c>
      <c r="K25" s="207">
        <v>0.61527777777777781</v>
      </c>
      <c r="L25" s="206">
        <v>42318</v>
      </c>
      <c r="M25" s="205" t="s">
        <v>853</v>
      </c>
      <c r="N25" s="205" t="s">
        <v>272</v>
      </c>
      <c r="O25" s="205" t="s">
        <v>273</v>
      </c>
      <c r="P25" s="205" t="s">
        <v>274</v>
      </c>
      <c r="Q25" s="205" t="s">
        <v>275</v>
      </c>
      <c r="R25" s="205" t="s">
        <v>276</v>
      </c>
      <c r="S25" s="205" t="s">
        <v>436</v>
      </c>
      <c r="T25" s="205" t="s">
        <v>859</v>
      </c>
      <c r="U25" s="205">
        <v>2972</v>
      </c>
      <c r="V25" s="205" t="s">
        <v>859</v>
      </c>
      <c r="W25" s="205" t="s">
        <v>280</v>
      </c>
      <c r="X25" s="205">
        <v>5.4240000000000004</v>
      </c>
      <c r="Y25" s="208">
        <v>-0.16</v>
      </c>
      <c r="Z25" s="208">
        <v>2.11</v>
      </c>
      <c r="AA25" s="208">
        <v>11.44</v>
      </c>
      <c r="AB25" s="208">
        <v>-0.99</v>
      </c>
      <c r="AC25" s="208">
        <v>0</v>
      </c>
      <c r="AD25" s="208">
        <v>0</v>
      </c>
      <c r="AE25" s="208">
        <v>10.29</v>
      </c>
      <c r="AF25" s="208">
        <v>-1.3</v>
      </c>
      <c r="AG25" s="205" t="s">
        <v>279</v>
      </c>
      <c r="AH25" s="208">
        <v>0</v>
      </c>
      <c r="AI25" s="208">
        <v>11.44</v>
      </c>
      <c r="AJ25" s="208">
        <v>0</v>
      </c>
      <c r="AK25" s="205" t="str">
        <f t="shared" si="0"/>
        <v>1.00000000</v>
      </c>
      <c r="AL25" s="205">
        <v>21.9</v>
      </c>
    </row>
    <row r="26" spans="1:38" s="205" customFormat="1" x14ac:dyDescent="0.2">
      <c r="A26" s="205" t="str">
        <f>"0496002595700"</f>
        <v>0496002595700</v>
      </c>
      <c r="B26" s="205">
        <v>5</v>
      </c>
      <c r="C26" s="205" t="s">
        <v>156</v>
      </c>
      <c r="D26" s="205">
        <v>86</v>
      </c>
      <c r="E26" s="205">
        <v>86</v>
      </c>
      <c r="F26" s="205" t="s">
        <v>243</v>
      </c>
      <c r="G26" s="205">
        <v>2262</v>
      </c>
      <c r="H26" s="205" t="s">
        <v>270</v>
      </c>
      <c r="I26" s="205">
        <v>1958</v>
      </c>
      <c r="J26" s="206">
        <v>42315</v>
      </c>
      <c r="K26" s="207">
        <v>0.37703703703703706</v>
      </c>
      <c r="L26" s="206">
        <v>42318</v>
      </c>
      <c r="M26" s="205" t="s">
        <v>310</v>
      </c>
      <c r="N26" s="205" t="s">
        <v>331</v>
      </c>
      <c r="O26" s="205" t="s">
        <v>332</v>
      </c>
      <c r="P26" s="205" t="s">
        <v>274</v>
      </c>
      <c r="Q26" s="205" t="s">
        <v>275</v>
      </c>
      <c r="R26" s="205" t="s">
        <v>858</v>
      </c>
      <c r="S26" s="205" t="s">
        <v>156</v>
      </c>
      <c r="T26" s="205" t="s">
        <v>277</v>
      </c>
      <c r="U26" s="205">
        <v>2262</v>
      </c>
      <c r="V26" s="205" t="s">
        <v>156</v>
      </c>
      <c r="W26" s="205" t="s">
        <v>280</v>
      </c>
      <c r="X26" s="205">
        <v>19.452999999999999</v>
      </c>
      <c r="Y26" s="208">
        <v>0</v>
      </c>
      <c r="Z26" s="208">
        <v>2.16</v>
      </c>
      <c r="AA26" s="208">
        <v>42</v>
      </c>
      <c r="AB26" s="208">
        <v>-3.56</v>
      </c>
      <c r="AC26" s="208">
        <v>0</v>
      </c>
      <c r="AD26" s="208">
        <v>0</v>
      </c>
      <c r="AE26" s="208">
        <v>38.44</v>
      </c>
      <c r="AF26" s="208">
        <v>-4.67</v>
      </c>
      <c r="AG26" s="205" t="s">
        <v>279</v>
      </c>
      <c r="AH26" s="208">
        <v>0</v>
      </c>
      <c r="AI26" s="208">
        <v>42</v>
      </c>
      <c r="AJ26" s="208">
        <v>0</v>
      </c>
      <c r="AK26" s="205" t="str">
        <f t="shared" si="0"/>
        <v>1.00000000</v>
      </c>
      <c r="AL26" s="205">
        <v>100.6</v>
      </c>
    </row>
    <row r="27" spans="1:38" s="205" customFormat="1" x14ac:dyDescent="0.2">
      <c r="A27" s="205" t="str">
        <f>"0496002595734"</f>
        <v>0496002595734</v>
      </c>
      <c r="B27" s="205">
        <v>1</v>
      </c>
      <c r="C27" s="205" t="s">
        <v>435</v>
      </c>
      <c r="D27" s="205">
        <v>81</v>
      </c>
      <c r="E27" s="205">
        <v>81</v>
      </c>
      <c r="F27" s="205" t="s">
        <v>243</v>
      </c>
      <c r="G27" s="205">
        <v>2086</v>
      </c>
      <c r="H27" s="205" t="s">
        <v>270</v>
      </c>
      <c r="I27" s="205">
        <v>37287</v>
      </c>
      <c r="J27" s="206">
        <v>42315</v>
      </c>
      <c r="K27" s="207">
        <v>0.28819444444444448</v>
      </c>
      <c r="L27" s="206">
        <v>42318</v>
      </c>
      <c r="M27" s="205" t="s">
        <v>853</v>
      </c>
      <c r="N27" s="205" t="s">
        <v>272</v>
      </c>
      <c r="O27" s="205" t="s">
        <v>273</v>
      </c>
      <c r="P27" s="205" t="s">
        <v>274</v>
      </c>
      <c r="Q27" s="205" t="s">
        <v>275</v>
      </c>
      <c r="R27" s="205" t="s">
        <v>276</v>
      </c>
      <c r="S27" s="205" t="s">
        <v>436</v>
      </c>
      <c r="T27" s="205" t="s">
        <v>435</v>
      </c>
      <c r="U27" s="205">
        <v>2086</v>
      </c>
      <c r="V27" s="205" t="s">
        <v>435</v>
      </c>
      <c r="W27" s="205" t="s">
        <v>280</v>
      </c>
      <c r="X27" s="205">
        <v>5.944</v>
      </c>
      <c r="Y27" s="208">
        <v>-0.18</v>
      </c>
      <c r="Z27" s="208">
        <v>2.11</v>
      </c>
      <c r="AA27" s="208">
        <v>12.53</v>
      </c>
      <c r="AB27" s="208">
        <v>-1.0900000000000001</v>
      </c>
      <c r="AC27" s="208">
        <v>0</v>
      </c>
      <c r="AD27" s="208">
        <v>0</v>
      </c>
      <c r="AE27" s="208">
        <v>11.26</v>
      </c>
      <c r="AF27" s="208">
        <v>-1.43</v>
      </c>
      <c r="AG27" s="205" t="s">
        <v>279</v>
      </c>
      <c r="AH27" s="208">
        <v>0</v>
      </c>
      <c r="AI27" s="208">
        <v>12.53</v>
      </c>
      <c r="AJ27" s="208">
        <v>0</v>
      </c>
      <c r="AK27" s="205" t="str">
        <f t="shared" si="0"/>
        <v>1.00000000</v>
      </c>
      <c r="AL27" s="205">
        <v>16.3</v>
      </c>
    </row>
    <row r="28" spans="1:38" s="205" customFormat="1" x14ac:dyDescent="0.2">
      <c r="A28" s="205" t="str">
        <f>"0496002595700"</f>
        <v>0496002595700</v>
      </c>
      <c r="B28" s="205">
        <v>3</v>
      </c>
      <c r="C28" s="205" t="s">
        <v>156</v>
      </c>
      <c r="D28" s="205">
        <v>41</v>
      </c>
      <c r="E28" s="205">
        <v>41</v>
      </c>
      <c r="F28" s="205" t="s">
        <v>243</v>
      </c>
      <c r="G28" s="205">
        <v>2262</v>
      </c>
      <c r="H28" s="205" t="s">
        <v>270</v>
      </c>
      <c r="I28" s="205">
        <v>73852</v>
      </c>
      <c r="J28" s="206">
        <v>42316</v>
      </c>
      <c r="K28" s="207">
        <v>0.80069444444444438</v>
      </c>
      <c r="L28" s="206">
        <v>42318</v>
      </c>
      <c r="M28" s="205" t="s">
        <v>853</v>
      </c>
      <c r="N28" s="205" t="s">
        <v>272</v>
      </c>
      <c r="O28" s="205" t="s">
        <v>273</v>
      </c>
      <c r="P28" s="205" t="s">
        <v>274</v>
      </c>
      <c r="Q28" s="205" t="s">
        <v>275</v>
      </c>
      <c r="R28" s="205" t="s">
        <v>276</v>
      </c>
      <c r="S28" s="205" t="s">
        <v>156</v>
      </c>
      <c r="T28" s="205" t="s">
        <v>277</v>
      </c>
      <c r="U28" s="205">
        <v>2262</v>
      </c>
      <c r="V28" s="205" t="s">
        <v>156</v>
      </c>
      <c r="W28" s="205" t="s">
        <v>280</v>
      </c>
      <c r="X28" s="205">
        <v>11.119</v>
      </c>
      <c r="Y28" s="208">
        <v>-0.33</v>
      </c>
      <c r="Z28" s="208">
        <v>2.11</v>
      </c>
      <c r="AA28" s="208">
        <v>23.45</v>
      </c>
      <c r="AB28" s="208">
        <v>-2.0299999999999998</v>
      </c>
      <c r="AC28" s="208">
        <v>0</v>
      </c>
      <c r="AD28" s="208">
        <v>0</v>
      </c>
      <c r="AE28" s="208">
        <v>21.09</v>
      </c>
      <c r="AF28" s="208">
        <v>-2.67</v>
      </c>
      <c r="AG28" s="205" t="s">
        <v>279</v>
      </c>
      <c r="AH28" s="208">
        <v>0</v>
      </c>
      <c r="AI28" s="208">
        <v>23.45</v>
      </c>
      <c r="AJ28" s="208">
        <v>0</v>
      </c>
      <c r="AK28" s="205" t="str">
        <f t="shared" si="0"/>
        <v>1.00000000</v>
      </c>
      <c r="AL28" s="205">
        <v>6642</v>
      </c>
    </row>
    <row r="29" spans="1:38" s="205" customFormat="1" x14ac:dyDescent="0.2">
      <c r="A29" s="205" t="str">
        <f>"0496002595734"</f>
        <v>0496002595734</v>
      </c>
      <c r="B29" s="205">
        <v>2</v>
      </c>
      <c r="C29" s="205" t="s">
        <v>435</v>
      </c>
      <c r="D29" s="205">
        <v>80</v>
      </c>
      <c r="E29" s="205">
        <v>80</v>
      </c>
      <c r="F29" s="205" t="s">
        <v>243</v>
      </c>
      <c r="G29" s="205">
        <v>2086</v>
      </c>
      <c r="H29" s="205" t="s">
        <v>270</v>
      </c>
      <c r="I29" s="205">
        <v>35670</v>
      </c>
      <c r="J29" s="206">
        <v>42316</v>
      </c>
      <c r="K29" s="207">
        <v>0.80069444444444438</v>
      </c>
      <c r="L29" s="206">
        <v>42318</v>
      </c>
      <c r="M29" s="205" t="s">
        <v>853</v>
      </c>
      <c r="N29" s="205" t="s">
        <v>861</v>
      </c>
      <c r="O29" s="205" t="s">
        <v>862</v>
      </c>
      <c r="P29" s="205" t="s">
        <v>863</v>
      </c>
      <c r="Q29" s="205" t="s">
        <v>275</v>
      </c>
      <c r="R29" s="205" t="s">
        <v>864</v>
      </c>
      <c r="S29" s="205" t="s">
        <v>436</v>
      </c>
      <c r="T29" s="205" t="s">
        <v>435</v>
      </c>
      <c r="U29" s="205">
        <v>2086</v>
      </c>
      <c r="V29" s="205" t="s">
        <v>435</v>
      </c>
      <c r="W29" s="205" t="s">
        <v>335</v>
      </c>
      <c r="X29" s="205">
        <v>10.98</v>
      </c>
      <c r="Y29" s="208">
        <v>-0.33</v>
      </c>
      <c r="Z29" s="208">
        <v>2.52</v>
      </c>
      <c r="AA29" s="208">
        <v>27.66</v>
      </c>
      <c r="AB29" s="208">
        <v>-2.0099999999999998</v>
      </c>
      <c r="AC29" s="208">
        <v>0</v>
      </c>
      <c r="AD29" s="208">
        <v>0</v>
      </c>
      <c r="AE29" s="208">
        <v>25.32</v>
      </c>
      <c r="AF29" s="208">
        <v>-2.64</v>
      </c>
      <c r="AG29" s="205" t="s">
        <v>279</v>
      </c>
      <c r="AH29" s="208">
        <v>0</v>
      </c>
      <c r="AI29" s="208">
        <v>27.66</v>
      </c>
      <c r="AJ29" s="208">
        <v>0</v>
      </c>
      <c r="AK29" s="205" t="str">
        <f t="shared" si="0"/>
        <v>1.00000000</v>
      </c>
      <c r="AL29" s="205">
        <v>0</v>
      </c>
    </row>
    <row r="30" spans="1:38" s="205" customFormat="1" x14ac:dyDescent="0.2">
      <c r="A30" s="205" t="str">
        <f>"0496002595718"</f>
        <v>0496002595718</v>
      </c>
      <c r="B30" s="205">
        <v>1</v>
      </c>
      <c r="C30" s="205" t="s">
        <v>859</v>
      </c>
      <c r="D30" s="205">
        <v>49</v>
      </c>
      <c r="E30" s="205">
        <v>49</v>
      </c>
      <c r="F30" s="205" t="s">
        <v>243</v>
      </c>
      <c r="G30" s="205">
        <v>2972</v>
      </c>
      <c r="H30" s="205" t="s">
        <v>270</v>
      </c>
      <c r="I30" s="205">
        <v>11982</v>
      </c>
      <c r="J30" s="206">
        <v>42317</v>
      </c>
      <c r="K30" s="207">
        <v>0.77430555555555547</v>
      </c>
      <c r="L30" s="206">
        <v>42319</v>
      </c>
      <c r="M30" s="205" t="s">
        <v>853</v>
      </c>
      <c r="N30" s="205" t="s">
        <v>272</v>
      </c>
      <c r="O30" s="205" t="s">
        <v>273</v>
      </c>
      <c r="P30" s="205" t="s">
        <v>274</v>
      </c>
      <c r="Q30" s="205" t="s">
        <v>275</v>
      </c>
      <c r="R30" s="205" t="s">
        <v>276</v>
      </c>
      <c r="S30" s="205" t="s">
        <v>436</v>
      </c>
      <c r="T30" s="205" t="s">
        <v>859</v>
      </c>
      <c r="U30" s="205">
        <v>2972</v>
      </c>
      <c r="V30" s="205" t="s">
        <v>859</v>
      </c>
      <c r="W30" s="205" t="s">
        <v>280</v>
      </c>
      <c r="X30" s="205">
        <v>15.253</v>
      </c>
      <c r="Y30" s="208">
        <v>-0.46</v>
      </c>
      <c r="Z30" s="208">
        <v>2.11</v>
      </c>
      <c r="AA30" s="208">
        <v>32.17</v>
      </c>
      <c r="AB30" s="208">
        <v>-2.79</v>
      </c>
      <c r="AC30" s="208">
        <v>0</v>
      </c>
      <c r="AD30" s="208">
        <v>0</v>
      </c>
      <c r="AE30" s="208">
        <v>28.92</v>
      </c>
      <c r="AF30" s="208">
        <v>-3.66</v>
      </c>
      <c r="AG30" s="205" t="s">
        <v>279</v>
      </c>
      <c r="AH30" s="208">
        <v>0</v>
      </c>
      <c r="AI30" s="208">
        <v>32.17</v>
      </c>
      <c r="AJ30" s="208">
        <v>0</v>
      </c>
      <c r="AK30" s="205" t="str">
        <f t="shared" si="0"/>
        <v>1.00000000</v>
      </c>
      <c r="AL30" s="205">
        <v>18.5</v>
      </c>
    </row>
    <row r="31" spans="1:38" s="205" customFormat="1" x14ac:dyDescent="0.2">
      <c r="A31" s="205" t="str">
        <f>"0496002595718"</f>
        <v>0496002595718</v>
      </c>
      <c r="B31" s="205">
        <v>2</v>
      </c>
      <c r="C31" s="205" t="s">
        <v>859</v>
      </c>
      <c r="D31" s="205">
        <v>48</v>
      </c>
      <c r="E31" s="205">
        <v>48</v>
      </c>
      <c r="F31" s="205" t="s">
        <v>243</v>
      </c>
      <c r="G31" s="205">
        <v>2972</v>
      </c>
      <c r="H31" s="205" t="s">
        <v>270</v>
      </c>
      <c r="I31" s="205">
        <v>11104</v>
      </c>
      <c r="J31" s="206">
        <v>42317</v>
      </c>
      <c r="K31" s="207">
        <v>0.81597222222222221</v>
      </c>
      <c r="L31" s="206">
        <v>42319</v>
      </c>
      <c r="M31" s="205" t="s">
        <v>853</v>
      </c>
      <c r="N31" s="205" t="s">
        <v>272</v>
      </c>
      <c r="O31" s="205" t="s">
        <v>273</v>
      </c>
      <c r="P31" s="205" t="s">
        <v>274</v>
      </c>
      <c r="Q31" s="205" t="s">
        <v>275</v>
      </c>
      <c r="R31" s="205" t="s">
        <v>276</v>
      </c>
      <c r="S31" s="205" t="s">
        <v>436</v>
      </c>
      <c r="T31" s="205" t="s">
        <v>859</v>
      </c>
      <c r="U31" s="205">
        <v>2972</v>
      </c>
      <c r="V31" s="205" t="s">
        <v>859</v>
      </c>
      <c r="W31" s="205" t="s">
        <v>335</v>
      </c>
      <c r="X31" s="205">
        <v>18.745999999999999</v>
      </c>
      <c r="Y31" s="208">
        <v>-0.56000000000000005</v>
      </c>
      <c r="Z31" s="208">
        <v>2.37</v>
      </c>
      <c r="AA31" s="208">
        <v>44.41</v>
      </c>
      <c r="AB31" s="208">
        <v>-3.43</v>
      </c>
      <c r="AC31" s="208">
        <v>0</v>
      </c>
      <c r="AD31" s="208">
        <v>0</v>
      </c>
      <c r="AE31" s="208">
        <v>40.42</v>
      </c>
      <c r="AF31" s="208">
        <v>-4.5</v>
      </c>
      <c r="AG31" s="205" t="s">
        <v>279</v>
      </c>
      <c r="AH31" s="208">
        <v>0</v>
      </c>
      <c r="AI31" s="208">
        <v>44.41</v>
      </c>
      <c r="AJ31" s="208">
        <v>0</v>
      </c>
      <c r="AK31" s="205" t="str">
        <f t="shared" si="0"/>
        <v>1.00000000</v>
      </c>
      <c r="AL31" s="205">
        <v>592.29999999999995</v>
      </c>
    </row>
    <row r="32" spans="1:38" s="205" customFormat="1" x14ac:dyDescent="0.2">
      <c r="A32" s="205" t="str">
        <f>"0496002595809"</f>
        <v>0496002595809</v>
      </c>
      <c r="B32" s="205">
        <v>2</v>
      </c>
      <c r="C32" s="205" t="s">
        <v>570</v>
      </c>
      <c r="D32" s="205">
        <v>2014</v>
      </c>
      <c r="E32" s="205">
        <v>2014</v>
      </c>
      <c r="F32" s="205" t="s">
        <v>243</v>
      </c>
      <c r="G32" s="205">
        <v>2233</v>
      </c>
      <c r="H32" s="205" t="s">
        <v>270</v>
      </c>
      <c r="I32" s="205">
        <v>6013</v>
      </c>
      <c r="J32" s="206">
        <v>42317</v>
      </c>
      <c r="K32" s="207">
        <v>0.4069444444444445</v>
      </c>
      <c r="L32" s="206">
        <v>42319</v>
      </c>
      <c r="M32" s="205" t="s">
        <v>853</v>
      </c>
      <c r="N32" s="205" t="s">
        <v>272</v>
      </c>
      <c r="O32" s="205" t="s">
        <v>273</v>
      </c>
      <c r="P32" s="205" t="s">
        <v>274</v>
      </c>
      <c r="Q32" s="205" t="s">
        <v>275</v>
      </c>
      <c r="R32" s="205" t="s">
        <v>276</v>
      </c>
      <c r="S32" s="205" t="s">
        <v>436</v>
      </c>
      <c r="T32" s="205" t="s">
        <v>570</v>
      </c>
      <c r="U32" s="205">
        <v>2233</v>
      </c>
      <c r="V32" s="205" t="s">
        <v>570</v>
      </c>
      <c r="W32" s="205" t="s">
        <v>280</v>
      </c>
      <c r="X32" s="205">
        <v>15.926</v>
      </c>
      <c r="Y32" s="208">
        <v>-0.48</v>
      </c>
      <c r="Z32" s="208">
        <v>2.11</v>
      </c>
      <c r="AA32" s="208">
        <v>33.590000000000003</v>
      </c>
      <c r="AB32" s="208">
        <v>-2.91</v>
      </c>
      <c r="AC32" s="208">
        <v>0</v>
      </c>
      <c r="AD32" s="208">
        <v>0</v>
      </c>
      <c r="AE32" s="208">
        <v>30.2</v>
      </c>
      <c r="AF32" s="208">
        <v>-3.82</v>
      </c>
      <c r="AG32" s="205" t="s">
        <v>279</v>
      </c>
      <c r="AH32" s="208">
        <v>0</v>
      </c>
      <c r="AI32" s="208">
        <v>33.590000000000003</v>
      </c>
      <c r="AJ32" s="208">
        <v>0</v>
      </c>
      <c r="AK32" s="205" t="str">
        <f t="shared" si="0"/>
        <v>1.00000000</v>
      </c>
      <c r="AL32" s="205">
        <v>14.6</v>
      </c>
    </row>
    <row r="33" spans="1:38" s="205" customFormat="1" x14ac:dyDescent="0.2">
      <c r="A33" s="205" t="str">
        <f>"0496002595890"</f>
        <v>0496002595890</v>
      </c>
      <c r="B33" s="205">
        <v>1</v>
      </c>
      <c r="C33" s="205" t="s">
        <v>579</v>
      </c>
      <c r="D33" s="205">
        <v>12</v>
      </c>
      <c r="F33" s="205" t="s">
        <v>243</v>
      </c>
      <c r="G33" s="205">
        <v>2834</v>
      </c>
      <c r="H33" s="205" t="s">
        <v>270</v>
      </c>
      <c r="I33" s="205">
        <v>12555</v>
      </c>
      <c r="J33" s="206">
        <v>42317</v>
      </c>
      <c r="K33" s="207">
        <v>0.5083333333333333</v>
      </c>
      <c r="L33" s="206">
        <v>42319</v>
      </c>
      <c r="M33" s="205" t="s">
        <v>853</v>
      </c>
      <c r="N33" s="205" t="s">
        <v>272</v>
      </c>
      <c r="O33" s="205" t="s">
        <v>273</v>
      </c>
      <c r="P33" s="205" t="s">
        <v>274</v>
      </c>
      <c r="Q33" s="205" t="s">
        <v>275</v>
      </c>
      <c r="R33" s="205" t="s">
        <v>276</v>
      </c>
      <c r="S33" s="205" t="s">
        <v>436</v>
      </c>
      <c r="T33" s="205" t="s">
        <v>579</v>
      </c>
      <c r="U33" s="205">
        <v>2834</v>
      </c>
      <c r="V33" s="205" t="s">
        <v>579</v>
      </c>
      <c r="W33" s="205" t="s">
        <v>280</v>
      </c>
      <c r="X33" s="205">
        <v>25.846</v>
      </c>
      <c r="Y33" s="208">
        <v>-0.78</v>
      </c>
      <c r="Z33" s="208">
        <v>2.11</v>
      </c>
      <c r="AA33" s="208">
        <v>54.51</v>
      </c>
      <c r="AB33" s="208">
        <v>-4.7300000000000004</v>
      </c>
      <c r="AC33" s="208">
        <v>0</v>
      </c>
      <c r="AD33" s="208">
        <v>0</v>
      </c>
      <c r="AE33" s="208">
        <v>49</v>
      </c>
      <c r="AF33" s="208">
        <v>-6.2</v>
      </c>
      <c r="AG33" s="205" t="s">
        <v>279</v>
      </c>
      <c r="AH33" s="208">
        <v>0</v>
      </c>
      <c r="AI33" s="208">
        <v>54.51</v>
      </c>
      <c r="AJ33" s="208">
        <v>0</v>
      </c>
      <c r="AK33" s="205" t="str">
        <f t="shared" si="0"/>
        <v>1.00000000</v>
      </c>
      <c r="AL33" s="205">
        <v>485.8</v>
      </c>
    </row>
    <row r="34" spans="1:38" s="205" customFormat="1" x14ac:dyDescent="0.2">
      <c r="A34" s="205" t="str">
        <f>"0496002595700"</f>
        <v>0496002595700</v>
      </c>
      <c r="B34" s="205">
        <v>2</v>
      </c>
      <c r="C34" s="205" t="s">
        <v>156</v>
      </c>
      <c r="D34" s="205">
        <v>42</v>
      </c>
      <c r="E34" s="205">
        <v>42</v>
      </c>
      <c r="F34" s="205" t="s">
        <v>243</v>
      </c>
      <c r="G34" s="205">
        <v>2262</v>
      </c>
      <c r="H34" s="205" t="s">
        <v>270</v>
      </c>
      <c r="I34" s="205">
        <v>4985</v>
      </c>
      <c r="J34" s="206">
        <v>42318</v>
      </c>
      <c r="K34" s="207">
        <v>0.39444444444444443</v>
      </c>
      <c r="L34" s="206">
        <v>42320</v>
      </c>
      <c r="M34" s="205" t="s">
        <v>853</v>
      </c>
      <c r="N34" s="205" t="s">
        <v>454</v>
      </c>
      <c r="O34" s="205" t="s">
        <v>559</v>
      </c>
      <c r="P34" s="205" t="s">
        <v>560</v>
      </c>
      <c r="Q34" s="205" t="s">
        <v>275</v>
      </c>
      <c r="R34" s="205" t="s">
        <v>865</v>
      </c>
      <c r="S34" s="205" t="s">
        <v>156</v>
      </c>
      <c r="T34" s="205" t="s">
        <v>277</v>
      </c>
      <c r="U34" s="205">
        <v>2262</v>
      </c>
      <c r="V34" s="205" t="s">
        <v>156</v>
      </c>
      <c r="W34" s="205" t="s">
        <v>280</v>
      </c>
      <c r="X34" s="205">
        <v>9.3889999999999993</v>
      </c>
      <c r="Y34" s="208">
        <v>-0.28000000000000003</v>
      </c>
      <c r="Z34" s="208">
        <v>2.08</v>
      </c>
      <c r="AA34" s="208">
        <v>19.52</v>
      </c>
      <c r="AB34" s="208">
        <v>-1.72</v>
      </c>
      <c r="AC34" s="208">
        <v>0</v>
      </c>
      <c r="AD34" s="208">
        <v>0</v>
      </c>
      <c r="AE34" s="208">
        <v>17.52</v>
      </c>
      <c r="AF34" s="208">
        <v>-2.25</v>
      </c>
      <c r="AG34" s="205" t="s">
        <v>279</v>
      </c>
      <c r="AH34" s="208">
        <v>0</v>
      </c>
      <c r="AI34" s="208">
        <v>19.52</v>
      </c>
      <c r="AJ34" s="208">
        <v>0</v>
      </c>
      <c r="AK34" s="205" t="str">
        <f t="shared" si="0"/>
        <v>1.00000000</v>
      </c>
      <c r="AL34" s="205">
        <v>0</v>
      </c>
    </row>
    <row r="35" spans="1:38" s="205" customFormat="1" x14ac:dyDescent="0.2">
      <c r="A35" s="205" t="str">
        <f>"0496002595700"</f>
        <v>0496002595700</v>
      </c>
      <c r="B35" s="205">
        <v>3</v>
      </c>
      <c r="C35" s="205" t="s">
        <v>156</v>
      </c>
      <c r="D35" s="205">
        <v>41</v>
      </c>
      <c r="E35" s="205">
        <v>41</v>
      </c>
      <c r="F35" s="205" t="s">
        <v>243</v>
      </c>
      <c r="G35" s="205">
        <v>2262</v>
      </c>
      <c r="H35" s="205" t="s">
        <v>270</v>
      </c>
      <c r="I35" s="205">
        <v>70400</v>
      </c>
      <c r="J35" s="206">
        <v>42318</v>
      </c>
      <c r="K35" s="207">
        <v>0.7090277777777777</v>
      </c>
      <c r="L35" s="206">
        <v>42320</v>
      </c>
      <c r="M35" s="205" t="s">
        <v>853</v>
      </c>
      <c r="N35" s="205" t="s">
        <v>272</v>
      </c>
      <c r="O35" s="205" t="s">
        <v>273</v>
      </c>
      <c r="P35" s="205" t="s">
        <v>274</v>
      </c>
      <c r="Q35" s="205" t="s">
        <v>275</v>
      </c>
      <c r="R35" s="205" t="s">
        <v>276</v>
      </c>
      <c r="S35" s="205" t="s">
        <v>156</v>
      </c>
      <c r="T35" s="205" t="s">
        <v>277</v>
      </c>
      <c r="U35" s="205">
        <v>2262</v>
      </c>
      <c r="V35" s="205" t="s">
        <v>156</v>
      </c>
      <c r="W35" s="205" t="s">
        <v>280</v>
      </c>
      <c r="X35" s="205">
        <v>8.7759999999999998</v>
      </c>
      <c r="Y35" s="208">
        <v>-0.26</v>
      </c>
      <c r="Z35" s="208">
        <v>2.11</v>
      </c>
      <c r="AA35" s="208">
        <v>18.510000000000002</v>
      </c>
      <c r="AB35" s="208">
        <v>-1.61</v>
      </c>
      <c r="AC35" s="208">
        <v>0</v>
      </c>
      <c r="AD35" s="208">
        <v>0</v>
      </c>
      <c r="AE35" s="208">
        <v>16.64</v>
      </c>
      <c r="AF35" s="208">
        <v>-2.11</v>
      </c>
      <c r="AG35" s="205" t="s">
        <v>279</v>
      </c>
      <c r="AH35" s="208">
        <v>0</v>
      </c>
      <c r="AI35" s="208">
        <v>18.510000000000002</v>
      </c>
      <c r="AJ35" s="208">
        <v>0</v>
      </c>
      <c r="AK35" s="205" t="str">
        <f t="shared" si="0"/>
        <v>1.00000000</v>
      </c>
      <c r="AL35" s="205">
        <v>0</v>
      </c>
    </row>
    <row r="36" spans="1:38" s="205" customFormat="1" x14ac:dyDescent="0.2">
      <c r="A36" s="205" t="str">
        <f>"0496002599173"</f>
        <v>0496002599173</v>
      </c>
      <c r="B36" s="205">
        <v>2</v>
      </c>
      <c r="C36" s="205" t="s">
        <v>585</v>
      </c>
      <c r="D36" s="205" t="s">
        <v>594</v>
      </c>
      <c r="E36" s="205" t="s">
        <v>594</v>
      </c>
      <c r="F36" s="205" t="s">
        <v>243</v>
      </c>
      <c r="G36" s="205">
        <v>5647</v>
      </c>
      <c r="H36" s="205" t="s">
        <v>270</v>
      </c>
      <c r="I36" s="205">
        <v>103180</v>
      </c>
      <c r="J36" s="206">
        <v>42318</v>
      </c>
      <c r="K36" s="207">
        <v>0.59305555555555556</v>
      </c>
      <c r="L36" s="206">
        <v>42320</v>
      </c>
      <c r="M36" s="205" t="s">
        <v>853</v>
      </c>
      <c r="N36" s="205" t="s">
        <v>272</v>
      </c>
      <c r="O36" s="205" t="s">
        <v>273</v>
      </c>
      <c r="P36" s="205" t="s">
        <v>274</v>
      </c>
      <c r="Q36" s="205" t="s">
        <v>275</v>
      </c>
      <c r="R36" s="205" t="s">
        <v>276</v>
      </c>
      <c r="S36" s="205" t="s">
        <v>436</v>
      </c>
      <c r="T36" s="205" t="s">
        <v>595</v>
      </c>
      <c r="U36" s="205">
        <v>5647</v>
      </c>
      <c r="V36" s="205" t="s">
        <v>585</v>
      </c>
      <c r="W36" s="205" t="s">
        <v>280</v>
      </c>
      <c r="X36" s="205">
        <v>22.617000000000001</v>
      </c>
      <c r="Y36" s="208">
        <v>-0.68</v>
      </c>
      <c r="Z36" s="208">
        <v>2.11</v>
      </c>
      <c r="AA36" s="208">
        <v>47.7</v>
      </c>
      <c r="AB36" s="208">
        <v>-4.1399999999999997</v>
      </c>
      <c r="AC36" s="208">
        <v>0</v>
      </c>
      <c r="AD36" s="208">
        <v>0</v>
      </c>
      <c r="AE36" s="208">
        <v>42.88</v>
      </c>
      <c r="AF36" s="208">
        <v>-5.43</v>
      </c>
      <c r="AG36" s="205" t="s">
        <v>279</v>
      </c>
      <c r="AH36" s="208">
        <v>0</v>
      </c>
      <c r="AI36" s="208">
        <v>47.7</v>
      </c>
      <c r="AJ36" s="208">
        <v>0</v>
      </c>
      <c r="AK36" s="205" t="str">
        <f t="shared" si="0"/>
        <v>1.00000000</v>
      </c>
      <c r="AL36" s="205">
        <v>4562.1000000000004</v>
      </c>
    </row>
    <row r="37" spans="1:38" s="205" customFormat="1" x14ac:dyDescent="0.2">
      <c r="A37" s="205" t="str">
        <f>"0496002595700"</f>
        <v>0496002595700</v>
      </c>
      <c r="B37" s="205">
        <v>2</v>
      </c>
      <c r="C37" s="205" t="s">
        <v>156</v>
      </c>
      <c r="D37" s="205">
        <v>42</v>
      </c>
      <c r="E37" s="205">
        <v>42</v>
      </c>
      <c r="F37" s="205" t="s">
        <v>243</v>
      </c>
      <c r="G37" s="205">
        <v>2262</v>
      </c>
      <c r="H37" s="205" t="s">
        <v>270</v>
      </c>
      <c r="I37" s="205">
        <v>5337</v>
      </c>
      <c r="J37" s="206">
        <v>42319</v>
      </c>
      <c r="K37" s="207">
        <v>0.76041666666666663</v>
      </c>
      <c r="L37" s="206">
        <v>42321</v>
      </c>
      <c r="M37" s="205" t="s">
        <v>853</v>
      </c>
      <c r="N37" s="205" t="s">
        <v>272</v>
      </c>
      <c r="O37" s="205" t="s">
        <v>273</v>
      </c>
      <c r="P37" s="205" t="s">
        <v>274</v>
      </c>
      <c r="Q37" s="205" t="s">
        <v>275</v>
      </c>
      <c r="R37" s="205" t="s">
        <v>276</v>
      </c>
      <c r="S37" s="205" t="s">
        <v>156</v>
      </c>
      <c r="T37" s="205" t="s">
        <v>277</v>
      </c>
      <c r="U37" s="205">
        <v>2262</v>
      </c>
      <c r="V37" s="205" t="s">
        <v>156</v>
      </c>
      <c r="W37" s="205" t="s">
        <v>280</v>
      </c>
      <c r="X37" s="205">
        <v>8.1519999999999992</v>
      </c>
      <c r="Y37" s="208">
        <v>-0.24</v>
      </c>
      <c r="Z37" s="208">
        <v>2.15</v>
      </c>
      <c r="AA37" s="208">
        <v>17.52</v>
      </c>
      <c r="AB37" s="208">
        <v>-1.49</v>
      </c>
      <c r="AC37" s="208">
        <v>0</v>
      </c>
      <c r="AD37" s="208">
        <v>0</v>
      </c>
      <c r="AE37" s="208">
        <v>15.79</v>
      </c>
      <c r="AF37" s="208">
        <v>-1.96</v>
      </c>
      <c r="AG37" s="205" t="s">
        <v>279</v>
      </c>
      <c r="AH37" s="208">
        <v>0</v>
      </c>
      <c r="AI37" s="208">
        <v>17.52</v>
      </c>
      <c r="AJ37" s="208">
        <v>0</v>
      </c>
      <c r="AK37" s="205" t="str">
        <f t="shared" si="0"/>
        <v>1.00000000</v>
      </c>
      <c r="AL37" s="205">
        <v>43.2</v>
      </c>
    </row>
    <row r="38" spans="1:38" s="205" customFormat="1" x14ac:dyDescent="0.2">
      <c r="A38" s="205" t="str">
        <f>"0496002595700"</f>
        <v>0496002595700</v>
      </c>
      <c r="B38" s="205">
        <v>3</v>
      </c>
      <c r="C38" s="205" t="s">
        <v>156</v>
      </c>
      <c r="D38" s="205">
        <v>41</v>
      </c>
      <c r="E38" s="205">
        <v>41</v>
      </c>
      <c r="F38" s="205" t="s">
        <v>243</v>
      </c>
      <c r="G38" s="205">
        <v>2262</v>
      </c>
      <c r="H38" s="205" t="s">
        <v>270</v>
      </c>
      <c r="I38" s="205">
        <v>7000</v>
      </c>
      <c r="J38" s="206">
        <v>42320</v>
      </c>
      <c r="K38" s="207">
        <v>0.5708333333333333</v>
      </c>
      <c r="L38" s="206">
        <v>42324</v>
      </c>
      <c r="M38" s="205" t="s">
        <v>853</v>
      </c>
      <c r="N38" s="205" t="s">
        <v>272</v>
      </c>
      <c r="O38" s="205" t="s">
        <v>273</v>
      </c>
      <c r="P38" s="205" t="s">
        <v>274</v>
      </c>
      <c r="Q38" s="205" t="s">
        <v>275</v>
      </c>
      <c r="R38" s="205" t="s">
        <v>276</v>
      </c>
      <c r="S38" s="205" t="s">
        <v>156</v>
      </c>
      <c r="T38" s="205" t="s">
        <v>277</v>
      </c>
      <c r="U38" s="205">
        <v>2262</v>
      </c>
      <c r="V38" s="205" t="s">
        <v>156</v>
      </c>
      <c r="W38" s="205" t="s">
        <v>280</v>
      </c>
      <c r="X38" s="205">
        <v>10.683999999999999</v>
      </c>
      <c r="Y38" s="208">
        <v>-0.32</v>
      </c>
      <c r="Z38" s="208">
        <v>2.15</v>
      </c>
      <c r="AA38" s="208">
        <v>22.96</v>
      </c>
      <c r="AB38" s="208">
        <v>-1.96</v>
      </c>
      <c r="AC38" s="208">
        <v>0</v>
      </c>
      <c r="AD38" s="208">
        <v>0</v>
      </c>
      <c r="AE38" s="208">
        <v>20.68</v>
      </c>
      <c r="AF38" s="208">
        <v>-2.56</v>
      </c>
      <c r="AG38" s="205" t="s">
        <v>279</v>
      </c>
      <c r="AH38" s="208">
        <v>0</v>
      </c>
      <c r="AI38" s="208">
        <v>22.96</v>
      </c>
      <c r="AJ38" s="208">
        <v>0</v>
      </c>
      <c r="AK38" s="205" t="str">
        <f t="shared" si="0"/>
        <v>1.00000000</v>
      </c>
      <c r="AL38" s="205">
        <v>0</v>
      </c>
    </row>
    <row r="39" spans="1:38" s="205" customFormat="1" x14ac:dyDescent="0.2">
      <c r="A39" s="205" t="str">
        <f>"0496002595700"</f>
        <v>0496002595700</v>
      </c>
      <c r="B39" s="205">
        <v>6</v>
      </c>
      <c r="C39" s="205" t="s">
        <v>156</v>
      </c>
      <c r="D39" s="205" t="s">
        <v>344</v>
      </c>
      <c r="E39" s="205" t="s">
        <v>345</v>
      </c>
      <c r="F39" s="205" t="s">
        <v>243</v>
      </c>
      <c r="G39" s="205">
        <v>2262</v>
      </c>
      <c r="H39" s="205" t="s">
        <v>270</v>
      </c>
      <c r="I39" s="205">
        <v>42757</v>
      </c>
      <c r="J39" s="206">
        <v>42320</v>
      </c>
      <c r="K39" s="207">
        <v>0.62847222222222221</v>
      </c>
      <c r="L39" s="206">
        <v>42324</v>
      </c>
      <c r="M39" s="205" t="s">
        <v>853</v>
      </c>
      <c r="N39" s="205" t="s">
        <v>272</v>
      </c>
      <c r="O39" s="205" t="s">
        <v>273</v>
      </c>
      <c r="P39" s="205" t="s">
        <v>274</v>
      </c>
      <c r="Q39" s="205" t="s">
        <v>275</v>
      </c>
      <c r="R39" s="205" t="s">
        <v>276</v>
      </c>
      <c r="S39" s="205" t="s">
        <v>156</v>
      </c>
      <c r="T39" s="205" t="s">
        <v>277</v>
      </c>
      <c r="U39" s="205">
        <v>2262</v>
      </c>
      <c r="V39" s="205" t="s">
        <v>156</v>
      </c>
      <c r="W39" s="205" t="s">
        <v>335</v>
      </c>
      <c r="X39" s="205">
        <v>8.5609999999999999</v>
      </c>
      <c r="Y39" s="208">
        <v>-0.26</v>
      </c>
      <c r="Z39" s="208">
        <v>2.42</v>
      </c>
      <c r="AA39" s="208">
        <v>20.71</v>
      </c>
      <c r="AB39" s="208">
        <v>-1.57</v>
      </c>
      <c r="AC39" s="208">
        <v>0</v>
      </c>
      <c r="AD39" s="208">
        <v>0</v>
      </c>
      <c r="AE39" s="208">
        <v>18.88</v>
      </c>
      <c r="AF39" s="208">
        <v>-2.0499999999999998</v>
      </c>
      <c r="AG39" s="205" t="s">
        <v>279</v>
      </c>
      <c r="AH39" s="208">
        <v>0</v>
      </c>
      <c r="AI39" s="208">
        <v>20.71</v>
      </c>
      <c r="AJ39" s="208">
        <v>0</v>
      </c>
      <c r="AK39" s="205" t="str">
        <f t="shared" si="0"/>
        <v>1.00000000</v>
      </c>
      <c r="AL39" s="205">
        <v>4994.3999999999996</v>
      </c>
    </row>
    <row r="40" spans="1:38" s="205" customFormat="1" x14ac:dyDescent="0.2">
      <c r="A40" s="205" t="str">
        <f>"0496002595734"</f>
        <v>0496002595734</v>
      </c>
      <c r="B40" s="205">
        <v>1</v>
      </c>
      <c r="C40" s="205" t="s">
        <v>435</v>
      </c>
      <c r="D40" s="205">
        <v>81</v>
      </c>
      <c r="E40" s="205">
        <v>81</v>
      </c>
      <c r="F40" s="205" t="s">
        <v>243</v>
      </c>
      <c r="G40" s="205">
        <v>2086</v>
      </c>
      <c r="H40" s="205" t="s">
        <v>270</v>
      </c>
      <c r="I40" s="205">
        <v>37530</v>
      </c>
      <c r="J40" s="206">
        <v>42320</v>
      </c>
      <c r="K40" s="207">
        <v>0.75624999999999998</v>
      </c>
      <c r="L40" s="206">
        <v>42324</v>
      </c>
      <c r="M40" s="205" t="s">
        <v>853</v>
      </c>
      <c r="N40" s="205" t="s">
        <v>272</v>
      </c>
      <c r="O40" s="205" t="s">
        <v>273</v>
      </c>
      <c r="P40" s="205" t="s">
        <v>274</v>
      </c>
      <c r="Q40" s="205" t="s">
        <v>275</v>
      </c>
      <c r="R40" s="205" t="s">
        <v>276</v>
      </c>
      <c r="S40" s="205" t="s">
        <v>436</v>
      </c>
      <c r="T40" s="205" t="s">
        <v>435</v>
      </c>
      <c r="U40" s="205">
        <v>2086</v>
      </c>
      <c r="V40" s="205" t="s">
        <v>435</v>
      </c>
      <c r="W40" s="205" t="s">
        <v>280</v>
      </c>
      <c r="X40" s="205">
        <v>11.679</v>
      </c>
      <c r="Y40" s="208">
        <v>-0.35</v>
      </c>
      <c r="Z40" s="208">
        <v>2.15</v>
      </c>
      <c r="AA40" s="208">
        <v>25.1</v>
      </c>
      <c r="AB40" s="208">
        <v>-2.14</v>
      </c>
      <c r="AC40" s="208">
        <v>0</v>
      </c>
      <c r="AD40" s="208">
        <v>0</v>
      </c>
      <c r="AE40" s="208">
        <v>22.61</v>
      </c>
      <c r="AF40" s="208">
        <v>-2.8</v>
      </c>
      <c r="AG40" s="205" t="s">
        <v>279</v>
      </c>
      <c r="AH40" s="208">
        <v>0</v>
      </c>
      <c r="AI40" s="208">
        <v>25.1</v>
      </c>
      <c r="AJ40" s="208">
        <v>0</v>
      </c>
      <c r="AK40" s="205" t="str">
        <f t="shared" si="0"/>
        <v>1.00000000</v>
      </c>
      <c r="AL40" s="205">
        <v>20.8</v>
      </c>
    </row>
    <row r="41" spans="1:38" s="205" customFormat="1" x14ac:dyDescent="0.2">
      <c r="A41" s="205" t="str">
        <f>"0496002595734"</f>
        <v>0496002595734</v>
      </c>
      <c r="B41" s="205">
        <v>3</v>
      </c>
      <c r="C41" s="205" t="s">
        <v>435</v>
      </c>
      <c r="D41" s="205">
        <v>82</v>
      </c>
      <c r="E41" s="205">
        <v>82</v>
      </c>
      <c r="F41" s="205" t="s">
        <v>243</v>
      </c>
      <c r="G41" s="205">
        <v>2086</v>
      </c>
      <c r="H41" s="205" t="s">
        <v>270</v>
      </c>
      <c r="I41" s="205">
        <v>29831</v>
      </c>
      <c r="J41" s="206">
        <v>42320</v>
      </c>
      <c r="K41" s="207">
        <v>0.52083333333333337</v>
      </c>
      <c r="L41" s="206">
        <v>42324</v>
      </c>
      <c r="M41" s="205" t="s">
        <v>853</v>
      </c>
      <c r="N41" s="205" t="s">
        <v>272</v>
      </c>
      <c r="O41" s="205" t="s">
        <v>273</v>
      </c>
      <c r="P41" s="205" t="s">
        <v>274</v>
      </c>
      <c r="Q41" s="205" t="s">
        <v>275</v>
      </c>
      <c r="R41" s="205" t="s">
        <v>276</v>
      </c>
      <c r="S41" s="205" t="s">
        <v>436</v>
      </c>
      <c r="T41" s="205" t="s">
        <v>435</v>
      </c>
      <c r="U41" s="205">
        <v>2086</v>
      </c>
      <c r="V41" s="205" t="s">
        <v>435</v>
      </c>
      <c r="W41" s="205" t="s">
        <v>280</v>
      </c>
      <c r="X41" s="205">
        <v>14.904</v>
      </c>
      <c r="Y41" s="208">
        <v>-0.45</v>
      </c>
      <c r="Z41" s="208">
        <v>2.15</v>
      </c>
      <c r="AA41" s="208">
        <v>32.03</v>
      </c>
      <c r="AB41" s="208">
        <v>-2.73</v>
      </c>
      <c r="AC41" s="208">
        <v>0</v>
      </c>
      <c r="AD41" s="208">
        <v>0</v>
      </c>
      <c r="AE41" s="208">
        <v>28.85</v>
      </c>
      <c r="AF41" s="208">
        <v>-3.58</v>
      </c>
      <c r="AG41" s="205" t="s">
        <v>279</v>
      </c>
      <c r="AH41" s="208">
        <v>0</v>
      </c>
      <c r="AI41" s="208">
        <v>32.03</v>
      </c>
      <c r="AJ41" s="208">
        <v>0</v>
      </c>
      <c r="AK41" s="205" t="str">
        <f t="shared" si="0"/>
        <v>1.00000000</v>
      </c>
      <c r="AL41" s="205">
        <v>9.6999999999999993</v>
      </c>
    </row>
    <row r="42" spans="1:38" s="205" customFormat="1" x14ac:dyDescent="0.2">
      <c r="A42" s="205" t="str">
        <f>"0496002595833"</f>
        <v>0496002595833</v>
      </c>
      <c r="B42" s="205">
        <v>1</v>
      </c>
      <c r="C42" s="205" t="s">
        <v>571</v>
      </c>
      <c r="D42" s="205" t="s">
        <v>571</v>
      </c>
      <c r="E42" s="205" t="s">
        <v>572</v>
      </c>
      <c r="F42" s="205" t="s">
        <v>243</v>
      </c>
      <c r="G42" s="205">
        <v>2328</v>
      </c>
      <c r="H42" s="205" t="s">
        <v>270</v>
      </c>
      <c r="I42" s="205">
        <v>43196</v>
      </c>
      <c r="J42" s="206">
        <v>42320</v>
      </c>
      <c r="K42" s="207">
        <v>0.50763888888888886</v>
      </c>
      <c r="L42" s="206">
        <v>42324</v>
      </c>
      <c r="M42" s="205" t="s">
        <v>853</v>
      </c>
      <c r="N42" s="205" t="s">
        <v>272</v>
      </c>
      <c r="O42" s="205" t="s">
        <v>273</v>
      </c>
      <c r="P42" s="205" t="s">
        <v>274</v>
      </c>
      <c r="Q42" s="205" t="s">
        <v>275</v>
      </c>
      <c r="R42" s="205" t="s">
        <v>276</v>
      </c>
      <c r="S42" s="205" t="s">
        <v>436</v>
      </c>
      <c r="T42" s="205" t="s">
        <v>571</v>
      </c>
      <c r="U42" s="205">
        <v>2328</v>
      </c>
      <c r="V42" s="205" t="s">
        <v>571</v>
      </c>
      <c r="W42" s="205" t="s">
        <v>280</v>
      </c>
      <c r="X42" s="205">
        <v>7.4320000000000004</v>
      </c>
      <c r="Y42" s="208">
        <v>-0.22</v>
      </c>
      <c r="Z42" s="208">
        <v>2.15</v>
      </c>
      <c r="AA42" s="208">
        <v>15.98</v>
      </c>
      <c r="AB42" s="208">
        <v>-1.36</v>
      </c>
      <c r="AC42" s="208">
        <v>0</v>
      </c>
      <c r="AD42" s="208">
        <v>0</v>
      </c>
      <c r="AE42" s="208">
        <v>14.4</v>
      </c>
      <c r="AF42" s="208">
        <v>-1.78</v>
      </c>
      <c r="AG42" s="205" t="s">
        <v>279</v>
      </c>
      <c r="AH42" s="208">
        <v>0</v>
      </c>
      <c r="AI42" s="208">
        <v>15.98</v>
      </c>
      <c r="AJ42" s="208">
        <v>0</v>
      </c>
      <c r="AK42" s="205" t="str">
        <f t="shared" si="0"/>
        <v>1.00000000</v>
      </c>
      <c r="AL42" s="205">
        <v>5812.2</v>
      </c>
    </row>
    <row r="43" spans="1:38" s="205" customFormat="1" x14ac:dyDescent="0.2">
      <c r="A43" s="205" t="str">
        <f>"0496002595700"</f>
        <v>0496002595700</v>
      </c>
      <c r="B43" s="205">
        <v>3</v>
      </c>
      <c r="C43" s="205" t="s">
        <v>156</v>
      </c>
      <c r="D43" s="205">
        <v>41</v>
      </c>
      <c r="E43" s="205">
        <v>41</v>
      </c>
      <c r="F43" s="205" t="s">
        <v>243</v>
      </c>
      <c r="G43" s="205">
        <v>2262</v>
      </c>
      <c r="H43" s="205" t="s">
        <v>270</v>
      </c>
      <c r="I43" s="205">
        <v>74466</v>
      </c>
      <c r="J43" s="206">
        <v>42321</v>
      </c>
      <c r="K43" s="207">
        <v>0.57361111111111118</v>
      </c>
      <c r="L43" s="206">
        <v>42325</v>
      </c>
      <c r="M43" s="205" t="s">
        <v>853</v>
      </c>
      <c r="N43" s="205" t="s">
        <v>272</v>
      </c>
      <c r="O43" s="205" t="s">
        <v>273</v>
      </c>
      <c r="P43" s="205" t="s">
        <v>274</v>
      </c>
      <c r="Q43" s="205" t="s">
        <v>275</v>
      </c>
      <c r="R43" s="205" t="s">
        <v>276</v>
      </c>
      <c r="S43" s="205" t="s">
        <v>156</v>
      </c>
      <c r="T43" s="205" t="s">
        <v>277</v>
      </c>
      <c r="U43" s="205">
        <v>2262</v>
      </c>
      <c r="V43" s="205" t="s">
        <v>156</v>
      </c>
      <c r="W43" s="205" t="s">
        <v>280</v>
      </c>
      <c r="X43" s="205">
        <v>10.362</v>
      </c>
      <c r="Y43" s="208">
        <v>-0.31</v>
      </c>
      <c r="Z43" s="208">
        <v>2.1</v>
      </c>
      <c r="AA43" s="208">
        <v>21.75</v>
      </c>
      <c r="AB43" s="208">
        <v>-1.9</v>
      </c>
      <c r="AC43" s="208">
        <v>0</v>
      </c>
      <c r="AD43" s="208">
        <v>0</v>
      </c>
      <c r="AE43" s="208">
        <v>19.54</v>
      </c>
      <c r="AF43" s="208">
        <v>-2.4900000000000002</v>
      </c>
      <c r="AG43" s="205" t="s">
        <v>279</v>
      </c>
      <c r="AH43" s="208">
        <v>0</v>
      </c>
      <c r="AI43" s="208">
        <v>21.75</v>
      </c>
      <c r="AJ43" s="208">
        <v>0</v>
      </c>
      <c r="AK43" s="205" t="str">
        <f t="shared" si="0"/>
        <v>1.00000000</v>
      </c>
      <c r="AL43" s="205">
        <v>6510.9</v>
      </c>
    </row>
    <row r="44" spans="1:38" s="205" customFormat="1" x14ac:dyDescent="0.2">
      <c r="A44" s="205" t="str">
        <f>"0496002595734"</f>
        <v>0496002595734</v>
      </c>
      <c r="B44" s="205">
        <v>2</v>
      </c>
      <c r="C44" s="205" t="s">
        <v>435</v>
      </c>
      <c r="D44" s="205">
        <v>80</v>
      </c>
      <c r="E44" s="205">
        <v>80</v>
      </c>
      <c r="F44" s="205" t="s">
        <v>243</v>
      </c>
      <c r="G44" s="205">
        <v>2086</v>
      </c>
      <c r="H44" s="205" t="s">
        <v>270</v>
      </c>
      <c r="I44" s="205">
        <v>35962</v>
      </c>
      <c r="J44" s="206">
        <v>42321</v>
      </c>
      <c r="K44" s="207">
        <v>0.31388888888888888</v>
      </c>
      <c r="L44" s="206">
        <v>42325</v>
      </c>
      <c r="M44" s="205" t="s">
        <v>853</v>
      </c>
      <c r="N44" s="205" t="s">
        <v>272</v>
      </c>
      <c r="O44" s="205" t="s">
        <v>273</v>
      </c>
      <c r="P44" s="205" t="s">
        <v>274</v>
      </c>
      <c r="Q44" s="205" t="s">
        <v>275</v>
      </c>
      <c r="R44" s="205" t="s">
        <v>276</v>
      </c>
      <c r="S44" s="205" t="s">
        <v>436</v>
      </c>
      <c r="T44" s="205" t="s">
        <v>435</v>
      </c>
      <c r="U44" s="205">
        <v>2086</v>
      </c>
      <c r="V44" s="205" t="s">
        <v>435</v>
      </c>
      <c r="W44" s="205" t="s">
        <v>280</v>
      </c>
      <c r="X44" s="205">
        <v>8.0129999999999999</v>
      </c>
      <c r="Y44" s="208">
        <v>-0.24</v>
      </c>
      <c r="Z44" s="208">
        <v>2.15</v>
      </c>
      <c r="AA44" s="208">
        <v>17.22</v>
      </c>
      <c r="AB44" s="208">
        <v>-1.47</v>
      </c>
      <c r="AC44" s="208">
        <v>0</v>
      </c>
      <c r="AD44" s="208">
        <v>0</v>
      </c>
      <c r="AE44" s="208">
        <v>15.51</v>
      </c>
      <c r="AF44" s="208">
        <v>-1.92</v>
      </c>
      <c r="AG44" s="205" t="s">
        <v>279</v>
      </c>
      <c r="AH44" s="208">
        <v>0</v>
      </c>
      <c r="AI44" s="208">
        <v>17.22</v>
      </c>
      <c r="AJ44" s="208">
        <v>0</v>
      </c>
      <c r="AK44" s="205" t="str">
        <f t="shared" si="0"/>
        <v>1.00000000</v>
      </c>
      <c r="AL44" s="205">
        <v>36.4</v>
      </c>
    </row>
    <row r="45" spans="1:38" s="205" customFormat="1" x14ac:dyDescent="0.2">
      <c r="A45" s="205" t="str">
        <f>"0496002595734"</f>
        <v>0496002595734</v>
      </c>
      <c r="B45" s="205">
        <v>3</v>
      </c>
      <c r="C45" s="205" t="s">
        <v>435</v>
      </c>
      <c r="D45" s="205">
        <v>82</v>
      </c>
      <c r="E45" s="205">
        <v>82</v>
      </c>
      <c r="F45" s="205" t="s">
        <v>243</v>
      </c>
      <c r="G45" s="205">
        <v>2086</v>
      </c>
      <c r="H45" s="205" t="s">
        <v>270</v>
      </c>
      <c r="I45" s="205">
        <v>30059</v>
      </c>
      <c r="J45" s="206">
        <v>42321</v>
      </c>
      <c r="K45" s="207">
        <v>0.52986111111111112</v>
      </c>
      <c r="L45" s="206">
        <v>42325</v>
      </c>
      <c r="M45" s="205" t="s">
        <v>294</v>
      </c>
      <c r="N45" s="205" t="s">
        <v>299</v>
      </c>
      <c r="O45" s="205" t="s">
        <v>866</v>
      </c>
      <c r="P45" s="205" t="s">
        <v>343</v>
      </c>
      <c r="Q45" s="205" t="s">
        <v>275</v>
      </c>
      <c r="R45" s="205" t="s">
        <v>387</v>
      </c>
      <c r="S45" s="205" t="s">
        <v>436</v>
      </c>
      <c r="T45" s="205" t="s">
        <v>435</v>
      </c>
      <c r="U45" s="205">
        <v>2086</v>
      </c>
      <c r="V45" s="205" t="s">
        <v>435</v>
      </c>
      <c r="W45" s="205" t="s">
        <v>330</v>
      </c>
      <c r="X45" s="205">
        <v>13.38</v>
      </c>
      <c r="Y45" s="208">
        <v>0</v>
      </c>
      <c r="Z45" s="208">
        <v>2.12</v>
      </c>
      <c r="AA45" s="208">
        <v>28.36</v>
      </c>
      <c r="AB45" s="208">
        <v>-2.4500000000000002</v>
      </c>
      <c r="AC45" s="208">
        <v>0</v>
      </c>
      <c r="AD45" s="208">
        <v>0</v>
      </c>
      <c r="AE45" s="208">
        <v>25.91</v>
      </c>
      <c r="AF45" s="208">
        <v>-3.21</v>
      </c>
      <c r="AG45" s="205" t="s">
        <v>279</v>
      </c>
      <c r="AH45" s="208">
        <v>0</v>
      </c>
      <c r="AI45" s="208">
        <v>28.36</v>
      </c>
      <c r="AJ45" s="208">
        <v>0</v>
      </c>
      <c r="AK45" s="205" t="str">
        <f t="shared" si="0"/>
        <v>1.00000000</v>
      </c>
      <c r="AL45" s="205">
        <v>17</v>
      </c>
    </row>
    <row r="46" spans="1:38" s="205" customFormat="1" x14ac:dyDescent="0.2">
      <c r="A46" s="205" t="str">
        <f>"0496002599173"</f>
        <v>0496002599173</v>
      </c>
      <c r="B46" s="205">
        <v>1</v>
      </c>
      <c r="C46" s="205" t="s">
        <v>585</v>
      </c>
      <c r="D46" s="205" t="s">
        <v>586</v>
      </c>
      <c r="E46" s="205" t="s">
        <v>586</v>
      </c>
      <c r="F46" s="205" t="s">
        <v>243</v>
      </c>
      <c r="G46" s="205">
        <v>5314</v>
      </c>
      <c r="H46" s="205" t="s">
        <v>270</v>
      </c>
      <c r="I46" s="205">
        <v>53000</v>
      </c>
      <c r="J46" s="206">
        <v>42321</v>
      </c>
      <c r="K46" s="207">
        <v>0.51527777777777783</v>
      </c>
      <c r="L46" s="206">
        <v>42325</v>
      </c>
      <c r="M46" s="205" t="s">
        <v>606</v>
      </c>
      <c r="N46" s="205" t="s">
        <v>399</v>
      </c>
      <c r="O46" s="205" t="s">
        <v>400</v>
      </c>
      <c r="P46" s="205" t="s">
        <v>274</v>
      </c>
      <c r="Q46" s="205" t="s">
        <v>275</v>
      </c>
      <c r="R46" s="205" t="s">
        <v>401</v>
      </c>
      <c r="S46" s="205" t="s">
        <v>436</v>
      </c>
      <c r="T46" s="205" t="s">
        <v>587</v>
      </c>
      <c r="U46" s="205">
        <v>5314</v>
      </c>
      <c r="V46" s="205" t="s">
        <v>585</v>
      </c>
      <c r="W46" s="205" t="s">
        <v>280</v>
      </c>
      <c r="X46" s="205">
        <v>21.305</v>
      </c>
      <c r="Y46" s="208">
        <v>0</v>
      </c>
      <c r="Z46" s="208">
        <v>2.16</v>
      </c>
      <c r="AA46" s="208">
        <v>46</v>
      </c>
      <c r="AB46" s="208">
        <v>-3.9</v>
      </c>
      <c r="AC46" s="208">
        <v>0</v>
      </c>
      <c r="AD46" s="208">
        <v>0</v>
      </c>
      <c r="AE46" s="208">
        <v>42.1</v>
      </c>
      <c r="AF46" s="208">
        <v>-5.1100000000000003</v>
      </c>
      <c r="AG46" s="205" t="s">
        <v>279</v>
      </c>
      <c r="AH46" s="208">
        <v>0</v>
      </c>
      <c r="AI46" s="208">
        <v>46</v>
      </c>
      <c r="AJ46" s="208">
        <v>0</v>
      </c>
      <c r="AK46" s="205" t="str">
        <f t="shared" si="0"/>
        <v>1.00000000</v>
      </c>
      <c r="AL46" s="205">
        <v>2487.6999999999998</v>
      </c>
    </row>
    <row r="47" spans="1:38" s="205" customFormat="1" x14ac:dyDescent="0.2">
      <c r="A47" s="205" t="str">
        <f>"0496002599173"</f>
        <v>0496002599173</v>
      </c>
      <c r="B47" s="205">
        <v>2</v>
      </c>
      <c r="C47" s="205" t="s">
        <v>585</v>
      </c>
      <c r="D47" s="205" t="s">
        <v>594</v>
      </c>
      <c r="E47" s="205" t="s">
        <v>594</v>
      </c>
      <c r="F47" s="205" t="s">
        <v>243</v>
      </c>
      <c r="G47" s="205">
        <v>5647</v>
      </c>
      <c r="H47" s="205" t="s">
        <v>270</v>
      </c>
      <c r="I47" s="205">
        <v>103478</v>
      </c>
      <c r="J47" s="206">
        <v>42321</v>
      </c>
      <c r="K47" s="207">
        <v>0.64236111111111105</v>
      </c>
      <c r="L47" s="206">
        <v>42325</v>
      </c>
      <c r="M47" s="205" t="s">
        <v>853</v>
      </c>
      <c r="N47" s="205" t="s">
        <v>454</v>
      </c>
      <c r="O47" s="205" t="s">
        <v>455</v>
      </c>
      <c r="P47" s="205" t="s">
        <v>456</v>
      </c>
      <c r="Q47" s="205" t="s">
        <v>275</v>
      </c>
      <c r="R47" s="205" t="s">
        <v>706</v>
      </c>
      <c r="S47" s="205" t="s">
        <v>436</v>
      </c>
      <c r="T47" s="205" t="s">
        <v>595</v>
      </c>
      <c r="U47" s="205">
        <v>5647</v>
      </c>
      <c r="V47" s="205" t="s">
        <v>585</v>
      </c>
      <c r="W47" s="205" t="s">
        <v>280</v>
      </c>
      <c r="X47" s="205">
        <v>19.914999999999999</v>
      </c>
      <c r="Y47" s="208">
        <v>-0.6</v>
      </c>
      <c r="Z47" s="208">
        <v>2.14</v>
      </c>
      <c r="AA47" s="208">
        <v>42.6</v>
      </c>
      <c r="AB47" s="208">
        <v>-3.64</v>
      </c>
      <c r="AC47" s="208">
        <v>0</v>
      </c>
      <c r="AD47" s="208">
        <v>0</v>
      </c>
      <c r="AE47" s="208">
        <v>38.36</v>
      </c>
      <c r="AF47" s="208">
        <v>-4.78</v>
      </c>
      <c r="AG47" s="205" t="s">
        <v>279</v>
      </c>
      <c r="AH47" s="208">
        <v>0</v>
      </c>
      <c r="AI47" s="208">
        <v>42.6</v>
      </c>
      <c r="AJ47" s="208">
        <v>0</v>
      </c>
      <c r="AK47" s="205" t="str">
        <f t="shared" si="0"/>
        <v>1.00000000</v>
      </c>
      <c r="AL47" s="205">
        <v>15</v>
      </c>
    </row>
    <row r="48" spans="1:38" s="205" customFormat="1" x14ac:dyDescent="0.2">
      <c r="A48" s="205" t="str">
        <f>"0496002595734"</f>
        <v>0496002595734</v>
      </c>
      <c r="B48" s="205">
        <v>1</v>
      </c>
      <c r="C48" s="205" t="s">
        <v>435</v>
      </c>
      <c r="D48" s="205">
        <v>81</v>
      </c>
      <c r="E48" s="205">
        <v>81</v>
      </c>
      <c r="F48" s="205" t="s">
        <v>243</v>
      </c>
      <c r="G48" s="205">
        <v>2086</v>
      </c>
      <c r="H48" s="205" t="s">
        <v>270</v>
      </c>
      <c r="I48" s="205">
        <v>37787</v>
      </c>
      <c r="J48" s="206">
        <v>42322</v>
      </c>
      <c r="K48" s="207">
        <v>0.34791666666666665</v>
      </c>
      <c r="L48" s="206">
        <v>42325</v>
      </c>
      <c r="M48" s="205" t="s">
        <v>853</v>
      </c>
      <c r="N48" s="205" t="s">
        <v>272</v>
      </c>
      <c r="O48" s="205" t="s">
        <v>273</v>
      </c>
      <c r="P48" s="205" t="s">
        <v>274</v>
      </c>
      <c r="Q48" s="205" t="s">
        <v>275</v>
      </c>
      <c r="R48" s="205" t="s">
        <v>276</v>
      </c>
      <c r="S48" s="205" t="s">
        <v>436</v>
      </c>
      <c r="T48" s="205" t="s">
        <v>435</v>
      </c>
      <c r="U48" s="205">
        <v>2086</v>
      </c>
      <c r="V48" s="205" t="s">
        <v>435</v>
      </c>
      <c r="W48" s="205" t="s">
        <v>280</v>
      </c>
      <c r="X48" s="205">
        <v>14.202</v>
      </c>
      <c r="Y48" s="208">
        <v>-0.43</v>
      </c>
      <c r="Z48" s="208">
        <v>2.1</v>
      </c>
      <c r="AA48" s="208">
        <v>29.81</v>
      </c>
      <c r="AB48" s="208">
        <v>-2.6</v>
      </c>
      <c r="AC48" s="208">
        <v>0</v>
      </c>
      <c r="AD48" s="208">
        <v>0</v>
      </c>
      <c r="AE48" s="208">
        <v>26.78</v>
      </c>
      <c r="AF48" s="208">
        <v>-3.41</v>
      </c>
      <c r="AG48" s="205" t="s">
        <v>279</v>
      </c>
      <c r="AH48" s="208">
        <v>0</v>
      </c>
      <c r="AI48" s="208">
        <v>29.81</v>
      </c>
      <c r="AJ48" s="208">
        <v>0</v>
      </c>
      <c r="AK48" s="205" t="str">
        <f t="shared" si="0"/>
        <v>1.00000000</v>
      </c>
      <c r="AL48" s="205">
        <v>18.100000000000001</v>
      </c>
    </row>
    <row r="49" spans="1:38" s="205" customFormat="1" x14ac:dyDescent="0.2">
      <c r="A49" s="205" t="str">
        <f>"0496002595734"</f>
        <v>0496002595734</v>
      </c>
      <c r="B49" s="205">
        <v>3</v>
      </c>
      <c r="C49" s="205" t="s">
        <v>435</v>
      </c>
      <c r="D49" s="205">
        <v>82</v>
      </c>
      <c r="E49" s="205">
        <v>82</v>
      </c>
      <c r="F49" s="205" t="s">
        <v>243</v>
      </c>
      <c r="G49" s="205">
        <v>2086</v>
      </c>
      <c r="H49" s="205" t="s">
        <v>270</v>
      </c>
      <c r="I49" s="205">
        <v>30225</v>
      </c>
      <c r="J49" s="206">
        <v>42322</v>
      </c>
      <c r="K49" s="207">
        <v>0.71250000000000002</v>
      </c>
      <c r="L49" s="206">
        <v>42325</v>
      </c>
      <c r="M49" s="205" t="s">
        <v>325</v>
      </c>
      <c r="N49" s="205" t="s">
        <v>326</v>
      </c>
      <c r="O49" s="205" t="s">
        <v>867</v>
      </c>
      <c r="P49" s="205" t="s">
        <v>868</v>
      </c>
      <c r="Q49" s="205" t="s">
        <v>329</v>
      </c>
      <c r="R49" s="205" t="s">
        <v>869</v>
      </c>
      <c r="S49" s="205" t="s">
        <v>436</v>
      </c>
      <c r="T49" s="205" t="s">
        <v>435</v>
      </c>
      <c r="U49" s="205">
        <v>2086</v>
      </c>
      <c r="V49" s="205" t="s">
        <v>435</v>
      </c>
      <c r="W49" s="205" t="s">
        <v>330</v>
      </c>
      <c r="X49" s="205">
        <v>8.9540000000000006</v>
      </c>
      <c r="Y49" s="208">
        <v>0</v>
      </c>
      <c r="Z49" s="208">
        <v>2.34</v>
      </c>
      <c r="AA49" s="208">
        <v>20.94</v>
      </c>
      <c r="AB49" s="208">
        <v>-1.64</v>
      </c>
      <c r="AC49" s="208">
        <v>0</v>
      </c>
      <c r="AD49" s="208">
        <v>0</v>
      </c>
      <c r="AE49" s="208">
        <v>19.3</v>
      </c>
      <c r="AF49" s="208">
        <v>-3.78</v>
      </c>
      <c r="AG49" s="205" t="s">
        <v>279</v>
      </c>
      <c r="AH49" s="208">
        <v>0</v>
      </c>
      <c r="AI49" s="208">
        <v>20.94</v>
      </c>
      <c r="AJ49" s="208">
        <v>0</v>
      </c>
      <c r="AK49" s="205" t="str">
        <f t="shared" si="0"/>
        <v>1.00000000</v>
      </c>
      <c r="AL49" s="205">
        <v>18.5</v>
      </c>
    </row>
    <row r="50" spans="1:38" s="205" customFormat="1" x14ac:dyDescent="0.2">
      <c r="A50" s="205" t="str">
        <f>"0496002595734"</f>
        <v>0496002595734</v>
      </c>
      <c r="B50" s="205">
        <v>1</v>
      </c>
      <c r="C50" s="205" t="s">
        <v>435</v>
      </c>
      <c r="D50" s="205">
        <v>81</v>
      </c>
      <c r="E50" s="205">
        <v>81</v>
      </c>
      <c r="F50" s="205" t="s">
        <v>243</v>
      </c>
      <c r="G50" s="205">
        <v>2086</v>
      </c>
      <c r="H50" s="205" t="s">
        <v>270</v>
      </c>
      <c r="I50" s="205">
        <v>37999</v>
      </c>
      <c r="J50" s="206">
        <v>42323</v>
      </c>
      <c r="K50" s="207">
        <v>0.98541666666666661</v>
      </c>
      <c r="L50" s="206">
        <v>42325</v>
      </c>
      <c r="M50" s="205" t="s">
        <v>853</v>
      </c>
      <c r="N50" s="205" t="s">
        <v>352</v>
      </c>
      <c r="O50" s="205" t="s">
        <v>353</v>
      </c>
      <c r="P50" s="205" t="s">
        <v>343</v>
      </c>
      <c r="Q50" s="205" t="s">
        <v>275</v>
      </c>
      <c r="R50" s="205" t="s">
        <v>602</v>
      </c>
      <c r="S50" s="205" t="s">
        <v>436</v>
      </c>
      <c r="T50" s="205" t="s">
        <v>435</v>
      </c>
      <c r="U50" s="205">
        <v>2086</v>
      </c>
      <c r="V50" s="205" t="s">
        <v>435</v>
      </c>
      <c r="W50" s="205" t="s">
        <v>280</v>
      </c>
      <c r="X50" s="205">
        <v>9.6140000000000008</v>
      </c>
      <c r="Y50" s="208">
        <v>-0.28999999999999998</v>
      </c>
      <c r="Z50" s="208">
        <v>2.1</v>
      </c>
      <c r="AA50" s="208">
        <v>20.18</v>
      </c>
      <c r="AB50" s="208">
        <v>-1.76</v>
      </c>
      <c r="AC50" s="208">
        <v>0</v>
      </c>
      <c r="AD50" s="208">
        <v>0</v>
      </c>
      <c r="AE50" s="208">
        <v>18.13</v>
      </c>
      <c r="AF50" s="208">
        <v>-2.31</v>
      </c>
      <c r="AG50" s="205" t="s">
        <v>279</v>
      </c>
      <c r="AH50" s="208">
        <v>0</v>
      </c>
      <c r="AI50" s="208">
        <v>20.18</v>
      </c>
      <c r="AJ50" s="208">
        <v>0</v>
      </c>
      <c r="AK50" s="205" t="str">
        <f t="shared" si="0"/>
        <v>1.00000000</v>
      </c>
      <c r="AL50" s="205">
        <v>22</v>
      </c>
    </row>
    <row r="51" spans="1:38" s="205" customFormat="1" x14ac:dyDescent="0.2">
      <c r="A51" s="205" t="str">
        <f>"0496002595700"</f>
        <v>0496002595700</v>
      </c>
      <c r="B51" s="205">
        <v>2</v>
      </c>
      <c r="C51" s="205" t="s">
        <v>156</v>
      </c>
      <c r="D51" s="205">
        <v>42</v>
      </c>
      <c r="E51" s="205">
        <v>42</v>
      </c>
      <c r="F51" s="205" t="s">
        <v>243</v>
      </c>
      <c r="G51" s="205">
        <v>2262</v>
      </c>
      <c r="H51" s="205" t="s">
        <v>270</v>
      </c>
      <c r="I51" s="205">
        <v>6329</v>
      </c>
      <c r="J51" s="206">
        <v>42324</v>
      </c>
      <c r="K51" s="207">
        <v>0.67569444444444438</v>
      </c>
      <c r="L51" s="206">
        <v>42326</v>
      </c>
      <c r="M51" s="205" t="s">
        <v>853</v>
      </c>
      <c r="N51" s="205" t="s">
        <v>272</v>
      </c>
      <c r="O51" s="205" t="s">
        <v>273</v>
      </c>
      <c r="P51" s="205" t="s">
        <v>274</v>
      </c>
      <c r="Q51" s="205" t="s">
        <v>275</v>
      </c>
      <c r="R51" s="205" t="s">
        <v>276</v>
      </c>
      <c r="S51" s="205" t="s">
        <v>156</v>
      </c>
      <c r="T51" s="205" t="s">
        <v>277</v>
      </c>
      <c r="U51" s="205">
        <v>2262</v>
      </c>
      <c r="V51" s="205" t="s">
        <v>156</v>
      </c>
      <c r="W51" s="205" t="s">
        <v>280</v>
      </c>
      <c r="X51" s="205">
        <v>0.34899999999999998</v>
      </c>
      <c r="Y51" s="208">
        <v>-0.01</v>
      </c>
      <c r="Z51" s="208">
        <v>2.09</v>
      </c>
      <c r="AA51" s="208">
        <v>0.73</v>
      </c>
      <c r="AB51" s="208">
        <v>-0.06</v>
      </c>
      <c r="AC51" s="208">
        <v>0</v>
      </c>
      <c r="AD51" s="208">
        <v>0</v>
      </c>
      <c r="AE51" s="208">
        <v>0.66</v>
      </c>
      <c r="AF51" s="208">
        <v>-0.08</v>
      </c>
      <c r="AG51" s="205" t="s">
        <v>279</v>
      </c>
      <c r="AH51" s="208">
        <v>0</v>
      </c>
      <c r="AI51" s="208">
        <v>0.73</v>
      </c>
      <c r="AJ51" s="208">
        <v>0</v>
      </c>
      <c r="AK51" s="205" t="str">
        <f t="shared" si="0"/>
        <v>1.00000000</v>
      </c>
      <c r="AL51" s="205">
        <v>2842.4</v>
      </c>
    </row>
    <row r="52" spans="1:38" s="205" customFormat="1" x14ac:dyDescent="0.2">
      <c r="A52" s="205" t="str">
        <f>"0496002595734"</f>
        <v>0496002595734</v>
      </c>
      <c r="B52" s="205">
        <v>3</v>
      </c>
      <c r="C52" s="205" t="s">
        <v>435</v>
      </c>
      <c r="D52" s="205">
        <v>82</v>
      </c>
      <c r="E52" s="205">
        <v>82</v>
      </c>
      <c r="F52" s="205" t="s">
        <v>243</v>
      </c>
      <c r="G52" s="205">
        <v>2086</v>
      </c>
      <c r="H52" s="205" t="s">
        <v>270</v>
      </c>
      <c r="I52" s="205">
        <v>30469</v>
      </c>
      <c r="J52" s="206">
        <v>42324</v>
      </c>
      <c r="K52" s="207">
        <v>8.1944444444444445E-2</v>
      </c>
      <c r="L52" s="206">
        <v>42325</v>
      </c>
      <c r="M52" s="205" t="s">
        <v>853</v>
      </c>
      <c r="N52" s="205" t="s">
        <v>272</v>
      </c>
      <c r="O52" s="205" t="s">
        <v>273</v>
      </c>
      <c r="P52" s="205" t="s">
        <v>274</v>
      </c>
      <c r="Q52" s="205" t="s">
        <v>275</v>
      </c>
      <c r="R52" s="205" t="s">
        <v>276</v>
      </c>
      <c r="S52" s="205" t="s">
        <v>436</v>
      </c>
      <c r="T52" s="205" t="s">
        <v>435</v>
      </c>
      <c r="U52" s="205">
        <v>2086</v>
      </c>
      <c r="V52" s="205" t="s">
        <v>435</v>
      </c>
      <c r="W52" s="205" t="s">
        <v>280</v>
      </c>
      <c r="X52" s="205">
        <v>12.715</v>
      </c>
      <c r="Y52" s="208">
        <v>-0.38</v>
      </c>
      <c r="Z52" s="208">
        <v>2.1</v>
      </c>
      <c r="AA52" s="208">
        <v>26.69</v>
      </c>
      <c r="AB52" s="208">
        <v>-2.33</v>
      </c>
      <c r="AC52" s="208">
        <v>0</v>
      </c>
      <c r="AD52" s="208">
        <v>0</v>
      </c>
      <c r="AE52" s="208">
        <v>23.98</v>
      </c>
      <c r="AF52" s="208">
        <v>-3.05</v>
      </c>
      <c r="AG52" s="205" t="s">
        <v>279</v>
      </c>
      <c r="AH52" s="208">
        <v>0</v>
      </c>
      <c r="AI52" s="208">
        <v>26.69</v>
      </c>
      <c r="AJ52" s="208">
        <v>0</v>
      </c>
      <c r="AK52" s="205" t="str">
        <f t="shared" si="0"/>
        <v>1.00000000</v>
      </c>
      <c r="AL52" s="205">
        <v>19.2</v>
      </c>
    </row>
    <row r="53" spans="1:38" s="205" customFormat="1" x14ac:dyDescent="0.2">
      <c r="A53" s="205" t="str">
        <f>"0496002599173"</f>
        <v>0496002599173</v>
      </c>
      <c r="B53" s="205">
        <v>3</v>
      </c>
      <c r="C53" s="205" t="s">
        <v>585</v>
      </c>
      <c r="D53" s="205" t="s">
        <v>628</v>
      </c>
      <c r="E53" s="205" t="s">
        <v>628</v>
      </c>
      <c r="F53" s="205" t="s">
        <v>243</v>
      </c>
      <c r="G53" s="205">
        <v>5738</v>
      </c>
      <c r="H53" s="205" t="s">
        <v>270</v>
      </c>
      <c r="I53" s="205">
        <v>102331</v>
      </c>
      <c r="J53" s="206">
        <v>42324</v>
      </c>
      <c r="K53" s="207">
        <v>0.66666666666666663</v>
      </c>
      <c r="L53" s="206">
        <v>42326</v>
      </c>
      <c r="M53" s="205" t="s">
        <v>606</v>
      </c>
      <c r="N53" s="205" t="s">
        <v>399</v>
      </c>
      <c r="O53" s="205" t="s">
        <v>400</v>
      </c>
      <c r="P53" s="205" t="s">
        <v>274</v>
      </c>
      <c r="Q53" s="205" t="s">
        <v>275</v>
      </c>
      <c r="R53" s="205" t="s">
        <v>401</v>
      </c>
      <c r="S53" s="205" t="s">
        <v>436</v>
      </c>
      <c r="T53" s="205" t="s">
        <v>630</v>
      </c>
      <c r="U53" s="205">
        <v>5738</v>
      </c>
      <c r="V53" s="205" t="s">
        <v>585</v>
      </c>
      <c r="W53" s="205" t="s">
        <v>280</v>
      </c>
      <c r="X53" s="205">
        <v>21.518999999999998</v>
      </c>
      <c r="Y53" s="208">
        <v>0</v>
      </c>
      <c r="Z53" s="208">
        <v>2.12</v>
      </c>
      <c r="AA53" s="208">
        <v>45.6</v>
      </c>
      <c r="AB53" s="208">
        <v>-3.94</v>
      </c>
      <c r="AC53" s="208">
        <v>0</v>
      </c>
      <c r="AD53" s="208">
        <v>0</v>
      </c>
      <c r="AE53" s="208">
        <v>41.66</v>
      </c>
      <c r="AF53" s="208">
        <v>-5.16</v>
      </c>
      <c r="AG53" s="205" t="s">
        <v>279</v>
      </c>
      <c r="AH53" s="208">
        <v>0</v>
      </c>
      <c r="AI53" s="208">
        <v>45.6</v>
      </c>
      <c r="AJ53" s="208">
        <v>0</v>
      </c>
      <c r="AK53" s="205" t="str">
        <f t="shared" si="0"/>
        <v>1.00000000</v>
      </c>
      <c r="AL53" s="205">
        <v>4755.3999999999996</v>
      </c>
    </row>
    <row r="54" spans="1:38" s="205" customFormat="1" x14ac:dyDescent="0.2">
      <c r="A54" s="205" t="str">
        <f>"0496002595700"</f>
        <v>0496002595700</v>
      </c>
      <c r="B54" s="205">
        <v>3</v>
      </c>
      <c r="C54" s="205" t="s">
        <v>156</v>
      </c>
      <c r="D54" s="205">
        <v>41</v>
      </c>
      <c r="E54" s="205">
        <v>41</v>
      </c>
      <c r="F54" s="205" t="s">
        <v>243</v>
      </c>
      <c r="G54" s="205">
        <v>2262</v>
      </c>
      <c r="H54" s="205" t="s">
        <v>270</v>
      </c>
      <c r="I54" s="205">
        <v>74711</v>
      </c>
      <c r="J54" s="206">
        <v>42325</v>
      </c>
      <c r="K54" s="207">
        <v>0.80208333333333337</v>
      </c>
      <c r="L54" s="206">
        <v>42327</v>
      </c>
      <c r="M54" s="205" t="s">
        <v>853</v>
      </c>
      <c r="N54" s="205" t="s">
        <v>272</v>
      </c>
      <c r="O54" s="205" t="s">
        <v>273</v>
      </c>
      <c r="P54" s="205" t="s">
        <v>274</v>
      </c>
      <c r="Q54" s="205" t="s">
        <v>275</v>
      </c>
      <c r="R54" s="205" t="s">
        <v>276</v>
      </c>
      <c r="S54" s="205" t="s">
        <v>156</v>
      </c>
      <c r="T54" s="205" t="s">
        <v>277</v>
      </c>
      <c r="U54" s="205">
        <v>2262</v>
      </c>
      <c r="V54" s="205" t="s">
        <v>156</v>
      </c>
      <c r="W54" s="205" t="s">
        <v>280</v>
      </c>
      <c r="X54" s="205">
        <v>12.486000000000001</v>
      </c>
      <c r="Y54" s="208">
        <v>-0.37</v>
      </c>
      <c r="Z54" s="208">
        <v>2.1</v>
      </c>
      <c r="AA54" s="208">
        <v>26.21</v>
      </c>
      <c r="AB54" s="208">
        <v>-2.2799999999999998</v>
      </c>
      <c r="AC54" s="208">
        <v>0</v>
      </c>
      <c r="AD54" s="208">
        <v>0</v>
      </c>
      <c r="AE54" s="208">
        <v>23.56</v>
      </c>
      <c r="AF54" s="208">
        <v>-3</v>
      </c>
      <c r="AG54" s="205" t="s">
        <v>279</v>
      </c>
      <c r="AH54" s="208">
        <v>0</v>
      </c>
      <c r="AI54" s="208">
        <v>26.21</v>
      </c>
      <c r="AJ54" s="208">
        <v>0</v>
      </c>
      <c r="AK54" s="205" t="str">
        <f t="shared" si="0"/>
        <v>1.00000000</v>
      </c>
      <c r="AL54" s="205">
        <v>19.600000000000001</v>
      </c>
    </row>
    <row r="55" spans="1:38" s="205" customFormat="1" x14ac:dyDescent="0.2">
      <c r="A55" s="205" t="str">
        <f>"0496002595734"</f>
        <v>0496002595734</v>
      </c>
      <c r="B55" s="205">
        <v>2</v>
      </c>
      <c r="C55" s="205" t="s">
        <v>435</v>
      </c>
      <c r="D55" s="205">
        <v>80</v>
      </c>
      <c r="E55" s="205">
        <v>80</v>
      </c>
      <c r="F55" s="205" t="s">
        <v>243</v>
      </c>
      <c r="G55" s="205">
        <v>2086</v>
      </c>
      <c r="H55" s="205" t="s">
        <v>270</v>
      </c>
      <c r="I55" s="205">
        <v>36151</v>
      </c>
      <c r="J55" s="206">
        <v>42325</v>
      </c>
      <c r="K55" s="207">
        <v>0.30416666666666664</v>
      </c>
      <c r="L55" s="206">
        <v>42327</v>
      </c>
      <c r="M55" s="205" t="s">
        <v>853</v>
      </c>
      <c r="N55" s="205" t="s">
        <v>272</v>
      </c>
      <c r="O55" s="205" t="s">
        <v>273</v>
      </c>
      <c r="P55" s="205" t="s">
        <v>274</v>
      </c>
      <c r="Q55" s="205" t="s">
        <v>275</v>
      </c>
      <c r="R55" s="205" t="s">
        <v>276</v>
      </c>
      <c r="S55" s="205" t="s">
        <v>436</v>
      </c>
      <c r="T55" s="205" t="s">
        <v>435</v>
      </c>
      <c r="U55" s="205">
        <v>2086</v>
      </c>
      <c r="V55" s="205" t="s">
        <v>435</v>
      </c>
      <c r="W55" s="205" t="s">
        <v>280</v>
      </c>
      <c r="X55" s="205">
        <v>6.1449999999999996</v>
      </c>
      <c r="Y55" s="208">
        <v>-0.18</v>
      </c>
      <c r="Z55" s="208">
        <v>2.1</v>
      </c>
      <c r="AA55" s="208">
        <v>12.9</v>
      </c>
      <c r="AB55" s="208">
        <v>-1.1200000000000001</v>
      </c>
      <c r="AC55" s="208">
        <v>0</v>
      </c>
      <c r="AD55" s="208">
        <v>0</v>
      </c>
      <c r="AE55" s="208">
        <v>11.6</v>
      </c>
      <c r="AF55" s="208">
        <v>-1.47</v>
      </c>
      <c r="AG55" s="205" t="s">
        <v>279</v>
      </c>
      <c r="AH55" s="208">
        <v>0</v>
      </c>
      <c r="AI55" s="208">
        <v>12.9</v>
      </c>
      <c r="AJ55" s="208">
        <v>0</v>
      </c>
      <c r="AK55" s="205" t="str">
        <f t="shared" si="0"/>
        <v>1.00000000</v>
      </c>
      <c r="AL55" s="205">
        <v>30.8</v>
      </c>
    </row>
    <row r="56" spans="1:38" s="205" customFormat="1" x14ac:dyDescent="0.2">
      <c r="A56" s="205" t="str">
        <f>"0496002595700"</f>
        <v>0496002595700</v>
      </c>
      <c r="B56" s="205">
        <v>3</v>
      </c>
      <c r="C56" s="205" t="s">
        <v>156</v>
      </c>
      <c r="D56" s="205">
        <v>41</v>
      </c>
      <c r="E56" s="205">
        <v>41</v>
      </c>
      <c r="F56" s="205" t="s">
        <v>243</v>
      </c>
      <c r="G56" s="205">
        <v>2262</v>
      </c>
      <c r="H56" s="205" t="s">
        <v>270</v>
      </c>
      <c r="I56" s="205">
        <v>74960</v>
      </c>
      <c r="J56" s="206">
        <v>42326</v>
      </c>
      <c r="K56" s="207">
        <v>0.87152777777777779</v>
      </c>
      <c r="L56" s="206">
        <v>42328</v>
      </c>
      <c r="M56" s="205" t="s">
        <v>853</v>
      </c>
      <c r="N56" s="205" t="s">
        <v>272</v>
      </c>
      <c r="O56" s="205" t="s">
        <v>273</v>
      </c>
      <c r="P56" s="205" t="s">
        <v>274</v>
      </c>
      <c r="Q56" s="205" t="s">
        <v>275</v>
      </c>
      <c r="R56" s="205" t="s">
        <v>276</v>
      </c>
      <c r="S56" s="205" t="s">
        <v>156</v>
      </c>
      <c r="T56" s="205" t="s">
        <v>277</v>
      </c>
      <c r="U56" s="205">
        <v>2262</v>
      </c>
      <c r="V56" s="205" t="s">
        <v>156</v>
      </c>
      <c r="W56" s="205" t="s">
        <v>280</v>
      </c>
      <c r="X56" s="205">
        <v>12.157999999999999</v>
      </c>
      <c r="Y56" s="208">
        <v>-0.36</v>
      </c>
      <c r="Z56" s="208">
        <v>2.1</v>
      </c>
      <c r="AA56" s="208">
        <v>25.52</v>
      </c>
      <c r="AB56" s="208">
        <v>-2.2200000000000002</v>
      </c>
      <c r="AC56" s="208">
        <v>0</v>
      </c>
      <c r="AD56" s="208">
        <v>0</v>
      </c>
      <c r="AE56" s="208">
        <v>22.94</v>
      </c>
      <c r="AF56" s="208">
        <v>-2.92</v>
      </c>
      <c r="AG56" s="205" t="s">
        <v>279</v>
      </c>
      <c r="AH56" s="208">
        <v>0</v>
      </c>
      <c r="AI56" s="208">
        <v>25.52</v>
      </c>
      <c r="AJ56" s="208">
        <v>0</v>
      </c>
      <c r="AK56" s="205" t="str">
        <f t="shared" si="0"/>
        <v>1.00000000</v>
      </c>
      <c r="AL56" s="205">
        <v>20.5</v>
      </c>
    </row>
    <row r="57" spans="1:38" s="205" customFormat="1" x14ac:dyDescent="0.2">
      <c r="A57" s="205" t="str">
        <f>"0496002595718"</f>
        <v>0496002595718</v>
      </c>
      <c r="B57" s="205">
        <v>5</v>
      </c>
      <c r="C57" s="205" t="s">
        <v>859</v>
      </c>
      <c r="D57" s="205">
        <v>45</v>
      </c>
      <c r="E57" s="205">
        <v>45</v>
      </c>
      <c r="F57" s="205" t="s">
        <v>243</v>
      </c>
      <c r="G57" s="205">
        <v>2972</v>
      </c>
      <c r="H57" s="205" t="s">
        <v>270</v>
      </c>
      <c r="I57" s="205">
        <v>7287</v>
      </c>
      <c r="J57" s="206">
        <v>42326</v>
      </c>
      <c r="K57" s="207">
        <v>0.77638888888888891</v>
      </c>
      <c r="L57" s="206">
        <v>42328</v>
      </c>
      <c r="M57" s="205" t="s">
        <v>853</v>
      </c>
      <c r="N57" s="205" t="s">
        <v>272</v>
      </c>
      <c r="O57" s="205" t="s">
        <v>273</v>
      </c>
      <c r="P57" s="205" t="s">
        <v>274</v>
      </c>
      <c r="Q57" s="205" t="s">
        <v>275</v>
      </c>
      <c r="R57" s="205" t="s">
        <v>276</v>
      </c>
      <c r="S57" s="205" t="s">
        <v>436</v>
      </c>
      <c r="T57" s="205" t="s">
        <v>859</v>
      </c>
      <c r="U57" s="205">
        <v>2972</v>
      </c>
      <c r="V57" s="205" t="s">
        <v>859</v>
      </c>
      <c r="W57" s="205" t="s">
        <v>280</v>
      </c>
      <c r="X57" s="205">
        <v>14.901999999999999</v>
      </c>
      <c r="Y57" s="208">
        <v>-0.45</v>
      </c>
      <c r="Z57" s="208">
        <v>2.1</v>
      </c>
      <c r="AA57" s="208">
        <v>31.28</v>
      </c>
      <c r="AB57" s="208">
        <v>-2.73</v>
      </c>
      <c r="AC57" s="208">
        <v>0</v>
      </c>
      <c r="AD57" s="208">
        <v>0</v>
      </c>
      <c r="AE57" s="208">
        <v>28.1</v>
      </c>
      <c r="AF57" s="208">
        <v>-3.58</v>
      </c>
      <c r="AG57" s="205" t="s">
        <v>279</v>
      </c>
      <c r="AH57" s="208">
        <v>0</v>
      </c>
      <c r="AI57" s="208">
        <v>31.28</v>
      </c>
      <c r="AJ57" s="208">
        <v>0</v>
      </c>
      <c r="AK57" s="205" t="str">
        <f t="shared" si="0"/>
        <v>1.00000000</v>
      </c>
      <c r="AL57" s="205">
        <v>21.5</v>
      </c>
    </row>
    <row r="58" spans="1:38" s="205" customFormat="1" x14ac:dyDescent="0.2">
      <c r="A58" s="205" t="str">
        <f>"0496002595809"</f>
        <v>0496002595809</v>
      </c>
      <c r="B58" s="205">
        <v>2</v>
      </c>
      <c r="C58" s="205" t="s">
        <v>570</v>
      </c>
      <c r="D58" s="205">
        <v>2014</v>
      </c>
      <c r="E58" s="205">
        <v>2014</v>
      </c>
      <c r="F58" s="205" t="s">
        <v>243</v>
      </c>
      <c r="G58" s="205">
        <v>2233</v>
      </c>
      <c r="H58" s="205" t="s">
        <v>270</v>
      </c>
      <c r="I58" s="205">
        <v>6224</v>
      </c>
      <c r="J58" s="206">
        <v>42326</v>
      </c>
      <c r="K58" s="207">
        <v>0.4152777777777778</v>
      </c>
      <c r="L58" s="206">
        <v>42328</v>
      </c>
      <c r="M58" s="205" t="s">
        <v>853</v>
      </c>
      <c r="N58" s="205" t="s">
        <v>272</v>
      </c>
      <c r="O58" s="205" t="s">
        <v>273</v>
      </c>
      <c r="P58" s="205" t="s">
        <v>274</v>
      </c>
      <c r="Q58" s="205" t="s">
        <v>275</v>
      </c>
      <c r="R58" s="205" t="s">
        <v>276</v>
      </c>
      <c r="S58" s="205" t="s">
        <v>436</v>
      </c>
      <c r="T58" s="205" t="s">
        <v>570</v>
      </c>
      <c r="U58" s="205">
        <v>2233</v>
      </c>
      <c r="V58" s="205" t="s">
        <v>570</v>
      </c>
      <c r="W58" s="205" t="s">
        <v>280</v>
      </c>
      <c r="X58" s="205">
        <v>16.606999999999999</v>
      </c>
      <c r="Y58" s="208">
        <v>-0.5</v>
      </c>
      <c r="Z58" s="208">
        <v>2.1</v>
      </c>
      <c r="AA58" s="208">
        <v>34.86</v>
      </c>
      <c r="AB58" s="208">
        <v>-3.04</v>
      </c>
      <c r="AC58" s="208">
        <v>0</v>
      </c>
      <c r="AD58" s="208">
        <v>0</v>
      </c>
      <c r="AE58" s="208">
        <v>31.32</v>
      </c>
      <c r="AF58" s="208">
        <v>-3.99</v>
      </c>
      <c r="AG58" s="205" t="s">
        <v>279</v>
      </c>
      <c r="AH58" s="208">
        <v>0</v>
      </c>
      <c r="AI58" s="208">
        <v>34.86</v>
      </c>
      <c r="AJ58" s="208">
        <v>0</v>
      </c>
      <c r="AK58" s="205" t="str">
        <f t="shared" si="0"/>
        <v>1.00000000</v>
      </c>
      <c r="AL58" s="205">
        <v>12.7</v>
      </c>
    </row>
    <row r="59" spans="1:38" s="205" customFormat="1" x14ac:dyDescent="0.2">
      <c r="A59" s="205" t="str">
        <f>"0496002595700"</f>
        <v>0496002595700</v>
      </c>
      <c r="B59" s="205">
        <v>2</v>
      </c>
      <c r="C59" s="205" t="s">
        <v>156</v>
      </c>
      <c r="D59" s="205">
        <v>42</v>
      </c>
      <c r="E59" s="205">
        <v>42</v>
      </c>
      <c r="F59" s="205" t="s">
        <v>243</v>
      </c>
      <c r="G59" s="205">
        <v>2262</v>
      </c>
      <c r="H59" s="205" t="s">
        <v>270</v>
      </c>
      <c r="I59" s="205">
        <v>6510</v>
      </c>
      <c r="J59" s="206">
        <v>42327</v>
      </c>
      <c r="K59" s="207">
        <v>0.35972222222222222</v>
      </c>
      <c r="L59" s="206">
        <v>42331</v>
      </c>
      <c r="M59" s="205" t="s">
        <v>853</v>
      </c>
      <c r="N59" s="205" t="s">
        <v>272</v>
      </c>
      <c r="O59" s="205" t="s">
        <v>273</v>
      </c>
      <c r="P59" s="205" t="s">
        <v>274</v>
      </c>
      <c r="Q59" s="205" t="s">
        <v>275</v>
      </c>
      <c r="R59" s="205" t="s">
        <v>276</v>
      </c>
      <c r="S59" s="205" t="s">
        <v>156</v>
      </c>
      <c r="T59" s="205" t="s">
        <v>277</v>
      </c>
      <c r="U59" s="205">
        <v>2262</v>
      </c>
      <c r="V59" s="205" t="s">
        <v>156</v>
      </c>
      <c r="W59" s="205" t="s">
        <v>280</v>
      </c>
      <c r="X59" s="205">
        <v>3.754</v>
      </c>
      <c r="Y59" s="208">
        <v>-0.11</v>
      </c>
      <c r="Z59" s="208">
        <v>2.1</v>
      </c>
      <c r="AA59" s="208">
        <v>7.88</v>
      </c>
      <c r="AB59" s="208">
        <v>-0.69</v>
      </c>
      <c r="AC59" s="208">
        <v>0</v>
      </c>
      <c r="AD59" s="208">
        <v>0</v>
      </c>
      <c r="AE59" s="208">
        <v>7.08</v>
      </c>
      <c r="AF59" s="208">
        <v>-0.9</v>
      </c>
      <c r="AG59" s="205" t="s">
        <v>279</v>
      </c>
      <c r="AH59" s="208">
        <v>0</v>
      </c>
      <c r="AI59" s="208">
        <v>7.88</v>
      </c>
      <c r="AJ59" s="208">
        <v>0</v>
      </c>
      <c r="AK59" s="205" t="str">
        <f t="shared" si="0"/>
        <v>1.00000000</v>
      </c>
      <c r="AL59" s="205">
        <v>48.2</v>
      </c>
    </row>
    <row r="60" spans="1:38" s="205" customFormat="1" x14ac:dyDescent="0.2">
      <c r="A60" s="205" t="str">
        <f>"0496002595718"</f>
        <v>0496002595718</v>
      </c>
      <c r="B60" s="205">
        <v>6</v>
      </c>
      <c r="C60" s="205" t="s">
        <v>859</v>
      </c>
      <c r="D60" s="205">
        <v>44</v>
      </c>
      <c r="E60" s="205">
        <v>44</v>
      </c>
      <c r="F60" s="205" t="s">
        <v>243</v>
      </c>
      <c r="G60" s="205">
        <v>2972</v>
      </c>
      <c r="H60" s="205" t="s">
        <v>270</v>
      </c>
      <c r="I60" s="205">
        <v>1187</v>
      </c>
      <c r="J60" s="206">
        <v>42327</v>
      </c>
      <c r="K60" s="207">
        <v>0.8305555555555556</v>
      </c>
      <c r="L60" s="206">
        <v>42331</v>
      </c>
      <c r="M60" s="205" t="s">
        <v>853</v>
      </c>
      <c r="N60" s="205" t="s">
        <v>272</v>
      </c>
      <c r="O60" s="205" t="s">
        <v>273</v>
      </c>
      <c r="P60" s="205" t="s">
        <v>274</v>
      </c>
      <c r="Q60" s="205" t="s">
        <v>275</v>
      </c>
      <c r="R60" s="205" t="s">
        <v>276</v>
      </c>
      <c r="S60" s="205" t="s">
        <v>436</v>
      </c>
      <c r="T60" s="205" t="s">
        <v>859</v>
      </c>
      <c r="U60" s="205">
        <v>2972</v>
      </c>
      <c r="V60" s="205" t="s">
        <v>859</v>
      </c>
      <c r="W60" s="205" t="s">
        <v>280</v>
      </c>
      <c r="X60" s="205">
        <v>6.4880000000000004</v>
      </c>
      <c r="Y60" s="208">
        <v>-0.19</v>
      </c>
      <c r="Z60" s="208">
        <v>2.1</v>
      </c>
      <c r="AA60" s="208">
        <v>13.62</v>
      </c>
      <c r="AB60" s="208">
        <v>-1.19</v>
      </c>
      <c r="AC60" s="208">
        <v>0</v>
      </c>
      <c r="AD60" s="208">
        <v>0</v>
      </c>
      <c r="AE60" s="208">
        <v>12.24</v>
      </c>
      <c r="AF60" s="208">
        <v>-1.56</v>
      </c>
      <c r="AG60" s="205" t="s">
        <v>279</v>
      </c>
      <c r="AH60" s="208">
        <v>0</v>
      </c>
      <c r="AI60" s="208">
        <v>13.62</v>
      </c>
      <c r="AJ60" s="208">
        <v>0</v>
      </c>
      <c r="AK60" s="205" t="str">
        <f t="shared" si="0"/>
        <v>1.00000000</v>
      </c>
      <c r="AL60" s="205">
        <v>0</v>
      </c>
    </row>
    <row r="61" spans="1:38" s="205" customFormat="1" x14ac:dyDescent="0.2">
      <c r="A61" s="205" t="str">
        <f>"0496002595734"</f>
        <v>0496002595734</v>
      </c>
      <c r="B61" s="205">
        <v>1</v>
      </c>
      <c r="C61" s="205" t="s">
        <v>435</v>
      </c>
      <c r="D61" s="205">
        <v>81</v>
      </c>
      <c r="E61" s="205">
        <v>81</v>
      </c>
      <c r="F61" s="205" t="s">
        <v>243</v>
      </c>
      <c r="G61" s="205">
        <v>2086</v>
      </c>
      <c r="H61" s="205" t="s">
        <v>270</v>
      </c>
      <c r="I61" s="205">
        <v>38136</v>
      </c>
      <c r="J61" s="206">
        <v>42327</v>
      </c>
      <c r="K61" s="207">
        <v>0.80555555555555547</v>
      </c>
      <c r="L61" s="206">
        <v>42331</v>
      </c>
      <c r="M61" s="205" t="s">
        <v>606</v>
      </c>
      <c r="N61" s="205" t="s">
        <v>399</v>
      </c>
      <c r="O61" s="205" t="s">
        <v>400</v>
      </c>
      <c r="P61" s="205" t="s">
        <v>274</v>
      </c>
      <c r="Q61" s="205" t="s">
        <v>275</v>
      </c>
      <c r="R61" s="205" t="s">
        <v>401</v>
      </c>
      <c r="S61" s="205" t="s">
        <v>436</v>
      </c>
      <c r="T61" s="205" t="s">
        <v>435</v>
      </c>
      <c r="U61" s="205">
        <v>2086</v>
      </c>
      <c r="V61" s="205" t="s">
        <v>435</v>
      </c>
      <c r="W61" s="205" t="s">
        <v>280</v>
      </c>
      <c r="X61" s="205">
        <v>10.253</v>
      </c>
      <c r="Y61" s="208">
        <v>0</v>
      </c>
      <c r="Z61" s="208">
        <v>2.1</v>
      </c>
      <c r="AA61" s="208">
        <v>21.52</v>
      </c>
      <c r="AB61" s="208">
        <v>-1.88</v>
      </c>
      <c r="AC61" s="208">
        <v>0</v>
      </c>
      <c r="AD61" s="208">
        <v>0</v>
      </c>
      <c r="AE61" s="208">
        <v>19.64</v>
      </c>
      <c r="AF61" s="208">
        <v>-2.46</v>
      </c>
      <c r="AG61" s="205" t="s">
        <v>279</v>
      </c>
      <c r="AH61" s="208">
        <v>0</v>
      </c>
      <c r="AI61" s="208">
        <v>21.52</v>
      </c>
      <c r="AJ61" s="208">
        <v>0</v>
      </c>
      <c r="AK61" s="205" t="str">
        <f t="shared" si="0"/>
        <v>1.00000000</v>
      </c>
      <c r="AL61" s="205">
        <v>13.4</v>
      </c>
    </row>
    <row r="62" spans="1:38" s="205" customFormat="1" x14ac:dyDescent="0.2">
      <c r="A62" s="205" t="str">
        <f>"0496002595809"</f>
        <v>0496002595809</v>
      </c>
      <c r="B62" s="205">
        <v>1</v>
      </c>
      <c r="C62" s="205" t="s">
        <v>570</v>
      </c>
      <c r="D62" s="205">
        <v>2003</v>
      </c>
      <c r="E62" s="205">
        <v>2003</v>
      </c>
      <c r="F62" s="205" t="s">
        <v>243</v>
      </c>
      <c r="G62" s="205">
        <v>2233</v>
      </c>
      <c r="H62" s="205" t="s">
        <v>270</v>
      </c>
      <c r="I62" s="205">
        <v>58601</v>
      </c>
      <c r="J62" s="206">
        <v>42327</v>
      </c>
      <c r="K62" s="207">
        <v>0.35486111111111113</v>
      </c>
      <c r="L62" s="206">
        <v>42331</v>
      </c>
      <c r="M62" s="205" t="s">
        <v>853</v>
      </c>
      <c r="N62" s="205" t="s">
        <v>272</v>
      </c>
      <c r="O62" s="205" t="s">
        <v>273</v>
      </c>
      <c r="P62" s="205" t="s">
        <v>274</v>
      </c>
      <c r="Q62" s="205" t="s">
        <v>275</v>
      </c>
      <c r="R62" s="205" t="s">
        <v>276</v>
      </c>
      <c r="S62" s="205" t="s">
        <v>436</v>
      </c>
      <c r="T62" s="205" t="s">
        <v>570</v>
      </c>
      <c r="U62" s="205">
        <v>2233</v>
      </c>
      <c r="V62" s="205" t="s">
        <v>570</v>
      </c>
      <c r="W62" s="205" t="s">
        <v>280</v>
      </c>
      <c r="X62" s="205">
        <v>5.0999999999999996</v>
      </c>
      <c r="Y62" s="208">
        <v>-0.15</v>
      </c>
      <c r="Z62" s="208">
        <v>2.1</v>
      </c>
      <c r="AA62" s="208">
        <v>10.7</v>
      </c>
      <c r="AB62" s="208">
        <v>-0.93</v>
      </c>
      <c r="AC62" s="208">
        <v>0</v>
      </c>
      <c r="AD62" s="208">
        <v>0</v>
      </c>
      <c r="AE62" s="208">
        <v>9.6199999999999992</v>
      </c>
      <c r="AF62" s="208">
        <v>-1.22</v>
      </c>
      <c r="AG62" s="205" t="s">
        <v>279</v>
      </c>
      <c r="AH62" s="208">
        <v>0</v>
      </c>
      <c r="AI62" s="208">
        <v>10.7</v>
      </c>
      <c r="AJ62" s="208">
        <v>0</v>
      </c>
      <c r="AK62" s="205" t="str">
        <f t="shared" si="0"/>
        <v>1.00000000</v>
      </c>
      <c r="AL62" s="205">
        <v>11490.4</v>
      </c>
    </row>
    <row r="63" spans="1:38" s="205" customFormat="1" x14ac:dyDescent="0.2">
      <c r="A63" s="205" t="str">
        <f>"0496002599173"</f>
        <v>0496002599173</v>
      </c>
      <c r="B63" s="205">
        <v>2</v>
      </c>
      <c r="C63" s="205" t="s">
        <v>585</v>
      </c>
      <c r="D63" s="205" t="s">
        <v>594</v>
      </c>
      <c r="E63" s="205" t="s">
        <v>594</v>
      </c>
      <c r="F63" s="205" t="s">
        <v>243</v>
      </c>
      <c r="G63" s="205">
        <v>5647</v>
      </c>
      <c r="H63" s="205" t="s">
        <v>270</v>
      </c>
      <c r="I63" s="205">
        <v>103796</v>
      </c>
      <c r="J63" s="206">
        <v>42327</v>
      </c>
      <c r="K63" s="207">
        <v>0.62569444444444444</v>
      </c>
      <c r="L63" s="206">
        <v>42331</v>
      </c>
      <c r="M63" s="205" t="s">
        <v>853</v>
      </c>
      <c r="N63" s="205" t="s">
        <v>454</v>
      </c>
      <c r="O63" s="205" t="s">
        <v>455</v>
      </c>
      <c r="P63" s="205" t="s">
        <v>456</v>
      </c>
      <c r="Q63" s="205" t="s">
        <v>275</v>
      </c>
      <c r="R63" s="205" t="s">
        <v>706</v>
      </c>
      <c r="S63" s="205" t="s">
        <v>436</v>
      </c>
      <c r="T63" s="205" t="s">
        <v>595</v>
      </c>
      <c r="U63" s="205">
        <v>5647</v>
      </c>
      <c r="V63" s="205" t="s">
        <v>585</v>
      </c>
      <c r="W63" s="205" t="s">
        <v>280</v>
      </c>
      <c r="X63" s="205">
        <v>23.140999999999998</v>
      </c>
      <c r="Y63" s="208">
        <v>-0.69</v>
      </c>
      <c r="Z63" s="208">
        <v>2.14</v>
      </c>
      <c r="AA63" s="208">
        <v>49.5</v>
      </c>
      <c r="AB63" s="208">
        <v>-4.2300000000000004</v>
      </c>
      <c r="AC63" s="208">
        <v>0</v>
      </c>
      <c r="AD63" s="208">
        <v>0</v>
      </c>
      <c r="AE63" s="208">
        <v>44.58</v>
      </c>
      <c r="AF63" s="208">
        <v>-5.55</v>
      </c>
      <c r="AG63" s="205" t="s">
        <v>279</v>
      </c>
      <c r="AH63" s="208">
        <v>0</v>
      </c>
      <c r="AI63" s="208">
        <v>49.5</v>
      </c>
      <c r="AJ63" s="208">
        <v>0</v>
      </c>
      <c r="AK63" s="205" t="str">
        <f t="shared" si="0"/>
        <v>1.00000000</v>
      </c>
      <c r="AL63" s="205">
        <v>13.7</v>
      </c>
    </row>
    <row r="64" spans="1:38" s="205" customFormat="1" x14ac:dyDescent="0.2">
      <c r="A64" s="205" t="str">
        <f>"0496002599173"</f>
        <v>0496002599173</v>
      </c>
      <c r="B64" s="205">
        <v>3</v>
      </c>
      <c r="C64" s="205" t="s">
        <v>585</v>
      </c>
      <c r="D64" s="205" t="s">
        <v>628</v>
      </c>
      <c r="E64" s="205" t="s">
        <v>628</v>
      </c>
      <c r="F64" s="205" t="s">
        <v>243</v>
      </c>
      <c r="G64" s="205">
        <v>5738</v>
      </c>
      <c r="H64" s="205" t="s">
        <v>270</v>
      </c>
      <c r="I64" s="205">
        <v>102653</v>
      </c>
      <c r="J64" s="206">
        <v>42327</v>
      </c>
      <c r="K64" s="207">
        <v>0.61597222222222225</v>
      </c>
      <c r="L64" s="206">
        <v>42331</v>
      </c>
      <c r="M64" s="205" t="s">
        <v>853</v>
      </c>
      <c r="N64" s="205" t="s">
        <v>588</v>
      </c>
      <c r="O64" s="205" t="s">
        <v>589</v>
      </c>
      <c r="P64" s="205" t="s">
        <v>590</v>
      </c>
      <c r="Q64" s="205" t="s">
        <v>275</v>
      </c>
      <c r="R64" s="205" t="s">
        <v>611</v>
      </c>
      <c r="S64" s="205" t="s">
        <v>436</v>
      </c>
      <c r="T64" s="205" t="s">
        <v>630</v>
      </c>
      <c r="U64" s="205">
        <v>5738</v>
      </c>
      <c r="V64" s="205" t="s">
        <v>585</v>
      </c>
      <c r="W64" s="205" t="s">
        <v>280</v>
      </c>
      <c r="X64" s="205">
        <v>23.376000000000001</v>
      </c>
      <c r="Y64" s="208">
        <v>-1.17</v>
      </c>
      <c r="Z64" s="208">
        <v>2.08</v>
      </c>
      <c r="AA64" s="208">
        <v>48.6</v>
      </c>
      <c r="AB64" s="208">
        <v>-4.28</v>
      </c>
      <c r="AC64" s="208">
        <v>0</v>
      </c>
      <c r="AD64" s="208">
        <v>0</v>
      </c>
      <c r="AE64" s="208">
        <v>43.15</v>
      </c>
      <c r="AF64" s="208">
        <v>-5.61</v>
      </c>
      <c r="AG64" s="205" t="s">
        <v>279</v>
      </c>
      <c r="AH64" s="208">
        <v>0</v>
      </c>
      <c r="AI64" s="208">
        <v>48.6</v>
      </c>
      <c r="AJ64" s="208">
        <v>0</v>
      </c>
      <c r="AK64" s="205" t="str">
        <f t="shared" si="0"/>
        <v>1.00000000</v>
      </c>
      <c r="AL64" s="205">
        <v>13.8</v>
      </c>
    </row>
    <row r="65" spans="1:38" s="205" customFormat="1" x14ac:dyDescent="0.2">
      <c r="A65" s="205" t="str">
        <f>"0496002595734"</f>
        <v>0496002595734</v>
      </c>
      <c r="B65" s="205">
        <v>1</v>
      </c>
      <c r="C65" s="205" t="s">
        <v>435</v>
      </c>
      <c r="D65" s="205">
        <v>81</v>
      </c>
      <c r="E65" s="205">
        <v>81</v>
      </c>
      <c r="F65" s="205" t="s">
        <v>243</v>
      </c>
      <c r="G65" s="205">
        <v>2086</v>
      </c>
      <c r="H65" s="205" t="s">
        <v>270</v>
      </c>
      <c r="I65" s="205">
        <v>38316</v>
      </c>
      <c r="J65" s="206">
        <v>42328</v>
      </c>
      <c r="K65" s="207">
        <v>0.30694444444444441</v>
      </c>
      <c r="L65" s="206">
        <v>42332</v>
      </c>
      <c r="M65" s="205" t="s">
        <v>853</v>
      </c>
      <c r="N65" s="205" t="s">
        <v>272</v>
      </c>
      <c r="O65" s="205" t="s">
        <v>273</v>
      </c>
      <c r="P65" s="205" t="s">
        <v>274</v>
      </c>
      <c r="Q65" s="205" t="s">
        <v>275</v>
      </c>
      <c r="R65" s="205" t="s">
        <v>276</v>
      </c>
      <c r="S65" s="205" t="s">
        <v>436</v>
      </c>
      <c r="T65" s="205" t="s">
        <v>435</v>
      </c>
      <c r="U65" s="205">
        <v>2086</v>
      </c>
      <c r="V65" s="205" t="s">
        <v>435</v>
      </c>
      <c r="W65" s="205" t="s">
        <v>278</v>
      </c>
      <c r="X65" s="205">
        <v>9.0429999999999993</v>
      </c>
      <c r="Y65" s="208">
        <v>-0.27</v>
      </c>
      <c r="Z65" s="208">
        <v>2.52</v>
      </c>
      <c r="AA65" s="208">
        <v>22.78</v>
      </c>
      <c r="AB65" s="208">
        <v>-1.65</v>
      </c>
      <c r="AC65" s="208">
        <v>0</v>
      </c>
      <c r="AD65" s="208">
        <v>0</v>
      </c>
      <c r="AE65" s="208">
        <v>20.86</v>
      </c>
      <c r="AF65" s="208">
        <v>-2.17</v>
      </c>
      <c r="AG65" s="205" t="s">
        <v>279</v>
      </c>
      <c r="AH65" s="208">
        <v>0</v>
      </c>
      <c r="AI65" s="208">
        <v>22.78</v>
      </c>
      <c r="AJ65" s="208">
        <v>0</v>
      </c>
      <c r="AK65" s="205" t="str">
        <f t="shared" si="0"/>
        <v>1.00000000</v>
      </c>
      <c r="AL65" s="205">
        <v>19.899999999999999</v>
      </c>
    </row>
    <row r="66" spans="1:38" s="205" customFormat="1" x14ac:dyDescent="0.2">
      <c r="A66" s="205" t="str">
        <f>"0496002595734"</f>
        <v>0496002595734</v>
      </c>
      <c r="B66" s="205">
        <v>2</v>
      </c>
      <c r="C66" s="205" t="s">
        <v>435</v>
      </c>
      <c r="D66" s="205">
        <v>80</v>
      </c>
      <c r="E66" s="205">
        <v>80</v>
      </c>
      <c r="F66" s="205" t="s">
        <v>243</v>
      </c>
      <c r="G66" s="205">
        <v>2086</v>
      </c>
      <c r="H66" s="205" t="s">
        <v>270</v>
      </c>
      <c r="I66" s="205">
        <v>36454</v>
      </c>
      <c r="J66" s="206">
        <v>42329</v>
      </c>
      <c r="K66" s="207">
        <v>0.24097222222222223</v>
      </c>
      <c r="L66" s="206">
        <v>42332</v>
      </c>
      <c r="M66" s="205" t="s">
        <v>294</v>
      </c>
      <c r="N66" s="205" t="s">
        <v>299</v>
      </c>
      <c r="O66" s="205" t="s">
        <v>866</v>
      </c>
      <c r="P66" s="205" t="s">
        <v>343</v>
      </c>
      <c r="Q66" s="205" t="s">
        <v>275</v>
      </c>
      <c r="R66" s="205" t="s">
        <v>387</v>
      </c>
      <c r="S66" s="205" t="s">
        <v>436</v>
      </c>
      <c r="T66" s="205" t="s">
        <v>435</v>
      </c>
      <c r="U66" s="205">
        <v>2086</v>
      </c>
      <c r="V66" s="205" t="s">
        <v>435</v>
      </c>
      <c r="W66" s="205" t="s">
        <v>330</v>
      </c>
      <c r="X66" s="205">
        <v>9.36</v>
      </c>
      <c r="Y66" s="208">
        <v>0</v>
      </c>
      <c r="Z66" s="208">
        <v>2.08</v>
      </c>
      <c r="AA66" s="208">
        <v>19.46</v>
      </c>
      <c r="AB66" s="208">
        <v>-1.71</v>
      </c>
      <c r="AC66" s="208">
        <v>0</v>
      </c>
      <c r="AD66" s="208">
        <v>0</v>
      </c>
      <c r="AE66" s="208">
        <v>17.75</v>
      </c>
      <c r="AF66" s="208">
        <v>-2.25</v>
      </c>
      <c r="AG66" s="205" t="s">
        <v>279</v>
      </c>
      <c r="AH66" s="208">
        <v>0</v>
      </c>
      <c r="AI66" s="208">
        <v>19.46</v>
      </c>
      <c r="AJ66" s="208">
        <v>0</v>
      </c>
      <c r="AK66" s="205" t="str">
        <f t="shared" ref="AK66:AK129" si="2">"1.00000000"</f>
        <v>1.00000000</v>
      </c>
      <c r="AL66" s="205">
        <v>32.4</v>
      </c>
    </row>
    <row r="67" spans="1:38" s="205" customFormat="1" x14ac:dyDescent="0.2">
      <c r="A67" s="205" t="str">
        <f>"0496002595734"</f>
        <v>0496002595734</v>
      </c>
      <c r="B67" s="205">
        <v>3</v>
      </c>
      <c r="C67" s="205" t="s">
        <v>435</v>
      </c>
      <c r="D67" s="205">
        <v>82</v>
      </c>
      <c r="E67" s="205">
        <v>82</v>
      </c>
      <c r="F67" s="205" t="s">
        <v>243</v>
      </c>
      <c r="G67" s="205">
        <v>2086</v>
      </c>
      <c r="H67" s="205" t="s">
        <v>270</v>
      </c>
      <c r="I67" s="205">
        <v>30606</v>
      </c>
      <c r="J67" s="206">
        <v>42329</v>
      </c>
      <c r="K67" s="207">
        <v>0.45624999999999999</v>
      </c>
      <c r="L67" s="206">
        <v>42332</v>
      </c>
      <c r="M67" s="205" t="s">
        <v>853</v>
      </c>
      <c r="N67" s="205" t="s">
        <v>272</v>
      </c>
      <c r="O67" s="205" t="s">
        <v>273</v>
      </c>
      <c r="P67" s="205" t="s">
        <v>274</v>
      </c>
      <c r="Q67" s="205" t="s">
        <v>275</v>
      </c>
      <c r="R67" s="205" t="s">
        <v>276</v>
      </c>
      <c r="S67" s="205" t="s">
        <v>436</v>
      </c>
      <c r="T67" s="205" t="s">
        <v>435</v>
      </c>
      <c r="U67" s="205">
        <v>2086</v>
      </c>
      <c r="V67" s="205" t="s">
        <v>435</v>
      </c>
      <c r="W67" s="205" t="s">
        <v>280</v>
      </c>
      <c r="X67" s="205">
        <v>6.391</v>
      </c>
      <c r="Y67" s="208">
        <v>-0.19</v>
      </c>
      <c r="Z67" s="208">
        <v>2.1</v>
      </c>
      <c r="AA67" s="208">
        <v>13.41</v>
      </c>
      <c r="AB67" s="208">
        <v>-1.17</v>
      </c>
      <c r="AC67" s="208">
        <v>0</v>
      </c>
      <c r="AD67" s="208">
        <v>0</v>
      </c>
      <c r="AE67" s="208">
        <v>12.05</v>
      </c>
      <c r="AF67" s="208">
        <v>-1.53</v>
      </c>
      <c r="AG67" s="205" t="s">
        <v>279</v>
      </c>
      <c r="AH67" s="208">
        <v>0</v>
      </c>
      <c r="AI67" s="208">
        <v>13.41</v>
      </c>
      <c r="AJ67" s="208">
        <v>0</v>
      </c>
      <c r="AK67" s="205" t="str">
        <f t="shared" si="2"/>
        <v>1.00000000</v>
      </c>
      <c r="AL67" s="205">
        <v>21.4</v>
      </c>
    </row>
    <row r="68" spans="1:38" s="205" customFormat="1" x14ac:dyDescent="0.2">
      <c r="A68" s="205" t="str">
        <f>"0496002595700"</f>
        <v>0496002595700</v>
      </c>
      <c r="B68" s="205">
        <v>3</v>
      </c>
      <c r="C68" s="205" t="s">
        <v>156</v>
      </c>
      <c r="D68" s="205">
        <v>41</v>
      </c>
      <c r="E68" s="205">
        <v>41</v>
      </c>
      <c r="F68" s="205" t="s">
        <v>243</v>
      </c>
      <c r="G68" s="205">
        <v>2262</v>
      </c>
      <c r="H68" s="205" t="s">
        <v>270</v>
      </c>
      <c r="I68" s="205">
        <v>75549</v>
      </c>
      <c r="J68" s="206">
        <v>42330</v>
      </c>
      <c r="K68" s="207">
        <v>0.625</v>
      </c>
      <c r="L68" s="206">
        <v>42332</v>
      </c>
      <c r="M68" s="205" t="s">
        <v>853</v>
      </c>
      <c r="N68" s="205" t="s">
        <v>272</v>
      </c>
      <c r="O68" s="205" t="s">
        <v>273</v>
      </c>
      <c r="P68" s="205" t="s">
        <v>274</v>
      </c>
      <c r="Q68" s="205" t="s">
        <v>275</v>
      </c>
      <c r="R68" s="205" t="s">
        <v>276</v>
      </c>
      <c r="S68" s="205" t="s">
        <v>156</v>
      </c>
      <c r="T68" s="205" t="s">
        <v>277</v>
      </c>
      <c r="U68" s="205">
        <v>2262</v>
      </c>
      <c r="V68" s="205" t="s">
        <v>156</v>
      </c>
      <c r="W68" s="205" t="s">
        <v>280</v>
      </c>
      <c r="X68" s="205">
        <v>10.933</v>
      </c>
      <c r="Y68" s="208">
        <v>-0.33</v>
      </c>
      <c r="Z68" s="208">
        <v>2.1</v>
      </c>
      <c r="AA68" s="208">
        <v>22.95</v>
      </c>
      <c r="AB68" s="208">
        <v>-2</v>
      </c>
      <c r="AC68" s="208">
        <v>0</v>
      </c>
      <c r="AD68" s="208">
        <v>0</v>
      </c>
      <c r="AE68" s="208">
        <v>20.62</v>
      </c>
      <c r="AF68" s="208">
        <v>-2.62</v>
      </c>
      <c r="AG68" s="205" t="s">
        <v>279</v>
      </c>
      <c r="AH68" s="208">
        <v>0</v>
      </c>
      <c r="AI68" s="208">
        <v>22.95</v>
      </c>
      <c r="AJ68" s="208">
        <v>0</v>
      </c>
      <c r="AK68" s="205" t="str">
        <f t="shared" si="2"/>
        <v>1.00000000</v>
      </c>
      <c r="AL68" s="205">
        <v>53.9</v>
      </c>
    </row>
    <row r="69" spans="1:38" s="205" customFormat="1" x14ac:dyDescent="0.2">
      <c r="A69" s="205" t="str">
        <f>"0496002595734"</f>
        <v>0496002595734</v>
      </c>
      <c r="B69" s="205">
        <v>1</v>
      </c>
      <c r="C69" s="205" t="s">
        <v>435</v>
      </c>
      <c r="D69" s="205">
        <v>81</v>
      </c>
      <c r="E69" s="205">
        <v>81</v>
      </c>
      <c r="F69" s="205" t="s">
        <v>243</v>
      </c>
      <c r="G69" s="205">
        <v>2086</v>
      </c>
      <c r="H69" s="205" t="s">
        <v>270</v>
      </c>
      <c r="I69" s="205">
        <v>38536</v>
      </c>
      <c r="J69" s="206">
        <v>42330</v>
      </c>
      <c r="K69" s="207">
        <v>0.78888888888888886</v>
      </c>
      <c r="L69" s="206">
        <v>42332</v>
      </c>
      <c r="M69" s="205" t="s">
        <v>853</v>
      </c>
      <c r="N69" s="205" t="s">
        <v>272</v>
      </c>
      <c r="O69" s="205" t="s">
        <v>273</v>
      </c>
      <c r="P69" s="205" t="s">
        <v>274</v>
      </c>
      <c r="Q69" s="205" t="s">
        <v>275</v>
      </c>
      <c r="R69" s="205" t="s">
        <v>276</v>
      </c>
      <c r="S69" s="205" t="s">
        <v>436</v>
      </c>
      <c r="T69" s="205" t="s">
        <v>435</v>
      </c>
      <c r="U69" s="205">
        <v>2086</v>
      </c>
      <c r="V69" s="205" t="s">
        <v>435</v>
      </c>
      <c r="W69" s="205" t="s">
        <v>280</v>
      </c>
      <c r="X69" s="205">
        <v>10.933</v>
      </c>
      <c r="Y69" s="208">
        <v>-0.33</v>
      </c>
      <c r="Z69" s="208">
        <v>2.1</v>
      </c>
      <c r="AA69" s="208">
        <v>22.95</v>
      </c>
      <c r="AB69" s="208">
        <v>-2</v>
      </c>
      <c r="AC69" s="208">
        <v>0</v>
      </c>
      <c r="AD69" s="208">
        <v>0</v>
      </c>
      <c r="AE69" s="208">
        <v>20.62</v>
      </c>
      <c r="AF69" s="208">
        <v>-2.62</v>
      </c>
      <c r="AG69" s="205" t="s">
        <v>279</v>
      </c>
      <c r="AH69" s="208">
        <v>0</v>
      </c>
      <c r="AI69" s="208">
        <v>22.95</v>
      </c>
      <c r="AJ69" s="208">
        <v>0</v>
      </c>
      <c r="AK69" s="205" t="str">
        <f t="shared" si="2"/>
        <v>1.00000000</v>
      </c>
      <c r="AL69" s="205">
        <v>20.100000000000001</v>
      </c>
    </row>
    <row r="70" spans="1:38" s="205" customFormat="1" x14ac:dyDescent="0.2">
      <c r="A70" s="205" t="str">
        <f>"0496002595700"</f>
        <v>0496002595700</v>
      </c>
      <c r="B70" s="205">
        <v>6</v>
      </c>
      <c r="C70" s="205" t="s">
        <v>156</v>
      </c>
      <c r="D70" s="205" t="s">
        <v>344</v>
      </c>
      <c r="E70" s="205" t="s">
        <v>345</v>
      </c>
      <c r="F70" s="205" t="s">
        <v>243</v>
      </c>
      <c r="G70" s="205">
        <v>2262</v>
      </c>
      <c r="H70" s="205" t="s">
        <v>270</v>
      </c>
      <c r="I70" s="205">
        <v>43434</v>
      </c>
      <c r="J70" s="206">
        <v>42332</v>
      </c>
      <c r="K70" s="207">
        <v>0.5708333333333333</v>
      </c>
      <c r="L70" s="206">
        <v>42334</v>
      </c>
      <c r="M70" s="205" t="s">
        <v>853</v>
      </c>
      <c r="N70" s="205" t="s">
        <v>272</v>
      </c>
      <c r="O70" s="205" t="s">
        <v>273</v>
      </c>
      <c r="P70" s="205" t="s">
        <v>274</v>
      </c>
      <c r="Q70" s="205" t="s">
        <v>275</v>
      </c>
      <c r="R70" s="205" t="s">
        <v>276</v>
      </c>
      <c r="S70" s="205" t="s">
        <v>156</v>
      </c>
      <c r="T70" s="205" t="s">
        <v>277</v>
      </c>
      <c r="U70" s="205">
        <v>2262</v>
      </c>
      <c r="V70" s="205" t="s">
        <v>156</v>
      </c>
      <c r="W70" s="205" t="s">
        <v>335</v>
      </c>
      <c r="X70" s="205">
        <v>11.831</v>
      </c>
      <c r="Y70" s="208">
        <v>-0.35</v>
      </c>
      <c r="Z70" s="208">
        <v>2.2999999999999998</v>
      </c>
      <c r="AA70" s="208">
        <v>27.2</v>
      </c>
      <c r="AB70" s="208">
        <v>-2.17</v>
      </c>
      <c r="AC70" s="208">
        <v>0</v>
      </c>
      <c r="AD70" s="208">
        <v>0</v>
      </c>
      <c r="AE70" s="208">
        <v>24.68</v>
      </c>
      <c r="AF70" s="208">
        <v>-2.84</v>
      </c>
      <c r="AG70" s="205" t="s">
        <v>279</v>
      </c>
      <c r="AH70" s="208">
        <v>0</v>
      </c>
      <c r="AI70" s="208">
        <v>27.2</v>
      </c>
      <c r="AJ70" s="208">
        <v>0</v>
      </c>
      <c r="AK70" s="205" t="str">
        <f t="shared" si="2"/>
        <v>1.00000000</v>
      </c>
      <c r="AL70" s="205">
        <v>57.2</v>
      </c>
    </row>
    <row r="71" spans="1:38" s="205" customFormat="1" x14ac:dyDescent="0.2">
      <c r="A71" s="205" t="str">
        <f>"0496002595734"</f>
        <v>0496002595734</v>
      </c>
      <c r="B71" s="205">
        <v>1</v>
      </c>
      <c r="C71" s="205" t="s">
        <v>435</v>
      </c>
      <c r="D71" s="205">
        <v>81</v>
      </c>
      <c r="E71" s="205">
        <v>81</v>
      </c>
      <c r="F71" s="205" t="s">
        <v>243</v>
      </c>
      <c r="G71" s="205">
        <v>2086</v>
      </c>
      <c r="H71" s="205" t="s">
        <v>270</v>
      </c>
      <c r="I71" s="205">
        <v>38704</v>
      </c>
      <c r="J71" s="206">
        <v>42333</v>
      </c>
      <c r="K71" s="207">
        <v>0.67569444444444438</v>
      </c>
      <c r="L71" s="206">
        <v>42335</v>
      </c>
      <c r="M71" s="205" t="s">
        <v>853</v>
      </c>
      <c r="N71" s="205" t="s">
        <v>272</v>
      </c>
      <c r="O71" s="205" t="s">
        <v>273</v>
      </c>
      <c r="P71" s="205" t="s">
        <v>274</v>
      </c>
      <c r="Q71" s="205" t="s">
        <v>275</v>
      </c>
      <c r="R71" s="205" t="s">
        <v>276</v>
      </c>
      <c r="S71" s="205" t="s">
        <v>436</v>
      </c>
      <c r="T71" s="205" t="s">
        <v>435</v>
      </c>
      <c r="U71" s="205">
        <v>2086</v>
      </c>
      <c r="V71" s="205" t="s">
        <v>435</v>
      </c>
      <c r="W71" s="205" t="s">
        <v>280</v>
      </c>
      <c r="X71" s="205">
        <v>8.8610000000000007</v>
      </c>
      <c r="Y71" s="208">
        <v>-0.27</v>
      </c>
      <c r="Z71" s="208">
        <v>2.1</v>
      </c>
      <c r="AA71" s="208">
        <v>18.61</v>
      </c>
      <c r="AB71" s="208">
        <v>-1.62</v>
      </c>
      <c r="AC71" s="208">
        <v>0</v>
      </c>
      <c r="AD71" s="208">
        <v>0</v>
      </c>
      <c r="AE71" s="208">
        <v>16.72</v>
      </c>
      <c r="AF71" s="208">
        <v>-2.13</v>
      </c>
      <c r="AG71" s="205" t="s">
        <v>279</v>
      </c>
      <c r="AH71" s="208">
        <v>0</v>
      </c>
      <c r="AI71" s="208">
        <v>18.61</v>
      </c>
      <c r="AJ71" s="208">
        <v>0</v>
      </c>
      <c r="AK71" s="205" t="str">
        <f t="shared" si="2"/>
        <v>1.00000000</v>
      </c>
      <c r="AL71" s="205">
        <v>19</v>
      </c>
    </row>
    <row r="72" spans="1:38" s="205" customFormat="1" x14ac:dyDescent="0.2">
      <c r="A72" s="205" t="str">
        <f>"0496002595734"</f>
        <v>0496002595734</v>
      </c>
      <c r="B72" s="205">
        <v>3</v>
      </c>
      <c r="C72" s="205" t="s">
        <v>435</v>
      </c>
      <c r="D72" s="205">
        <v>82</v>
      </c>
      <c r="E72" s="205">
        <v>82</v>
      </c>
      <c r="F72" s="205" t="s">
        <v>243</v>
      </c>
      <c r="G72" s="205">
        <v>2086</v>
      </c>
      <c r="H72" s="205" t="s">
        <v>270</v>
      </c>
      <c r="I72" s="205">
        <v>30786</v>
      </c>
      <c r="J72" s="206">
        <v>42333</v>
      </c>
      <c r="K72" s="207">
        <v>0.45416666666666666</v>
      </c>
      <c r="L72" s="206">
        <v>42335</v>
      </c>
      <c r="M72" s="205" t="s">
        <v>853</v>
      </c>
      <c r="N72" s="205" t="s">
        <v>870</v>
      </c>
      <c r="O72" s="205" t="s">
        <v>871</v>
      </c>
      <c r="P72" s="205" t="s">
        <v>872</v>
      </c>
      <c r="Q72" s="205" t="s">
        <v>466</v>
      </c>
      <c r="R72" s="205" t="s">
        <v>873</v>
      </c>
      <c r="S72" s="205" t="s">
        <v>436</v>
      </c>
      <c r="T72" s="205" t="s">
        <v>435</v>
      </c>
      <c r="U72" s="205">
        <v>2086</v>
      </c>
      <c r="V72" s="205" t="s">
        <v>435</v>
      </c>
      <c r="W72" s="205" t="s">
        <v>280</v>
      </c>
      <c r="X72" s="205">
        <v>9.3520000000000003</v>
      </c>
      <c r="Y72" s="208">
        <v>-0.19</v>
      </c>
      <c r="Z72" s="208">
        <v>2.1</v>
      </c>
      <c r="AA72" s="208">
        <v>19.63</v>
      </c>
      <c r="AB72" s="208">
        <v>-1.71</v>
      </c>
      <c r="AC72" s="208">
        <v>0</v>
      </c>
      <c r="AD72" s="208">
        <v>0</v>
      </c>
      <c r="AE72" s="208">
        <v>17.73</v>
      </c>
      <c r="AF72" s="208">
        <v>-2.08</v>
      </c>
      <c r="AG72" s="205" t="s">
        <v>279</v>
      </c>
      <c r="AH72" s="208">
        <v>0</v>
      </c>
      <c r="AI72" s="208">
        <v>19.63</v>
      </c>
      <c r="AJ72" s="208">
        <v>0</v>
      </c>
      <c r="AK72" s="205" t="str">
        <f t="shared" si="2"/>
        <v>1.00000000</v>
      </c>
      <c r="AL72" s="205">
        <v>19.2</v>
      </c>
    </row>
    <row r="73" spans="1:38" s="205" customFormat="1" x14ac:dyDescent="0.2">
      <c r="A73" s="205" t="str">
        <f>"0496002595734"</f>
        <v>0496002595734</v>
      </c>
      <c r="B73" s="205">
        <v>2</v>
      </c>
      <c r="C73" s="205" t="s">
        <v>435</v>
      </c>
      <c r="D73" s="205">
        <v>80</v>
      </c>
      <c r="E73" s="205">
        <v>80</v>
      </c>
      <c r="F73" s="205" t="s">
        <v>243</v>
      </c>
      <c r="G73" s="205">
        <v>2086</v>
      </c>
      <c r="H73" s="205" t="s">
        <v>270</v>
      </c>
      <c r="I73" s="205">
        <v>26781</v>
      </c>
      <c r="J73" s="206">
        <v>42334</v>
      </c>
      <c r="K73" s="207">
        <v>0.4236111111111111</v>
      </c>
      <c r="L73" s="206">
        <v>42338</v>
      </c>
      <c r="M73" s="205" t="s">
        <v>853</v>
      </c>
      <c r="N73" s="205" t="s">
        <v>272</v>
      </c>
      <c r="O73" s="205" t="s">
        <v>273</v>
      </c>
      <c r="P73" s="205" t="s">
        <v>274</v>
      </c>
      <c r="Q73" s="205" t="s">
        <v>275</v>
      </c>
      <c r="R73" s="205" t="s">
        <v>276</v>
      </c>
      <c r="S73" s="205" t="s">
        <v>436</v>
      </c>
      <c r="T73" s="205" t="s">
        <v>435</v>
      </c>
      <c r="U73" s="205">
        <v>2086</v>
      </c>
      <c r="V73" s="205" t="s">
        <v>435</v>
      </c>
      <c r="W73" s="205" t="s">
        <v>280</v>
      </c>
      <c r="X73" s="205">
        <v>10.276</v>
      </c>
      <c r="Y73" s="208">
        <v>-0.31</v>
      </c>
      <c r="Z73" s="208">
        <v>2.1</v>
      </c>
      <c r="AA73" s="208">
        <v>21.57</v>
      </c>
      <c r="AB73" s="208">
        <v>-1.88</v>
      </c>
      <c r="AC73" s="208">
        <v>0</v>
      </c>
      <c r="AD73" s="208">
        <v>0</v>
      </c>
      <c r="AE73" s="208">
        <v>19.38</v>
      </c>
      <c r="AF73" s="208">
        <v>-2.4700000000000002</v>
      </c>
      <c r="AG73" s="205" t="s">
        <v>279</v>
      </c>
      <c r="AH73" s="208">
        <v>0</v>
      </c>
      <c r="AI73" s="208">
        <v>21.57</v>
      </c>
      <c r="AJ73" s="208">
        <v>0</v>
      </c>
      <c r="AK73" s="205" t="str">
        <f t="shared" si="2"/>
        <v>1.00000000</v>
      </c>
      <c r="AL73" s="205">
        <v>0</v>
      </c>
    </row>
    <row r="74" spans="1:38" s="205" customFormat="1" x14ac:dyDescent="0.2">
      <c r="A74" s="205" t="str">
        <f>"0496002595700"</f>
        <v>0496002595700</v>
      </c>
      <c r="B74" s="205">
        <v>2</v>
      </c>
      <c r="C74" s="205" t="s">
        <v>156</v>
      </c>
      <c r="D74" s="205">
        <v>42</v>
      </c>
      <c r="E74" s="205">
        <v>42</v>
      </c>
      <c r="F74" s="205" t="s">
        <v>243</v>
      </c>
      <c r="G74" s="205">
        <v>2262</v>
      </c>
      <c r="H74" s="205" t="s">
        <v>270</v>
      </c>
      <c r="I74" s="205">
        <v>10</v>
      </c>
      <c r="J74" s="206">
        <v>42335</v>
      </c>
      <c r="K74" s="207">
        <v>0.42569444444444443</v>
      </c>
      <c r="L74" s="206">
        <v>42339</v>
      </c>
      <c r="M74" s="205" t="s">
        <v>853</v>
      </c>
      <c r="N74" s="205" t="s">
        <v>272</v>
      </c>
      <c r="O74" s="205" t="s">
        <v>273</v>
      </c>
      <c r="P74" s="205" t="s">
        <v>274</v>
      </c>
      <c r="Q74" s="205" t="s">
        <v>275</v>
      </c>
      <c r="R74" s="205" t="s">
        <v>276</v>
      </c>
      <c r="S74" s="205" t="s">
        <v>156</v>
      </c>
      <c r="T74" s="205" t="s">
        <v>277</v>
      </c>
      <c r="U74" s="205">
        <v>2262</v>
      </c>
      <c r="V74" s="205" t="s">
        <v>156</v>
      </c>
      <c r="W74" s="205" t="s">
        <v>280</v>
      </c>
      <c r="X74" s="205">
        <v>7.274</v>
      </c>
      <c r="Y74" s="208">
        <v>-0.22</v>
      </c>
      <c r="Z74" s="208">
        <v>2.1</v>
      </c>
      <c r="AA74" s="208">
        <v>15.27</v>
      </c>
      <c r="AB74" s="208">
        <v>-1.33</v>
      </c>
      <c r="AC74" s="208">
        <v>0</v>
      </c>
      <c r="AD74" s="208">
        <v>0</v>
      </c>
      <c r="AE74" s="208">
        <v>13.72</v>
      </c>
      <c r="AF74" s="208">
        <v>-1.75</v>
      </c>
      <c r="AG74" s="205" t="s">
        <v>279</v>
      </c>
      <c r="AH74" s="208">
        <v>0</v>
      </c>
      <c r="AI74" s="208">
        <v>15.27</v>
      </c>
      <c r="AJ74" s="208">
        <v>0</v>
      </c>
      <c r="AK74" s="205" t="str">
        <f t="shared" si="2"/>
        <v>1.00000000</v>
      </c>
      <c r="AL74" s="205">
        <v>0</v>
      </c>
    </row>
    <row r="75" spans="1:38" s="205" customFormat="1" x14ac:dyDescent="0.2">
      <c r="A75" s="205" t="str">
        <f>"0496002595734"</f>
        <v>0496002595734</v>
      </c>
      <c r="B75" s="205">
        <v>3</v>
      </c>
      <c r="C75" s="205" t="s">
        <v>435</v>
      </c>
      <c r="D75" s="205">
        <v>82</v>
      </c>
      <c r="E75" s="205">
        <v>82</v>
      </c>
      <c r="F75" s="205" t="s">
        <v>243</v>
      </c>
      <c r="G75" s="205">
        <v>2086</v>
      </c>
      <c r="H75" s="205" t="s">
        <v>270</v>
      </c>
      <c r="I75" s="205">
        <v>30996</v>
      </c>
      <c r="J75" s="206">
        <v>42335</v>
      </c>
      <c r="K75" s="207">
        <v>0.43888888888888888</v>
      </c>
      <c r="L75" s="206">
        <v>42339</v>
      </c>
      <c r="M75" s="205" t="s">
        <v>853</v>
      </c>
      <c r="N75" s="205" t="s">
        <v>272</v>
      </c>
      <c r="O75" s="205" t="s">
        <v>273</v>
      </c>
      <c r="P75" s="205" t="s">
        <v>274</v>
      </c>
      <c r="Q75" s="205" t="s">
        <v>275</v>
      </c>
      <c r="R75" s="205" t="s">
        <v>276</v>
      </c>
      <c r="S75" s="205" t="s">
        <v>436</v>
      </c>
      <c r="T75" s="205" t="s">
        <v>435</v>
      </c>
      <c r="U75" s="205">
        <v>2086</v>
      </c>
      <c r="V75" s="205" t="s">
        <v>435</v>
      </c>
      <c r="W75" s="205" t="s">
        <v>280</v>
      </c>
      <c r="X75" s="205">
        <v>11.257</v>
      </c>
      <c r="Y75" s="208">
        <v>-0.34</v>
      </c>
      <c r="Z75" s="208">
        <v>2.1</v>
      </c>
      <c r="AA75" s="208">
        <v>23.63</v>
      </c>
      <c r="AB75" s="208">
        <v>-2.06</v>
      </c>
      <c r="AC75" s="208">
        <v>0</v>
      </c>
      <c r="AD75" s="208">
        <v>0</v>
      </c>
      <c r="AE75" s="208">
        <v>21.23</v>
      </c>
      <c r="AF75" s="208">
        <v>-2.7</v>
      </c>
      <c r="AG75" s="205" t="s">
        <v>279</v>
      </c>
      <c r="AH75" s="208">
        <v>0</v>
      </c>
      <c r="AI75" s="208">
        <v>23.63</v>
      </c>
      <c r="AJ75" s="208">
        <v>0</v>
      </c>
      <c r="AK75" s="205" t="str">
        <f t="shared" si="2"/>
        <v>1.00000000</v>
      </c>
      <c r="AL75" s="205">
        <v>18.7</v>
      </c>
    </row>
    <row r="76" spans="1:38" s="205" customFormat="1" x14ac:dyDescent="0.2">
      <c r="A76" s="205" t="str">
        <f>"0496002595734"</f>
        <v>0496002595734</v>
      </c>
      <c r="B76" s="205">
        <v>2</v>
      </c>
      <c r="C76" s="205" t="s">
        <v>435</v>
      </c>
      <c r="D76" s="205">
        <v>80</v>
      </c>
      <c r="E76" s="205">
        <v>80</v>
      </c>
      <c r="F76" s="205" t="s">
        <v>243</v>
      </c>
      <c r="G76" s="205">
        <v>2086</v>
      </c>
      <c r="H76" s="205" t="s">
        <v>270</v>
      </c>
      <c r="I76" s="205">
        <v>32106</v>
      </c>
      <c r="J76" s="206">
        <v>42336</v>
      </c>
      <c r="K76" s="207">
        <v>0.31875000000000003</v>
      </c>
      <c r="L76" s="206">
        <v>42339</v>
      </c>
      <c r="M76" s="205" t="s">
        <v>853</v>
      </c>
      <c r="N76" s="205" t="s">
        <v>272</v>
      </c>
      <c r="O76" s="205" t="s">
        <v>273</v>
      </c>
      <c r="P76" s="205" t="s">
        <v>274</v>
      </c>
      <c r="Q76" s="205" t="s">
        <v>275</v>
      </c>
      <c r="R76" s="205" t="s">
        <v>276</v>
      </c>
      <c r="S76" s="205" t="s">
        <v>436</v>
      </c>
      <c r="T76" s="205" t="s">
        <v>435</v>
      </c>
      <c r="U76" s="205">
        <v>2086</v>
      </c>
      <c r="V76" s="205" t="s">
        <v>435</v>
      </c>
      <c r="W76" s="205" t="s">
        <v>280</v>
      </c>
      <c r="X76" s="205">
        <v>8.6129999999999995</v>
      </c>
      <c r="Y76" s="208">
        <v>-0.26</v>
      </c>
      <c r="Z76" s="208">
        <v>2.1</v>
      </c>
      <c r="AA76" s="208">
        <v>18.079999999999998</v>
      </c>
      <c r="AB76" s="208">
        <v>-1.58</v>
      </c>
      <c r="AC76" s="208">
        <v>0</v>
      </c>
      <c r="AD76" s="208">
        <v>0</v>
      </c>
      <c r="AE76" s="208">
        <v>16.239999999999998</v>
      </c>
      <c r="AF76" s="208">
        <v>-2.0699999999999998</v>
      </c>
      <c r="AG76" s="205" t="s">
        <v>279</v>
      </c>
      <c r="AH76" s="208">
        <v>0</v>
      </c>
      <c r="AI76" s="208">
        <v>18.079999999999998</v>
      </c>
      <c r="AJ76" s="208">
        <v>0</v>
      </c>
      <c r="AK76" s="205" t="str">
        <f t="shared" si="2"/>
        <v>1.00000000</v>
      </c>
      <c r="AL76" s="205">
        <v>618.20000000000005</v>
      </c>
    </row>
    <row r="77" spans="1:38" s="205" customFormat="1" x14ac:dyDescent="0.2">
      <c r="A77" s="205" t="str">
        <f>"0496002595734"</f>
        <v>0496002595734</v>
      </c>
      <c r="B77" s="205">
        <v>2</v>
      </c>
      <c r="C77" s="205" t="s">
        <v>435</v>
      </c>
      <c r="D77" s="205">
        <v>80</v>
      </c>
      <c r="E77" s="205">
        <v>80</v>
      </c>
      <c r="F77" s="205" t="s">
        <v>243</v>
      </c>
      <c r="G77" s="205">
        <v>2086</v>
      </c>
      <c r="H77" s="205" t="s">
        <v>270</v>
      </c>
      <c r="I77" s="205">
        <v>37318</v>
      </c>
      <c r="J77" s="206">
        <v>42336</v>
      </c>
      <c r="K77" s="207">
        <v>0.7402777777777777</v>
      </c>
      <c r="L77" s="206">
        <v>42339</v>
      </c>
      <c r="M77" s="205" t="s">
        <v>853</v>
      </c>
      <c r="N77" s="205" t="s">
        <v>272</v>
      </c>
      <c r="O77" s="205" t="s">
        <v>273</v>
      </c>
      <c r="P77" s="205" t="s">
        <v>274</v>
      </c>
      <c r="Q77" s="205" t="s">
        <v>275</v>
      </c>
      <c r="R77" s="205" t="s">
        <v>276</v>
      </c>
      <c r="S77" s="205" t="s">
        <v>436</v>
      </c>
      <c r="T77" s="205" t="s">
        <v>435</v>
      </c>
      <c r="U77" s="205">
        <v>2086</v>
      </c>
      <c r="V77" s="205" t="s">
        <v>435</v>
      </c>
      <c r="W77" s="205" t="s">
        <v>280</v>
      </c>
      <c r="X77" s="205">
        <v>6.2640000000000002</v>
      </c>
      <c r="Y77" s="208">
        <v>-0.19</v>
      </c>
      <c r="Z77" s="208">
        <v>2.1</v>
      </c>
      <c r="AA77" s="208">
        <v>13.15</v>
      </c>
      <c r="AB77" s="208">
        <v>-1.1499999999999999</v>
      </c>
      <c r="AC77" s="208">
        <v>0</v>
      </c>
      <c r="AD77" s="208">
        <v>0</v>
      </c>
      <c r="AE77" s="208">
        <v>11.81</v>
      </c>
      <c r="AF77" s="208">
        <v>-1.5</v>
      </c>
      <c r="AG77" s="205" t="s">
        <v>279</v>
      </c>
      <c r="AH77" s="208">
        <v>0</v>
      </c>
      <c r="AI77" s="208">
        <v>13.15</v>
      </c>
      <c r="AJ77" s="208">
        <v>0</v>
      </c>
      <c r="AK77" s="205" t="str">
        <f t="shared" si="2"/>
        <v>1.00000000</v>
      </c>
      <c r="AL77" s="205">
        <v>832.1</v>
      </c>
    </row>
    <row r="78" spans="1:38" s="205" customFormat="1" x14ac:dyDescent="0.2">
      <c r="A78" s="205" t="str">
        <f>"0496002595734"</f>
        <v>0496002595734</v>
      </c>
      <c r="B78" s="205">
        <v>1</v>
      </c>
      <c r="C78" s="205" t="s">
        <v>435</v>
      </c>
      <c r="D78" s="205">
        <v>81</v>
      </c>
      <c r="E78" s="205">
        <v>81</v>
      </c>
      <c r="F78" s="205" t="s">
        <v>243</v>
      </c>
      <c r="G78" s="205">
        <v>2086</v>
      </c>
      <c r="H78" s="205" t="s">
        <v>270</v>
      </c>
      <c r="I78" s="205">
        <v>38913</v>
      </c>
      <c r="J78" s="206">
        <v>42337</v>
      </c>
      <c r="K78" s="207">
        <v>0.62986111111111109</v>
      </c>
      <c r="L78" s="206">
        <v>42339</v>
      </c>
      <c r="M78" s="205" t="s">
        <v>853</v>
      </c>
      <c r="N78" s="205" t="s">
        <v>352</v>
      </c>
      <c r="O78" s="205" t="s">
        <v>353</v>
      </c>
      <c r="P78" s="205" t="s">
        <v>343</v>
      </c>
      <c r="Q78" s="205" t="s">
        <v>275</v>
      </c>
      <c r="R78" s="205" t="s">
        <v>602</v>
      </c>
      <c r="S78" s="205" t="s">
        <v>436</v>
      </c>
      <c r="T78" s="205" t="s">
        <v>435</v>
      </c>
      <c r="U78" s="205">
        <v>2086</v>
      </c>
      <c r="V78" s="205" t="s">
        <v>435</v>
      </c>
      <c r="W78" s="205" t="s">
        <v>280</v>
      </c>
      <c r="X78" s="205">
        <v>11.678000000000001</v>
      </c>
      <c r="Y78" s="208">
        <v>-0.35</v>
      </c>
      <c r="Z78" s="208">
        <v>2.11</v>
      </c>
      <c r="AA78" s="208">
        <v>24.63</v>
      </c>
      <c r="AB78" s="208">
        <v>-2.14</v>
      </c>
      <c r="AC78" s="208">
        <v>0</v>
      </c>
      <c r="AD78" s="208">
        <v>0</v>
      </c>
      <c r="AE78" s="208">
        <v>22.14</v>
      </c>
      <c r="AF78" s="208">
        <v>-2.8</v>
      </c>
      <c r="AG78" s="205" t="s">
        <v>279</v>
      </c>
      <c r="AH78" s="208">
        <v>0</v>
      </c>
      <c r="AI78" s="208">
        <v>24.63</v>
      </c>
      <c r="AJ78" s="208">
        <v>0</v>
      </c>
      <c r="AK78" s="205" t="str">
        <f t="shared" si="2"/>
        <v>1.00000000</v>
      </c>
      <c r="AL78" s="205">
        <v>17.899999999999999</v>
      </c>
    </row>
    <row r="79" spans="1:38" s="205" customFormat="1" x14ac:dyDescent="0.2">
      <c r="A79" s="205" t="str">
        <f>"0496002595700"</f>
        <v>0496002595700</v>
      </c>
      <c r="B79" s="205">
        <v>6</v>
      </c>
      <c r="C79" s="205" t="s">
        <v>156</v>
      </c>
      <c r="D79" s="205" t="s">
        <v>344</v>
      </c>
      <c r="E79" s="205" t="s">
        <v>345</v>
      </c>
      <c r="F79" s="205" t="s">
        <v>243</v>
      </c>
      <c r="G79" s="205">
        <v>2262</v>
      </c>
      <c r="H79" s="205" t="s">
        <v>270</v>
      </c>
      <c r="I79" s="205">
        <v>43529</v>
      </c>
      <c r="J79" s="206">
        <v>42338</v>
      </c>
      <c r="K79" s="207">
        <v>0.61944444444444446</v>
      </c>
      <c r="L79" s="206">
        <v>42340</v>
      </c>
      <c r="M79" s="205" t="s">
        <v>853</v>
      </c>
      <c r="N79" s="205" t="s">
        <v>272</v>
      </c>
      <c r="O79" s="205" t="s">
        <v>273</v>
      </c>
      <c r="P79" s="205" t="s">
        <v>274</v>
      </c>
      <c r="Q79" s="205" t="s">
        <v>275</v>
      </c>
      <c r="R79" s="205" t="s">
        <v>276</v>
      </c>
      <c r="S79" s="205" t="s">
        <v>156</v>
      </c>
      <c r="T79" s="205" t="s">
        <v>277</v>
      </c>
      <c r="U79" s="205">
        <v>2262</v>
      </c>
      <c r="V79" s="205" t="s">
        <v>156</v>
      </c>
      <c r="W79" s="205" t="s">
        <v>280</v>
      </c>
      <c r="X79" s="205">
        <v>3.7789999999999999</v>
      </c>
      <c r="Y79" s="208">
        <v>-0.11</v>
      </c>
      <c r="Z79" s="208">
        <v>2.1</v>
      </c>
      <c r="AA79" s="208">
        <v>7.93</v>
      </c>
      <c r="AB79" s="208">
        <v>-0.69</v>
      </c>
      <c r="AC79" s="208">
        <v>0</v>
      </c>
      <c r="AD79" s="208">
        <v>0</v>
      </c>
      <c r="AE79" s="208">
        <v>7.13</v>
      </c>
      <c r="AF79" s="208">
        <v>-0.91</v>
      </c>
      <c r="AG79" s="205" t="s">
        <v>279</v>
      </c>
      <c r="AH79" s="208">
        <v>0</v>
      </c>
      <c r="AI79" s="208">
        <v>7.93</v>
      </c>
      <c r="AJ79" s="208">
        <v>0</v>
      </c>
      <c r="AK79" s="205" t="str">
        <f t="shared" si="2"/>
        <v>1.00000000</v>
      </c>
      <c r="AL79" s="205">
        <v>25.1</v>
      </c>
    </row>
    <row r="80" spans="1:38" s="205" customFormat="1" x14ac:dyDescent="0.2">
      <c r="A80" s="205" t="str">
        <f>"0496002599173"</f>
        <v>0496002599173</v>
      </c>
      <c r="B80" s="205">
        <v>2</v>
      </c>
      <c r="C80" s="205" t="s">
        <v>585</v>
      </c>
      <c r="D80" s="205" t="s">
        <v>594</v>
      </c>
      <c r="E80" s="205" t="s">
        <v>594</v>
      </c>
      <c r="F80" s="205" t="s">
        <v>243</v>
      </c>
      <c r="G80" s="205">
        <v>5647</v>
      </c>
      <c r="H80" s="205" t="s">
        <v>270</v>
      </c>
      <c r="I80" s="205">
        <v>104097</v>
      </c>
      <c r="J80" s="206">
        <v>42339</v>
      </c>
      <c r="K80" s="207">
        <v>0.41388888888888892</v>
      </c>
      <c r="L80" s="206">
        <v>42341</v>
      </c>
      <c r="M80" s="205" t="s">
        <v>853</v>
      </c>
      <c r="N80" s="205" t="s">
        <v>588</v>
      </c>
      <c r="O80" s="205" t="s">
        <v>589</v>
      </c>
      <c r="P80" s="205" t="s">
        <v>590</v>
      </c>
      <c r="Q80" s="205" t="s">
        <v>275</v>
      </c>
      <c r="R80" s="205" t="s">
        <v>611</v>
      </c>
      <c r="S80" s="205" t="s">
        <v>436</v>
      </c>
      <c r="T80" s="205" t="s">
        <v>595</v>
      </c>
      <c r="U80" s="205">
        <v>5647</v>
      </c>
      <c r="V80" s="205" t="s">
        <v>585</v>
      </c>
      <c r="W80" s="205" t="s">
        <v>280</v>
      </c>
      <c r="X80" s="205">
        <v>23.010999999999999</v>
      </c>
      <c r="Y80" s="208">
        <v>-1.1499999999999999</v>
      </c>
      <c r="Z80" s="208">
        <v>2.0499999999999998</v>
      </c>
      <c r="AA80" s="208">
        <v>47.15</v>
      </c>
      <c r="AB80" s="208">
        <v>-4.21</v>
      </c>
      <c r="AC80" s="208">
        <v>0</v>
      </c>
      <c r="AD80" s="208">
        <v>0</v>
      </c>
      <c r="AE80" s="208">
        <v>41.79</v>
      </c>
      <c r="AF80" s="208">
        <v>-5.52</v>
      </c>
      <c r="AG80" s="205" t="s">
        <v>279</v>
      </c>
      <c r="AH80" s="208">
        <v>0</v>
      </c>
      <c r="AI80" s="208">
        <v>47.15</v>
      </c>
      <c r="AJ80" s="208">
        <v>0</v>
      </c>
      <c r="AK80" s="205" t="str">
        <f t="shared" si="2"/>
        <v>1.00000000</v>
      </c>
      <c r="AL80" s="205">
        <v>13.1</v>
      </c>
    </row>
    <row r="81" spans="1:38" s="205" customFormat="1" x14ac:dyDescent="0.2">
      <c r="A81" s="205" t="str">
        <f>"0496002595700"</f>
        <v>0496002595700</v>
      </c>
      <c r="B81" s="205">
        <v>2</v>
      </c>
      <c r="C81" s="205" t="s">
        <v>156</v>
      </c>
      <c r="D81" s="205">
        <v>42</v>
      </c>
      <c r="E81" s="205">
        <v>42</v>
      </c>
      <c r="F81" s="205" t="s">
        <v>243</v>
      </c>
      <c r="G81" s="205">
        <v>2262</v>
      </c>
      <c r="H81" s="205" t="s">
        <v>270</v>
      </c>
      <c r="I81" s="205">
        <v>7597</v>
      </c>
      <c r="J81" s="206">
        <v>42340</v>
      </c>
      <c r="K81" s="207">
        <v>0.78055555555555556</v>
      </c>
      <c r="L81" s="206">
        <v>42342</v>
      </c>
      <c r="M81" s="205" t="s">
        <v>302</v>
      </c>
      <c r="N81" s="205" t="s">
        <v>874</v>
      </c>
      <c r="O81" s="205" t="s">
        <v>875</v>
      </c>
      <c r="P81" s="205" t="s">
        <v>874</v>
      </c>
      <c r="Q81" s="205" t="s">
        <v>275</v>
      </c>
      <c r="R81" s="205" t="s">
        <v>876</v>
      </c>
      <c r="S81" s="205" t="s">
        <v>156</v>
      </c>
      <c r="T81" s="205" t="s">
        <v>277</v>
      </c>
      <c r="U81" s="205">
        <v>2262</v>
      </c>
      <c r="V81" s="205" t="s">
        <v>156</v>
      </c>
      <c r="W81" s="205" t="s">
        <v>280</v>
      </c>
      <c r="X81" s="205">
        <v>9.0359999999999996</v>
      </c>
      <c r="Y81" s="208">
        <v>0</v>
      </c>
      <c r="Z81" s="208">
        <v>2.2599999999999998</v>
      </c>
      <c r="AA81" s="208">
        <v>20.41</v>
      </c>
      <c r="AB81" s="208">
        <v>-1.65</v>
      </c>
      <c r="AC81" s="208">
        <v>0</v>
      </c>
      <c r="AD81" s="208">
        <v>0</v>
      </c>
      <c r="AE81" s="208">
        <v>18.760000000000002</v>
      </c>
      <c r="AF81" s="208">
        <v>-2.17</v>
      </c>
      <c r="AG81" s="205" t="s">
        <v>279</v>
      </c>
      <c r="AH81" s="208">
        <v>0</v>
      </c>
      <c r="AI81" s="208">
        <v>20.41</v>
      </c>
      <c r="AJ81" s="208">
        <v>0</v>
      </c>
      <c r="AK81" s="205" t="str">
        <f t="shared" si="2"/>
        <v>1.00000000</v>
      </c>
      <c r="AL81" s="205">
        <v>839.6</v>
      </c>
    </row>
    <row r="82" spans="1:38" s="205" customFormat="1" x14ac:dyDescent="0.2">
      <c r="A82" s="205" t="str">
        <f>"0496002595718"</f>
        <v>0496002595718</v>
      </c>
      <c r="B82" s="205">
        <v>1</v>
      </c>
      <c r="C82" s="205" t="s">
        <v>859</v>
      </c>
      <c r="D82" s="205">
        <v>49</v>
      </c>
      <c r="E82" s="205">
        <v>49</v>
      </c>
      <c r="F82" s="205" t="s">
        <v>243</v>
      </c>
      <c r="G82" s="205">
        <v>2972</v>
      </c>
      <c r="H82" s="205" t="s">
        <v>270</v>
      </c>
      <c r="I82" s="205">
        <v>12349</v>
      </c>
      <c r="J82" s="206">
        <v>42340</v>
      </c>
      <c r="K82" s="207">
        <v>0.67083333333333339</v>
      </c>
      <c r="L82" s="206">
        <v>42342</v>
      </c>
      <c r="M82" s="205" t="s">
        <v>853</v>
      </c>
      <c r="N82" s="205" t="s">
        <v>877</v>
      </c>
      <c r="O82" s="205" t="s">
        <v>878</v>
      </c>
      <c r="P82" s="205" t="s">
        <v>590</v>
      </c>
      <c r="Q82" s="205" t="s">
        <v>275</v>
      </c>
      <c r="R82" s="205" t="s">
        <v>879</v>
      </c>
      <c r="S82" s="205" t="s">
        <v>436</v>
      </c>
      <c r="T82" s="205" t="s">
        <v>859</v>
      </c>
      <c r="U82" s="205">
        <v>2972</v>
      </c>
      <c r="V82" s="205" t="s">
        <v>859</v>
      </c>
      <c r="W82" s="205" t="s">
        <v>280</v>
      </c>
      <c r="X82" s="205">
        <v>19.138000000000002</v>
      </c>
      <c r="Y82" s="208">
        <v>-0.38</v>
      </c>
      <c r="Z82" s="208">
        <v>2.2999999999999998</v>
      </c>
      <c r="AA82" s="208">
        <v>44</v>
      </c>
      <c r="AB82" s="208">
        <v>-3.5</v>
      </c>
      <c r="AC82" s="208">
        <v>0</v>
      </c>
      <c r="AD82" s="208">
        <v>0</v>
      </c>
      <c r="AE82" s="208">
        <v>40.119999999999997</v>
      </c>
      <c r="AF82" s="208">
        <v>-4.59</v>
      </c>
      <c r="AG82" s="205" t="s">
        <v>279</v>
      </c>
      <c r="AH82" s="208">
        <v>0</v>
      </c>
      <c r="AI82" s="208">
        <v>44</v>
      </c>
      <c r="AJ82" s="208">
        <v>0</v>
      </c>
      <c r="AK82" s="205" t="str">
        <f t="shared" si="2"/>
        <v>1.00000000</v>
      </c>
      <c r="AL82" s="205">
        <v>19.2</v>
      </c>
    </row>
    <row r="83" spans="1:38" s="205" customFormat="1" x14ac:dyDescent="0.2">
      <c r="A83" s="205" t="str">
        <f>"0496002595734"</f>
        <v>0496002595734</v>
      </c>
      <c r="B83" s="205">
        <v>2</v>
      </c>
      <c r="C83" s="205" t="s">
        <v>435</v>
      </c>
      <c r="D83" s="205">
        <v>80</v>
      </c>
      <c r="E83" s="205">
        <v>80</v>
      </c>
      <c r="F83" s="205" t="s">
        <v>243</v>
      </c>
      <c r="G83" s="205">
        <v>2086</v>
      </c>
      <c r="H83" s="205" t="s">
        <v>270</v>
      </c>
      <c r="I83" s="205">
        <v>37659</v>
      </c>
      <c r="J83" s="206">
        <v>42340</v>
      </c>
      <c r="K83" s="207">
        <v>0.83819444444444446</v>
      </c>
      <c r="L83" s="206">
        <v>42342</v>
      </c>
      <c r="M83" s="205" t="s">
        <v>853</v>
      </c>
      <c r="N83" s="205" t="s">
        <v>272</v>
      </c>
      <c r="O83" s="205" t="s">
        <v>273</v>
      </c>
      <c r="P83" s="205" t="s">
        <v>274</v>
      </c>
      <c r="Q83" s="205" t="s">
        <v>275</v>
      </c>
      <c r="R83" s="205" t="s">
        <v>276</v>
      </c>
      <c r="S83" s="205" t="s">
        <v>436</v>
      </c>
      <c r="T83" s="205" t="s">
        <v>435</v>
      </c>
      <c r="U83" s="205">
        <v>2086</v>
      </c>
      <c r="V83" s="205" t="s">
        <v>435</v>
      </c>
      <c r="W83" s="205" t="s">
        <v>280</v>
      </c>
      <c r="X83" s="205">
        <v>9.9949999999999992</v>
      </c>
      <c r="Y83" s="208">
        <v>-0.3</v>
      </c>
      <c r="Z83" s="208">
        <v>2.1</v>
      </c>
      <c r="AA83" s="208">
        <v>20.98</v>
      </c>
      <c r="AB83" s="208">
        <v>-1.83</v>
      </c>
      <c r="AC83" s="208">
        <v>0</v>
      </c>
      <c r="AD83" s="208">
        <v>0</v>
      </c>
      <c r="AE83" s="208">
        <v>18.850000000000001</v>
      </c>
      <c r="AF83" s="208">
        <v>-2.4</v>
      </c>
      <c r="AG83" s="205" t="s">
        <v>279</v>
      </c>
      <c r="AH83" s="208">
        <v>0</v>
      </c>
      <c r="AI83" s="208">
        <v>20.98</v>
      </c>
      <c r="AJ83" s="208">
        <v>0</v>
      </c>
      <c r="AK83" s="205" t="str">
        <f t="shared" si="2"/>
        <v>1.00000000</v>
      </c>
      <c r="AL83" s="205">
        <v>34.1</v>
      </c>
    </row>
    <row r="84" spans="1:38" s="205" customFormat="1" x14ac:dyDescent="0.2">
      <c r="A84" s="205" t="str">
        <f>"0496002599173"</f>
        <v>0496002599173</v>
      </c>
      <c r="B84" s="205">
        <v>1</v>
      </c>
      <c r="C84" s="205" t="s">
        <v>585</v>
      </c>
      <c r="D84" s="205" t="s">
        <v>586</v>
      </c>
      <c r="E84" s="205" t="s">
        <v>586</v>
      </c>
      <c r="F84" s="205" t="s">
        <v>243</v>
      </c>
      <c r="G84" s="205">
        <v>5314</v>
      </c>
      <c r="H84" s="205" t="s">
        <v>270</v>
      </c>
      <c r="I84" s="205">
        <v>53385</v>
      </c>
      <c r="J84" s="206">
        <v>42340</v>
      </c>
      <c r="K84" s="207">
        <v>0.50902777777777775</v>
      </c>
      <c r="L84" s="206">
        <v>42342</v>
      </c>
      <c r="M84" s="205" t="s">
        <v>606</v>
      </c>
      <c r="N84" s="205" t="s">
        <v>399</v>
      </c>
      <c r="O84" s="205" t="s">
        <v>400</v>
      </c>
      <c r="P84" s="205" t="s">
        <v>274</v>
      </c>
      <c r="Q84" s="205" t="s">
        <v>275</v>
      </c>
      <c r="R84" s="205" t="s">
        <v>401</v>
      </c>
      <c r="S84" s="205" t="s">
        <v>436</v>
      </c>
      <c r="T84" s="205" t="s">
        <v>587</v>
      </c>
      <c r="U84" s="205">
        <v>5314</v>
      </c>
      <c r="V84" s="205" t="s">
        <v>585</v>
      </c>
      <c r="W84" s="205" t="s">
        <v>280</v>
      </c>
      <c r="X84" s="205">
        <v>29.298999999999999</v>
      </c>
      <c r="Y84" s="208">
        <v>0</v>
      </c>
      <c r="Z84" s="208">
        <v>2.16</v>
      </c>
      <c r="AA84" s="208">
        <v>63.26</v>
      </c>
      <c r="AB84" s="208">
        <v>-5.36</v>
      </c>
      <c r="AC84" s="208">
        <v>0</v>
      </c>
      <c r="AD84" s="208">
        <v>0</v>
      </c>
      <c r="AE84" s="208">
        <v>57.9</v>
      </c>
      <c r="AF84" s="208">
        <v>-7.03</v>
      </c>
      <c r="AG84" s="205" t="s">
        <v>279</v>
      </c>
      <c r="AH84" s="208">
        <v>0</v>
      </c>
      <c r="AI84" s="208">
        <v>63.26</v>
      </c>
      <c r="AJ84" s="208">
        <v>0</v>
      </c>
      <c r="AK84" s="205" t="str">
        <f t="shared" si="2"/>
        <v>1.00000000</v>
      </c>
      <c r="AL84" s="205">
        <v>13.1</v>
      </c>
    </row>
    <row r="85" spans="1:38" s="205" customFormat="1" x14ac:dyDescent="0.2">
      <c r="A85" s="205" t="str">
        <f>"0496002595700"</f>
        <v>0496002595700</v>
      </c>
      <c r="B85" s="205">
        <v>2</v>
      </c>
      <c r="C85" s="205" t="s">
        <v>156</v>
      </c>
      <c r="D85" s="205">
        <v>42</v>
      </c>
      <c r="E85" s="205">
        <v>42</v>
      </c>
      <c r="F85" s="205" t="s">
        <v>243</v>
      </c>
      <c r="G85" s="205">
        <v>2262</v>
      </c>
      <c r="H85" s="205" t="s">
        <v>270</v>
      </c>
      <c r="I85" s="205">
        <v>7843</v>
      </c>
      <c r="J85" s="206">
        <v>42341</v>
      </c>
      <c r="K85" s="207">
        <v>0.74722222222222223</v>
      </c>
      <c r="L85" s="206">
        <v>42345</v>
      </c>
      <c r="M85" s="205" t="s">
        <v>853</v>
      </c>
      <c r="N85" s="205" t="s">
        <v>272</v>
      </c>
      <c r="O85" s="205" t="s">
        <v>273</v>
      </c>
      <c r="P85" s="205" t="s">
        <v>274</v>
      </c>
      <c r="Q85" s="205" t="s">
        <v>275</v>
      </c>
      <c r="R85" s="205" t="s">
        <v>276</v>
      </c>
      <c r="S85" s="205" t="s">
        <v>156</v>
      </c>
      <c r="T85" s="205" t="s">
        <v>277</v>
      </c>
      <c r="U85" s="205">
        <v>2262</v>
      </c>
      <c r="V85" s="205" t="s">
        <v>156</v>
      </c>
      <c r="W85" s="205" t="s">
        <v>280</v>
      </c>
      <c r="X85" s="205">
        <v>4.9379999999999997</v>
      </c>
      <c r="Y85" s="208">
        <v>-0.15</v>
      </c>
      <c r="Z85" s="208">
        <v>2.1</v>
      </c>
      <c r="AA85" s="208">
        <v>10.36</v>
      </c>
      <c r="AB85" s="208">
        <v>-0.9</v>
      </c>
      <c r="AC85" s="208">
        <v>0</v>
      </c>
      <c r="AD85" s="208">
        <v>0</v>
      </c>
      <c r="AE85" s="208">
        <v>9.31</v>
      </c>
      <c r="AF85" s="208">
        <v>-1.19</v>
      </c>
      <c r="AG85" s="205" t="s">
        <v>279</v>
      </c>
      <c r="AH85" s="208">
        <v>0</v>
      </c>
      <c r="AI85" s="208">
        <v>10.36</v>
      </c>
      <c r="AJ85" s="208">
        <v>0</v>
      </c>
      <c r="AK85" s="205" t="str">
        <f t="shared" si="2"/>
        <v>1.00000000</v>
      </c>
      <c r="AL85" s="205">
        <v>49.8</v>
      </c>
    </row>
    <row r="86" spans="1:38" s="205" customFormat="1" x14ac:dyDescent="0.2">
      <c r="A86" s="205" t="str">
        <f>"0496002595700"</f>
        <v>0496002595700</v>
      </c>
      <c r="B86" s="205">
        <v>6</v>
      </c>
      <c r="C86" s="205" t="s">
        <v>156</v>
      </c>
      <c r="D86" s="205" t="s">
        <v>344</v>
      </c>
      <c r="E86" s="205" t="s">
        <v>345</v>
      </c>
      <c r="F86" s="205" t="s">
        <v>243</v>
      </c>
      <c r="G86" s="205">
        <v>2262</v>
      </c>
      <c r="H86" s="205" t="s">
        <v>270</v>
      </c>
      <c r="I86" s="205">
        <v>43870</v>
      </c>
      <c r="J86" s="206">
        <v>42341</v>
      </c>
      <c r="K86" s="207">
        <v>0.60277777777777775</v>
      </c>
      <c r="L86" s="206">
        <v>42345</v>
      </c>
      <c r="M86" s="205" t="s">
        <v>853</v>
      </c>
      <c r="N86" s="205" t="s">
        <v>272</v>
      </c>
      <c r="O86" s="205" t="s">
        <v>273</v>
      </c>
      <c r="P86" s="205" t="s">
        <v>274</v>
      </c>
      <c r="Q86" s="205" t="s">
        <v>275</v>
      </c>
      <c r="R86" s="205" t="s">
        <v>276</v>
      </c>
      <c r="S86" s="205" t="s">
        <v>156</v>
      </c>
      <c r="T86" s="205" t="s">
        <v>277</v>
      </c>
      <c r="U86" s="205">
        <v>2262</v>
      </c>
      <c r="V86" s="205" t="s">
        <v>156</v>
      </c>
      <c r="W86" s="205" t="s">
        <v>335</v>
      </c>
      <c r="X86" s="205">
        <v>11.705</v>
      </c>
      <c r="Y86" s="208">
        <v>-0.35</v>
      </c>
      <c r="Z86" s="208">
        <v>2.2999999999999998</v>
      </c>
      <c r="AA86" s="208">
        <v>26.91</v>
      </c>
      <c r="AB86" s="208">
        <v>-2.14</v>
      </c>
      <c r="AC86" s="208">
        <v>0</v>
      </c>
      <c r="AD86" s="208">
        <v>0</v>
      </c>
      <c r="AE86" s="208">
        <v>24.42</v>
      </c>
      <c r="AF86" s="208">
        <v>-2.81</v>
      </c>
      <c r="AG86" s="205" t="s">
        <v>279</v>
      </c>
      <c r="AH86" s="208">
        <v>0</v>
      </c>
      <c r="AI86" s="208">
        <v>26.91</v>
      </c>
      <c r="AJ86" s="208">
        <v>0</v>
      </c>
      <c r="AK86" s="205" t="str">
        <f t="shared" si="2"/>
        <v>1.00000000</v>
      </c>
      <c r="AL86" s="205">
        <v>29.1</v>
      </c>
    </row>
    <row r="87" spans="1:38" s="205" customFormat="1" x14ac:dyDescent="0.2">
      <c r="A87" s="205" t="str">
        <f>"0496002595718"</f>
        <v>0496002595718</v>
      </c>
      <c r="B87" s="205">
        <v>3</v>
      </c>
      <c r="C87" s="205" t="s">
        <v>859</v>
      </c>
      <c r="D87" s="205">
        <v>47</v>
      </c>
      <c r="E87" s="205">
        <v>47</v>
      </c>
      <c r="F87" s="205" t="s">
        <v>243</v>
      </c>
      <c r="G87" s="205">
        <v>2972</v>
      </c>
      <c r="H87" s="205" t="s">
        <v>270</v>
      </c>
      <c r="I87" s="205">
        <v>11024</v>
      </c>
      <c r="J87" s="206">
        <v>42341</v>
      </c>
      <c r="K87" s="207">
        <v>0.44166666666666665</v>
      </c>
      <c r="L87" s="206">
        <v>42345</v>
      </c>
      <c r="M87" s="205" t="s">
        <v>853</v>
      </c>
      <c r="N87" s="205" t="s">
        <v>272</v>
      </c>
      <c r="O87" s="205" t="s">
        <v>273</v>
      </c>
      <c r="P87" s="205" t="s">
        <v>274</v>
      </c>
      <c r="Q87" s="205" t="s">
        <v>275</v>
      </c>
      <c r="R87" s="205" t="s">
        <v>276</v>
      </c>
      <c r="S87" s="205" t="s">
        <v>436</v>
      </c>
      <c r="T87" s="205" t="s">
        <v>859</v>
      </c>
      <c r="U87" s="205">
        <v>2972</v>
      </c>
      <c r="V87" s="205" t="s">
        <v>859</v>
      </c>
      <c r="W87" s="205" t="s">
        <v>280</v>
      </c>
      <c r="X87" s="205">
        <v>11.529</v>
      </c>
      <c r="Y87" s="208">
        <v>-0.35</v>
      </c>
      <c r="Z87" s="208">
        <v>2.1</v>
      </c>
      <c r="AA87" s="208">
        <v>24.2</v>
      </c>
      <c r="AB87" s="208">
        <v>-2.11</v>
      </c>
      <c r="AC87" s="208">
        <v>0</v>
      </c>
      <c r="AD87" s="208">
        <v>0</v>
      </c>
      <c r="AE87" s="208">
        <v>21.74</v>
      </c>
      <c r="AF87" s="208">
        <v>-2.77</v>
      </c>
      <c r="AG87" s="205" t="s">
        <v>279</v>
      </c>
      <c r="AH87" s="208">
        <v>0</v>
      </c>
      <c r="AI87" s="208">
        <v>24.2</v>
      </c>
      <c r="AJ87" s="208">
        <v>0</v>
      </c>
      <c r="AK87" s="205" t="str">
        <f t="shared" si="2"/>
        <v>1.00000000</v>
      </c>
      <c r="AL87" s="205">
        <v>956.2</v>
      </c>
    </row>
    <row r="88" spans="1:38" s="205" customFormat="1" x14ac:dyDescent="0.2">
      <c r="A88" s="205" t="str">
        <f>"0496002595734"</f>
        <v>0496002595734</v>
      </c>
      <c r="B88" s="205">
        <v>1</v>
      </c>
      <c r="C88" s="205" t="s">
        <v>435</v>
      </c>
      <c r="D88" s="205">
        <v>81</v>
      </c>
      <c r="E88" s="205">
        <v>81</v>
      </c>
      <c r="F88" s="205" t="s">
        <v>243</v>
      </c>
      <c r="G88" s="205">
        <v>2086</v>
      </c>
      <c r="H88" s="205" t="s">
        <v>270</v>
      </c>
      <c r="I88" s="205">
        <v>39146</v>
      </c>
      <c r="J88" s="206">
        <v>42341</v>
      </c>
      <c r="K88" s="207">
        <v>0.81041666666666667</v>
      </c>
      <c r="L88" s="206">
        <v>42345</v>
      </c>
      <c r="M88" s="205" t="s">
        <v>853</v>
      </c>
      <c r="N88" s="205" t="s">
        <v>272</v>
      </c>
      <c r="O88" s="205" t="s">
        <v>273</v>
      </c>
      <c r="P88" s="205" t="s">
        <v>274</v>
      </c>
      <c r="Q88" s="205" t="s">
        <v>275</v>
      </c>
      <c r="R88" s="205" t="s">
        <v>276</v>
      </c>
      <c r="S88" s="205" t="s">
        <v>436</v>
      </c>
      <c r="T88" s="205" t="s">
        <v>435</v>
      </c>
      <c r="U88" s="205">
        <v>2086</v>
      </c>
      <c r="V88" s="205" t="s">
        <v>435</v>
      </c>
      <c r="W88" s="205" t="s">
        <v>280</v>
      </c>
      <c r="X88" s="205">
        <v>4.7729999999999997</v>
      </c>
      <c r="Y88" s="208">
        <v>-0.14000000000000001</v>
      </c>
      <c r="Z88" s="208">
        <v>2.1</v>
      </c>
      <c r="AA88" s="208">
        <v>10.02</v>
      </c>
      <c r="AB88" s="208">
        <v>-0.87</v>
      </c>
      <c r="AC88" s="208">
        <v>0</v>
      </c>
      <c r="AD88" s="208">
        <v>0</v>
      </c>
      <c r="AE88" s="208">
        <v>9.01</v>
      </c>
      <c r="AF88" s="208">
        <v>-1.1499999999999999</v>
      </c>
      <c r="AG88" s="205" t="s">
        <v>279</v>
      </c>
      <c r="AH88" s="208">
        <v>0</v>
      </c>
      <c r="AI88" s="208">
        <v>10.02</v>
      </c>
      <c r="AJ88" s="208">
        <v>0</v>
      </c>
      <c r="AK88" s="205" t="str">
        <f t="shared" si="2"/>
        <v>1.00000000</v>
      </c>
      <c r="AL88" s="205">
        <v>48.8</v>
      </c>
    </row>
    <row r="89" spans="1:38" s="205" customFormat="1" x14ac:dyDescent="0.2">
      <c r="A89" s="205" t="str">
        <f>"0496002595718"</f>
        <v>0496002595718</v>
      </c>
      <c r="B89" s="205">
        <v>2</v>
      </c>
      <c r="C89" s="205" t="s">
        <v>859</v>
      </c>
      <c r="D89" s="205">
        <v>48</v>
      </c>
      <c r="E89" s="205">
        <v>48</v>
      </c>
      <c r="F89" s="205" t="s">
        <v>243</v>
      </c>
      <c r="G89" s="205">
        <v>2972</v>
      </c>
      <c r="H89" s="205" t="s">
        <v>270</v>
      </c>
      <c r="I89" s="205">
        <v>11425</v>
      </c>
      <c r="J89" s="206">
        <v>42342</v>
      </c>
      <c r="K89" s="207">
        <v>0.61041666666666672</v>
      </c>
      <c r="L89" s="206">
        <v>42346</v>
      </c>
      <c r="M89" s="205" t="s">
        <v>853</v>
      </c>
      <c r="N89" s="205" t="s">
        <v>272</v>
      </c>
      <c r="O89" s="205" t="s">
        <v>273</v>
      </c>
      <c r="P89" s="205" t="s">
        <v>274</v>
      </c>
      <c r="Q89" s="205" t="s">
        <v>275</v>
      </c>
      <c r="R89" s="205" t="s">
        <v>276</v>
      </c>
      <c r="S89" s="205" t="s">
        <v>436</v>
      </c>
      <c r="T89" s="205" t="s">
        <v>859</v>
      </c>
      <c r="U89" s="205">
        <v>2972</v>
      </c>
      <c r="V89" s="205" t="s">
        <v>859</v>
      </c>
      <c r="W89" s="205" t="s">
        <v>280</v>
      </c>
      <c r="X89" s="205">
        <v>18.056000000000001</v>
      </c>
      <c r="Y89" s="208">
        <v>-0.54</v>
      </c>
      <c r="Z89" s="208">
        <v>2.1</v>
      </c>
      <c r="AA89" s="208">
        <v>37.9</v>
      </c>
      <c r="AB89" s="208">
        <v>-3.3</v>
      </c>
      <c r="AC89" s="208">
        <v>0</v>
      </c>
      <c r="AD89" s="208">
        <v>0</v>
      </c>
      <c r="AE89" s="208">
        <v>34.06</v>
      </c>
      <c r="AF89" s="208">
        <v>-4.33</v>
      </c>
      <c r="AG89" s="205" t="s">
        <v>279</v>
      </c>
      <c r="AH89" s="208">
        <v>0</v>
      </c>
      <c r="AI89" s="208">
        <v>37.9</v>
      </c>
      <c r="AJ89" s="208">
        <v>0</v>
      </c>
      <c r="AK89" s="205" t="str">
        <f t="shared" si="2"/>
        <v>1.00000000</v>
      </c>
      <c r="AL89" s="205">
        <v>17.8</v>
      </c>
    </row>
    <row r="90" spans="1:38" s="205" customFormat="1" x14ac:dyDescent="0.2">
      <c r="A90" s="205" t="str">
        <f>"0496002595734"</f>
        <v>0496002595734</v>
      </c>
      <c r="B90" s="205">
        <v>1</v>
      </c>
      <c r="C90" s="205" t="s">
        <v>435</v>
      </c>
      <c r="D90" s="205">
        <v>81</v>
      </c>
      <c r="E90" s="205">
        <v>81</v>
      </c>
      <c r="F90" s="205" t="s">
        <v>243</v>
      </c>
      <c r="G90" s="205">
        <v>2086</v>
      </c>
      <c r="H90" s="205" t="s">
        <v>270</v>
      </c>
      <c r="I90" s="205">
        <v>39267</v>
      </c>
      <c r="J90" s="206">
        <v>42342</v>
      </c>
      <c r="K90" s="207">
        <v>0.9590277777777777</v>
      </c>
      <c r="L90" s="206">
        <v>42346</v>
      </c>
      <c r="M90" s="205" t="s">
        <v>853</v>
      </c>
      <c r="N90" s="205" t="s">
        <v>272</v>
      </c>
      <c r="O90" s="205" t="s">
        <v>273</v>
      </c>
      <c r="P90" s="205" t="s">
        <v>274</v>
      </c>
      <c r="Q90" s="205" t="s">
        <v>275</v>
      </c>
      <c r="R90" s="205" t="s">
        <v>276</v>
      </c>
      <c r="S90" s="205" t="s">
        <v>436</v>
      </c>
      <c r="T90" s="205" t="s">
        <v>435</v>
      </c>
      <c r="U90" s="205">
        <v>2086</v>
      </c>
      <c r="V90" s="205" t="s">
        <v>435</v>
      </c>
      <c r="W90" s="205" t="s">
        <v>280</v>
      </c>
      <c r="X90" s="205">
        <v>14.702</v>
      </c>
      <c r="Y90" s="208">
        <v>-0.44</v>
      </c>
      <c r="Z90" s="208">
        <v>2.1</v>
      </c>
      <c r="AA90" s="208">
        <v>30.86</v>
      </c>
      <c r="AB90" s="208">
        <v>-2.69</v>
      </c>
      <c r="AC90" s="208">
        <v>0</v>
      </c>
      <c r="AD90" s="208">
        <v>0</v>
      </c>
      <c r="AE90" s="208">
        <v>27.73</v>
      </c>
      <c r="AF90" s="208">
        <v>-3.53</v>
      </c>
      <c r="AG90" s="205" t="s">
        <v>279</v>
      </c>
      <c r="AH90" s="208">
        <v>0</v>
      </c>
      <c r="AI90" s="208">
        <v>30.86</v>
      </c>
      <c r="AJ90" s="208">
        <v>0</v>
      </c>
      <c r="AK90" s="205" t="str">
        <f t="shared" si="2"/>
        <v>1.00000000</v>
      </c>
      <c r="AL90" s="205">
        <v>17.600000000000001</v>
      </c>
    </row>
    <row r="91" spans="1:38" s="205" customFormat="1" x14ac:dyDescent="0.2">
      <c r="A91" s="205" t="str">
        <f>"0496002595734"</f>
        <v>0496002595734</v>
      </c>
      <c r="B91" s="205">
        <v>3</v>
      </c>
      <c r="C91" s="205" t="s">
        <v>435</v>
      </c>
      <c r="D91" s="205">
        <v>82</v>
      </c>
      <c r="E91" s="205">
        <v>82</v>
      </c>
      <c r="F91" s="205" t="s">
        <v>243</v>
      </c>
      <c r="G91" s="205">
        <v>2086</v>
      </c>
      <c r="H91" s="205" t="s">
        <v>270</v>
      </c>
      <c r="I91" s="205">
        <v>31161</v>
      </c>
      <c r="J91" s="206">
        <v>42342</v>
      </c>
      <c r="K91" s="207">
        <v>0.68611111111111101</v>
      </c>
      <c r="L91" s="206">
        <v>42346</v>
      </c>
      <c r="M91" s="205" t="s">
        <v>853</v>
      </c>
      <c r="N91" s="205" t="s">
        <v>272</v>
      </c>
      <c r="O91" s="205" t="s">
        <v>273</v>
      </c>
      <c r="P91" s="205" t="s">
        <v>274</v>
      </c>
      <c r="Q91" s="205" t="s">
        <v>275</v>
      </c>
      <c r="R91" s="205" t="s">
        <v>276</v>
      </c>
      <c r="S91" s="205" t="s">
        <v>436</v>
      </c>
      <c r="T91" s="205" t="s">
        <v>435</v>
      </c>
      <c r="U91" s="205">
        <v>2086</v>
      </c>
      <c r="V91" s="205" t="s">
        <v>435</v>
      </c>
      <c r="W91" s="205" t="s">
        <v>280</v>
      </c>
      <c r="X91" s="205">
        <v>8.4039999999999999</v>
      </c>
      <c r="Y91" s="208">
        <v>-0.25</v>
      </c>
      <c r="Z91" s="208">
        <v>2.1</v>
      </c>
      <c r="AA91" s="208">
        <v>17.64</v>
      </c>
      <c r="AB91" s="208">
        <v>-1.54</v>
      </c>
      <c r="AC91" s="208">
        <v>0</v>
      </c>
      <c r="AD91" s="208">
        <v>0</v>
      </c>
      <c r="AE91" s="208">
        <v>15.85</v>
      </c>
      <c r="AF91" s="208">
        <v>-2.02</v>
      </c>
      <c r="AG91" s="205" t="s">
        <v>279</v>
      </c>
      <c r="AH91" s="208">
        <v>0</v>
      </c>
      <c r="AI91" s="208">
        <v>17.64</v>
      </c>
      <c r="AJ91" s="208">
        <v>0</v>
      </c>
      <c r="AK91" s="205" t="str">
        <f t="shared" si="2"/>
        <v>1.00000000</v>
      </c>
      <c r="AL91" s="205">
        <v>19.600000000000001</v>
      </c>
    </row>
    <row r="92" spans="1:38" s="205" customFormat="1" x14ac:dyDescent="0.2">
      <c r="A92" s="205" t="str">
        <f>"0496002595700"</f>
        <v>0496002595700</v>
      </c>
      <c r="B92" s="205">
        <v>1</v>
      </c>
      <c r="C92" s="205" t="s">
        <v>156</v>
      </c>
      <c r="D92" s="205" t="s">
        <v>269</v>
      </c>
      <c r="E92" s="205" t="s">
        <v>269</v>
      </c>
      <c r="F92" s="205" t="s">
        <v>243</v>
      </c>
      <c r="G92" s="205">
        <v>2262</v>
      </c>
      <c r="H92" s="205" t="s">
        <v>270</v>
      </c>
      <c r="I92" s="205">
        <v>6293</v>
      </c>
      <c r="J92" s="206">
        <v>42343</v>
      </c>
      <c r="K92" s="207">
        <v>0.73749999999999993</v>
      </c>
      <c r="L92" s="206">
        <v>42346</v>
      </c>
      <c r="M92" s="205" t="s">
        <v>853</v>
      </c>
      <c r="N92" s="205" t="s">
        <v>272</v>
      </c>
      <c r="O92" s="205" t="s">
        <v>273</v>
      </c>
      <c r="P92" s="205" t="s">
        <v>274</v>
      </c>
      <c r="Q92" s="205" t="s">
        <v>275</v>
      </c>
      <c r="R92" s="205" t="s">
        <v>276</v>
      </c>
      <c r="S92" s="205" t="s">
        <v>156</v>
      </c>
      <c r="T92" s="205" t="s">
        <v>277</v>
      </c>
      <c r="U92" s="205">
        <v>2262</v>
      </c>
      <c r="V92" s="205" t="s">
        <v>156</v>
      </c>
      <c r="W92" s="205" t="s">
        <v>278</v>
      </c>
      <c r="X92" s="205">
        <v>5.3540000000000001</v>
      </c>
      <c r="Y92" s="208">
        <v>-0.16</v>
      </c>
      <c r="Z92" s="208">
        <v>2.4700000000000002</v>
      </c>
      <c r="AA92" s="208">
        <v>13.22</v>
      </c>
      <c r="AB92" s="208">
        <v>-0.98</v>
      </c>
      <c r="AC92" s="208">
        <v>0</v>
      </c>
      <c r="AD92" s="208">
        <v>0</v>
      </c>
      <c r="AE92" s="208">
        <v>12.08</v>
      </c>
      <c r="AF92" s="208">
        <v>-1.28</v>
      </c>
      <c r="AG92" s="205" t="s">
        <v>279</v>
      </c>
      <c r="AH92" s="208">
        <v>0</v>
      </c>
      <c r="AI92" s="208">
        <v>13.22</v>
      </c>
      <c r="AJ92" s="208">
        <v>0</v>
      </c>
      <c r="AK92" s="205" t="str">
        <f t="shared" si="2"/>
        <v>1.00000000</v>
      </c>
      <c r="AL92" s="205">
        <v>1175.4000000000001</v>
      </c>
    </row>
    <row r="93" spans="1:38" s="205" customFormat="1" x14ac:dyDescent="0.2">
      <c r="A93" s="205" t="str">
        <f>"0496002595718"</f>
        <v>0496002595718</v>
      </c>
      <c r="B93" s="205">
        <v>5</v>
      </c>
      <c r="C93" s="205" t="s">
        <v>859</v>
      </c>
      <c r="D93" s="205">
        <v>45</v>
      </c>
      <c r="E93" s="205">
        <v>45</v>
      </c>
      <c r="F93" s="205" t="s">
        <v>243</v>
      </c>
      <c r="G93" s="205">
        <v>2972</v>
      </c>
      <c r="H93" s="205" t="s">
        <v>270</v>
      </c>
      <c r="I93" s="205">
        <v>7587</v>
      </c>
      <c r="J93" s="206">
        <v>42343</v>
      </c>
      <c r="K93" s="207">
        <v>0.63541666666666663</v>
      </c>
      <c r="L93" s="206">
        <v>42346</v>
      </c>
      <c r="M93" s="205" t="s">
        <v>853</v>
      </c>
      <c r="N93" s="205" t="s">
        <v>272</v>
      </c>
      <c r="O93" s="205" t="s">
        <v>273</v>
      </c>
      <c r="P93" s="205" t="s">
        <v>274</v>
      </c>
      <c r="Q93" s="205" t="s">
        <v>275</v>
      </c>
      <c r="R93" s="205" t="s">
        <v>276</v>
      </c>
      <c r="S93" s="205" t="s">
        <v>436</v>
      </c>
      <c r="T93" s="205" t="s">
        <v>859</v>
      </c>
      <c r="U93" s="205">
        <v>2972</v>
      </c>
      <c r="V93" s="205" t="s">
        <v>859</v>
      </c>
      <c r="W93" s="205" t="s">
        <v>280</v>
      </c>
      <c r="X93" s="205">
        <v>14.906000000000001</v>
      </c>
      <c r="Y93" s="208">
        <v>-0.45</v>
      </c>
      <c r="Z93" s="208">
        <v>2.09</v>
      </c>
      <c r="AA93" s="208">
        <v>31.14</v>
      </c>
      <c r="AB93" s="208">
        <v>-2.73</v>
      </c>
      <c r="AC93" s="208">
        <v>0</v>
      </c>
      <c r="AD93" s="208">
        <v>0</v>
      </c>
      <c r="AE93" s="208">
        <v>27.96</v>
      </c>
      <c r="AF93" s="208">
        <v>-3.58</v>
      </c>
      <c r="AG93" s="205" t="s">
        <v>279</v>
      </c>
      <c r="AH93" s="208">
        <v>0</v>
      </c>
      <c r="AI93" s="208">
        <v>31.14</v>
      </c>
      <c r="AJ93" s="208">
        <v>0</v>
      </c>
      <c r="AK93" s="205" t="str">
        <f t="shared" si="2"/>
        <v>1.00000000</v>
      </c>
      <c r="AL93" s="205">
        <v>20.100000000000001</v>
      </c>
    </row>
    <row r="94" spans="1:38" s="205" customFormat="1" x14ac:dyDescent="0.2">
      <c r="A94" s="205" t="str">
        <f>"0496002595734"</f>
        <v>0496002595734</v>
      </c>
      <c r="B94" s="205">
        <v>2</v>
      </c>
      <c r="C94" s="205" t="s">
        <v>435</v>
      </c>
      <c r="D94" s="205">
        <v>80</v>
      </c>
      <c r="E94" s="205">
        <v>80</v>
      </c>
      <c r="F94" s="205" t="s">
        <v>243</v>
      </c>
      <c r="G94" s="205">
        <v>2086</v>
      </c>
      <c r="H94" s="205" t="s">
        <v>270</v>
      </c>
      <c r="I94" s="205">
        <v>807602</v>
      </c>
      <c r="J94" s="206">
        <v>42343</v>
      </c>
      <c r="K94" s="207">
        <v>0.75624999999999998</v>
      </c>
      <c r="L94" s="206">
        <v>42346</v>
      </c>
      <c r="M94" s="205" t="s">
        <v>294</v>
      </c>
      <c r="N94" s="205" t="s">
        <v>379</v>
      </c>
      <c r="O94" s="205" t="s">
        <v>880</v>
      </c>
      <c r="P94" s="205" t="s">
        <v>881</v>
      </c>
      <c r="Q94" s="205" t="s">
        <v>275</v>
      </c>
      <c r="R94" s="205">
        <v>1438</v>
      </c>
      <c r="S94" s="205" t="s">
        <v>436</v>
      </c>
      <c r="T94" s="205" t="s">
        <v>435</v>
      </c>
      <c r="U94" s="205">
        <v>2086</v>
      </c>
      <c r="V94" s="205" t="s">
        <v>435</v>
      </c>
      <c r="W94" s="205" t="s">
        <v>280</v>
      </c>
      <c r="X94" s="205">
        <v>12.5</v>
      </c>
      <c r="Y94" s="208">
        <v>0</v>
      </c>
      <c r="Z94" s="208">
        <v>2.06</v>
      </c>
      <c r="AA94" s="208">
        <v>25.74</v>
      </c>
      <c r="AB94" s="208">
        <v>-2.29</v>
      </c>
      <c r="AC94" s="208">
        <v>0</v>
      </c>
      <c r="AD94" s="208">
        <v>0</v>
      </c>
      <c r="AE94" s="208">
        <v>23.45</v>
      </c>
      <c r="AF94" s="208">
        <v>-3</v>
      </c>
      <c r="AG94" s="205" t="s">
        <v>279</v>
      </c>
      <c r="AH94" s="208">
        <v>0</v>
      </c>
      <c r="AI94" s="208">
        <v>25.74</v>
      </c>
      <c r="AJ94" s="208">
        <v>0</v>
      </c>
      <c r="AK94" s="205" t="str">
        <f t="shared" si="2"/>
        <v>1.00000000</v>
      </c>
      <c r="AL94" s="205">
        <v>61595.4</v>
      </c>
    </row>
    <row r="95" spans="1:38" s="205" customFormat="1" x14ac:dyDescent="0.2">
      <c r="A95" s="205" t="str">
        <f>"0496002595734"</f>
        <v>0496002595734</v>
      </c>
      <c r="B95" s="205">
        <v>3</v>
      </c>
      <c r="C95" s="205" t="s">
        <v>435</v>
      </c>
      <c r="D95" s="205">
        <v>82</v>
      </c>
      <c r="E95" s="205">
        <v>82</v>
      </c>
      <c r="F95" s="205" t="s">
        <v>243</v>
      </c>
      <c r="G95" s="205">
        <v>2086</v>
      </c>
      <c r="H95" s="205" t="s">
        <v>270</v>
      </c>
      <c r="I95" s="205">
        <v>31377</v>
      </c>
      <c r="J95" s="206">
        <v>42343</v>
      </c>
      <c r="K95" s="207">
        <v>0.65902777777777777</v>
      </c>
      <c r="L95" s="206">
        <v>42346</v>
      </c>
      <c r="M95" s="205" t="s">
        <v>853</v>
      </c>
      <c r="N95" s="205" t="s">
        <v>882</v>
      </c>
      <c r="O95" s="205" t="s">
        <v>883</v>
      </c>
      <c r="P95" s="205" t="s">
        <v>884</v>
      </c>
      <c r="Q95" s="205" t="s">
        <v>466</v>
      </c>
      <c r="R95" s="205" t="s">
        <v>885</v>
      </c>
      <c r="S95" s="205" t="s">
        <v>436</v>
      </c>
      <c r="T95" s="205" t="s">
        <v>435</v>
      </c>
      <c r="U95" s="205">
        <v>2086</v>
      </c>
      <c r="V95" s="205" t="s">
        <v>435</v>
      </c>
      <c r="W95" s="205" t="s">
        <v>280</v>
      </c>
      <c r="X95" s="205">
        <v>10.991</v>
      </c>
      <c r="Y95" s="208">
        <v>-0.22</v>
      </c>
      <c r="Z95" s="208">
        <v>2.16</v>
      </c>
      <c r="AA95" s="208">
        <v>23.73</v>
      </c>
      <c r="AB95" s="208">
        <v>-2.0099999999999998</v>
      </c>
      <c r="AC95" s="208">
        <v>0</v>
      </c>
      <c r="AD95" s="208">
        <v>0</v>
      </c>
      <c r="AE95" s="208">
        <v>21.5</v>
      </c>
      <c r="AF95" s="208">
        <v>-2.44</v>
      </c>
      <c r="AG95" s="205" t="s">
        <v>279</v>
      </c>
      <c r="AH95" s="208">
        <v>0</v>
      </c>
      <c r="AI95" s="208">
        <v>23.73</v>
      </c>
      <c r="AJ95" s="208">
        <v>0</v>
      </c>
      <c r="AK95" s="205" t="str">
        <f t="shared" si="2"/>
        <v>1.00000000</v>
      </c>
      <c r="AL95" s="205">
        <v>19.600000000000001</v>
      </c>
    </row>
    <row r="96" spans="1:38" s="205" customFormat="1" x14ac:dyDescent="0.2">
      <c r="A96" s="205" t="str">
        <f>"0496002595734"</f>
        <v>0496002595734</v>
      </c>
      <c r="B96" s="205">
        <v>2</v>
      </c>
      <c r="C96" s="205" t="s">
        <v>435</v>
      </c>
      <c r="D96" s="205">
        <v>80</v>
      </c>
      <c r="E96" s="205">
        <v>80</v>
      </c>
      <c r="F96" s="205" t="s">
        <v>243</v>
      </c>
      <c r="G96" s="205">
        <v>2086</v>
      </c>
      <c r="H96" s="205" t="s">
        <v>270</v>
      </c>
      <c r="I96" s="205">
        <v>38266</v>
      </c>
      <c r="J96" s="206">
        <v>42344</v>
      </c>
      <c r="K96" s="207">
        <v>0.69236111111111109</v>
      </c>
      <c r="L96" s="206">
        <v>42346</v>
      </c>
      <c r="M96" s="205" t="s">
        <v>853</v>
      </c>
      <c r="N96" s="205" t="s">
        <v>352</v>
      </c>
      <c r="O96" s="205" t="s">
        <v>353</v>
      </c>
      <c r="P96" s="205" t="s">
        <v>343</v>
      </c>
      <c r="Q96" s="205" t="s">
        <v>275</v>
      </c>
      <c r="R96" s="205" t="s">
        <v>602</v>
      </c>
      <c r="S96" s="205" t="s">
        <v>436</v>
      </c>
      <c r="T96" s="205" t="s">
        <v>435</v>
      </c>
      <c r="U96" s="205">
        <v>2086</v>
      </c>
      <c r="V96" s="205" t="s">
        <v>435</v>
      </c>
      <c r="W96" s="205" t="s">
        <v>280</v>
      </c>
      <c r="X96" s="205">
        <v>5.8209999999999997</v>
      </c>
      <c r="Y96" s="208">
        <v>-0.17</v>
      </c>
      <c r="Z96" s="208">
        <v>2.1</v>
      </c>
      <c r="AA96" s="208">
        <v>12.22</v>
      </c>
      <c r="AB96" s="208">
        <v>-1.07</v>
      </c>
      <c r="AC96" s="208">
        <v>0</v>
      </c>
      <c r="AD96" s="208">
        <v>0</v>
      </c>
      <c r="AE96" s="208">
        <v>10.98</v>
      </c>
      <c r="AF96" s="208">
        <v>-1.4</v>
      </c>
      <c r="AG96" s="205" t="s">
        <v>279</v>
      </c>
      <c r="AH96" s="208">
        <v>0</v>
      </c>
      <c r="AI96" s="208">
        <v>12.22</v>
      </c>
      <c r="AJ96" s="208">
        <v>0</v>
      </c>
      <c r="AK96" s="205" t="str">
        <f t="shared" si="2"/>
        <v>1.00000000</v>
      </c>
      <c r="AL96" s="205">
        <v>0</v>
      </c>
    </row>
    <row r="97" spans="1:38" s="205" customFormat="1" x14ac:dyDescent="0.2">
      <c r="A97" s="205" t="str">
        <f>"0496002599173"</f>
        <v>0496002599173</v>
      </c>
      <c r="B97" s="205">
        <v>3</v>
      </c>
      <c r="C97" s="205" t="s">
        <v>585</v>
      </c>
      <c r="D97" s="205" t="s">
        <v>628</v>
      </c>
      <c r="E97" s="205" t="s">
        <v>628</v>
      </c>
      <c r="F97" s="205" t="s">
        <v>243</v>
      </c>
      <c r="G97" s="205">
        <v>5738</v>
      </c>
      <c r="H97" s="205" t="s">
        <v>270</v>
      </c>
      <c r="I97" s="205">
        <v>102978</v>
      </c>
      <c r="J97" s="206">
        <v>42344</v>
      </c>
      <c r="K97" s="207">
        <v>0.56458333333333333</v>
      </c>
      <c r="L97" s="206">
        <v>42346</v>
      </c>
      <c r="M97" s="205" t="s">
        <v>853</v>
      </c>
      <c r="N97" s="205" t="s">
        <v>454</v>
      </c>
      <c r="O97" s="205" t="s">
        <v>886</v>
      </c>
      <c r="P97" s="205" t="s">
        <v>778</v>
      </c>
      <c r="Q97" s="205" t="s">
        <v>275</v>
      </c>
      <c r="R97" s="205" t="s">
        <v>887</v>
      </c>
      <c r="S97" s="205" t="s">
        <v>436</v>
      </c>
      <c r="T97" s="205" t="s">
        <v>630</v>
      </c>
      <c r="U97" s="205">
        <v>5738</v>
      </c>
      <c r="V97" s="205" t="s">
        <v>585</v>
      </c>
      <c r="W97" s="205" t="s">
        <v>280</v>
      </c>
      <c r="X97" s="205">
        <v>25.06</v>
      </c>
      <c r="Y97" s="208">
        <v>-1.25</v>
      </c>
      <c r="Z97" s="208">
        <v>2.06</v>
      </c>
      <c r="AA97" s="208">
        <v>51.6</v>
      </c>
      <c r="AB97" s="208">
        <v>-4.59</v>
      </c>
      <c r="AC97" s="208">
        <v>0</v>
      </c>
      <c r="AD97" s="208">
        <v>0</v>
      </c>
      <c r="AE97" s="208">
        <v>45.76</v>
      </c>
      <c r="AF97" s="208">
        <v>-6.01</v>
      </c>
      <c r="AG97" s="205" t="s">
        <v>279</v>
      </c>
      <c r="AH97" s="208">
        <v>0</v>
      </c>
      <c r="AI97" s="208">
        <v>51.6</v>
      </c>
      <c r="AJ97" s="208">
        <v>0</v>
      </c>
      <c r="AK97" s="205" t="str">
        <f t="shared" si="2"/>
        <v>1.00000000</v>
      </c>
      <c r="AL97" s="205">
        <v>13</v>
      </c>
    </row>
    <row r="98" spans="1:38" s="205" customFormat="1" x14ac:dyDescent="0.2">
      <c r="A98" s="205" t="str">
        <f>"0496002595700"</f>
        <v>0496002595700</v>
      </c>
      <c r="B98" s="205">
        <v>4</v>
      </c>
      <c r="C98" s="205" t="s">
        <v>156</v>
      </c>
      <c r="D98" s="205">
        <v>85</v>
      </c>
      <c r="E98" s="205">
        <v>85</v>
      </c>
      <c r="F98" s="205" t="s">
        <v>243</v>
      </c>
      <c r="G98" s="205">
        <v>2262</v>
      </c>
      <c r="H98" s="205" t="s">
        <v>270</v>
      </c>
      <c r="I98" s="205">
        <v>65638</v>
      </c>
      <c r="J98" s="206">
        <v>42345</v>
      </c>
      <c r="K98" s="207">
        <v>0.4909722222222222</v>
      </c>
      <c r="L98" s="206">
        <v>42347</v>
      </c>
      <c r="M98" s="205" t="s">
        <v>302</v>
      </c>
      <c r="N98" s="205" t="s">
        <v>503</v>
      </c>
      <c r="O98" s="205" t="s">
        <v>541</v>
      </c>
      <c r="P98" s="205" t="s">
        <v>389</v>
      </c>
      <c r="Q98" s="205" t="s">
        <v>309</v>
      </c>
      <c r="R98" s="205" t="s">
        <v>888</v>
      </c>
      <c r="S98" s="205" t="s">
        <v>156</v>
      </c>
      <c r="T98" s="205" t="s">
        <v>277</v>
      </c>
      <c r="U98" s="205">
        <v>2262</v>
      </c>
      <c r="V98" s="205" t="s">
        <v>156</v>
      </c>
      <c r="W98" s="205" t="s">
        <v>280</v>
      </c>
      <c r="X98" s="205">
        <v>16.332000000000001</v>
      </c>
      <c r="Y98" s="208">
        <v>0</v>
      </c>
      <c r="Z98" s="208">
        <v>2.2599999999999998</v>
      </c>
      <c r="AA98" s="208">
        <v>36.89</v>
      </c>
      <c r="AB98" s="208">
        <v>-2.99</v>
      </c>
      <c r="AC98" s="208">
        <v>0</v>
      </c>
      <c r="AD98" s="208">
        <v>0</v>
      </c>
      <c r="AE98" s="208">
        <v>33.9</v>
      </c>
      <c r="AF98" s="208">
        <v>-4.08</v>
      </c>
      <c r="AG98" s="205" t="s">
        <v>279</v>
      </c>
      <c r="AH98" s="208">
        <v>0</v>
      </c>
      <c r="AI98" s="208">
        <v>36.89</v>
      </c>
      <c r="AJ98" s="208">
        <v>0</v>
      </c>
      <c r="AK98" s="205" t="str">
        <f t="shared" si="2"/>
        <v>1.00000000</v>
      </c>
      <c r="AL98" s="205">
        <v>19.600000000000001</v>
      </c>
    </row>
    <row r="99" spans="1:38" s="205" customFormat="1" x14ac:dyDescent="0.2">
      <c r="A99" s="205" t="str">
        <f>"0496002595718"</f>
        <v>0496002595718</v>
      </c>
      <c r="B99" s="205">
        <v>4</v>
      </c>
      <c r="C99" s="205" t="s">
        <v>859</v>
      </c>
      <c r="D99" s="205">
        <v>46</v>
      </c>
      <c r="E99" s="205">
        <v>46</v>
      </c>
      <c r="F99" s="205" t="s">
        <v>243</v>
      </c>
      <c r="G99" s="205">
        <v>2972</v>
      </c>
      <c r="H99" s="205" t="s">
        <v>270</v>
      </c>
      <c r="I99" s="205">
        <v>2972</v>
      </c>
      <c r="J99" s="206">
        <v>42345</v>
      </c>
      <c r="K99" s="207">
        <v>0.72069444444444442</v>
      </c>
      <c r="L99" s="206">
        <v>42347</v>
      </c>
      <c r="M99" s="205" t="s">
        <v>314</v>
      </c>
      <c r="N99" s="205" t="s">
        <v>415</v>
      </c>
      <c r="O99" s="205" t="s">
        <v>416</v>
      </c>
      <c r="P99" s="205" t="s">
        <v>417</v>
      </c>
      <c r="Q99" s="205" t="s">
        <v>275</v>
      </c>
      <c r="R99" s="205" t="s">
        <v>418</v>
      </c>
      <c r="S99" s="205" t="s">
        <v>436</v>
      </c>
      <c r="T99" s="205" t="s">
        <v>859</v>
      </c>
      <c r="U99" s="205">
        <v>2972</v>
      </c>
      <c r="V99" s="205" t="s">
        <v>859</v>
      </c>
      <c r="W99" s="205" t="s">
        <v>278</v>
      </c>
      <c r="X99" s="205">
        <v>14.532999999999999</v>
      </c>
      <c r="Y99" s="208">
        <v>0</v>
      </c>
      <c r="Z99" s="208">
        <v>2.4500000000000002</v>
      </c>
      <c r="AA99" s="208">
        <v>35.590000000000003</v>
      </c>
      <c r="AB99" s="208">
        <v>-2.66</v>
      </c>
      <c r="AC99" s="208">
        <v>0</v>
      </c>
      <c r="AD99" s="208">
        <v>0</v>
      </c>
      <c r="AE99" s="208">
        <v>32.93</v>
      </c>
      <c r="AF99" s="208">
        <v>-3.49</v>
      </c>
      <c r="AG99" s="205" t="s">
        <v>279</v>
      </c>
      <c r="AH99" s="208">
        <v>0</v>
      </c>
      <c r="AI99" s="208">
        <v>35.590000000000003</v>
      </c>
      <c r="AJ99" s="208">
        <v>0</v>
      </c>
      <c r="AK99" s="205" t="str">
        <f t="shared" si="2"/>
        <v>1.00000000</v>
      </c>
      <c r="AL99" s="205">
        <v>0</v>
      </c>
    </row>
    <row r="100" spans="1:38" s="205" customFormat="1" x14ac:dyDescent="0.2">
      <c r="A100" s="205" t="str">
        <f>"0496002595700"</f>
        <v>0496002595700</v>
      </c>
      <c r="B100" s="205">
        <v>3</v>
      </c>
      <c r="C100" s="205" t="s">
        <v>156</v>
      </c>
      <c r="D100" s="205">
        <v>41</v>
      </c>
      <c r="E100" s="205">
        <v>41</v>
      </c>
      <c r="F100" s="205" t="s">
        <v>243</v>
      </c>
      <c r="G100" s="205">
        <v>2262</v>
      </c>
      <c r="H100" s="205" t="s">
        <v>270</v>
      </c>
      <c r="I100" s="205">
        <v>76302</v>
      </c>
      <c r="J100" s="206">
        <v>42346</v>
      </c>
      <c r="K100" s="207">
        <v>0.76597222222222217</v>
      </c>
      <c r="L100" s="206">
        <v>42348</v>
      </c>
      <c r="M100" s="205" t="s">
        <v>853</v>
      </c>
      <c r="N100" s="205" t="s">
        <v>272</v>
      </c>
      <c r="O100" s="205" t="s">
        <v>273</v>
      </c>
      <c r="P100" s="205" t="s">
        <v>274</v>
      </c>
      <c r="Q100" s="205" t="s">
        <v>275</v>
      </c>
      <c r="R100" s="205" t="s">
        <v>276</v>
      </c>
      <c r="S100" s="205" t="s">
        <v>156</v>
      </c>
      <c r="T100" s="205" t="s">
        <v>277</v>
      </c>
      <c r="U100" s="205">
        <v>2262</v>
      </c>
      <c r="V100" s="205" t="s">
        <v>156</v>
      </c>
      <c r="W100" s="205" t="s">
        <v>280</v>
      </c>
      <c r="X100" s="205">
        <v>15.064</v>
      </c>
      <c r="Y100" s="208">
        <v>-0.45</v>
      </c>
      <c r="Z100" s="208">
        <v>2.09</v>
      </c>
      <c r="AA100" s="208">
        <v>31.47</v>
      </c>
      <c r="AB100" s="208">
        <v>-2.76</v>
      </c>
      <c r="AC100" s="208">
        <v>0</v>
      </c>
      <c r="AD100" s="208">
        <v>0</v>
      </c>
      <c r="AE100" s="208">
        <v>28.26</v>
      </c>
      <c r="AF100" s="208">
        <v>-3.62</v>
      </c>
      <c r="AG100" s="205" t="s">
        <v>279</v>
      </c>
      <c r="AH100" s="208">
        <v>0</v>
      </c>
      <c r="AI100" s="208">
        <v>31.47</v>
      </c>
      <c r="AJ100" s="208">
        <v>0</v>
      </c>
      <c r="AK100" s="205" t="str">
        <f t="shared" si="2"/>
        <v>1.00000000</v>
      </c>
      <c r="AL100" s="205">
        <v>50</v>
      </c>
    </row>
    <row r="101" spans="1:38" s="205" customFormat="1" x14ac:dyDescent="0.2">
      <c r="A101" s="205" t="str">
        <f>"0496002595734"</f>
        <v>0496002595734</v>
      </c>
      <c r="B101" s="205">
        <v>1</v>
      </c>
      <c r="C101" s="205" t="s">
        <v>435</v>
      </c>
      <c r="D101" s="205">
        <v>81</v>
      </c>
      <c r="E101" s="205">
        <v>81</v>
      </c>
      <c r="F101" s="205" t="s">
        <v>243</v>
      </c>
      <c r="G101" s="205">
        <v>2086</v>
      </c>
      <c r="H101" s="205" t="s">
        <v>270</v>
      </c>
      <c r="I101" s="205">
        <v>39441</v>
      </c>
      <c r="J101" s="206">
        <v>42346</v>
      </c>
      <c r="K101" s="207">
        <v>0.59444444444444444</v>
      </c>
      <c r="L101" s="206">
        <v>42348</v>
      </c>
      <c r="M101" s="205" t="s">
        <v>853</v>
      </c>
      <c r="N101" s="205" t="s">
        <v>272</v>
      </c>
      <c r="O101" s="205" t="s">
        <v>273</v>
      </c>
      <c r="P101" s="205" t="s">
        <v>274</v>
      </c>
      <c r="Q101" s="205" t="s">
        <v>275</v>
      </c>
      <c r="R101" s="205" t="s">
        <v>276</v>
      </c>
      <c r="S101" s="205" t="s">
        <v>436</v>
      </c>
      <c r="T101" s="205" t="s">
        <v>435</v>
      </c>
      <c r="U101" s="205">
        <v>2086</v>
      </c>
      <c r="V101" s="205" t="s">
        <v>435</v>
      </c>
      <c r="W101" s="205" t="s">
        <v>280</v>
      </c>
      <c r="X101" s="205">
        <v>11.986000000000001</v>
      </c>
      <c r="Y101" s="208">
        <v>-0.36</v>
      </c>
      <c r="Z101" s="208">
        <v>2.09</v>
      </c>
      <c r="AA101" s="208">
        <v>25.04</v>
      </c>
      <c r="AB101" s="208">
        <v>-2.19</v>
      </c>
      <c r="AC101" s="208">
        <v>0</v>
      </c>
      <c r="AD101" s="208">
        <v>0</v>
      </c>
      <c r="AE101" s="208">
        <v>22.49</v>
      </c>
      <c r="AF101" s="208">
        <v>-2.88</v>
      </c>
      <c r="AG101" s="205" t="s">
        <v>279</v>
      </c>
      <c r="AH101" s="208">
        <v>0</v>
      </c>
      <c r="AI101" s="208">
        <v>25.04</v>
      </c>
      <c r="AJ101" s="208">
        <v>0</v>
      </c>
      <c r="AK101" s="205" t="str">
        <f t="shared" si="2"/>
        <v>1.00000000</v>
      </c>
      <c r="AL101" s="205">
        <v>14.5</v>
      </c>
    </row>
    <row r="102" spans="1:38" s="205" customFormat="1" x14ac:dyDescent="0.2">
      <c r="A102" s="205" t="str">
        <f>"0496002599173"</f>
        <v>0496002599173</v>
      </c>
      <c r="B102" s="205">
        <v>3</v>
      </c>
      <c r="C102" s="205" t="s">
        <v>585</v>
      </c>
      <c r="D102" s="205" t="s">
        <v>628</v>
      </c>
      <c r="E102" s="205" t="s">
        <v>628</v>
      </c>
      <c r="F102" s="205" t="s">
        <v>243</v>
      </c>
      <c r="G102" s="205">
        <v>5738</v>
      </c>
      <c r="H102" s="205" t="s">
        <v>270</v>
      </c>
      <c r="I102" s="205">
        <v>103383</v>
      </c>
      <c r="J102" s="206">
        <v>42347</v>
      </c>
      <c r="K102" s="207">
        <v>0.63541666666666663</v>
      </c>
      <c r="L102" s="206">
        <v>42349</v>
      </c>
      <c r="M102" s="205" t="s">
        <v>606</v>
      </c>
      <c r="N102" s="205" t="s">
        <v>399</v>
      </c>
      <c r="O102" s="205" t="s">
        <v>400</v>
      </c>
      <c r="P102" s="205" t="s">
        <v>274</v>
      </c>
      <c r="Q102" s="205" t="s">
        <v>275</v>
      </c>
      <c r="R102" s="205" t="s">
        <v>401</v>
      </c>
      <c r="S102" s="205" t="s">
        <v>436</v>
      </c>
      <c r="T102" s="205" t="s">
        <v>630</v>
      </c>
      <c r="U102" s="205">
        <v>5738</v>
      </c>
      <c r="V102" s="205" t="s">
        <v>585</v>
      </c>
      <c r="W102" s="205" t="s">
        <v>280</v>
      </c>
      <c r="X102" s="205">
        <v>27.917000000000002</v>
      </c>
      <c r="Y102" s="208">
        <v>0</v>
      </c>
      <c r="Z102" s="208">
        <v>2.1</v>
      </c>
      <c r="AA102" s="208">
        <v>58.6</v>
      </c>
      <c r="AB102" s="208">
        <v>-5.1100000000000003</v>
      </c>
      <c r="AC102" s="208">
        <v>0</v>
      </c>
      <c r="AD102" s="208">
        <v>0</v>
      </c>
      <c r="AE102" s="208">
        <v>53.49</v>
      </c>
      <c r="AF102" s="208">
        <v>-6.7</v>
      </c>
      <c r="AG102" s="205" t="s">
        <v>279</v>
      </c>
      <c r="AH102" s="208">
        <v>0</v>
      </c>
      <c r="AI102" s="208">
        <v>58.6</v>
      </c>
      <c r="AJ102" s="208">
        <v>0</v>
      </c>
      <c r="AK102" s="205" t="str">
        <f t="shared" si="2"/>
        <v>1.00000000</v>
      </c>
      <c r="AL102" s="205">
        <v>14.5</v>
      </c>
    </row>
    <row r="103" spans="1:38" s="205" customFormat="1" x14ac:dyDescent="0.2">
      <c r="A103" s="205" t="str">
        <f>"0496002595700"</f>
        <v>0496002595700</v>
      </c>
      <c r="B103" s="205">
        <v>3</v>
      </c>
      <c r="C103" s="205" t="s">
        <v>156</v>
      </c>
      <c r="D103" s="205">
        <v>41</v>
      </c>
      <c r="E103" s="205">
        <v>41</v>
      </c>
      <c r="F103" s="205" t="s">
        <v>243</v>
      </c>
      <c r="G103" s="205">
        <v>2262</v>
      </c>
      <c r="H103" s="205" t="s">
        <v>270</v>
      </c>
      <c r="I103" s="205">
        <v>76695</v>
      </c>
      <c r="J103" s="206">
        <v>42348</v>
      </c>
      <c r="K103" s="207">
        <v>0.37847222222222227</v>
      </c>
      <c r="L103" s="206">
        <v>42349</v>
      </c>
      <c r="M103" s="205" t="s">
        <v>889</v>
      </c>
      <c r="N103" s="205" t="s">
        <v>890</v>
      </c>
      <c r="O103" s="205" t="s">
        <v>891</v>
      </c>
      <c r="P103" s="205" t="s">
        <v>892</v>
      </c>
      <c r="Q103" s="205" t="s">
        <v>412</v>
      </c>
      <c r="R103" s="205" t="s">
        <v>893</v>
      </c>
      <c r="S103" s="205" t="s">
        <v>156</v>
      </c>
      <c r="T103" s="205" t="s">
        <v>277</v>
      </c>
      <c r="U103" s="205">
        <v>2262</v>
      </c>
      <c r="V103" s="205" t="s">
        <v>156</v>
      </c>
      <c r="W103" s="205" t="s">
        <v>280</v>
      </c>
      <c r="X103" s="205">
        <v>17.998999999999999</v>
      </c>
      <c r="Y103" s="208">
        <v>0</v>
      </c>
      <c r="Z103" s="208">
        <v>1.96</v>
      </c>
      <c r="AA103" s="208">
        <v>35.26</v>
      </c>
      <c r="AB103" s="208">
        <v>-3.29</v>
      </c>
      <c r="AC103" s="208">
        <v>0</v>
      </c>
      <c r="AD103" s="208">
        <v>0</v>
      </c>
      <c r="AE103" s="208">
        <v>31.97</v>
      </c>
      <c r="AF103" s="208">
        <v>-5.78</v>
      </c>
      <c r="AG103" s="205" t="s">
        <v>279</v>
      </c>
      <c r="AH103" s="208">
        <v>0</v>
      </c>
      <c r="AI103" s="208">
        <v>35.26</v>
      </c>
      <c r="AJ103" s="208">
        <v>0</v>
      </c>
      <c r="AK103" s="205" t="str">
        <f t="shared" si="2"/>
        <v>1.00000000</v>
      </c>
      <c r="AL103" s="205">
        <v>21.8</v>
      </c>
    </row>
    <row r="104" spans="1:38" s="205" customFormat="1" x14ac:dyDescent="0.2">
      <c r="A104" s="205" t="str">
        <f>"0496002595700"</f>
        <v>0496002595700</v>
      </c>
      <c r="B104" s="205">
        <v>4</v>
      </c>
      <c r="C104" s="205" t="s">
        <v>156</v>
      </c>
      <c r="D104" s="205">
        <v>85</v>
      </c>
      <c r="E104" s="205">
        <v>85</v>
      </c>
      <c r="F104" s="205" t="s">
        <v>243</v>
      </c>
      <c r="G104" s="205">
        <v>2262</v>
      </c>
      <c r="H104" s="205" t="s">
        <v>270</v>
      </c>
      <c r="I104" s="205">
        <v>65840</v>
      </c>
      <c r="J104" s="206">
        <v>42349</v>
      </c>
      <c r="K104" s="207">
        <v>0.38750000000000001</v>
      </c>
      <c r="L104" s="206">
        <v>42353</v>
      </c>
      <c r="M104" s="205" t="s">
        <v>853</v>
      </c>
      <c r="N104" s="205" t="s">
        <v>272</v>
      </c>
      <c r="O104" s="205" t="s">
        <v>273</v>
      </c>
      <c r="P104" s="205" t="s">
        <v>274</v>
      </c>
      <c r="Q104" s="205" t="s">
        <v>275</v>
      </c>
      <c r="R104" s="205" t="s">
        <v>276</v>
      </c>
      <c r="S104" s="205" t="s">
        <v>156</v>
      </c>
      <c r="T104" s="205" t="s">
        <v>277</v>
      </c>
      <c r="U104" s="205">
        <v>2262</v>
      </c>
      <c r="V104" s="205" t="s">
        <v>156</v>
      </c>
      <c r="W104" s="205" t="s">
        <v>280</v>
      </c>
      <c r="X104" s="205">
        <v>8.5289999999999999</v>
      </c>
      <c r="Y104" s="208">
        <v>-0.26</v>
      </c>
      <c r="Z104" s="208">
        <v>2.09</v>
      </c>
      <c r="AA104" s="208">
        <v>17.809999999999999</v>
      </c>
      <c r="AB104" s="208">
        <v>-1.56</v>
      </c>
      <c r="AC104" s="208">
        <v>0</v>
      </c>
      <c r="AD104" s="208">
        <v>0</v>
      </c>
      <c r="AE104" s="208">
        <v>15.99</v>
      </c>
      <c r="AF104" s="208">
        <v>-2.0499999999999998</v>
      </c>
      <c r="AG104" s="205" t="s">
        <v>279</v>
      </c>
      <c r="AH104" s="208">
        <v>0</v>
      </c>
      <c r="AI104" s="208">
        <v>17.809999999999999</v>
      </c>
      <c r="AJ104" s="208">
        <v>0</v>
      </c>
      <c r="AK104" s="205" t="str">
        <f t="shared" si="2"/>
        <v>1.00000000</v>
      </c>
      <c r="AL104" s="205">
        <v>23.7</v>
      </c>
    </row>
    <row r="105" spans="1:38" s="205" customFormat="1" x14ac:dyDescent="0.2">
      <c r="A105" s="205" t="str">
        <f>"0496002595700"</f>
        <v>0496002595700</v>
      </c>
      <c r="B105" s="205">
        <v>6</v>
      </c>
      <c r="C105" s="205" t="s">
        <v>156</v>
      </c>
      <c r="D105" s="205" t="s">
        <v>344</v>
      </c>
      <c r="E105" s="205" t="s">
        <v>345</v>
      </c>
      <c r="F105" s="205" t="s">
        <v>243</v>
      </c>
      <c r="G105" s="205">
        <v>2262</v>
      </c>
      <c r="H105" s="205" t="s">
        <v>270</v>
      </c>
      <c r="I105" s="205">
        <v>43791</v>
      </c>
      <c r="J105" s="206">
        <v>42349</v>
      </c>
      <c r="K105" s="207">
        <v>0.56388888888888888</v>
      </c>
      <c r="L105" s="206">
        <v>42353</v>
      </c>
      <c r="M105" s="205" t="s">
        <v>853</v>
      </c>
      <c r="N105" s="205" t="s">
        <v>272</v>
      </c>
      <c r="O105" s="205" t="s">
        <v>273</v>
      </c>
      <c r="P105" s="205" t="s">
        <v>274</v>
      </c>
      <c r="Q105" s="205" t="s">
        <v>275</v>
      </c>
      <c r="R105" s="205" t="s">
        <v>276</v>
      </c>
      <c r="S105" s="205" t="s">
        <v>156</v>
      </c>
      <c r="T105" s="205" t="s">
        <v>277</v>
      </c>
      <c r="U105" s="205">
        <v>2262</v>
      </c>
      <c r="V105" s="205" t="s">
        <v>156</v>
      </c>
      <c r="W105" s="205" t="s">
        <v>335</v>
      </c>
      <c r="X105" s="205">
        <v>4.1849999999999996</v>
      </c>
      <c r="Y105" s="208">
        <v>-0.13</v>
      </c>
      <c r="Z105" s="208">
        <v>2.3199999999999998</v>
      </c>
      <c r="AA105" s="208">
        <v>9.7100000000000009</v>
      </c>
      <c r="AB105" s="208">
        <v>-0.77</v>
      </c>
      <c r="AC105" s="208">
        <v>0</v>
      </c>
      <c r="AD105" s="208">
        <v>0</v>
      </c>
      <c r="AE105" s="208">
        <v>8.81</v>
      </c>
      <c r="AF105" s="208">
        <v>-1</v>
      </c>
      <c r="AG105" s="205" t="s">
        <v>279</v>
      </c>
      <c r="AH105" s="208">
        <v>0</v>
      </c>
      <c r="AI105" s="208">
        <v>9.7100000000000009</v>
      </c>
      <c r="AJ105" s="208">
        <v>0</v>
      </c>
      <c r="AK105" s="205" t="str">
        <f t="shared" si="2"/>
        <v>1.00000000</v>
      </c>
      <c r="AL105" s="205">
        <v>0</v>
      </c>
    </row>
    <row r="106" spans="1:38" s="205" customFormat="1" x14ac:dyDescent="0.2">
      <c r="A106" s="205" t="str">
        <f>"0496002595734"</f>
        <v>0496002595734</v>
      </c>
      <c r="B106" s="205">
        <v>3</v>
      </c>
      <c r="C106" s="205" t="s">
        <v>435</v>
      </c>
      <c r="D106" s="205">
        <v>82</v>
      </c>
      <c r="E106" s="205">
        <v>82</v>
      </c>
      <c r="F106" s="205" t="s">
        <v>243</v>
      </c>
      <c r="G106" s="205">
        <v>2086</v>
      </c>
      <c r="H106" s="205" t="s">
        <v>270</v>
      </c>
      <c r="I106" s="205">
        <v>31649</v>
      </c>
      <c r="J106" s="206">
        <v>42349</v>
      </c>
      <c r="K106" s="207">
        <v>0.90416666666666667</v>
      </c>
      <c r="L106" s="206">
        <v>42353</v>
      </c>
      <c r="M106" s="205" t="s">
        <v>853</v>
      </c>
      <c r="N106" s="205" t="s">
        <v>272</v>
      </c>
      <c r="O106" s="205" t="s">
        <v>273</v>
      </c>
      <c r="P106" s="205" t="s">
        <v>274</v>
      </c>
      <c r="Q106" s="205" t="s">
        <v>275</v>
      </c>
      <c r="R106" s="205" t="s">
        <v>276</v>
      </c>
      <c r="S106" s="205" t="s">
        <v>436</v>
      </c>
      <c r="T106" s="205" t="s">
        <v>435</v>
      </c>
      <c r="U106" s="205">
        <v>2086</v>
      </c>
      <c r="V106" s="205" t="s">
        <v>435</v>
      </c>
      <c r="W106" s="205" t="s">
        <v>280</v>
      </c>
      <c r="X106" s="205">
        <v>15.135999999999999</v>
      </c>
      <c r="Y106" s="208">
        <v>-0.45</v>
      </c>
      <c r="Z106" s="208">
        <v>2.09</v>
      </c>
      <c r="AA106" s="208">
        <v>31.62</v>
      </c>
      <c r="AB106" s="208">
        <v>-2.77</v>
      </c>
      <c r="AC106" s="208">
        <v>0</v>
      </c>
      <c r="AD106" s="208">
        <v>0</v>
      </c>
      <c r="AE106" s="208">
        <v>28.4</v>
      </c>
      <c r="AF106" s="208">
        <v>-3.63</v>
      </c>
      <c r="AG106" s="205" t="s">
        <v>279</v>
      </c>
      <c r="AH106" s="208">
        <v>0</v>
      </c>
      <c r="AI106" s="208">
        <v>31.62</v>
      </c>
      <c r="AJ106" s="208">
        <v>0</v>
      </c>
      <c r="AK106" s="205" t="str">
        <f t="shared" si="2"/>
        <v>1.00000000</v>
      </c>
      <c r="AL106" s="205">
        <v>18</v>
      </c>
    </row>
    <row r="107" spans="1:38" s="205" customFormat="1" x14ac:dyDescent="0.2">
      <c r="A107" s="205" t="str">
        <f>"0496002595890"</f>
        <v>0496002595890</v>
      </c>
      <c r="B107" s="205">
        <v>1</v>
      </c>
      <c r="C107" s="205" t="s">
        <v>579</v>
      </c>
      <c r="D107" s="205">
        <v>12</v>
      </c>
      <c r="F107" s="205" t="s">
        <v>243</v>
      </c>
      <c r="G107" s="205">
        <v>2834</v>
      </c>
      <c r="H107" s="205" t="s">
        <v>270</v>
      </c>
      <c r="I107" s="205">
        <v>12796</v>
      </c>
      <c r="J107" s="206">
        <v>42349</v>
      </c>
      <c r="K107" s="207">
        <v>0.50763888888888886</v>
      </c>
      <c r="L107" s="206">
        <v>42353</v>
      </c>
      <c r="M107" s="205" t="s">
        <v>853</v>
      </c>
      <c r="N107" s="205" t="s">
        <v>272</v>
      </c>
      <c r="O107" s="205" t="s">
        <v>273</v>
      </c>
      <c r="P107" s="205" t="s">
        <v>274</v>
      </c>
      <c r="Q107" s="205" t="s">
        <v>275</v>
      </c>
      <c r="R107" s="205" t="s">
        <v>276</v>
      </c>
      <c r="S107" s="205" t="s">
        <v>436</v>
      </c>
      <c r="T107" s="205" t="s">
        <v>579</v>
      </c>
      <c r="U107" s="205">
        <v>2834</v>
      </c>
      <c r="V107" s="205" t="s">
        <v>579</v>
      </c>
      <c r="W107" s="205" t="s">
        <v>280</v>
      </c>
      <c r="X107" s="205">
        <v>25.931000000000001</v>
      </c>
      <c r="Y107" s="208">
        <v>-0.78</v>
      </c>
      <c r="Z107" s="208">
        <v>2.09</v>
      </c>
      <c r="AA107" s="208">
        <v>54.17</v>
      </c>
      <c r="AB107" s="208">
        <v>-4.75</v>
      </c>
      <c r="AC107" s="208">
        <v>0</v>
      </c>
      <c r="AD107" s="208">
        <v>0</v>
      </c>
      <c r="AE107" s="208">
        <v>48.64</v>
      </c>
      <c r="AF107" s="208">
        <v>-6.22</v>
      </c>
      <c r="AG107" s="205" t="s">
        <v>279</v>
      </c>
      <c r="AH107" s="208">
        <v>0</v>
      </c>
      <c r="AI107" s="208">
        <v>54.17</v>
      </c>
      <c r="AJ107" s="208">
        <v>0</v>
      </c>
      <c r="AK107" s="205" t="str">
        <f t="shared" si="2"/>
        <v>1.00000000</v>
      </c>
      <c r="AL107" s="205">
        <v>9.3000000000000007</v>
      </c>
    </row>
    <row r="108" spans="1:38" s="205" customFormat="1" x14ac:dyDescent="0.2">
      <c r="A108" s="205" t="str">
        <f>"0496002595734"</f>
        <v>0496002595734</v>
      </c>
      <c r="B108" s="205">
        <v>1</v>
      </c>
      <c r="C108" s="205" t="s">
        <v>435</v>
      </c>
      <c r="D108" s="205">
        <v>81</v>
      </c>
      <c r="E108" s="205">
        <v>81</v>
      </c>
      <c r="F108" s="205" t="s">
        <v>243</v>
      </c>
      <c r="G108" s="205">
        <v>2086</v>
      </c>
      <c r="H108" s="205" t="s">
        <v>270</v>
      </c>
      <c r="I108" s="205">
        <v>3978</v>
      </c>
      <c r="J108" s="206">
        <v>42350</v>
      </c>
      <c r="K108" s="207">
        <v>0.3520833333333333</v>
      </c>
      <c r="L108" s="206">
        <v>42353</v>
      </c>
      <c r="M108" s="205" t="s">
        <v>853</v>
      </c>
      <c r="N108" s="205" t="s">
        <v>272</v>
      </c>
      <c r="O108" s="205" t="s">
        <v>273</v>
      </c>
      <c r="P108" s="205" t="s">
        <v>274</v>
      </c>
      <c r="Q108" s="205" t="s">
        <v>275</v>
      </c>
      <c r="R108" s="205" t="s">
        <v>276</v>
      </c>
      <c r="S108" s="205" t="s">
        <v>436</v>
      </c>
      <c r="T108" s="205" t="s">
        <v>435</v>
      </c>
      <c r="U108" s="205">
        <v>2086</v>
      </c>
      <c r="V108" s="205" t="s">
        <v>435</v>
      </c>
      <c r="W108" s="205" t="s">
        <v>280</v>
      </c>
      <c r="X108" s="205">
        <v>8.0510000000000002</v>
      </c>
      <c r="Y108" s="208">
        <v>-0.24</v>
      </c>
      <c r="Z108" s="208">
        <v>2.09</v>
      </c>
      <c r="AA108" s="208">
        <v>16.82</v>
      </c>
      <c r="AB108" s="208">
        <v>-1.47</v>
      </c>
      <c r="AC108" s="208">
        <v>0</v>
      </c>
      <c r="AD108" s="208">
        <v>0</v>
      </c>
      <c r="AE108" s="208">
        <v>15.11</v>
      </c>
      <c r="AF108" s="208">
        <v>-1.93</v>
      </c>
      <c r="AG108" s="205" t="s">
        <v>279</v>
      </c>
      <c r="AH108" s="208">
        <v>0</v>
      </c>
      <c r="AI108" s="208">
        <v>16.82</v>
      </c>
      <c r="AJ108" s="208">
        <v>0</v>
      </c>
      <c r="AK108" s="205" t="str">
        <f t="shared" si="2"/>
        <v>1.00000000</v>
      </c>
      <c r="AL108" s="205">
        <v>14.5</v>
      </c>
    </row>
    <row r="109" spans="1:38" s="205" customFormat="1" x14ac:dyDescent="0.2">
      <c r="A109" s="205" t="str">
        <f>"0496002595734"</f>
        <v>0496002595734</v>
      </c>
      <c r="B109" s="205">
        <v>2</v>
      </c>
      <c r="C109" s="205" t="s">
        <v>435</v>
      </c>
      <c r="D109" s="205">
        <v>80</v>
      </c>
      <c r="E109" s="205">
        <v>80</v>
      </c>
      <c r="F109" s="205" t="s">
        <v>243</v>
      </c>
      <c r="G109" s="205">
        <v>2086</v>
      </c>
      <c r="H109" s="205" t="s">
        <v>270</v>
      </c>
      <c r="I109" s="205">
        <v>38600</v>
      </c>
      <c r="J109" s="206">
        <v>42350</v>
      </c>
      <c r="K109" s="207">
        <v>0.55471064814814819</v>
      </c>
      <c r="L109" s="206">
        <v>42353</v>
      </c>
      <c r="M109" s="205" t="s">
        <v>310</v>
      </c>
      <c r="N109" s="205" t="s">
        <v>331</v>
      </c>
      <c r="O109" s="205" t="s">
        <v>332</v>
      </c>
      <c r="P109" s="205" t="s">
        <v>274</v>
      </c>
      <c r="Q109" s="205" t="s">
        <v>275</v>
      </c>
      <c r="R109" s="205" t="s">
        <v>858</v>
      </c>
      <c r="S109" s="205" t="s">
        <v>436</v>
      </c>
      <c r="T109" s="205" t="s">
        <v>435</v>
      </c>
      <c r="U109" s="205">
        <v>2086</v>
      </c>
      <c r="V109" s="205" t="s">
        <v>435</v>
      </c>
      <c r="W109" s="205" t="s">
        <v>280</v>
      </c>
      <c r="X109" s="205">
        <v>11.672000000000001</v>
      </c>
      <c r="Y109" s="208">
        <v>0</v>
      </c>
      <c r="Z109" s="208">
        <v>2.1</v>
      </c>
      <c r="AA109" s="208">
        <v>24.5</v>
      </c>
      <c r="AB109" s="208">
        <v>-2.14</v>
      </c>
      <c r="AC109" s="208">
        <v>0</v>
      </c>
      <c r="AD109" s="208">
        <v>0</v>
      </c>
      <c r="AE109" s="208">
        <v>22.36</v>
      </c>
      <c r="AF109" s="208">
        <v>-2.8</v>
      </c>
      <c r="AG109" s="205" t="s">
        <v>279</v>
      </c>
      <c r="AH109" s="208">
        <v>0</v>
      </c>
      <c r="AI109" s="208">
        <v>24.5</v>
      </c>
      <c r="AJ109" s="208">
        <v>0</v>
      </c>
      <c r="AK109" s="205" t="str">
        <f t="shared" si="2"/>
        <v>1.00000000</v>
      </c>
      <c r="AL109" s="205">
        <v>28.6</v>
      </c>
    </row>
    <row r="110" spans="1:38" s="205" customFormat="1" x14ac:dyDescent="0.2">
      <c r="A110" s="205" t="str">
        <f>"0496002595734"</f>
        <v>0496002595734</v>
      </c>
      <c r="B110" s="205">
        <v>3</v>
      </c>
      <c r="C110" s="205" t="s">
        <v>435</v>
      </c>
      <c r="D110" s="205">
        <v>82</v>
      </c>
      <c r="E110" s="205">
        <v>82</v>
      </c>
      <c r="F110" s="205" t="s">
        <v>243</v>
      </c>
      <c r="G110" s="205">
        <v>2086</v>
      </c>
      <c r="H110" s="205" t="s">
        <v>270</v>
      </c>
      <c r="I110" s="205">
        <v>31857</v>
      </c>
      <c r="J110" s="206">
        <v>42350</v>
      </c>
      <c r="K110" s="207">
        <v>0.80902777777777779</v>
      </c>
      <c r="L110" s="206">
        <v>42353</v>
      </c>
      <c r="M110" s="205" t="s">
        <v>853</v>
      </c>
      <c r="N110" s="205" t="s">
        <v>272</v>
      </c>
      <c r="O110" s="205" t="s">
        <v>273</v>
      </c>
      <c r="P110" s="205" t="s">
        <v>274</v>
      </c>
      <c r="Q110" s="205" t="s">
        <v>275</v>
      </c>
      <c r="R110" s="205" t="s">
        <v>276</v>
      </c>
      <c r="S110" s="205" t="s">
        <v>436</v>
      </c>
      <c r="T110" s="205" t="s">
        <v>435</v>
      </c>
      <c r="U110" s="205">
        <v>2086</v>
      </c>
      <c r="V110" s="205" t="s">
        <v>435</v>
      </c>
      <c r="W110" s="205" t="s">
        <v>280</v>
      </c>
      <c r="X110" s="205">
        <v>9.9610000000000003</v>
      </c>
      <c r="Y110" s="208">
        <v>-0.3</v>
      </c>
      <c r="Z110" s="208">
        <v>2.09</v>
      </c>
      <c r="AA110" s="208">
        <v>20.81</v>
      </c>
      <c r="AB110" s="208">
        <v>-1.82</v>
      </c>
      <c r="AC110" s="208">
        <v>0</v>
      </c>
      <c r="AD110" s="208">
        <v>0</v>
      </c>
      <c r="AE110" s="208">
        <v>18.690000000000001</v>
      </c>
      <c r="AF110" s="208">
        <v>-2.39</v>
      </c>
      <c r="AG110" s="205" t="s">
        <v>279</v>
      </c>
      <c r="AH110" s="208">
        <v>0</v>
      </c>
      <c r="AI110" s="208">
        <v>20.81</v>
      </c>
      <c r="AJ110" s="208">
        <v>0</v>
      </c>
      <c r="AK110" s="205" t="str">
        <f t="shared" si="2"/>
        <v>1.00000000</v>
      </c>
      <c r="AL110" s="205">
        <v>20.9</v>
      </c>
    </row>
    <row r="111" spans="1:38" s="205" customFormat="1" x14ac:dyDescent="0.2">
      <c r="A111" s="205" t="str">
        <f>"0496002595700"</f>
        <v>0496002595700</v>
      </c>
      <c r="B111" s="205">
        <v>3</v>
      </c>
      <c r="C111" s="205" t="s">
        <v>156</v>
      </c>
      <c r="D111" s="205">
        <v>41</v>
      </c>
      <c r="E111" s="205">
        <v>41</v>
      </c>
      <c r="F111" s="205" t="s">
        <v>243</v>
      </c>
      <c r="G111" s="205">
        <v>2262</v>
      </c>
      <c r="H111" s="205" t="s">
        <v>270</v>
      </c>
      <c r="I111" s="205">
        <v>77063</v>
      </c>
      <c r="J111" s="206">
        <v>42351</v>
      </c>
      <c r="K111" s="207">
        <v>0.33248842592592592</v>
      </c>
      <c r="L111" s="206">
        <v>42353</v>
      </c>
      <c r="M111" s="205" t="s">
        <v>396</v>
      </c>
      <c r="N111" s="205" t="s">
        <v>397</v>
      </c>
      <c r="O111" s="205" t="s">
        <v>398</v>
      </c>
      <c r="P111" s="205" t="s">
        <v>343</v>
      </c>
      <c r="Q111" s="205" t="s">
        <v>275</v>
      </c>
      <c r="R111" s="205" t="s">
        <v>686</v>
      </c>
      <c r="S111" s="205" t="s">
        <v>156</v>
      </c>
      <c r="T111" s="205" t="s">
        <v>277</v>
      </c>
      <c r="U111" s="205">
        <v>2262</v>
      </c>
      <c r="V111" s="205" t="s">
        <v>156</v>
      </c>
      <c r="W111" s="205" t="s">
        <v>280</v>
      </c>
      <c r="X111" s="205">
        <v>14.433999999999999</v>
      </c>
      <c r="Y111" s="208">
        <v>0</v>
      </c>
      <c r="Z111" s="208">
        <v>2.06</v>
      </c>
      <c r="AA111" s="208">
        <v>29.72</v>
      </c>
      <c r="AB111" s="208">
        <v>-2.64</v>
      </c>
      <c r="AC111" s="208">
        <v>0</v>
      </c>
      <c r="AD111" s="208">
        <v>0</v>
      </c>
      <c r="AE111" s="208">
        <v>27.08</v>
      </c>
      <c r="AF111" s="208">
        <v>-3.46</v>
      </c>
      <c r="AG111" s="205" t="s">
        <v>279</v>
      </c>
      <c r="AH111" s="208">
        <v>0</v>
      </c>
      <c r="AI111" s="208">
        <v>29.72</v>
      </c>
      <c r="AJ111" s="208">
        <v>0</v>
      </c>
      <c r="AK111" s="205" t="str">
        <f t="shared" si="2"/>
        <v>1.00000000</v>
      </c>
      <c r="AL111" s="205">
        <v>25.5</v>
      </c>
    </row>
    <row r="112" spans="1:38" s="205" customFormat="1" x14ac:dyDescent="0.2">
      <c r="A112" s="205" t="str">
        <f>"0496002595700"</f>
        <v>0496002595700</v>
      </c>
      <c r="B112" s="205">
        <v>3</v>
      </c>
      <c r="C112" s="205" t="s">
        <v>156</v>
      </c>
      <c r="D112" s="205">
        <v>41</v>
      </c>
      <c r="E112" s="205">
        <v>41</v>
      </c>
      <c r="F112" s="205" t="s">
        <v>243</v>
      </c>
      <c r="G112" s="205">
        <v>2262</v>
      </c>
      <c r="H112" s="205" t="s">
        <v>270</v>
      </c>
      <c r="I112" s="205">
        <v>77377</v>
      </c>
      <c r="J112" s="206">
        <v>42351</v>
      </c>
      <c r="K112" s="207">
        <v>0.85995370370370372</v>
      </c>
      <c r="L112" s="206">
        <v>42353</v>
      </c>
      <c r="M112" s="205" t="s">
        <v>340</v>
      </c>
      <c r="N112" s="205" t="s">
        <v>341</v>
      </c>
      <c r="O112" s="205" t="s">
        <v>342</v>
      </c>
      <c r="P112" s="205" t="s">
        <v>343</v>
      </c>
      <c r="Q112" s="205" t="s">
        <v>275</v>
      </c>
      <c r="R112" s="205" t="s">
        <v>629</v>
      </c>
      <c r="S112" s="205" t="s">
        <v>156</v>
      </c>
      <c r="T112" s="205" t="s">
        <v>277</v>
      </c>
      <c r="U112" s="205">
        <v>2262</v>
      </c>
      <c r="V112" s="205" t="s">
        <v>156</v>
      </c>
      <c r="W112" s="205" t="s">
        <v>280</v>
      </c>
      <c r="X112" s="205">
        <v>13.64</v>
      </c>
      <c r="Y112" s="208">
        <v>0</v>
      </c>
      <c r="Z112" s="208">
        <v>2.1</v>
      </c>
      <c r="AA112" s="208">
        <v>28.63</v>
      </c>
      <c r="AB112" s="208">
        <v>-2.5</v>
      </c>
      <c r="AC112" s="208">
        <v>0</v>
      </c>
      <c r="AD112" s="208">
        <v>0</v>
      </c>
      <c r="AE112" s="208">
        <v>26.13</v>
      </c>
      <c r="AF112" s="208">
        <v>-3.27</v>
      </c>
      <c r="AG112" s="205" t="s">
        <v>279</v>
      </c>
      <c r="AH112" s="208">
        <v>0</v>
      </c>
      <c r="AI112" s="208">
        <v>28.63</v>
      </c>
      <c r="AJ112" s="208">
        <v>0</v>
      </c>
      <c r="AK112" s="205" t="str">
        <f t="shared" si="2"/>
        <v>1.00000000</v>
      </c>
      <c r="AL112" s="205">
        <v>23</v>
      </c>
    </row>
    <row r="113" spans="1:38" s="205" customFormat="1" x14ac:dyDescent="0.2">
      <c r="A113" s="205" t="str">
        <f>"0496002595700"</f>
        <v>0496002595700</v>
      </c>
      <c r="B113" s="205">
        <v>6</v>
      </c>
      <c r="C113" s="205" t="s">
        <v>156</v>
      </c>
      <c r="D113" s="205" t="s">
        <v>344</v>
      </c>
      <c r="E113" s="205" t="s">
        <v>345</v>
      </c>
      <c r="F113" s="205" t="s">
        <v>243</v>
      </c>
      <c r="G113" s="205">
        <v>2262</v>
      </c>
      <c r="H113" s="205" t="s">
        <v>270</v>
      </c>
      <c r="I113" s="205">
        <v>44297</v>
      </c>
      <c r="J113" s="206">
        <v>42351</v>
      </c>
      <c r="K113" s="207">
        <v>0.91249999999999998</v>
      </c>
      <c r="L113" s="206">
        <v>42353</v>
      </c>
      <c r="M113" s="205" t="s">
        <v>853</v>
      </c>
      <c r="N113" s="205" t="s">
        <v>454</v>
      </c>
      <c r="O113" s="205" t="s">
        <v>455</v>
      </c>
      <c r="P113" s="205" t="s">
        <v>456</v>
      </c>
      <c r="Q113" s="205" t="s">
        <v>275</v>
      </c>
      <c r="R113" s="205" t="s">
        <v>706</v>
      </c>
      <c r="S113" s="205" t="s">
        <v>156</v>
      </c>
      <c r="T113" s="205" t="s">
        <v>277</v>
      </c>
      <c r="U113" s="205">
        <v>2262</v>
      </c>
      <c r="V113" s="205" t="s">
        <v>156</v>
      </c>
      <c r="W113" s="205" t="s">
        <v>278</v>
      </c>
      <c r="X113" s="205">
        <v>10.683</v>
      </c>
      <c r="Y113" s="208">
        <v>-0.32</v>
      </c>
      <c r="Z113" s="208">
        <v>2.4</v>
      </c>
      <c r="AA113" s="208">
        <v>25.63</v>
      </c>
      <c r="AB113" s="208">
        <v>-1.95</v>
      </c>
      <c r="AC113" s="208">
        <v>0</v>
      </c>
      <c r="AD113" s="208">
        <v>0</v>
      </c>
      <c r="AE113" s="208">
        <v>23.36</v>
      </c>
      <c r="AF113" s="208">
        <v>-2.56</v>
      </c>
      <c r="AG113" s="205" t="s">
        <v>279</v>
      </c>
      <c r="AH113" s="208">
        <v>0</v>
      </c>
      <c r="AI113" s="208">
        <v>25.63</v>
      </c>
      <c r="AJ113" s="208">
        <v>0</v>
      </c>
      <c r="AK113" s="205" t="str">
        <f t="shared" si="2"/>
        <v>1.00000000</v>
      </c>
      <c r="AL113" s="205">
        <v>47.4</v>
      </c>
    </row>
    <row r="114" spans="1:38" s="205" customFormat="1" x14ac:dyDescent="0.2">
      <c r="A114" s="205" t="str">
        <f>"0496002595734"</f>
        <v>0496002595734</v>
      </c>
      <c r="B114" s="205">
        <v>3</v>
      </c>
      <c r="C114" s="205" t="s">
        <v>435</v>
      </c>
      <c r="D114" s="205">
        <v>82</v>
      </c>
      <c r="E114" s="205">
        <v>82</v>
      </c>
      <c r="F114" s="205" t="s">
        <v>243</v>
      </c>
      <c r="G114" s="205">
        <v>2086</v>
      </c>
      <c r="H114" s="205" t="s">
        <v>270</v>
      </c>
      <c r="I114" s="205">
        <v>32019</v>
      </c>
      <c r="J114" s="206">
        <v>42351</v>
      </c>
      <c r="K114" s="207">
        <v>0.4069444444444445</v>
      </c>
      <c r="L114" s="206">
        <v>42353</v>
      </c>
      <c r="M114" s="205" t="s">
        <v>294</v>
      </c>
      <c r="N114" s="205" t="s">
        <v>379</v>
      </c>
      <c r="O114" s="205" t="s">
        <v>894</v>
      </c>
      <c r="P114" s="205" t="s">
        <v>895</v>
      </c>
      <c r="Q114" s="205" t="s">
        <v>329</v>
      </c>
      <c r="R114" s="205" t="s">
        <v>896</v>
      </c>
      <c r="S114" s="205" t="s">
        <v>436</v>
      </c>
      <c r="T114" s="205" t="s">
        <v>435</v>
      </c>
      <c r="U114" s="205">
        <v>2086</v>
      </c>
      <c r="V114" s="205" t="s">
        <v>435</v>
      </c>
      <c r="W114" s="205" t="s">
        <v>280</v>
      </c>
      <c r="X114" s="205">
        <v>9.52</v>
      </c>
      <c r="Y114" s="208">
        <v>0</v>
      </c>
      <c r="Z114" s="208">
        <v>2.38</v>
      </c>
      <c r="AA114" s="208">
        <v>22.66</v>
      </c>
      <c r="AB114" s="208">
        <v>-1.74</v>
      </c>
      <c r="AC114" s="208">
        <v>0</v>
      </c>
      <c r="AD114" s="208">
        <v>0</v>
      </c>
      <c r="AE114" s="208">
        <v>20.92</v>
      </c>
      <c r="AF114" s="208">
        <v>-4.1900000000000004</v>
      </c>
      <c r="AG114" s="205" t="s">
        <v>279</v>
      </c>
      <c r="AH114" s="208">
        <v>0</v>
      </c>
      <c r="AI114" s="208">
        <v>22.66</v>
      </c>
      <c r="AJ114" s="208">
        <v>0</v>
      </c>
      <c r="AK114" s="205" t="str">
        <f t="shared" si="2"/>
        <v>1.00000000</v>
      </c>
      <c r="AL114" s="205">
        <v>17</v>
      </c>
    </row>
    <row r="115" spans="1:38" s="205" customFormat="1" x14ac:dyDescent="0.2">
      <c r="A115" s="205" t="str">
        <f>"0496002599173"</f>
        <v>0496002599173</v>
      </c>
      <c r="B115" s="205">
        <v>3</v>
      </c>
      <c r="C115" s="205" t="s">
        <v>585</v>
      </c>
      <c r="D115" s="205" t="s">
        <v>628</v>
      </c>
      <c r="E115" s="205" t="s">
        <v>628</v>
      </c>
      <c r="F115" s="205" t="s">
        <v>243</v>
      </c>
      <c r="G115" s="205">
        <v>5738</v>
      </c>
      <c r="H115" s="205" t="s">
        <v>270</v>
      </c>
      <c r="I115" s="205">
        <v>103778</v>
      </c>
      <c r="J115" s="206">
        <v>42351</v>
      </c>
      <c r="K115" s="207">
        <v>0.72083333333333333</v>
      </c>
      <c r="L115" s="206">
        <v>42353</v>
      </c>
      <c r="M115" s="205" t="s">
        <v>775</v>
      </c>
      <c r="N115" s="205" t="s">
        <v>776</v>
      </c>
      <c r="O115" s="205" t="s">
        <v>777</v>
      </c>
      <c r="P115" s="205" t="s">
        <v>778</v>
      </c>
      <c r="Q115" s="205" t="s">
        <v>275</v>
      </c>
      <c r="R115" s="205" t="s">
        <v>897</v>
      </c>
      <c r="S115" s="205" t="s">
        <v>436</v>
      </c>
      <c r="T115" s="205" t="s">
        <v>630</v>
      </c>
      <c r="U115" s="205">
        <v>5738</v>
      </c>
      <c r="V115" s="205" t="s">
        <v>585</v>
      </c>
      <c r="W115" s="205" t="s">
        <v>280</v>
      </c>
      <c r="X115" s="205">
        <v>26.052</v>
      </c>
      <c r="Y115" s="208">
        <v>0</v>
      </c>
      <c r="Z115" s="208">
        <v>2.02</v>
      </c>
      <c r="AA115" s="208">
        <v>52.6</v>
      </c>
      <c r="AB115" s="208">
        <v>-4.7699999999999996</v>
      </c>
      <c r="AC115" s="208">
        <v>0</v>
      </c>
      <c r="AD115" s="208">
        <v>0</v>
      </c>
      <c r="AE115" s="208">
        <v>47.83</v>
      </c>
      <c r="AF115" s="208">
        <v>-6.25</v>
      </c>
      <c r="AG115" s="205" t="s">
        <v>279</v>
      </c>
      <c r="AH115" s="208">
        <v>0</v>
      </c>
      <c r="AI115" s="208">
        <v>52.6</v>
      </c>
      <c r="AJ115" s="208">
        <v>0</v>
      </c>
      <c r="AK115" s="205" t="str">
        <f t="shared" si="2"/>
        <v>1.00000000</v>
      </c>
      <c r="AL115" s="205">
        <v>15.2</v>
      </c>
    </row>
    <row r="116" spans="1:38" s="205" customFormat="1" x14ac:dyDescent="0.2">
      <c r="A116" s="205" t="str">
        <f>"0496002595734"</f>
        <v>0496002595734</v>
      </c>
      <c r="B116" s="205">
        <v>1</v>
      </c>
      <c r="C116" s="205" t="s">
        <v>435</v>
      </c>
      <c r="D116" s="205">
        <v>81</v>
      </c>
      <c r="E116" s="205">
        <v>81</v>
      </c>
      <c r="F116" s="205" t="s">
        <v>243</v>
      </c>
      <c r="G116" s="205">
        <v>2086</v>
      </c>
      <c r="H116" s="205" t="s">
        <v>270</v>
      </c>
      <c r="I116" s="205">
        <v>39950</v>
      </c>
      <c r="J116" s="206">
        <v>42352</v>
      </c>
      <c r="K116" s="207">
        <v>0.64930555555555558</v>
      </c>
      <c r="L116" s="206">
        <v>42354</v>
      </c>
      <c r="M116" s="205" t="s">
        <v>853</v>
      </c>
      <c r="N116" s="205" t="s">
        <v>272</v>
      </c>
      <c r="O116" s="205" t="s">
        <v>273</v>
      </c>
      <c r="P116" s="205" t="s">
        <v>274</v>
      </c>
      <c r="Q116" s="205" t="s">
        <v>275</v>
      </c>
      <c r="R116" s="205" t="s">
        <v>276</v>
      </c>
      <c r="S116" s="205" t="s">
        <v>436</v>
      </c>
      <c r="T116" s="205" t="s">
        <v>435</v>
      </c>
      <c r="U116" s="205">
        <v>2086</v>
      </c>
      <c r="V116" s="205" t="s">
        <v>435</v>
      </c>
      <c r="W116" s="205" t="s">
        <v>280</v>
      </c>
      <c r="X116" s="205">
        <v>16.274999999999999</v>
      </c>
      <c r="Y116" s="208">
        <v>-0.49</v>
      </c>
      <c r="Z116" s="208">
        <v>2.09</v>
      </c>
      <c r="AA116" s="208">
        <v>34</v>
      </c>
      <c r="AB116" s="208">
        <v>-2.98</v>
      </c>
      <c r="AC116" s="208">
        <v>0</v>
      </c>
      <c r="AD116" s="208">
        <v>0</v>
      </c>
      <c r="AE116" s="208">
        <v>30.53</v>
      </c>
      <c r="AF116" s="208">
        <v>-3.91</v>
      </c>
      <c r="AG116" s="205" t="s">
        <v>279</v>
      </c>
      <c r="AH116" s="208">
        <v>0</v>
      </c>
      <c r="AI116" s="208">
        <v>34</v>
      </c>
      <c r="AJ116" s="208">
        <v>0</v>
      </c>
      <c r="AK116" s="205" t="str">
        <f t="shared" si="2"/>
        <v>1.00000000</v>
      </c>
      <c r="AL116" s="205">
        <v>14.5</v>
      </c>
    </row>
    <row r="117" spans="1:38" s="205" customFormat="1" x14ac:dyDescent="0.2">
      <c r="A117" s="205" t="str">
        <f>"0496002595734"</f>
        <v>0496002595734</v>
      </c>
      <c r="B117" s="205">
        <v>2</v>
      </c>
      <c r="C117" s="205" t="s">
        <v>435</v>
      </c>
      <c r="D117" s="205">
        <v>80</v>
      </c>
      <c r="E117" s="205">
        <v>80</v>
      </c>
      <c r="F117" s="205" t="s">
        <v>243</v>
      </c>
      <c r="G117" s="205">
        <v>2086</v>
      </c>
      <c r="H117" s="205" t="s">
        <v>270</v>
      </c>
      <c r="I117" s="205">
        <v>38884</v>
      </c>
      <c r="J117" s="206">
        <v>42352</v>
      </c>
      <c r="K117" s="207">
        <v>0.31319444444444444</v>
      </c>
      <c r="L117" s="206">
        <v>42354</v>
      </c>
      <c r="M117" s="205" t="s">
        <v>853</v>
      </c>
      <c r="N117" s="205" t="s">
        <v>272</v>
      </c>
      <c r="O117" s="205" t="s">
        <v>273</v>
      </c>
      <c r="P117" s="205" t="s">
        <v>274</v>
      </c>
      <c r="Q117" s="205" t="s">
        <v>275</v>
      </c>
      <c r="R117" s="205" t="s">
        <v>276</v>
      </c>
      <c r="S117" s="205" t="s">
        <v>436</v>
      </c>
      <c r="T117" s="205" t="s">
        <v>435</v>
      </c>
      <c r="U117" s="205">
        <v>2086</v>
      </c>
      <c r="V117" s="205" t="s">
        <v>435</v>
      </c>
      <c r="W117" s="205" t="s">
        <v>280</v>
      </c>
      <c r="X117" s="205">
        <v>6.3789999999999996</v>
      </c>
      <c r="Y117" s="208">
        <v>-0.19</v>
      </c>
      <c r="Z117" s="208">
        <v>2.09</v>
      </c>
      <c r="AA117" s="208">
        <v>13.32</v>
      </c>
      <c r="AB117" s="208">
        <v>-1.17</v>
      </c>
      <c r="AC117" s="208">
        <v>0</v>
      </c>
      <c r="AD117" s="208">
        <v>0</v>
      </c>
      <c r="AE117" s="208">
        <v>11.96</v>
      </c>
      <c r="AF117" s="208">
        <v>-1.53</v>
      </c>
      <c r="AG117" s="205" t="s">
        <v>279</v>
      </c>
      <c r="AH117" s="208">
        <v>0</v>
      </c>
      <c r="AI117" s="208">
        <v>13.32</v>
      </c>
      <c r="AJ117" s="208">
        <v>0</v>
      </c>
      <c r="AK117" s="205" t="str">
        <f t="shared" si="2"/>
        <v>1.00000000</v>
      </c>
      <c r="AL117" s="205">
        <v>44.5</v>
      </c>
    </row>
    <row r="118" spans="1:38" s="205" customFormat="1" x14ac:dyDescent="0.2">
      <c r="A118" s="205" t="str">
        <f>"0496002595734"</f>
        <v>0496002595734</v>
      </c>
      <c r="B118" s="205">
        <v>3</v>
      </c>
      <c r="C118" s="205" t="s">
        <v>435</v>
      </c>
      <c r="D118" s="205">
        <v>82</v>
      </c>
      <c r="E118" s="205">
        <v>82</v>
      </c>
      <c r="F118" s="205" t="s">
        <v>243</v>
      </c>
      <c r="G118" s="205">
        <v>2086</v>
      </c>
      <c r="H118" s="205" t="s">
        <v>270</v>
      </c>
      <c r="I118" s="205">
        <v>32219</v>
      </c>
      <c r="J118" s="206">
        <v>42352</v>
      </c>
      <c r="K118" s="207">
        <v>0.81388888888888899</v>
      </c>
      <c r="L118" s="206">
        <v>42354</v>
      </c>
      <c r="M118" s="205" t="s">
        <v>302</v>
      </c>
      <c r="N118" s="205" t="s">
        <v>501</v>
      </c>
      <c r="O118" s="205" t="s">
        <v>502</v>
      </c>
      <c r="P118" s="205" t="s">
        <v>274</v>
      </c>
      <c r="Q118" s="205" t="s">
        <v>275</v>
      </c>
      <c r="R118" s="205" t="s">
        <v>720</v>
      </c>
      <c r="S118" s="205" t="s">
        <v>436</v>
      </c>
      <c r="T118" s="205" t="s">
        <v>435</v>
      </c>
      <c r="U118" s="205">
        <v>2086</v>
      </c>
      <c r="V118" s="205" t="s">
        <v>435</v>
      </c>
      <c r="W118" s="205" t="s">
        <v>280</v>
      </c>
      <c r="X118" s="205">
        <v>12.215</v>
      </c>
      <c r="Y118" s="208">
        <v>0</v>
      </c>
      <c r="Z118" s="208">
        <v>2.11</v>
      </c>
      <c r="AA118" s="208">
        <v>25.76</v>
      </c>
      <c r="AB118" s="208">
        <v>-2.2400000000000002</v>
      </c>
      <c r="AC118" s="208">
        <v>0</v>
      </c>
      <c r="AD118" s="208">
        <v>0</v>
      </c>
      <c r="AE118" s="208">
        <v>23.52</v>
      </c>
      <c r="AF118" s="208">
        <v>-2.93</v>
      </c>
      <c r="AG118" s="205" t="s">
        <v>279</v>
      </c>
      <c r="AH118" s="208">
        <v>0</v>
      </c>
      <c r="AI118" s="208">
        <v>25.76</v>
      </c>
      <c r="AJ118" s="208">
        <v>0</v>
      </c>
      <c r="AK118" s="205" t="str">
        <f t="shared" si="2"/>
        <v>1.00000000</v>
      </c>
      <c r="AL118" s="205">
        <v>19.899999999999999</v>
      </c>
    </row>
    <row r="119" spans="1:38" s="205" customFormat="1" x14ac:dyDescent="0.2">
      <c r="A119" s="205" t="str">
        <f>"0496002595734"</f>
        <v>0496002595734</v>
      </c>
      <c r="B119" s="205">
        <v>2</v>
      </c>
      <c r="C119" s="205" t="s">
        <v>435</v>
      </c>
      <c r="D119" s="205">
        <v>80</v>
      </c>
      <c r="E119" s="205">
        <v>80</v>
      </c>
      <c r="F119" s="205" t="s">
        <v>243</v>
      </c>
      <c r="G119" s="205">
        <v>2086</v>
      </c>
      <c r="H119" s="205" t="s">
        <v>270</v>
      </c>
      <c r="I119" s="205">
        <v>39297</v>
      </c>
      <c r="J119" s="206">
        <v>42353</v>
      </c>
      <c r="K119" s="207">
        <v>0.8930555555555556</v>
      </c>
      <c r="L119" s="206">
        <v>42355</v>
      </c>
      <c r="M119" s="205" t="s">
        <v>853</v>
      </c>
      <c r="N119" s="205" t="s">
        <v>454</v>
      </c>
      <c r="O119" s="205" t="s">
        <v>898</v>
      </c>
      <c r="P119" s="205" t="s">
        <v>317</v>
      </c>
      <c r="Q119" s="205" t="s">
        <v>275</v>
      </c>
      <c r="R119" s="205" t="s">
        <v>899</v>
      </c>
      <c r="S119" s="205" t="s">
        <v>436</v>
      </c>
      <c r="T119" s="205" t="s">
        <v>435</v>
      </c>
      <c r="U119" s="205">
        <v>2086</v>
      </c>
      <c r="V119" s="205" t="s">
        <v>435</v>
      </c>
      <c r="W119" s="205" t="s">
        <v>280</v>
      </c>
      <c r="X119" s="205">
        <v>11.851000000000001</v>
      </c>
      <c r="Y119" s="208">
        <v>-0.36</v>
      </c>
      <c r="Z119" s="208">
        <v>2.0099999999999998</v>
      </c>
      <c r="AA119" s="208">
        <v>23.81</v>
      </c>
      <c r="AB119" s="208">
        <v>-2.17</v>
      </c>
      <c r="AC119" s="208">
        <v>0</v>
      </c>
      <c r="AD119" s="208">
        <v>0</v>
      </c>
      <c r="AE119" s="208">
        <v>21.28</v>
      </c>
      <c r="AF119" s="208">
        <v>-2.84</v>
      </c>
      <c r="AG119" s="205" t="s">
        <v>279</v>
      </c>
      <c r="AH119" s="208">
        <v>0</v>
      </c>
      <c r="AI119" s="208">
        <v>23.81</v>
      </c>
      <c r="AJ119" s="208">
        <v>0</v>
      </c>
      <c r="AK119" s="205" t="str">
        <f t="shared" si="2"/>
        <v>1.00000000</v>
      </c>
      <c r="AL119" s="205">
        <v>34.799999999999997</v>
      </c>
    </row>
    <row r="120" spans="1:38" s="205" customFormat="1" x14ac:dyDescent="0.2">
      <c r="A120" s="205" t="str">
        <f>"0496002595718"</f>
        <v>0496002595718</v>
      </c>
      <c r="B120" s="205">
        <v>1</v>
      </c>
      <c r="C120" s="205" t="s">
        <v>859</v>
      </c>
      <c r="D120" s="205">
        <v>49</v>
      </c>
      <c r="E120" s="205">
        <v>49</v>
      </c>
      <c r="F120" s="205" t="s">
        <v>243</v>
      </c>
      <c r="G120" s="205">
        <v>2972</v>
      </c>
      <c r="H120" s="205" t="s">
        <v>270</v>
      </c>
      <c r="I120" s="205">
        <v>12659</v>
      </c>
      <c r="J120" s="206">
        <v>42354</v>
      </c>
      <c r="K120" s="207">
        <v>0.77638888888888891</v>
      </c>
      <c r="L120" s="206">
        <v>42356</v>
      </c>
      <c r="M120" s="205" t="s">
        <v>853</v>
      </c>
      <c r="N120" s="205" t="s">
        <v>272</v>
      </c>
      <c r="O120" s="205" t="s">
        <v>273</v>
      </c>
      <c r="P120" s="205" t="s">
        <v>274</v>
      </c>
      <c r="Q120" s="205" t="s">
        <v>275</v>
      </c>
      <c r="R120" s="205" t="s">
        <v>276</v>
      </c>
      <c r="S120" s="205" t="s">
        <v>436</v>
      </c>
      <c r="T120" s="205" t="s">
        <v>859</v>
      </c>
      <c r="U120" s="205">
        <v>2972</v>
      </c>
      <c r="V120" s="205" t="s">
        <v>859</v>
      </c>
      <c r="W120" s="205" t="s">
        <v>280</v>
      </c>
      <c r="X120" s="205">
        <v>14.911</v>
      </c>
      <c r="Y120" s="208">
        <v>-0.45</v>
      </c>
      <c r="Z120" s="208">
        <v>2.09</v>
      </c>
      <c r="AA120" s="208">
        <v>31.15</v>
      </c>
      <c r="AB120" s="208">
        <v>-2.73</v>
      </c>
      <c r="AC120" s="208">
        <v>0</v>
      </c>
      <c r="AD120" s="208">
        <v>0</v>
      </c>
      <c r="AE120" s="208">
        <v>27.97</v>
      </c>
      <c r="AF120" s="208">
        <v>-3.58</v>
      </c>
      <c r="AG120" s="205" t="s">
        <v>279</v>
      </c>
      <c r="AH120" s="208">
        <v>0</v>
      </c>
      <c r="AI120" s="208">
        <v>31.15</v>
      </c>
      <c r="AJ120" s="208">
        <v>0</v>
      </c>
      <c r="AK120" s="205" t="str">
        <f t="shared" si="2"/>
        <v>1.00000000</v>
      </c>
      <c r="AL120" s="205">
        <v>20.8</v>
      </c>
    </row>
    <row r="121" spans="1:38" s="205" customFormat="1" x14ac:dyDescent="0.2">
      <c r="A121" s="205" t="str">
        <f>"0496002595734"</f>
        <v>0496002595734</v>
      </c>
      <c r="B121" s="205">
        <v>1</v>
      </c>
      <c r="C121" s="205" t="s">
        <v>435</v>
      </c>
      <c r="D121" s="205">
        <v>81</v>
      </c>
      <c r="E121" s="205">
        <v>81</v>
      </c>
      <c r="F121" s="205" t="s">
        <v>243</v>
      </c>
      <c r="G121" s="205">
        <v>2086</v>
      </c>
      <c r="H121" s="205" t="s">
        <v>270</v>
      </c>
      <c r="I121" s="205">
        <v>39984</v>
      </c>
      <c r="J121" s="206">
        <v>42354</v>
      </c>
      <c r="K121" s="207">
        <v>0.71527777777777779</v>
      </c>
      <c r="L121" s="206">
        <v>42356</v>
      </c>
      <c r="M121" s="205" t="s">
        <v>853</v>
      </c>
      <c r="N121" s="205" t="s">
        <v>272</v>
      </c>
      <c r="O121" s="205" t="s">
        <v>273</v>
      </c>
      <c r="P121" s="205" t="s">
        <v>274</v>
      </c>
      <c r="Q121" s="205" t="s">
        <v>275</v>
      </c>
      <c r="R121" s="205" t="s">
        <v>276</v>
      </c>
      <c r="S121" s="205" t="s">
        <v>436</v>
      </c>
      <c r="T121" s="205" t="s">
        <v>435</v>
      </c>
      <c r="U121" s="205">
        <v>2086</v>
      </c>
      <c r="V121" s="205" t="s">
        <v>435</v>
      </c>
      <c r="W121" s="205" t="s">
        <v>280</v>
      </c>
      <c r="X121" s="205">
        <v>2.4430000000000001</v>
      </c>
      <c r="Y121" s="208">
        <v>-7.0000000000000007E-2</v>
      </c>
      <c r="Z121" s="208">
        <v>2.09</v>
      </c>
      <c r="AA121" s="208">
        <v>5.1100000000000003</v>
      </c>
      <c r="AB121" s="208">
        <v>-0.45</v>
      </c>
      <c r="AC121" s="208">
        <v>0</v>
      </c>
      <c r="AD121" s="208">
        <v>0</v>
      </c>
      <c r="AE121" s="208">
        <v>4.59</v>
      </c>
      <c r="AF121" s="208">
        <v>-0.59</v>
      </c>
      <c r="AG121" s="205" t="s">
        <v>279</v>
      </c>
      <c r="AH121" s="208">
        <v>0</v>
      </c>
      <c r="AI121" s="208">
        <v>5.1100000000000003</v>
      </c>
      <c r="AJ121" s="208">
        <v>0</v>
      </c>
      <c r="AK121" s="205" t="str">
        <f t="shared" si="2"/>
        <v>1.00000000</v>
      </c>
      <c r="AL121" s="205">
        <v>13.9</v>
      </c>
    </row>
    <row r="122" spans="1:38" s="205" customFormat="1" x14ac:dyDescent="0.2">
      <c r="A122" s="205" t="str">
        <f>"0496002595742"</f>
        <v>0496002595742</v>
      </c>
      <c r="B122" s="205">
        <v>2</v>
      </c>
      <c r="C122" s="205" t="s">
        <v>569</v>
      </c>
      <c r="D122" s="205">
        <v>83</v>
      </c>
      <c r="E122" s="205">
        <v>83</v>
      </c>
      <c r="F122" s="205" t="s">
        <v>243</v>
      </c>
      <c r="G122" s="205">
        <v>5823</v>
      </c>
      <c r="H122" s="205" t="s">
        <v>270</v>
      </c>
      <c r="I122" s="205">
        <v>7752</v>
      </c>
      <c r="J122" s="206">
        <v>42354</v>
      </c>
      <c r="K122" s="207">
        <v>0.55069444444444449</v>
      </c>
      <c r="L122" s="206">
        <v>42356</v>
      </c>
      <c r="M122" s="205" t="s">
        <v>853</v>
      </c>
      <c r="N122" s="205" t="s">
        <v>272</v>
      </c>
      <c r="O122" s="205" t="s">
        <v>273</v>
      </c>
      <c r="P122" s="205" t="s">
        <v>274</v>
      </c>
      <c r="Q122" s="205" t="s">
        <v>275</v>
      </c>
      <c r="R122" s="205" t="s">
        <v>276</v>
      </c>
      <c r="S122" s="205" t="s">
        <v>436</v>
      </c>
      <c r="T122" s="205" t="s">
        <v>569</v>
      </c>
      <c r="U122" s="205">
        <v>5823</v>
      </c>
      <c r="V122" s="205" t="s">
        <v>569</v>
      </c>
      <c r="W122" s="205" t="s">
        <v>280</v>
      </c>
      <c r="X122" s="205">
        <v>8.42</v>
      </c>
      <c r="Y122" s="208">
        <v>-0.25</v>
      </c>
      <c r="Z122" s="208">
        <v>2.09</v>
      </c>
      <c r="AA122" s="208">
        <v>17.59</v>
      </c>
      <c r="AB122" s="208">
        <v>-1.54</v>
      </c>
      <c r="AC122" s="208">
        <v>0</v>
      </c>
      <c r="AD122" s="208">
        <v>0</v>
      </c>
      <c r="AE122" s="208">
        <v>15.8</v>
      </c>
      <c r="AF122" s="208">
        <v>-2.02</v>
      </c>
      <c r="AG122" s="205" t="s">
        <v>279</v>
      </c>
      <c r="AH122" s="208">
        <v>0</v>
      </c>
      <c r="AI122" s="208">
        <v>17.59</v>
      </c>
      <c r="AJ122" s="208">
        <v>0</v>
      </c>
      <c r="AK122" s="205" t="str">
        <f t="shared" si="2"/>
        <v>1.00000000</v>
      </c>
      <c r="AL122" s="205">
        <v>920.7</v>
      </c>
    </row>
    <row r="123" spans="1:38" s="205" customFormat="1" x14ac:dyDescent="0.2">
      <c r="A123" s="205" t="str">
        <f>"0496002599173"</f>
        <v>0496002599173</v>
      </c>
      <c r="B123" s="205">
        <v>2</v>
      </c>
      <c r="C123" s="205" t="s">
        <v>585</v>
      </c>
      <c r="D123" s="205" t="s">
        <v>594</v>
      </c>
      <c r="E123" s="205" t="s">
        <v>594</v>
      </c>
      <c r="F123" s="205" t="s">
        <v>243</v>
      </c>
      <c r="G123" s="205">
        <v>5647</v>
      </c>
      <c r="H123" s="205" t="s">
        <v>270</v>
      </c>
      <c r="I123" s="205">
        <v>104412</v>
      </c>
      <c r="J123" s="206">
        <v>42354</v>
      </c>
      <c r="K123" s="207">
        <v>0.40902777777777777</v>
      </c>
      <c r="L123" s="206">
        <v>42356</v>
      </c>
      <c r="M123" s="205" t="s">
        <v>853</v>
      </c>
      <c r="N123" s="205" t="s">
        <v>454</v>
      </c>
      <c r="O123" s="205" t="s">
        <v>455</v>
      </c>
      <c r="P123" s="205" t="s">
        <v>456</v>
      </c>
      <c r="Q123" s="205" t="s">
        <v>275</v>
      </c>
      <c r="R123" s="205" t="s">
        <v>706</v>
      </c>
      <c r="S123" s="205" t="s">
        <v>436</v>
      </c>
      <c r="T123" s="205" t="s">
        <v>595</v>
      </c>
      <c r="U123" s="205">
        <v>5647</v>
      </c>
      <c r="V123" s="205" t="s">
        <v>585</v>
      </c>
      <c r="W123" s="205" t="s">
        <v>280</v>
      </c>
      <c r="X123" s="205">
        <v>23.417000000000002</v>
      </c>
      <c r="Y123" s="208">
        <v>-0.7</v>
      </c>
      <c r="Z123" s="208">
        <v>2.0699999999999998</v>
      </c>
      <c r="AA123" s="208">
        <v>48.45</v>
      </c>
      <c r="AB123" s="208">
        <v>-4.29</v>
      </c>
      <c r="AC123" s="208">
        <v>0</v>
      </c>
      <c r="AD123" s="208">
        <v>0</v>
      </c>
      <c r="AE123" s="208">
        <v>43.46</v>
      </c>
      <c r="AF123" s="208">
        <v>-5.62</v>
      </c>
      <c r="AG123" s="205" t="s">
        <v>279</v>
      </c>
      <c r="AH123" s="208">
        <v>0</v>
      </c>
      <c r="AI123" s="208">
        <v>48.45</v>
      </c>
      <c r="AJ123" s="208">
        <v>0</v>
      </c>
      <c r="AK123" s="205" t="str">
        <f t="shared" si="2"/>
        <v>1.00000000</v>
      </c>
      <c r="AL123" s="205">
        <v>13.4</v>
      </c>
    </row>
    <row r="124" spans="1:38" s="205" customFormat="1" x14ac:dyDescent="0.2">
      <c r="A124" s="205" t="str">
        <f>"0496002595700"</f>
        <v>0496002595700</v>
      </c>
      <c r="B124" s="205">
        <v>3</v>
      </c>
      <c r="C124" s="205" t="s">
        <v>156</v>
      </c>
      <c r="D124" s="205">
        <v>41</v>
      </c>
      <c r="E124" s="205">
        <v>41</v>
      </c>
      <c r="F124" s="205" t="s">
        <v>243</v>
      </c>
      <c r="G124" s="205">
        <v>2262</v>
      </c>
      <c r="H124" s="205" t="s">
        <v>270</v>
      </c>
      <c r="I124" s="205">
        <v>77644</v>
      </c>
      <c r="J124" s="206">
        <v>42355</v>
      </c>
      <c r="K124" s="207">
        <v>0.57291666666666663</v>
      </c>
      <c r="L124" s="206">
        <v>42359</v>
      </c>
      <c r="M124" s="205" t="s">
        <v>853</v>
      </c>
      <c r="N124" s="205" t="s">
        <v>272</v>
      </c>
      <c r="O124" s="205" t="s">
        <v>273</v>
      </c>
      <c r="P124" s="205" t="s">
        <v>274</v>
      </c>
      <c r="Q124" s="205" t="s">
        <v>275</v>
      </c>
      <c r="R124" s="205" t="s">
        <v>276</v>
      </c>
      <c r="S124" s="205" t="s">
        <v>156</v>
      </c>
      <c r="T124" s="205" t="s">
        <v>277</v>
      </c>
      <c r="U124" s="205">
        <v>2262</v>
      </c>
      <c r="V124" s="205" t="s">
        <v>156</v>
      </c>
      <c r="W124" s="205" t="s">
        <v>280</v>
      </c>
      <c r="X124" s="205">
        <v>11.68</v>
      </c>
      <c r="Y124" s="208">
        <v>-0.35</v>
      </c>
      <c r="Z124" s="208">
        <v>2.09</v>
      </c>
      <c r="AA124" s="208">
        <v>24.4</v>
      </c>
      <c r="AB124" s="208">
        <v>-2.14</v>
      </c>
      <c r="AC124" s="208">
        <v>0</v>
      </c>
      <c r="AD124" s="208">
        <v>0</v>
      </c>
      <c r="AE124" s="208">
        <v>21.91</v>
      </c>
      <c r="AF124" s="208">
        <v>-2.8</v>
      </c>
      <c r="AG124" s="205" t="s">
        <v>279</v>
      </c>
      <c r="AH124" s="208">
        <v>0</v>
      </c>
      <c r="AI124" s="208">
        <v>24.4</v>
      </c>
      <c r="AJ124" s="208">
        <v>0</v>
      </c>
      <c r="AK124" s="205" t="str">
        <f t="shared" si="2"/>
        <v>1.00000000</v>
      </c>
      <c r="AL124" s="205">
        <v>22.9</v>
      </c>
    </row>
    <row r="125" spans="1:38" s="205" customFormat="1" x14ac:dyDescent="0.2">
      <c r="A125" s="205" t="str">
        <f>"0496002595700"</f>
        <v>0496002595700</v>
      </c>
      <c r="B125" s="205">
        <v>6</v>
      </c>
      <c r="C125" s="205" t="s">
        <v>156</v>
      </c>
      <c r="D125" s="205" t="s">
        <v>344</v>
      </c>
      <c r="E125" s="205" t="s">
        <v>345</v>
      </c>
      <c r="F125" s="205" t="s">
        <v>243</v>
      </c>
      <c r="G125" s="205">
        <v>2262</v>
      </c>
      <c r="H125" s="205" t="s">
        <v>270</v>
      </c>
      <c r="I125" s="205">
        <v>44663</v>
      </c>
      <c r="J125" s="206">
        <v>42355</v>
      </c>
      <c r="K125" s="207">
        <v>0.43124999999999997</v>
      </c>
      <c r="L125" s="206">
        <v>42359</v>
      </c>
      <c r="M125" s="205" t="s">
        <v>853</v>
      </c>
      <c r="N125" s="205" t="s">
        <v>272</v>
      </c>
      <c r="O125" s="205" t="s">
        <v>273</v>
      </c>
      <c r="P125" s="205" t="s">
        <v>274</v>
      </c>
      <c r="Q125" s="205" t="s">
        <v>275</v>
      </c>
      <c r="R125" s="205" t="s">
        <v>276</v>
      </c>
      <c r="S125" s="205" t="s">
        <v>156</v>
      </c>
      <c r="T125" s="205" t="s">
        <v>277</v>
      </c>
      <c r="U125" s="205">
        <v>2262</v>
      </c>
      <c r="V125" s="205" t="s">
        <v>156</v>
      </c>
      <c r="W125" s="205" t="s">
        <v>335</v>
      </c>
      <c r="X125" s="205">
        <v>12.260999999999999</v>
      </c>
      <c r="Y125" s="208">
        <v>-0.37</v>
      </c>
      <c r="Z125" s="208">
        <v>2.2999999999999998</v>
      </c>
      <c r="AA125" s="208">
        <v>28.19</v>
      </c>
      <c r="AB125" s="208">
        <v>-2.2400000000000002</v>
      </c>
      <c r="AC125" s="208">
        <v>0</v>
      </c>
      <c r="AD125" s="208">
        <v>0</v>
      </c>
      <c r="AE125" s="208">
        <v>25.58</v>
      </c>
      <c r="AF125" s="208">
        <v>-2.94</v>
      </c>
      <c r="AG125" s="205" t="s">
        <v>279</v>
      </c>
      <c r="AH125" s="208">
        <v>0</v>
      </c>
      <c r="AI125" s="208">
        <v>28.19</v>
      </c>
      <c r="AJ125" s="208">
        <v>0</v>
      </c>
      <c r="AK125" s="205" t="str">
        <f t="shared" si="2"/>
        <v>1.00000000</v>
      </c>
      <c r="AL125" s="205">
        <v>29.8</v>
      </c>
    </row>
    <row r="126" spans="1:38" s="205" customFormat="1" x14ac:dyDescent="0.2">
      <c r="A126" s="205" t="str">
        <f>"0496002595734"</f>
        <v>0496002595734</v>
      </c>
      <c r="B126" s="205">
        <v>3</v>
      </c>
      <c r="C126" s="205" t="s">
        <v>435</v>
      </c>
      <c r="D126" s="205">
        <v>82</v>
      </c>
      <c r="E126" s="205">
        <v>82</v>
      </c>
      <c r="F126" s="205" t="s">
        <v>243</v>
      </c>
      <c r="G126" s="205">
        <v>2086</v>
      </c>
      <c r="H126" s="205" t="s">
        <v>270</v>
      </c>
      <c r="I126" s="205">
        <v>32439</v>
      </c>
      <c r="J126" s="206">
        <v>42355</v>
      </c>
      <c r="K126" s="207">
        <v>0.32430555555555557</v>
      </c>
      <c r="L126" s="206">
        <v>42359</v>
      </c>
      <c r="M126" s="205" t="s">
        <v>853</v>
      </c>
      <c r="N126" s="205" t="s">
        <v>272</v>
      </c>
      <c r="O126" s="205" t="s">
        <v>273</v>
      </c>
      <c r="P126" s="205" t="s">
        <v>274</v>
      </c>
      <c r="Q126" s="205" t="s">
        <v>275</v>
      </c>
      <c r="R126" s="205" t="s">
        <v>276</v>
      </c>
      <c r="S126" s="205" t="s">
        <v>436</v>
      </c>
      <c r="T126" s="205" t="s">
        <v>435</v>
      </c>
      <c r="U126" s="205">
        <v>2086</v>
      </c>
      <c r="V126" s="205" t="s">
        <v>435</v>
      </c>
      <c r="W126" s="205" t="s">
        <v>280</v>
      </c>
      <c r="X126" s="205">
        <v>13.939</v>
      </c>
      <c r="Y126" s="208">
        <v>-0.42</v>
      </c>
      <c r="Z126" s="208">
        <v>2.09</v>
      </c>
      <c r="AA126" s="208">
        <v>29.12</v>
      </c>
      <c r="AB126" s="208">
        <v>-2.5499999999999998</v>
      </c>
      <c r="AC126" s="208">
        <v>0</v>
      </c>
      <c r="AD126" s="208">
        <v>0</v>
      </c>
      <c r="AE126" s="208">
        <v>26.15</v>
      </c>
      <c r="AF126" s="208">
        <v>-3.35</v>
      </c>
      <c r="AG126" s="205" t="s">
        <v>279</v>
      </c>
      <c r="AH126" s="208">
        <v>0</v>
      </c>
      <c r="AI126" s="208">
        <v>29.12</v>
      </c>
      <c r="AJ126" s="208">
        <v>0</v>
      </c>
      <c r="AK126" s="205" t="str">
        <f t="shared" si="2"/>
        <v>1.00000000</v>
      </c>
      <c r="AL126" s="205">
        <v>15.8</v>
      </c>
    </row>
    <row r="127" spans="1:38" s="205" customFormat="1" x14ac:dyDescent="0.2">
      <c r="A127" s="205" t="str">
        <f>"0496002599173"</f>
        <v>0496002599173</v>
      </c>
      <c r="B127" s="205">
        <v>1</v>
      </c>
      <c r="C127" s="205" t="s">
        <v>585</v>
      </c>
      <c r="D127" s="205" t="s">
        <v>586</v>
      </c>
      <c r="E127" s="205" t="s">
        <v>586</v>
      </c>
      <c r="F127" s="205" t="s">
        <v>243</v>
      </c>
      <c r="G127" s="205">
        <v>5314</v>
      </c>
      <c r="H127" s="205" t="s">
        <v>270</v>
      </c>
      <c r="I127" s="205">
        <v>53748</v>
      </c>
      <c r="J127" s="206">
        <v>42355</v>
      </c>
      <c r="K127" s="207">
        <v>0.50347222222222221</v>
      </c>
      <c r="L127" s="206">
        <v>42359</v>
      </c>
      <c r="M127" s="205" t="s">
        <v>606</v>
      </c>
      <c r="N127" s="205" t="s">
        <v>399</v>
      </c>
      <c r="O127" s="205" t="s">
        <v>400</v>
      </c>
      <c r="P127" s="205" t="s">
        <v>274</v>
      </c>
      <c r="Q127" s="205" t="s">
        <v>275</v>
      </c>
      <c r="R127" s="205" t="s">
        <v>401</v>
      </c>
      <c r="S127" s="205" t="s">
        <v>436</v>
      </c>
      <c r="T127" s="205" t="s">
        <v>587</v>
      </c>
      <c r="U127" s="205">
        <v>5314</v>
      </c>
      <c r="V127" s="205" t="s">
        <v>585</v>
      </c>
      <c r="W127" s="205" t="s">
        <v>280</v>
      </c>
      <c r="X127" s="205">
        <v>26.347000000000001</v>
      </c>
      <c r="Y127" s="208">
        <v>0</v>
      </c>
      <c r="Z127" s="208">
        <v>2.06</v>
      </c>
      <c r="AA127" s="208">
        <v>54.25</v>
      </c>
      <c r="AB127" s="208">
        <v>-4.82</v>
      </c>
      <c r="AC127" s="208">
        <v>0</v>
      </c>
      <c r="AD127" s="208">
        <v>0</v>
      </c>
      <c r="AE127" s="208">
        <v>49.43</v>
      </c>
      <c r="AF127" s="208">
        <v>-6.32</v>
      </c>
      <c r="AG127" s="205" t="s">
        <v>279</v>
      </c>
      <c r="AH127" s="208">
        <v>0</v>
      </c>
      <c r="AI127" s="208">
        <v>54.25</v>
      </c>
      <c r="AJ127" s="208">
        <v>0</v>
      </c>
      <c r="AK127" s="205" t="str">
        <f t="shared" si="2"/>
        <v>1.00000000</v>
      </c>
      <c r="AL127" s="205">
        <v>13.8</v>
      </c>
    </row>
    <row r="128" spans="1:38" s="205" customFormat="1" x14ac:dyDescent="0.2">
      <c r="A128" s="205" t="str">
        <f>"0496002595700"</f>
        <v>0496002595700</v>
      </c>
      <c r="B128" s="205">
        <v>2</v>
      </c>
      <c r="C128" s="205" t="s">
        <v>156</v>
      </c>
      <c r="D128" s="205">
        <v>42</v>
      </c>
      <c r="E128" s="205">
        <v>42</v>
      </c>
      <c r="F128" s="205" t="s">
        <v>243</v>
      </c>
      <c r="G128" s="205">
        <v>2262</v>
      </c>
      <c r="H128" s="205" t="s">
        <v>270</v>
      </c>
      <c r="I128" s="205">
        <v>9286</v>
      </c>
      <c r="J128" s="206">
        <v>42356</v>
      </c>
      <c r="K128" s="207">
        <v>0.74236111111111114</v>
      </c>
      <c r="L128" s="206">
        <v>42360</v>
      </c>
      <c r="M128" s="205" t="s">
        <v>853</v>
      </c>
      <c r="N128" s="205" t="s">
        <v>272</v>
      </c>
      <c r="O128" s="205" t="s">
        <v>273</v>
      </c>
      <c r="P128" s="205" t="s">
        <v>274</v>
      </c>
      <c r="Q128" s="205" t="s">
        <v>275</v>
      </c>
      <c r="R128" s="205" t="s">
        <v>276</v>
      </c>
      <c r="S128" s="205" t="s">
        <v>156</v>
      </c>
      <c r="T128" s="205" t="s">
        <v>277</v>
      </c>
      <c r="U128" s="205">
        <v>2262</v>
      </c>
      <c r="V128" s="205" t="s">
        <v>156</v>
      </c>
      <c r="W128" s="205" t="s">
        <v>280</v>
      </c>
      <c r="X128" s="205">
        <v>8.9269999999999996</v>
      </c>
      <c r="Y128" s="208">
        <v>-0.27</v>
      </c>
      <c r="Z128" s="208">
        <v>2.09</v>
      </c>
      <c r="AA128" s="208">
        <v>18.649999999999999</v>
      </c>
      <c r="AB128" s="208">
        <v>-1.63</v>
      </c>
      <c r="AC128" s="208">
        <v>0</v>
      </c>
      <c r="AD128" s="208">
        <v>0</v>
      </c>
      <c r="AE128" s="208">
        <v>16.75</v>
      </c>
      <c r="AF128" s="208">
        <v>-2.14</v>
      </c>
      <c r="AG128" s="205" t="s">
        <v>279</v>
      </c>
      <c r="AH128" s="208">
        <v>0</v>
      </c>
      <c r="AI128" s="208">
        <v>18.649999999999999</v>
      </c>
      <c r="AJ128" s="208">
        <v>0</v>
      </c>
      <c r="AK128" s="205" t="str">
        <f t="shared" si="2"/>
        <v>1.00000000</v>
      </c>
      <c r="AL128" s="205">
        <v>161.6</v>
      </c>
    </row>
    <row r="129" spans="1:38" s="205" customFormat="1" x14ac:dyDescent="0.2">
      <c r="A129" s="205" t="str">
        <f>"0496002595700"</f>
        <v>0496002595700</v>
      </c>
      <c r="B129" s="205">
        <v>3</v>
      </c>
      <c r="C129" s="205" t="s">
        <v>156</v>
      </c>
      <c r="D129" s="205">
        <v>41</v>
      </c>
      <c r="E129" s="205">
        <v>41</v>
      </c>
      <c r="F129" s="205" t="s">
        <v>243</v>
      </c>
      <c r="G129" s="205">
        <v>2262</v>
      </c>
      <c r="H129" s="205" t="s">
        <v>270</v>
      </c>
      <c r="I129" s="205">
        <v>77772</v>
      </c>
      <c r="J129" s="206">
        <v>42356</v>
      </c>
      <c r="K129" s="207">
        <v>0.39861111111111108</v>
      </c>
      <c r="L129" s="206">
        <v>42360</v>
      </c>
      <c r="M129" s="205" t="s">
        <v>853</v>
      </c>
      <c r="N129" s="205" t="s">
        <v>272</v>
      </c>
      <c r="O129" s="205" t="s">
        <v>273</v>
      </c>
      <c r="P129" s="205" t="s">
        <v>274</v>
      </c>
      <c r="Q129" s="205" t="s">
        <v>275</v>
      </c>
      <c r="R129" s="205" t="s">
        <v>276</v>
      </c>
      <c r="S129" s="205" t="s">
        <v>156</v>
      </c>
      <c r="T129" s="205" t="s">
        <v>277</v>
      </c>
      <c r="U129" s="205">
        <v>2262</v>
      </c>
      <c r="V129" s="205" t="s">
        <v>156</v>
      </c>
      <c r="W129" s="205" t="s">
        <v>280</v>
      </c>
      <c r="X129" s="205">
        <v>5.7439999999999998</v>
      </c>
      <c r="Y129" s="208">
        <v>-0.17</v>
      </c>
      <c r="Z129" s="208">
        <v>2.09</v>
      </c>
      <c r="AA129" s="208">
        <v>12</v>
      </c>
      <c r="AB129" s="208">
        <v>-1.05</v>
      </c>
      <c r="AC129" s="208">
        <v>0</v>
      </c>
      <c r="AD129" s="208">
        <v>0</v>
      </c>
      <c r="AE129" s="208">
        <v>10.78</v>
      </c>
      <c r="AF129" s="208">
        <v>-1.38</v>
      </c>
      <c r="AG129" s="205" t="s">
        <v>279</v>
      </c>
      <c r="AH129" s="208">
        <v>0</v>
      </c>
      <c r="AI129" s="208">
        <v>12</v>
      </c>
      <c r="AJ129" s="208">
        <v>0</v>
      </c>
      <c r="AK129" s="205" t="str">
        <f t="shared" si="2"/>
        <v>1.00000000</v>
      </c>
      <c r="AL129" s="205">
        <v>22.3</v>
      </c>
    </row>
    <row r="130" spans="1:38" s="205" customFormat="1" x14ac:dyDescent="0.2">
      <c r="A130" s="205" t="str">
        <f>"0496002595700"</f>
        <v>0496002595700</v>
      </c>
      <c r="B130" s="205">
        <v>5</v>
      </c>
      <c r="C130" s="205" t="s">
        <v>156</v>
      </c>
      <c r="D130" s="205">
        <v>86</v>
      </c>
      <c r="E130" s="205">
        <v>86</v>
      </c>
      <c r="F130" s="205" t="s">
        <v>243</v>
      </c>
      <c r="G130" s="205">
        <v>2262</v>
      </c>
      <c r="H130" s="205" t="s">
        <v>270</v>
      </c>
      <c r="I130" s="205">
        <v>2345</v>
      </c>
      <c r="J130" s="206">
        <v>42356</v>
      </c>
      <c r="K130" s="207">
        <v>0.58819444444444446</v>
      </c>
      <c r="L130" s="206">
        <v>42360</v>
      </c>
      <c r="M130" s="205" t="s">
        <v>853</v>
      </c>
      <c r="N130" s="205" t="s">
        <v>272</v>
      </c>
      <c r="O130" s="205" t="s">
        <v>273</v>
      </c>
      <c r="P130" s="205" t="s">
        <v>274</v>
      </c>
      <c r="Q130" s="205" t="s">
        <v>275</v>
      </c>
      <c r="R130" s="205" t="s">
        <v>276</v>
      </c>
      <c r="S130" s="205" t="s">
        <v>156</v>
      </c>
      <c r="T130" s="205" t="s">
        <v>277</v>
      </c>
      <c r="U130" s="205">
        <v>2262</v>
      </c>
      <c r="V130" s="205" t="s">
        <v>156</v>
      </c>
      <c r="W130" s="205" t="s">
        <v>280</v>
      </c>
      <c r="X130" s="205">
        <v>14.791</v>
      </c>
      <c r="Y130" s="208">
        <v>-0.44</v>
      </c>
      <c r="Z130" s="208">
        <v>2.09</v>
      </c>
      <c r="AA130" s="208">
        <v>30.9</v>
      </c>
      <c r="AB130" s="208">
        <v>-2.71</v>
      </c>
      <c r="AC130" s="208">
        <v>0</v>
      </c>
      <c r="AD130" s="208">
        <v>0</v>
      </c>
      <c r="AE130" s="208">
        <v>27.75</v>
      </c>
      <c r="AF130" s="208">
        <v>-3.55</v>
      </c>
      <c r="AG130" s="205" t="s">
        <v>279</v>
      </c>
      <c r="AH130" s="208">
        <v>0</v>
      </c>
      <c r="AI130" s="208">
        <v>30.9</v>
      </c>
      <c r="AJ130" s="208">
        <v>0</v>
      </c>
      <c r="AK130" s="205" t="str">
        <f t="shared" ref="AK130:AK193" si="3">"1.00000000"</f>
        <v>1.00000000</v>
      </c>
      <c r="AL130" s="205">
        <v>26.2</v>
      </c>
    </row>
    <row r="131" spans="1:38" s="205" customFormat="1" x14ac:dyDescent="0.2">
      <c r="A131" s="205" t="str">
        <f>"0496002595734"</f>
        <v>0496002595734</v>
      </c>
      <c r="B131" s="205">
        <v>1</v>
      </c>
      <c r="C131" s="205" t="s">
        <v>435</v>
      </c>
      <c r="D131" s="205">
        <v>81</v>
      </c>
      <c r="E131" s="205">
        <v>81</v>
      </c>
      <c r="F131" s="205" t="s">
        <v>243</v>
      </c>
      <c r="G131" s="205">
        <v>2086</v>
      </c>
      <c r="H131" s="205" t="s">
        <v>270</v>
      </c>
      <c r="I131" s="205">
        <v>40116</v>
      </c>
      <c r="J131" s="206">
        <v>42356</v>
      </c>
      <c r="K131" s="207">
        <v>0.63124999999999998</v>
      </c>
      <c r="L131" s="206">
        <v>42360</v>
      </c>
      <c r="M131" s="205" t="s">
        <v>606</v>
      </c>
      <c r="N131" s="205" t="s">
        <v>399</v>
      </c>
      <c r="O131" s="205" t="s">
        <v>400</v>
      </c>
      <c r="P131" s="205" t="s">
        <v>274</v>
      </c>
      <c r="Q131" s="205" t="s">
        <v>275</v>
      </c>
      <c r="R131" s="205" t="s">
        <v>401</v>
      </c>
      <c r="S131" s="205" t="s">
        <v>436</v>
      </c>
      <c r="T131" s="205" t="s">
        <v>435</v>
      </c>
      <c r="U131" s="205">
        <v>2086</v>
      </c>
      <c r="V131" s="205" t="s">
        <v>435</v>
      </c>
      <c r="W131" s="205" t="s">
        <v>280</v>
      </c>
      <c r="X131" s="205">
        <v>7.1289999999999996</v>
      </c>
      <c r="Y131" s="208">
        <v>0</v>
      </c>
      <c r="Z131" s="208">
        <v>2.06</v>
      </c>
      <c r="AA131" s="208">
        <v>14.68</v>
      </c>
      <c r="AB131" s="208">
        <v>-1.3</v>
      </c>
      <c r="AC131" s="208">
        <v>0</v>
      </c>
      <c r="AD131" s="208">
        <v>0</v>
      </c>
      <c r="AE131" s="208">
        <v>13.38</v>
      </c>
      <c r="AF131" s="208">
        <v>-1.71</v>
      </c>
      <c r="AG131" s="205" t="s">
        <v>279</v>
      </c>
      <c r="AH131" s="208">
        <v>0</v>
      </c>
      <c r="AI131" s="208">
        <v>14.68</v>
      </c>
      <c r="AJ131" s="208">
        <v>0</v>
      </c>
      <c r="AK131" s="205" t="str">
        <f t="shared" si="3"/>
        <v>1.00000000</v>
      </c>
      <c r="AL131" s="205">
        <v>18.5</v>
      </c>
    </row>
    <row r="132" spans="1:38" s="205" customFormat="1" x14ac:dyDescent="0.2">
      <c r="A132" s="205" t="str">
        <f>"0496002595734"</f>
        <v>0496002595734</v>
      </c>
      <c r="B132" s="205">
        <v>3</v>
      </c>
      <c r="C132" s="205" t="s">
        <v>435</v>
      </c>
      <c r="D132" s="205">
        <v>82</v>
      </c>
      <c r="E132" s="205">
        <v>82</v>
      </c>
      <c r="F132" s="205" t="s">
        <v>243</v>
      </c>
      <c r="G132" s="205">
        <v>2086</v>
      </c>
      <c r="H132" s="205" t="s">
        <v>270</v>
      </c>
      <c r="I132" s="205">
        <v>32713</v>
      </c>
      <c r="J132" s="206">
        <v>42356</v>
      </c>
      <c r="K132" s="207">
        <v>0.36805555555555558</v>
      </c>
      <c r="L132" s="206">
        <v>42360</v>
      </c>
      <c r="M132" s="205" t="s">
        <v>853</v>
      </c>
      <c r="N132" s="205" t="s">
        <v>272</v>
      </c>
      <c r="O132" s="205" t="s">
        <v>273</v>
      </c>
      <c r="P132" s="205" t="s">
        <v>274</v>
      </c>
      <c r="Q132" s="205" t="s">
        <v>275</v>
      </c>
      <c r="R132" s="205" t="s">
        <v>276</v>
      </c>
      <c r="S132" s="205" t="s">
        <v>436</v>
      </c>
      <c r="T132" s="205" t="s">
        <v>435</v>
      </c>
      <c r="U132" s="205">
        <v>2086</v>
      </c>
      <c r="V132" s="205" t="s">
        <v>435</v>
      </c>
      <c r="W132" s="205" t="s">
        <v>280</v>
      </c>
      <c r="X132" s="205">
        <v>13.259</v>
      </c>
      <c r="Y132" s="208">
        <v>-0.4</v>
      </c>
      <c r="Z132" s="208">
        <v>2.09</v>
      </c>
      <c r="AA132" s="208">
        <v>27.7</v>
      </c>
      <c r="AB132" s="208">
        <v>-2.4300000000000002</v>
      </c>
      <c r="AC132" s="208">
        <v>0</v>
      </c>
      <c r="AD132" s="208">
        <v>0</v>
      </c>
      <c r="AE132" s="208">
        <v>24.87</v>
      </c>
      <c r="AF132" s="208">
        <v>-3.18</v>
      </c>
      <c r="AG132" s="205" t="s">
        <v>279</v>
      </c>
      <c r="AH132" s="208">
        <v>0</v>
      </c>
      <c r="AI132" s="208">
        <v>27.7</v>
      </c>
      <c r="AJ132" s="208">
        <v>0</v>
      </c>
      <c r="AK132" s="205" t="str">
        <f t="shared" si="3"/>
        <v>1.00000000</v>
      </c>
      <c r="AL132" s="205">
        <v>16.399999999999999</v>
      </c>
    </row>
    <row r="133" spans="1:38" s="205" customFormat="1" x14ac:dyDescent="0.2">
      <c r="A133" s="205" t="str">
        <f>"0496002595700"</f>
        <v>0496002595700</v>
      </c>
      <c r="B133" s="205">
        <v>3</v>
      </c>
      <c r="C133" s="205" t="s">
        <v>156</v>
      </c>
      <c r="D133" s="205">
        <v>41</v>
      </c>
      <c r="E133" s="205">
        <v>41</v>
      </c>
      <c r="F133" s="205" t="s">
        <v>243</v>
      </c>
      <c r="G133" s="205">
        <v>2262</v>
      </c>
      <c r="H133" s="205" t="s">
        <v>270</v>
      </c>
      <c r="I133" s="205">
        <v>78318</v>
      </c>
      <c r="J133" s="206">
        <v>42357</v>
      </c>
      <c r="K133" s="207">
        <v>0.87222222222222223</v>
      </c>
      <c r="L133" s="206">
        <v>42360</v>
      </c>
      <c r="M133" s="205" t="s">
        <v>853</v>
      </c>
      <c r="N133" s="205" t="s">
        <v>272</v>
      </c>
      <c r="O133" s="205" t="s">
        <v>273</v>
      </c>
      <c r="P133" s="205" t="s">
        <v>274</v>
      </c>
      <c r="Q133" s="205" t="s">
        <v>275</v>
      </c>
      <c r="R133" s="205" t="s">
        <v>276</v>
      </c>
      <c r="S133" s="205" t="s">
        <v>156</v>
      </c>
      <c r="T133" s="205" t="s">
        <v>277</v>
      </c>
      <c r="U133" s="205">
        <v>2262</v>
      </c>
      <c r="V133" s="205" t="s">
        <v>156</v>
      </c>
      <c r="W133" s="205" t="s">
        <v>280</v>
      </c>
      <c r="X133" s="205">
        <v>12.345000000000001</v>
      </c>
      <c r="Y133" s="208">
        <v>-0.37</v>
      </c>
      <c r="Z133" s="208">
        <v>2.06</v>
      </c>
      <c r="AA133" s="208">
        <v>25.42</v>
      </c>
      <c r="AB133" s="208">
        <v>-2.2599999999999998</v>
      </c>
      <c r="AC133" s="208">
        <v>0</v>
      </c>
      <c r="AD133" s="208">
        <v>0</v>
      </c>
      <c r="AE133" s="208">
        <v>22.79</v>
      </c>
      <c r="AF133" s="208">
        <v>-2.96</v>
      </c>
      <c r="AG133" s="205" t="s">
        <v>279</v>
      </c>
      <c r="AH133" s="208">
        <v>0</v>
      </c>
      <c r="AI133" s="208">
        <v>25.42</v>
      </c>
      <c r="AJ133" s="208">
        <v>0</v>
      </c>
      <c r="AK133" s="205" t="str">
        <f t="shared" si="3"/>
        <v>1.00000000</v>
      </c>
      <c r="AL133" s="205">
        <v>44.2</v>
      </c>
    </row>
    <row r="134" spans="1:38" s="205" customFormat="1" x14ac:dyDescent="0.2">
      <c r="A134" s="205" t="str">
        <f>"0496002595734"</f>
        <v>0496002595734</v>
      </c>
      <c r="B134" s="205">
        <v>2</v>
      </c>
      <c r="C134" s="205" t="s">
        <v>435</v>
      </c>
      <c r="D134" s="205">
        <v>80</v>
      </c>
      <c r="E134" s="205">
        <v>80</v>
      </c>
      <c r="F134" s="205" t="s">
        <v>243</v>
      </c>
      <c r="G134" s="205">
        <v>2086</v>
      </c>
      <c r="H134" s="205" t="s">
        <v>270</v>
      </c>
      <c r="I134" s="205">
        <v>39630</v>
      </c>
      <c r="J134" s="206">
        <v>42357</v>
      </c>
      <c r="K134" s="207">
        <v>0.88402777777777775</v>
      </c>
      <c r="L134" s="206">
        <v>42360</v>
      </c>
      <c r="M134" s="205" t="s">
        <v>853</v>
      </c>
      <c r="N134" s="205" t="s">
        <v>272</v>
      </c>
      <c r="O134" s="205" t="s">
        <v>273</v>
      </c>
      <c r="P134" s="205" t="s">
        <v>274</v>
      </c>
      <c r="Q134" s="205" t="s">
        <v>275</v>
      </c>
      <c r="R134" s="205" t="s">
        <v>276</v>
      </c>
      <c r="S134" s="205" t="s">
        <v>436</v>
      </c>
      <c r="T134" s="205" t="s">
        <v>435</v>
      </c>
      <c r="U134" s="205">
        <v>2086</v>
      </c>
      <c r="V134" s="205" t="s">
        <v>435</v>
      </c>
      <c r="W134" s="205" t="s">
        <v>280</v>
      </c>
      <c r="X134" s="205">
        <v>6.1719999999999997</v>
      </c>
      <c r="Y134" s="208">
        <v>-0.19</v>
      </c>
      <c r="Z134" s="208">
        <v>2.06</v>
      </c>
      <c r="AA134" s="208">
        <v>12.71</v>
      </c>
      <c r="AB134" s="208">
        <v>-1.1299999999999999</v>
      </c>
      <c r="AC134" s="208">
        <v>0</v>
      </c>
      <c r="AD134" s="208">
        <v>0</v>
      </c>
      <c r="AE134" s="208">
        <v>11.39</v>
      </c>
      <c r="AF134" s="208">
        <v>-1.48</v>
      </c>
      <c r="AG134" s="205" t="s">
        <v>279</v>
      </c>
      <c r="AH134" s="208">
        <v>0</v>
      </c>
      <c r="AI134" s="208">
        <v>12.71</v>
      </c>
      <c r="AJ134" s="208">
        <v>0</v>
      </c>
      <c r="AK134" s="205" t="str">
        <f t="shared" si="3"/>
        <v>1.00000000</v>
      </c>
      <c r="AL134" s="205">
        <v>54</v>
      </c>
    </row>
    <row r="135" spans="1:38" s="205" customFormat="1" x14ac:dyDescent="0.2">
      <c r="A135" s="205" t="str">
        <f>"0496002595734"</f>
        <v>0496002595734</v>
      </c>
      <c r="B135" s="205">
        <v>1</v>
      </c>
      <c r="C135" s="205" t="s">
        <v>435</v>
      </c>
      <c r="D135" s="205">
        <v>81</v>
      </c>
      <c r="E135" s="205">
        <v>81</v>
      </c>
      <c r="F135" s="205" t="s">
        <v>243</v>
      </c>
      <c r="G135" s="205">
        <v>2086</v>
      </c>
      <c r="H135" s="205" t="s">
        <v>270</v>
      </c>
      <c r="I135" s="205">
        <v>87</v>
      </c>
      <c r="J135" s="206">
        <v>42358</v>
      </c>
      <c r="K135" s="207">
        <v>0.41151620370370368</v>
      </c>
      <c r="L135" s="206">
        <v>42360</v>
      </c>
      <c r="M135" s="205" t="s">
        <v>396</v>
      </c>
      <c r="N135" s="205" t="s">
        <v>397</v>
      </c>
      <c r="O135" s="205" t="s">
        <v>398</v>
      </c>
      <c r="P135" s="205" t="s">
        <v>343</v>
      </c>
      <c r="Q135" s="205" t="s">
        <v>275</v>
      </c>
      <c r="R135" s="205" t="s">
        <v>686</v>
      </c>
      <c r="S135" s="205" t="s">
        <v>436</v>
      </c>
      <c r="T135" s="205" t="s">
        <v>435</v>
      </c>
      <c r="U135" s="205">
        <v>2086</v>
      </c>
      <c r="V135" s="205" t="s">
        <v>435</v>
      </c>
      <c r="W135" s="205" t="s">
        <v>280</v>
      </c>
      <c r="X135" s="205">
        <v>11.444000000000001</v>
      </c>
      <c r="Y135" s="208">
        <v>0</v>
      </c>
      <c r="Z135" s="208">
        <v>2.0499999999999998</v>
      </c>
      <c r="AA135" s="208">
        <v>23.45</v>
      </c>
      <c r="AB135" s="208">
        <v>-2.09</v>
      </c>
      <c r="AC135" s="208">
        <v>0</v>
      </c>
      <c r="AD135" s="208">
        <v>0</v>
      </c>
      <c r="AE135" s="208">
        <v>21.36</v>
      </c>
      <c r="AF135" s="208">
        <v>-2.75</v>
      </c>
      <c r="AG135" s="205" t="s">
        <v>279</v>
      </c>
      <c r="AH135" s="208">
        <v>0</v>
      </c>
      <c r="AI135" s="208">
        <v>23.45</v>
      </c>
      <c r="AJ135" s="208">
        <v>0</v>
      </c>
      <c r="AK135" s="205" t="str">
        <f t="shared" si="3"/>
        <v>1.00000000</v>
      </c>
      <c r="AL135" s="205">
        <v>17.600000000000001</v>
      </c>
    </row>
    <row r="136" spans="1:38" s="205" customFormat="1" x14ac:dyDescent="0.2">
      <c r="A136" s="205" t="str">
        <f>"0496002595734"</f>
        <v>0496002595734</v>
      </c>
      <c r="B136" s="205">
        <v>3</v>
      </c>
      <c r="C136" s="205" t="s">
        <v>435</v>
      </c>
      <c r="D136" s="205">
        <v>82</v>
      </c>
      <c r="E136" s="205">
        <v>82</v>
      </c>
      <c r="F136" s="205" t="s">
        <v>243</v>
      </c>
      <c r="G136" s="205">
        <v>2086</v>
      </c>
      <c r="H136" s="205" t="s">
        <v>270</v>
      </c>
      <c r="I136" s="205">
        <v>32819</v>
      </c>
      <c r="J136" s="206">
        <v>42358</v>
      </c>
      <c r="K136" s="207">
        <v>0.64513888888888882</v>
      </c>
      <c r="L136" s="206">
        <v>42360</v>
      </c>
      <c r="M136" s="205" t="s">
        <v>853</v>
      </c>
      <c r="N136" s="205" t="s">
        <v>272</v>
      </c>
      <c r="O136" s="205" t="s">
        <v>273</v>
      </c>
      <c r="P136" s="205" t="s">
        <v>274</v>
      </c>
      <c r="Q136" s="205" t="s">
        <v>275</v>
      </c>
      <c r="R136" s="205" t="s">
        <v>276</v>
      </c>
      <c r="S136" s="205" t="s">
        <v>436</v>
      </c>
      <c r="T136" s="205" t="s">
        <v>435</v>
      </c>
      <c r="U136" s="205">
        <v>2086</v>
      </c>
      <c r="V136" s="205" t="s">
        <v>435</v>
      </c>
      <c r="W136" s="205" t="s">
        <v>280</v>
      </c>
      <c r="X136" s="205">
        <v>6.1790000000000003</v>
      </c>
      <c r="Y136" s="208">
        <v>-0.19</v>
      </c>
      <c r="Z136" s="208">
        <v>2.06</v>
      </c>
      <c r="AA136" s="208">
        <v>12.73</v>
      </c>
      <c r="AB136" s="208">
        <v>-1.1299999999999999</v>
      </c>
      <c r="AC136" s="208">
        <v>0</v>
      </c>
      <c r="AD136" s="208">
        <v>0</v>
      </c>
      <c r="AE136" s="208">
        <v>11.41</v>
      </c>
      <c r="AF136" s="208">
        <v>-1.48</v>
      </c>
      <c r="AG136" s="205" t="s">
        <v>279</v>
      </c>
      <c r="AH136" s="208">
        <v>0</v>
      </c>
      <c r="AI136" s="208">
        <v>12.73</v>
      </c>
      <c r="AJ136" s="208">
        <v>0</v>
      </c>
      <c r="AK136" s="205" t="str">
        <f t="shared" si="3"/>
        <v>1.00000000</v>
      </c>
      <c r="AL136" s="205">
        <v>17.2</v>
      </c>
    </row>
    <row r="137" spans="1:38" s="205" customFormat="1" x14ac:dyDescent="0.2">
      <c r="A137" s="205" t="str">
        <f>"0496002595700"</f>
        <v>0496002595700</v>
      </c>
      <c r="B137" s="205">
        <v>4</v>
      </c>
      <c r="C137" s="205" t="s">
        <v>156</v>
      </c>
      <c r="D137" s="205">
        <v>85</v>
      </c>
      <c r="E137" s="205">
        <v>85</v>
      </c>
      <c r="F137" s="205" t="s">
        <v>243</v>
      </c>
      <c r="G137" s="205">
        <v>2262</v>
      </c>
      <c r="H137" s="205" t="s">
        <v>270</v>
      </c>
      <c r="I137" s="205">
        <v>66114</v>
      </c>
      <c r="J137" s="206">
        <v>42359</v>
      </c>
      <c r="K137" s="207">
        <v>0.71250000000000002</v>
      </c>
      <c r="L137" s="206">
        <v>42361</v>
      </c>
      <c r="M137" s="205" t="s">
        <v>853</v>
      </c>
      <c r="N137" s="205" t="s">
        <v>272</v>
      </c>
      <c r="O137" s="205" t="s">
        <v>273</v>
      </c>
      <c r="P137" s="205" t="s">
        <v>274</v>
      </c>
      <c r="Q137" s="205" t="s">
        <v>275</v>
      </c>
      <c r="R137" s="205" t="s">
        <v>276</v>
      </c>
      <c r="S137" s="205" t="s">
        <v>156</v>
      </c>
      <c r="T137" s="205" t="s">
        <v>277</v>
      </c>
      <c r="U137" s="205">
        <v>2262</v>
      </c>
      <c r="V137" s="205" t="s">
        <v>156</v>
      </c>
      <c r="W137" s="205" t="s">
        <v>280</v>
      </c>
      <c r="X137" s="205">
        <v>15.313000000000001</v>
      </c>
      <c r="Y137" s="208">
        <v>-0.46</v>
      </c>
      <c r="Z137" s="208">
        <v>2.06</v>
      </c>
      <c r="AA137" s="208">
        <v>31.53</v>
      </c>
      <c r="AB137" s="208">
        <v>-2.8</v>
      </c>
      <c r="AC137" s="208">
        <v>0</v>
      </c>
      <c r="AD137" s="208">
        <v>0</v>
      </c>
      <c r="AE137" s="208">
        <v>28.27</v>
      </c>
      <c r="AF137" s="208">
        <v>-3.68</v>
      </c>
      <c r="AG137" s="205" t="s">
        <v>279</v>
      </c>
      <c r="AH137" s="208">
        <v>0</v>
      </c>
      <c r="AI137" s="208">
        <v>31.53</v>
      </c>
      <c r="AJ137" s="208">
        <v>0</v>
      </c>
      <c r="AK137" s="205" t="str">
        <f t="shared" si="3"/>
        <v>1.00000000</v>
      </c>
      <c r="AL137" s="205">
        <v>17.899999999999999</v>
      </c>
    </row>
    <row r="138" spans="1:38" s="205" customFormat="1" x14ac:dyDescent="0.2">
      <c r="A138" s="205" t="str">
        <f t="shared" ref="A138:A143" si="4">"0496002595734"</f>
        <v>0496002595734</v>
      </c>
      <c r="B138" s="205">
        <v>1</v>
      </c>
      <c r="C138" s="205" t="s">
        <v>435</v>
      </c>
      <c r="D138" s="205">
        <v>81</v>
      </c>
      <c r="E138" s="205">
        <v>81</v>
      </c>
      <c r="F138" s="205" t="s">
        <v>243</v>
      </c>
      <c r="G138" s="205">
        <v>2086</v>
      </c>
      <c r="H138" s="205" t="s">
        <v>270</v>
      </c>
      <c r="I138" s="205">
        <v>40528</v>
      </c>
      <c r="J138" s="206">
        <v>42359</v>
      </c>
      <c r="K138" s="207">
        <v>0.36736111111111108</v>
      </c>
      <c r="L138" s="206">
        <v>42361</v>
      </c>
      <c r="M138" s="205" t="s">
        <v>853</v>
      </c>
      <c r="N138" s="205" t="s">
        <v>272</v>
      </c>
      <c r="O138" s="205" t="s">
        <v>273</v>
      </c>
      <c r="P138" s="205" t="s">
        <v>274</v>
      </c>
      <c r="Q138" s="205" t="s">
        <v>275</v>
      </c>
      <c r="R138" s="205" t="s">
        <v>276</v>
      </c>
      <c r="S138" s="205" t="s">
        <v>436</v>
      </c>
      <c r="T138" s="205" t="s">
        <v>435</v>
      </c>
      <c r="U138" s="205">
        <v>2086</v>
      </c>
      <c r="V138" s="205" t="s">
        <v>435</v>
      </c>
      <c r="W138" s="205" t="s">
        <v>280</v>
      </c>
      <c r="X138" s="205">
        <v>10.805999999999999</v>
      </c>
      <c r="Y138" s="208">
        <v>-0.32</v>
      </c>
      <c r="Z138" s="208">
        <v>2.06</v>
      </c>
      <c r="AA138" s="208">
        <v>22.25</v>
      </c>
      <c r="AB138" s="208">
        <v>-1.98</v>
      </c>
      <c r="AC138" s="208">
        <v>0</v>
      </c>
      <c r="AD138" s="208">
        <v>0</v>
      </c>
      <c r="AE138" s="208">
        <v>19.95</v>
      </c>
      <c r="AF138" s="208">
        <v>-2.59</v>
      </c>
      <c r="AG138" s="205" t="s">
        <v>279</v>
      </c>
      <c r="AH138" s="208">
        <v>0</v>
      </c>
      <c r="AI138" s="208">
        <v>22.25</v>
      </c>
      <c r="AJ138" s="208">
        <v>0</v>
      </c>
      <c r="AK138" s="205" t="str">
        <f t="shared" si="3"/>
        <v>1.00000000</v>
      </c>
      <c r="AL138" s="205">
        <v>19.5</v>
      </c>
    </row>
    <row r="139" spans="1:38" s="205" customFormat="1" x14ac:dyDescent="0.2">
      <c r="A139" s="205" t="str">
        <f t="shared" si="4"/>
        <v>0496002595734</v>
      </c>
      <c r="B139" s="205">
        <v>2</v>
      </c>
      <c r="C139" s="205" t="s">
        <v>435</v>
      </c>
      <c r="D139" s="205">
        <v>80</v>
      </c>
      <c r="E139" s="205">
        <v>80</v>
      </c>
      <c r="F139" s="205" t="s">
        <v>243</v>
      </c>
      <c r="G139" s="205">
        <v>2086</v>
      </c>
      <c r="H139" s="205" t="s">
        <v>270</v>
      </c>
      <c r="I139" s="205">
        <v>39742</v>
      </c>
      <c r="J139" s="206">
        <v>42359</v>
      </c>
      <c r="K139" s="207">
        <v>0.20069444444444443</v>
      </c>
      <c r="L139" s="206">
        <v>42361</v>
      </c>
      <c r="M139" s="205" t="s">
        <v>853</v>
      </c>
      <c r="N139" s="205" t="s">
        <v>272</v>
      </c>
      <c r="O139" s="205" t="s">
        <v>273</v>
      </c>
      <c r="P139" s="205" t="s">
        <v>274</v>
      </c>
      <c r="Q139" s="205" t="s">
        <v>275</v>
      </c>
      <c r="R139" s="205" t="s">
        <v>276</v>
      </c>
      <c r="S139" s="205" t="s">
        <v>436</v>
      </c>
      <c r="T139" s="205" t="s">
        <v>435</v>
      </c>
      <c r="U139" s="205">
        <v>2086</v>
      </c>
      <c r="V139" s="205" t="s">
        <v>435</v>
      </c>
      <c r="W139" s="205" t="s">
        <v>280</v>
      </c>
      <c r="X139" s="205">
        <v>7.3769999999999998</v>
      </c>
      <c r="Y139" s="208">
        <v>-0.22</v>
      </c>
      <c r="Z139" s="208">
        <v>2.06</v>
      </c>
      <c r="AA139" s="208">
        <v>15.19</v>
      </c>
      <c r="AB139" s="208">
        <v>-1.35</v>
      </c>
      <c r="AC139" s="208">
        <v>0</v>
      </c>
      <c r="AD139" s="208">
        <v>0</v>
      </c>
      <c r="AE139" s="208">
        <v>13.62</v>
      </c>
      <c r="AF139" s="208">
        <v>-1.77</v>
      </c>
      <c r="AG139" s="205" t="s">
        <v>279</v>
      </c>
      <c r="AH139" s="208">
        <v>0</v>
      </c>
      <c r="AI139" s="208">
        <v>15.19</v>
      </c>
      <c r="AJ139" s="208">
        <v>0</v>
      </c>
      <c r="AK139" s="205" t="str">
        <f t="shared" si="3"/>
        <v>1.00000000</v>
      </c>
      <c r="AL139" s="205">
        <v>15.2</v>
      </c>
    </row>
    <row r="140" spans="1:38" s="205" customFormat="1" x14ac:dyDescent="0.2">
      <c r="A140" s="205" t="str">
        <f t="shared" si="4"/>
        <v>0496002595734</v>
      </c>
      <c r="B140" s="205">
        <v>2</v>
      </c>
      <c r="C140" s="205" t="s">
        <v>435</v>
      </c>
      <c r="D140" s="205">
        <v>80</v>
      </c>
      <c r="E140" s="205">
        <v>80</v>
      </c>
      <c r="F140" s="205" t="s">
        <v>243</v>
      </c>
      <c r="G140" s="205">
        <v>2086</v>
      </c>
      <c r="H140" s="205" t="s">
        <v>270</v>
      </c>
      <c r="I140" s="205">
        <v>39836</v>
      </c>
      <c r="J140" s="206">
        <v>42359</v>
      </c>
      <c r="K140" s="207">
        <v>0.45763888888888887</v>
      </c>
      <c r="L140" s="206">
        <v>42361</v>
      </c>
      <c r="M140" s="205" t="s">
        <v>853</v>
      </c>
      <c r="N140" s="205" t="s">
        <v>272</v>
      </c>
      <c r="O140" s="205" t="s">
        <v>273</v>
      </c>
      <c r="P140" s="205" t="s">
        <v>274</v>
      </c>
      <c r="Q140" s="205" t="s">
        <v>275</v>
      </c>
      <c r="R140" s="205" t="s">
        <v>276</v>
      </c>
      <c r="S140" s="205" t="s">
        <v>436</v>
      </c>
      <c r="T140" s="205" t="s">
        <v>435</v>
      </c>
      <c r="U140" s="205">
        <v>2086</v>
      </c>
      <c r="V140" s="205" t="s">
        <v>435</v>
      </c>
      <c r="W140" s="205" t="s">
        <v>280</v>
      </c>
      <c r="X140" s="205">
        <v>2.7370000000000001</v>
      </c>
      <c r="Y140" s="208">
        <v>-0.08</v>
      </c>
      <c r="Z140" s="208">
        <v>2.06</v>
      </c>
      <c r="AA140" s="208">
        <v>5.64</v>
      </c>
      <c r="AB140" s="208">
        <v>-0.5</v>
      </c>
      <c r="AC140" s="208">
        <v>0</v>
      </c>
      <c r="AD140" s="208">
        <v>0</v>
      </c>
      <c r="AE140" s="208">
        <v>5.0599999999999996</v>
      </c>
      <c r="AF140" s="208">
        <v>-0.66</v>
      </c>
      <c r="AG140" s="205" t="s">
        <v>279</v>
      </c>
      <c r="AH140" s="208">
        <v>0</v>
      </c>
      <c r="AI140" s="208">
        <v>5.64</v>
      </c>
      <c r="AJ140" s="208">
        <v>0</v>
      </c>
      <c r="AK140" s="205" t="str">
        <f t="shared" si="3"/>
        <v>1.00000000</v>
      </c>
      <c r="AL140" s="205">
        <v>34.299999999999997</v>
      </c>
    </row>
    <row r="141" spans="1:38" s="205" customFormat="1" x14ac:dyDescent="0.2">
      <c r="A141" s="205" t="str">
        <f t="shared" si="4"/>
        <v>0496002595734</v>
      </c>
      <c r="B141" s="205">
        <v>3</v>
      </c>
      <c r="C141" s="205" t="s">
        <v>435</v>
      </c>
      <c r="D141" s="205">
        <v>82</v>
      </c>
      <c r="E141" s="205">
        <v>82</v>
      </c>
      <c r="F141" s="205" t="s">
        <v>243</v>
      </c>
      <c r="G141" s="205">
        <v>2086</v>
      </c>
      <c r="H141" s="205" t="s">
        <v>270</v>
      </c>
      <c r="I141" s="205">
        <v>33010</v>
      </c>
      <c r="J141" s="206">
        <v>42359</v>
      </c>
      <c r="K141" s="207">
        <v>0.60416666666666663</v>
      </c>
      <c r="L141" s="206">
        <v>42361</v>
      </c>
      <c r="M141" s="205" t="s">
        <v>853</v>
      </c>
      <c r="N141" s="205" t="s">
        <v>272</v>
      </c>
      <c r="O141" s="205" t="s">
        <v>273</v>
      </c>
      <c r="P141" s="205" t="s">
        <v>274</v>
      </c>
      <c r="Q141" s="205" t="s">
        <v>275</v>
      </c>
      <c r="R141" s="205" t="s">
        <v>276</v>
      </c>
      <c r="S141" s="205" t="s">
        <v>436</v>
      </c>
      <c r="T141" s="205" t="s">
        <v>435</v>
      </c>
      <c r="U141" s="205">
        <v>2086</v>
      </c>
      <c r="V141" s="205" t="s">
        <v>435</v>
      </c>
      <c r="W141" s="205" t="s">
        <v>280</v>
      </c>
      <c r="X141" s="205">
        <v>9.5429999999999993</v>
      </c>
      <c r="Y141" s="208">
        <v>-0.28999999999999998</v>
      </c>
      <c r="Z141" s="208">
        <v>2.06</v>
      </c>
      <c r="AA141" s="208">
        <v>19.649999999999999</v>
      </c>
      <c r="AB141" s="208">
        <v>-1.75</v>
      </c>
      <c r="AC141" s="208">
        <v>0</v>
      </c>
      <c r="AD141" s="208">
        <v>0</v>
      </c>
      <c r="AE141" s="208">
        <v>17.61</v>
      </c>
      <c r="AF141" s="208">
        <v>-2.29</v>
      </c>
      <c r="AG141" s="205" t="s">
        <v>279</v>
      </c>
      <c r="AH141" s="208">
        <v>0</v>
      </c>
      <c r="AI141" s="208">
        <v>19.649999999999999</v>
      </c>
      <c r="AJ141" s="208">
        <v>0</v>
      </c>
      <c r="AK141" s="205" t="str">
        <f t="shared" si="3"/>
        <v>1.00000000</v>
      </c>
      <c r="AL141" s="205">
        <v>20</v>
      </c>
    </row>
    <row r="142" spans="1:38" s="205" customFormat="1" x14ac:dyDescent="0.2">
      <c r="A142" s="205" t="str">
        <f t="shared" si="4"/>
        <v>0496002595734</v>
      </c>
      <c r="B142" s="205">
        <v>2</v>
      </c>
      <c r="C142" s="205" t="s">
        <v>435</v>
      </c>
      <c r="D142" s="205">
        <v>80</v>
      </c>
      <c r="E142" s="205">
        <v>80</v>
      </c>
      <c r="F142" s="205" t="s">
        <v>243</v>
      </c>
      <c r="G142" s="205">
        <v>2086</v>
      </c>
      <c r="H142" s="205" t="s">
        <v>270</v>
      </c>
      <c r="I142" s="205">
        <v>40213</v>
      </c>
      <c r="J142" s="206">
        <v>42360</v>
      </c>
      <c r="K142" s="207">
        <v>0.6020833333333333</v>
      </c>
      <c r="L142" s="206">
        <v>42362</v>
      </c>
      <c r="M142" s="205" t="s">
        <v>853</v>
      </c>
      <c r="N142" s="205" t="s">
        <v>454</v>
      </c>
      <c r="O142" s="205" t="s">
        <v>900</v>
      </c>
      <c r="P142" s="205" t="s">
        <v>901</v>
      </c>
      <c r="Q142" s="205" t="s">
        <v>275</v>
      </c>
      <c r="R142" s="205" t="s">
        <v>902</v>
      </c>
      <c r="S142" s="205" t="s">
        <v>436</v>
      </c>
      <c r="T142" s="205" t="s">
        <v>435</v>
      </c>
      <c r="U142" s="205">
        <v>2086</v>
      </c>
      <c r="V142" s="205" t="s">
        <v>435</v>
      </c>
      <c r="W142" s="205" t="s">
        <v>280</v>
      </c>
      <c r="X142" s="205">
        <v>10.678000000000001</v>
      </c>
      <c r="Y142" s="208">
        <v>-0.32</v>
      </c>
      <c r="Z142" s="208">
        <v>2.02</v>
      </c>
      <c r="AA142" s="208">
        <v>21.56</v>
      </c>
      <c r="AB142" s="208">
        <v>-1.95</v>
      </c>
      <c r="AC142" s="208">
        <v>0</v>
      </c>
      <c r="AD142" s="208">
        <v>0</v>
      </c>
      <c r="AE142" s="208">
        <v>19.29</v>
      </c>
      <c r="AF142" s="208">
        <v>-2.56</v>
      </c>
      <c r="AG142" s="205" t="s">
        <v>279</v>
      </c>
      <c r="AH142" s="208">
        <v>0</v>
      </c>
      <c r="AI142" s="208">
        <v>21.56</v>
      </c>
      <c r="AJ142" s="208">
        <v>0</v>
      </c>
      <c r="AK142" s="205" t="str">
        <f t="shared" si="3"/>
        <v>1.00000000</v>
      </c>
      <c r="AL142" s="205">
        <v>35.299999999999997</v>
      </c>
    </row>
    <row r="143" spans="1:38" s="205" customFormat="1" x14ac:dyDescent="0.2">
      <c r="A143" s="205" t="str">
        <f t="shared" si="4"/>
        <v>0496002595734</v>
      </c>
      <c r="B143" s="205">
        <v>3</v>
      </c>
      <c r="C143" s="205" t="s">
        <v>435</v>
      </c>
      <c r="D143" s="205">
        <v>82</v>
      </c>
      <c r="E143" s="205">
        <v>82</v>
      </c>
      <c r="F143" s="205" t="s">
        <v>243</v>
      </c>
      <c r="G143" s="205">
        <v>2086</v>
      </c>
      <c r="H143" s="205" t="s">
        <v>270</v>
      </c>
      <c r="I143" s="205">
        <v>33322</v>
      </c>
      <c r="J143" s="206">
        <v>42360</v>
      </c>
      <c r="K143" s="207">
        <v>0.4826388888888889</v>
      </c>
      <c r="L143" s="206">
        <v>42362</v>
      </c>
      <c r="M143" s="205" t="s">
        <v>853</v>
      </c>
      <c r="N143" s="205" t="s">
        <v>272</v>
      </c>
      <c r="O143" s="205" t="s">
        <v>273</v>
      </c>
      <c r="P143" s="205" t="s">
        <v>274</v>
      </c>
      <c r="Q143" s="205" t="s">
        <v>275</v>
      </c>
      <c r="R143" s="205" t="s">
        <v>276</v>
      </c>
      <c r="S143" s="205" t="s">
        <v>436</v>
      </c>
      <c r="T143" s="205" t="s">
        <v>435</v>
      </c>
      <c r="U143" s="205">
        <v>2086</v>
      </c>
      <c r="V143" s="205" t="s">
        <v>435</v>
      </c>
      <c r="W143" s="205" t="s">
        <v>280</v>
      </c>
      <c r="X143" s="205">
        <v>15.473000000000001</v>
      </c>
      <c r="Y143" s="208">
        <v>-0.46</v>
      </c>
      <c r="Z143" s="208">
        <v>2.06</v>
      </c>
      <c r="AA143" s="208">
        <v>31.86</v>
      </c>
      <c r="AB143" s="208">
        <v>-2.83</v>
      </c>
      <c r="AC143" s="208">
        <v>0</v>
      </c>
      <c r="AD143" s="208">
        <v>0</v>
      </c>
      <c r="AE143" s="208">
        <v>28.57</v>
      </c>
      <c r="AF143" s="208">
        <v>-3.71</v>
      </c>
      <c r="AG143" s="205" t="s">
        <v>279</v>
      </c>
      <c r="AH143" s="208">
        <v>0</v>
      </c>
      <c r="AI143" s="208">
        <v>31.86</v>
      </c>
      <c r="AJ143" s="208">
        <v>0</v>
      </c>
      <c r="AK143" s="205" t="str">
        <f t="shared" si="3"/>
        <v>1.00000000</v>
      </c>
      <c r="AL143" s="205">
        <v>20.2</v>
      </c>
    </row>
    <row r="144" spans="1:38" s="205" customFormat="1" x14ac:dyDescent="0.2">
      <c r="A144" s="205" t="str">
        <f>"0496002595700"</f>
        <v>0496002595700</v>
      </c>
      <c r="B144" s="205">
        <v>6</v>
      </c>
      <c r="C144" s="205" t="s">
        <v>156</v>
      </c>
      <c r="D144" s="205" t="s">
        <v>344</v>
      </c>
      <c r="E144" s="205" t="s">
        <v>345</v>
      </c>
      <c r="F144" s="205" t="s">
        <v>243</v>
      </c>
      <c r="G144" s="205">
        <v>2262</v>
      </c>
      <c r="H144" s="205" t="s">
        <v>270</v>
      </c>
      <c r="I144" s="205">
        <v>44795</v>
      </c>
      <c r="J144" s="206">
        <v>42361</v>
      </c>
      <c r="K144" s="207">
        <v>0.41736111111111113</v>
      </c>
      <c r="L144" s="206">
        <v>42363</v>
      </c>
      <c r="M144" s="205" t="s">
        <v>853</v>
      </c>
      <c r="N144" s="205" t="s">
        <v>272</v>
      </c>
      <c r="O144" s="205" t="s">
        <v>273</v>
      </c>
      <c r="P144" s="205" t="s">
        <v>274</v>
      </c>
      <c r="Q144" s="205" t="s">
        <v>275</v>
      </c>
      <c r="R144" s="205" t="s">
        <v>276</v>
      </c>
      <c r="S144" s="205" t="s">
        <v>156</v>
      </c>
      <c r="T144" s="205" t="s">
        <v>277</v>
      </c>
      <c r="U144" s="205">
        <v>2262</v>
      </c>
      <c r="V144" s="205" t="s">
        <v>156</v>
      </c>
      <c r="W144" s="205" t="s">
        <v>335</v>
      </c>
      <c r="X144" s="205">
        <v>5.702</v>
      </c>
      <c r="Y144" s="208">
        <v>-0.17</v>
      </c>
      <c r="Z144" s="208">
        <v>2.25</v>
      </c>
      <c r="AA144" s="208">
        <v>12.82</v>
      </c>
      <c r="AB144" s="208">
        <v>-1.04</v>
      </c>
      <c r="AC144" s="208">
        <v>0</v>
      </c>
      <c r="AD144" s="208">
        <v>0</v>
      </c>
      <c r="AE144" s="208">
        <v>11.61</v>
      </c>
      <c r="AF144" s="208">
        <v>-1.37</v>
      </c>
      <c r="AG144" s="205" t="s">
        <v>279</v>
      </c>
      <c r="AH144" s="208">
        <v>0</v>
      </c>
      <c r="AI144" s="208">
        <v>12.82</v>
      </c>
      <c r="AJ144" s="208">
        <v>0</v>
      </c>
      <c r="AK144" s="205" t="str">
        <f t="shared" si="3"/>
        <v>1.00000000</v>
      </c>
      <c r="AL144" s="205">
        <v>23.2</v>
      </c>
    </row>
    <row r="145" spans="1:38" s="205" customFormat="1" x14ac:dyDescent="0.2">
      <c r="A145" s="205" t="str">
        <f>"0496002595734"</f>
        <v>0496002595734</v>
      </c>
      <c r="B145" s="205">
        <v>2</v>
      </c>
      <c r="C145" s="205" t="s">
        <v>435</v>
      </c>
      <c r="D145" s="205">
        <v>80</v>
      </c>
      <c r="E145" s="205">
        <v>80</v>
      </c>
      <c r="F145" s="205" t="s">
        <v>243</v>
      </c>
      <c r="G145" s="205">
        <v>2086</v>
      </c>
      <c r="H145" s="205" t="s">
        <v>270</v>
      </c>
      <c r="I145" s="205">
        <v>40400</v>
      </c>
      <c r="J145" s="206">
        <v>42361</v>
      </c>
      <c r="K145" s="207">
        <v>0.52500000000000002</v>
      </c>
      <c r="L145" s="206">
        <v>42363</v>
      </c>
      <c r="M145" s="205" t="s">
        <v>853</v>
      </c>
      <c r="N145" s="205" t="s">
        <v>272</v>
      </c>
      <c r="O145" s="205" t="s">
        <v>273</v>
      </c>
      <c r="P145" s="205" t="s">
        <v>274</v>
      </c>
      <c r="Q145" s="205" t="s">
        <v>275</v>
      </c>
      <c r="R145" s="205" t="s">
        <v>276</v>
      </c>
      <c r="S145" s="205" t="s">
        <v>436</v>
      </c>
      <c r="T145" s="205" t="s">
        <v>435</v>
      </c>
      <c r="U145" s="205">
        <v>2086</v>
      </c>
      <c r="V145" s="205" t="s">
        <v>435</v>
      </c>
      <c r="W145" s="205" t="s">
        <v>280</v>
      </c>
      <c r="X145" s="205">
        <v>5.266</v>
      </c>
      <c r="Y145" s="208">
        <v>-0.16</v>
      </c>
      <c r="Z145" s="208">
        <v>2.0299999999999998</v>
      </c>
      <c r="AA145" s="208">
        <v>10.68</v>
      </c>
      <c r="AB145" s="208">
        <v>-0.96</v>
      </c>
      <c r="AC145" s="208">
        <v>0</v>
      </c>
      <c r="AD145" s="208">
        <v>0</v>
      </c>
      <c r="AE145" s="208">
        <v>9.56</v>
      </c>
      <c r="AF145" s="208">
        <v>-1.26</v>
      </c>
      <c r="AG145" s="205" t="s">
        <v>279</v>
      </c>
      <c r="AH145" s="208">
        <v>0</v>
      </c>
      <c r="AI145" s="208">
        <v>10.68</v>
      </c>
      <c r="AJ145" s="208">
        <v>0</v>
      </c>
      <c r="AK145" s="205" t="str">
        <f t="shared" si="3"/>
        <v>1.00000000</v>
      </c>
      <c r="AL145" s="205">
        <v>35.5</v>
      </c>
    </row>
    <row r="146" spans="1:38" s="205" customFormat="1" x14ac:dyDescent="0.2">
      <c r="A146" s="205" t="str">
        <f>"0496002595734"</f>
        <v>0496002595734</v>
      </c>
      <c r="B146" s="205">
        <v>3</v>
      </c>
      <c r="C146" s="205" t="s">
        <v>435</v>
      </c>
      <c r="D146" s="205">
        <v>82</v>
      </c>
      <c r="E146" s="205">
        <v>82</v>
      </c>
      <c r="F146" s="205" t="s">
        <v>243</v>
      </c>
      <c r="G146" s="205">
        <v>2086</v>
      </c>
      <c r="H146" s="205" t="s">
        <v>270</v>
      </c>
      <c r="I146" s="205">
        <v>33560</v>
      </c>
      <c r="J146" s="206">
        <v>42361</v>
      </c>
      <c r="K146" s="207">
        <v>0.87569444444444444</v>
      </c>
      <c r="L146" s="206">
        <v>42363</v>
      </c>
      <c r="M146" s="205" t="s">
        <v>853</v>
      </c>
      <c r="N146" s="205" t="s">
        <v>272</v>
      </c>
      <c r="O146" s="205" t="s">
        <v>273</v>
      </c>
      <c r="P146" s="205" t="s">
        <v>274</v>
      </c>
      <c r="Q146" s="205" t="s">
        <v>275</v>
      </c>
      <c r="R146" s="205" t="s">
        <v>276</v>
      </c>
      <c r="S146" s="205" t="s">
        <v>436</v>
      </c>
      <c r="T146" s="205" t="s">
        <v>435</v>
      </c>
      <c r="U146" s="205">
        <v>2086</v>
      </c>
      <c r="V146" s="205" t="s">
        <v>435</v>
      </c>
      <c r="W146" s="205" t="s">
        <v>280</v>
      </c>
      <c r="X146" s="205">
        <v>11.68</v>
      </c>
      <c r="Y146" s="208">
        <v>-0.35</v>
      </c>
      <c r="Z146" s="208">
        <v>2.0299999999999998</v>
      </c>
      <c r="AA146" s="208">
        <v>23.7</v>
      </c>
      <c r="AB146" s="208">
        <v>-2.14</v>
      </c>
      <c r="AC146" s="208">
        <v>0</v>
      </c>
      <c r="AD146" s="208">
        <v>0</v>
      </c>
      <c r="AE146" s="208">
        <v>21.21</v>
      </c>
      <c r="AF146" s="208">
        <v>-2.8</v>
      </c>
      <c r="AG146" s="205" t="s">
        <v>279</v>
      </c>
      <c r="AH146" s="208">
        <v>0</v>
      </c>
      <c r="AI146" s="208">
        <v>23.7</v>
      </c>
      <c r="AJ146" s="208">
        <v>0</v>
      </c>
      <c r="AK146" s="205" t="str">
        <f t="shared" si="3"/>
        <v>1.00000000</v>
      </c>
      <c r="AL146" s="205">
        <v>20.399999999999999</v>
      </c>
    </row>
    <row r="147" spans="1:38" s="205" customFormat="1" x14ac:dyDescent="0.2">
      <c r="A147" s="205" t="str">
        <f>"0496002599173"</f>
        <v>0496002599173</v>
      </c>
      <c r="B147" s="205">
        <v>2</v>
      </c>
      <c r="C147" s="205" t="s">
        <v>585</v>
      </c>
      <c r="D147" s="205" t="s">
        <v>594</v>
      </c>
      <c r="E147" s="205" t="s">
        <v>594</v>
      </c>
      <c r="F147" s="205" t="s">
        <v>243</v>
      </c>
      <c r="G147" s="205">
        <v>5647</v>
      </c>
      <c r="H147" s="205" t="s">
        <v>270</v>
      </c>
      <c r="I147" s="205">
        <v>104665</v>
      </c>
      <c r="J147" s="206">
        <v>42361</v>
      </c>
      <c r="K147" s="207">
        <v>0.57184027777777779</v>
      </c>
      <c r="L147" s="206">
        <v>42363</v>
      </c>
      <c r="M147" s="205" t="s">
        <v>314</v>
      </c>
      <c r="N147" s="205" t="s">
        <v>415</v>
      </c>
      <c r="O147" s="205" t="s">
        <v>416</v>
      </c>
      <c r="P147" s="205" t="s">
        <v>417</v>
      </c>
      <c r="Q147" s="205" t="s">
        <v>275</v>
      </c>
      <c r="R147" s="205" t="s">
        <v>418</v>
      </c>
      <c r="S147" s="205" t="s">
        <v>436</v>
      </c>
      <c r="T147" s="205" t="s">
        <v>595</v>
      </c>
      <c r="U147" s="205">
        <v>5647</v>
      </c>
      <c r="V147" s="205" t="s">
        <v>585</v>
      </c>
      <c r="W147" s="205" t="s">
        <v>280</v>
      </c>
      <c r="X147" s="205">
        <v>18.234000000000002</v>
      </c>
      <c r="Y147" s="208">
        <v>0</v>
      </c>
      <c r="Z147" s="208">
        <v>2.0299999999999998</v>
      </c>
      <c r="AA147" s="208">
        <v>37</v>
      </c>
      <c r="AB147" s="208">
        <v>-3.34</v>
      </c>
      <c r="AC147" s="208">
        <v>0</v>
      </c>
      <c r="AD147" s="208">
        <v>0</v>
      </c>
      <c r="AE147" s="208">
        <v>33.659999999999997</v>
      </c>
      <c r="AF147" s="208">
        <v>-4.38</v>
      </c>
      <c r="AG147" s="205" t="s">
        <v>279</v>
      </c>
      <c r="AH147" s="208">
        <v>0</v>
      </c>
      <c r="AI147" s="208">
        <v>37</v>
      </c>
      <c r="AJ147" s="208">
        <v>0</v>
      </c>
      <c r="AK147" s="205" t="str">
        <f t="shared" si="3"/>
        <v>1.00000000</v>
      </c>
      <c r="AL147" s="205">
        <v>13.9</v>
      </c>
    </row>
    <row r="148" spans="1:38" s="205" customFormat="1" x14ac:dyDescent="0.2">
      <c r="A148" s="205" t="str">
        <f>"0496002595734"</f>
        <v>0496002595734</v>
      </c>
      <c r="B148" s="205">
        <v>2</v>
      </c>
      <c r="C148" s="205" t="s">
        <v>435</v>
      </c>
      <c r="D148" s="205">
        <v>80</v>
      </c>
      <c r="E148" s="205">
        <v>80</v>
      </c>
      <c r="F148" s="205" t="s">
        <v>243</v>
      </c>
      <c r="G148" s="205">
        <v>2086</v>
      </c>
      <c r="H148" s="205" t="s">
        <v>270</v>
      </c>
      <c r="I148" s="205">
        <v>40565</v>
      </c>
      <c r="J148" s="206">
        <v>42363</v>
      </c>
      <c r="K148" s="207">
        <v>0.47986111111111113</v>
      </c>
      <c r="L148" s="206">
        <v>42367</v>
      </c>
      <c r="M148" s="205" t="s">
        <v>294</v>
      </c>
      <c r="N148" s="205" t="s">
        <v>379</v>
      </c>
      <c r="O148" s="205" t="s">
        <v>894</v>
      </c>
      <c r="P148" s="205" t="s">
        <v>895</v>
      </c>
      <c r="Q148" s="205" t="s">
        <v>329</v>
      </c>
      <c r="R148" s="205" t="s">
        <v>896</v>
      </c>
      <c r="S148" s="205" t="s">
        <v>436</v>
      </c>
      <c r="T148" s="205" t="s">
        <v>435</v>
      </c>
      <c r="U148" s="205">
        <v>2086</v>
      </c>
      <c r="V148" s="205" t="s">
        <v>435</v>
      </c>
      <c r="W148" s="205" t="s">
        <v>280</v>
      </c>
      <c r="X148" s="205">
        <v>4.49</v>
      </c>
      <c r="Y148" s="208">
        <v>0</v>
      </c>
      <c r="Z148" s="208">
        <v>2.38</v>
      </c>
      <c r="AA148" s="208">
        <v>10.69</v>
      </c>
      <c r="AB148" s="208">
        <v>-0.82</v>
      </c>
      <c r="AC148" s="208">
        <v>0</v>
      </c>
      <c r="AD148" s="208">
        <v>0</v>
      </c>
      <c r="AE148" s="208">
        <v>9.8699999999999992</v>
      </c>
      <c r="AF148" s="208">
        <v>-1.98</v>
      </c>
      <c r="AG148" s="205" t="s">
        <v>279</v>
      </c>
      <c r="AH148" s="208">
        <v>0</v>
      </c>
      <c r="AI148" s="208">
        <v>10.69</v>
      </c>
      <c r="AJ148" s="208">
        <v>0</v>
      </c>
      <c r="AK148" s="205" t="str">
        <f t="shared" si="3"/>
        <v>1.00000000</v>
      </c>
      <c r="AL148" s="205">
        <v>36.799999999999997</v>
      </c>
    </row>
    <row r="149" spans="1:38" s="205" customFormat="1" x14ac:dyDescent="0.2">
      <c r="A149" s="205" t="str">
        <f>"0496002599173"</f>
        <v>0496002599173</v>
      </c>
      <c r="B149" s="205">
        <v>3</v>
      </c>
      <c r="C149" s="205" t="s">
        <v>585</v>
      </c>
      <c r="D149" s="205" t="s">
        <v>628</v>
      </c>
      <c r="E149" s="205" t="s">
        <v>628</v>
      </c>
      <c r="F149" s="205" t="s">
        <v>243</v>
      </c>
      <c r="G149" s="205">
        <v>5738</v>
      </c>
      <c r="H149" s="205" t="s">
        <v>270</v>
      </c>
      <c r="I149" s="205">
        <v>104080</v>
      </c>
      <c r="J149" s="206">
        <v>42366</v>
      </c>
      <c r="K149" s="207">
        <v>0.62916666666666665</v>
      </c>
      <c r="L149" s="206">
        <v>42368</v>
      </c>
      <c r="M149" s="205" t="s">
        <v>606</v>
      </c>
      <c r="N149" s="205" t="s">
        <v>399</v>
      </c>
      <c r="O149" s="205" t="s">
        <v>400</v>
      </c>
      <c r="P149" s="205" t="s">
        <v>274</v>
      </c>
      <c r="Q149" s="205" t="s">
        <v>275</v>
      </c>
      <c r="R149" s="205" t="s">
        <v>401</v>
      </c>
      <c r="S149" s="205" t="s">
        <v>436</v>
      </c>
      <c r="T149" s="205" t="s">
        <v>630</v>
      </c>
      <c r="U149" s="205">
        <v>5738</v>
      </c>
      <c r="V149" s="205" t="s">
        <v>585</v>
      </c>
      <c r="W149" s="205" t="s">
        <v>280</v>
      </c>
      <c r="X149" s="205">
        <v>25.431000000000001</v>
      </c>
      <c r="Y149" s="208">
        <v>0</v>
      </c>
      <c r="Z149" s="208">
        <v>2.0299999999999998</v>
      </c>
      <c r="AA149" s="208">
        <v>51.6</v>
      </c>
      <c r="AB149" s="208">
        <v>-4.6500000000000004</v>
      </c>
      <c r="AC149" s="208">
        <v>0</v>
      </c>
      <c r="AD149" s="208">
        <v>0</v>
      </c>
      <c r="AE149" s="208">
        <v>46.95</v>
      </c>
      <c r="AF149" s="208">
        <v>-6.1</v>
      </c>
      <c r="AG149" s="205" t="s">
        <v>279</v>
      </c>
      <c r="AH149" s="208">
        <v>0</v>
      </c>
      <c r="AI149" s="208">
        <v>51.6</v>
      </c>
      <c r="AJ149" s="208">
        <v>0</v>
      </c>
      <c r="AK149" s="205" t="str">
        <f t="shared" si="3"/>
        <v>1.00000000</v>
      </c>
      <c r="AL149" s="205">
        <v>11.9</v>
      </c>
    </row>
    <row r="150" spans="1:38" s="205" customFormat="1" x14ac:dyDescent="0.2">
      <c r="A150" s="205" t="str">
        <f>"0496002599173"</f>
        <v>0496002599173</v>
      </c>
      <c r="B150" s="205">
        <v>2</v>
      </c>
      <c r="C150" s="205" t="s">
        <v>585</v>
      </c>
      <c r="D150" s="205" t="s">
        <v>594</v>
      </c>
      <c r="E150" s="205" t="s">
        <v>594</v>
      </c>
      <c r="F150" s="205" t="s">
        <v>243</v>
      </c>
      <c r="G150" s="205">
        <v>5647</v>
      </c>
      <c r="H150" s="205" t="s">
        <v>270</v>
      </c>
      <c r="I150" s="205">
        <v>104917</v>
      </c>
      <c r="J150" s="206">
        <v>42368</v>
      </c>
      <c r="K150" s="207">
        <v>0.35902777777777778</v>
      </c>
      <c r="L150" s="206">
        <v>42370</v>
      </c>
      <c r="M150" s="205" t="s">
        <v>853</v>
      </c>
      <c r="N150" s="205" t="s">
        <v>352</v>
      </c>
      <c r="O150" s="205" t="s">
        <v>353</v>
      </c>
      <c r="P150" s="205" t="s">
        <v>343</v>
      </c>
      <c r="Q150" s="205" t="s">
        <v>275</v>
      </c>
      <c r="R150" s="205" t="s">
        <v>602</v>
      </c>
      <c r="S150" s="205" t="s">
        <v>436</v>
      </c>
      <c r="T150" s="205" t="s">
        <v>595</v>
      </c>
      <c r="U150" s="205">
        <v>5647</v>
      </c>
      <c r="V150" s="205" t="s">
        <v>585</v>
      </c>
      <c r="W150" s="205" t="s">
        <v>280</v>
      </c>
      <c r="X150" s="205">
        <v>19.259</v>
      </c>
      <c r="Y150" s="208">
        <v>-0.57999999999999996</v>
      </c>
      <c r="Z150" s="208">
        <v>2</v>
      </c>
      <c r="AA150" s="208">
        <v>38.5</v>
      </c>
      <c r="AB150" s="208">
        <v>-3.52</v>
      </c>
      <c r="AC150" s="208">
        <v>0</v>
      </c>
      <c r="AD150" s="208">
        <v>0</v>
      </c>
      <c r="AE150" s="208">
        <v>34.4</v>
      </c>
      <c r="AF150" s="208">
        <v>-4.62</v>
      </c>
      <c r="AG150" s="205" t="s">
        <v>279</v>
      </c>
      <c r="AH150" s="208">
        <v>0</v>
      </c>
      <c r="AI150" s="208">
        <v>38.5</v>
      </c>
      <c r="AJ150" s="208">
        <v>0</v>
      </c>
      <c r="AK150" s="205" t="str">
        <f t="shared" si="3"/>
        <v>1.00000000</v>
      </c>
      <c r="AL150" s="205">
        <v>13.1</v>
      </c>
    </row>
    <row r="151" spans="1:38" s="205" customFormat="1" x14ac:dyDescent="0.2">
      <c r="A151" s="205" t="str">
        <f t="shared" ref="A151:A214" si="5">"0496002595700"</f>
        <v>0496002595700</v>
      </c>
      <c r="B151" s="205">
        <v>3</v>
      </c>
      <c r="C151" s="205" t="s">
        <v>156</v>
      </c>
      <c r="D151" s="205">
        <v>41</v>
      </c>
      <c r="E151" s="205">
        <v>41</v>
      </c>
      <c r="F151" s="205" t="s">
        <v>243</v>
      </c>
      <c r="G151" s="205">
        <v>2262</v>
      </c>
      <c r="H151" s="205" t="s">
        <v>270</v>
      </c>
      <c r="I151" s="205">
        <v>78637</v>
      </c>
      <c r="J151" s="206">
        <v>42369</v>
      </c>
      <c r="K151" s="207">
        <v>0.53541666666666665</v>
      </c>
      <c r="L151" s="206">
        <v>42373</v>
      </c>
      <c r="M151" s="205" t="s">
        <v>853</v>
      </c>
      <c r="N151" s="205" t="s">
        <v>272</v>
      </c>
      <c r="O151" s="205" t="s">
        <v>273</v>
      </c>
      <c r="P151" s="205" t="s">
        <v>274</v>
      </c>
      <c r="Q151" s="205" t="s">
        <v>275</v>
      </c>
      <c r="R151" s="205" t="s">
        <v>276</v>
      </c>
      <c r="S151" s="205" t="s">
        <v>156</v>
      </c>
      <c r="T151" s="205" t="s">
        <v>277</v>
      </c>
      <c r="U151" s="205">
        <v>2262</v>
      </c>
      <c r="V151" s="205" t="s">
        <v>156</v>
      </c>
      <c r="W151" s="205" t="s">
        <v>280</v>
      </c>
      <c r="X151" s="205">
        <v>14.64</v>
      </c>
      <c r="Y151" s="208">
        <v>-0.44</v>
      </c>
      <c r="Z151" s="208">
        <v>2.02</v>
      </c>
      <c r="AA151" s="208">
        <v>29.56</v>
      </c>
      <c r="AB151" s="208">
        <v>-2.68</v>
      </c>
      <c r="AC151" s="208">
        <v>0</v>
      </c>
      <c r="AD151" s="208">
        <v>0</v>
      </c>
      <c r="AE151" s="208">
        <v>26.44</v>
      </c>
      <c r="AF151" s="208">
        <v>-3.51</v>
      </c>
      <c r="AG151" s="205" t="s">
        <v>279</v>
      </c>
      <c r="AH151" s="208">
        <v>0</v>
      </c>
      <c r="AI151" s="208">
        <v>29.56</v>
      </c>
      <c r="AJ151" s="208">
        <v>0</v>
      </c>
      <c r="AK151" s="205" t="str">
        <f t="shared" si="3"/>
        <v>1.00000000</v>
      </c>
      <c r="AL151" s="205">
        <v>21.8</v>
      </c>
    </row>
    <row r="152" spans="1:38" x14ac:dyDescent="0.2">
      <c r="A152" s="204" t="str">
        <f t="shared" si="5"/>
        <v>0496002595700</v>
      </c>
      <c r="B152" s="204">
        <v>1</v>
      </c>
      <c r="C152" s="204" t="s">
        <v>156</v>
      </c>
      <c r="D152" s="204" t="s">
        <v>269</v>
      </c>
      <c r="E152" s="204" t="s">
        <v>269</v>
      </c>
      <c r="F152" s="204" t="s">
        <v>243</v>
      </c>
      <c r="G152" s="204">
        <v>2262</v>
      </c>
      <c r="H152" s="204" t="s">
        <v>270</v>
      </c>
      <c r="I152" s="204">
        <v>6374</v>
      </c>
      <c r="J152" s="209">
        <v>42392</v>
      </c>
      <c r="K152" s="210">
        <v>0.79861111111111116</v>
      </c>
      <c r="L152" s="209">
        <v>42395</v>
      </c>
      <c r="M152" s="204" t="s">
        <v>853</v>
      </c>
      <c r="N152" s="204" t="s">
        <v>272</v>
      </c>
      <c r="O152" s="204" t="s">
        <v>273</v>
      </c>
      <c r="P152" s="204" t="s">
        <v>274</v>
      </c>
      <c r="Q152" s="204" t="s">
        <v>275</v>
      </c>
      <c r="R152" s="204" t="s">
        <v>276</v>
      </c>
      <c r="S152" s="204" t="s">
        <v>156</v>
      </c>
      <c r="T152" s="204" t="s">
        <v>277</v>
      </c>
      <c r="U152" s="204">
        <v>2262</v>
      </c>
      <c r="V152" s="204" t="s">
        <v>156</v>
      </c>
      <c r="W152" s="204" t="s">
        <v>278</v>
      </c>
      <c r="X152" s="204">
        <v>5.1070000000000002</v>
      </c>
      <c r="Y152" s="211">
        <v>-0.15</v>
      </c>
      <c r="Z152" s="211">
        <v>2.29</v>
      </c>
      <c r="AA152" s="211">
        <v>11.69</v>
      </c>
      <c r="AB152" s="211">
        <v>-0.93</v>
      </c>
      <c r="AC152" s="211">
        <v>0</v>
      </c>
      <c r="AD152" s="211">
        <v>0</v>
      </c>
      <c r="AE152" s="211">
        <v>10.61</v>
      </c>
      <c r="AF152" s="211">
        <v>-1.23</v>
      </c>
      <c r="AG152" s="204" t="s">
        <v>279</v>
      </c>
      <c r="AH152" s="211">
        <v>0</v>
      </c>
      <c r="AI152" s="211">
        <v>11.69</v>
      </c>
      <c r="AJ152" s="211">
        <v>0</v>
      </c>
      <c r="AK152" s="204" t="str">
        <f t="shared" si="3"/>
        <v>1.00000000</v>
      </c>
      <c r="AL152" s="204">
        <v>15.9</v>
      </c>
    </row>
    <row r="153" spans="1:38" x14ac:dyDescent="0.2">
      <c r="A153" s="204" t="str">
        <f t="shared" si="5"/>
        <v>0496002595700</v>
      </c>
      <c r="B153" s="204">
        <v>1</v>
      </c>
      <c r="C153" s="204" t="s">
        <v>156</v>
      </c>
      <c r="D153" s="204" t="s">
        <v>269</v>
      </c>
      <c r="E153" s="204" t="s">
        <v>269</v>
      </c>
      <c r="F153" s="204" t="s">
        <v>243</v>
      </c>
      <c r="G153" s="204">
        <v>2262</v>
      </c>
      <c r="H153" s="204" t="s">
        <v>270</v>
      </c>
      <c r="I153" s="204">
        <v>6513</v>
      </c>
      <c r="J153" s="209">
        <v>42409</v>
      </c>
      <c r="K153" s="210">
        <v>0.53472222222222221</v>
      </c>
      <c r="L153" s="209">
        <v>42411</v>
      </c>
      <c r="M153" s="204" t="s">
        <v>853</v>
      </c>
      <c r="N153" s="204" t="s">
        <v>272</v>
      </c>
      <c r="O153" s="204" t="s">
        <v>273</v>
      </c>
      <c r="P153" s="204" t="s">
        <v>274</v>
      </c>
      <c r="Q153" s="204" t="s">
        <v>275</v>
      </c>
      <c r="R153" s="204" t="s">
        <v>276</v>
      </c>
      <c r="S153" s="204" t="s">
        <v>156</v>
      </c>
      <c r="T153" s="204" t="s">
        <v>277</v>
      </c>
      <c r="U153" s="204">
        <v>2262</v>
      </c>
      <c r="V153" s="204" t="s">
        <v>156</v>
      </c>
      <c r="W153" s="204" t="s">
        <v>278</v>
      </c>
      <c r="X153" s="204">
        <v>3.6619999999999999</v>
      </c>
      <c r="Y153" s="211">
        <v>-0.11</v>
      </c>
      <c r="Z153" s="211">
        <v>2.2200000000000002</v>
      </c>
      <c r="AA153" s="211">
        <v>8.1300000000000008</v>
      </c>
      <c r="AB153" s="211">
        <v>-0.67</v>
      </c>
      <c r="AC153" s="211">
        <v>0</v>
      </c>
      <c r="AD153" s="211">
        <v>0</v>
      </c>
      <c r="AE153" s="211">
        <v>7.35</v>
      </c>
      <c r="AF153" s="211">
        <v>-0.88</v>
      </c>
      <c r="AG153" s="204" t="s">
        <v>279</v>
      </c>
      <c r="AH153" s="211">
        <v>0</v>
      </c>
      <c r="AI153" s="211">
        <v>8.1300000000000008</v>
      </c>
      <c r="AJ153" s="211">
        <v>0</v>
      </c>
      <c r="AK153" s="204" t="str">
        <f t="shared" si="3"/>
        <v>1.00000000</v>
      </c>
      <c r="AL153" s="204">
        <v>38</v>
      </c>
    </row>
    <row r="154" spans="1:38" x14ac:dyDescent="0.2">
      <c r="A154" s="204" t="str">
        <f t="shared" si="5"/>
        <v>0496002595700</v>
      </c>
      <c r="B154" s="204">
        <v>1</v>
      </c>
      <c r="C154" s="204" t="s">
        <v>156</v>
      </c>
      <c r="D154" s="204" t="s">
        <v>269</v>
      </c>
      <c r="E154" s="204" t="s">
        <v>269</v>
      </c>
      <c r="F154" s="204" t="s">
        <v>243</v>
      </c>
      <c r="G154" s="204">
        <v>2262</v>
      </c>
      <c r="H154" s="204" t="s">
        <v>270</v>
      </c>
      <c r="I154" s="204">
        <v>6573</v>
      </c>
      <c r="J154" s="209">
        <v>42415</v>
      </c>
      <c r="K154" s="210">
        <v>0.64722222222222225</v>
      </c>
      <c r="L154" s="209">
        <v>42417</v>
      </c>
      <c r="M154" s="204" t="s">
        <v>853</v>
      </c>
      <c r="N154" s="204" t="s">
        <v>272</v>
      </c>
      <c r="O154" s="204" t="s">
        <v>273</v>
      </c>
      <c r="P154" s="204" t="s">
        <v>274</v>
      </c>
      <c r="Q154" s="204" t="s">
        <v>275</v>
      </c>
      <c r="R154" s="204" t="s">
        <v>276</v>
      </c>
      <c r="S154" s="204" t="s">
        <v>156</v>
      </c>
      <c r="T154" s="204" t="s">
        <v>277</v>
      </c>
      <c r="U154" s="204">
        <v>2262</v>
      </c>
      <c r="V154" s="204" t="s">
        <v>156</v>
      </c>
      <c r="W154" s="204" t="s">
        <v>280</v>
      </c>
      <c r="X154" s="204">
        <v>3.7370000000000001</v>
      </c>
      <c r="Y154" s="211">
        <v>-0.11</v>
      </c>
      <c r="Z154" s="211">
        <v>1.76</v>
      </c>
      <c r="AA154" s="211">
        <v>6.57</v>
      </c>
      <c r="AB154" s="211">
        <v>-0.68</v>
      </c>
      <c r="AC154" s="211">
        <v>0</v>
      </c>
      <c r="AD154" s="211">
        <v>0</v>
      </c>
      <c r="AE154" s="211">
        <v>5.78</v>
      </c>
      <c r="AF154" s="211">
        <v>-0.9</v>
      </c>
      <c r="AG154" s="204" t="s">
        <v>279</v>
      </c>
      <c r="AH154" s="211">
        <v>0</v>
      </c>
      <c r="AI154" s="211">
        <v>6.57</v>
      </c>
      <c r="AJ154" s="211">
        <v>0</v>
      </c>
      <c r="AK154" s="204" t="str">
        <f t="shared" si="3"/>
        <v>1.00000000</v>
      </c>
      <c r="AL154" s="204">
        <v>16.100000000000001</v>
      </c>
    </row>
    <row r="155" spans="1:38" x14ac:dyDescent="0.2">
      <c r="A155" s="204" t="str">
        <f t="shared" si="5"/>
        <v>0496002595700</v>
      </c>
      <c r="B155" s="204">
        <v>1</v>
      </c>
      <c r="C155" s="204" t="s">
        <v>156</v>
      </c>
      <c r="D155" s="204" t="s">
        <v>269</v>
      </c>
      <c r="E155" s="204" t="s">
        <v>269</v>
      </c>
      <c r="F155" s="204" t="s">
        <v>243</v>
      </c>
      <c r="G155" s="204">
        <v>2262</v>
      </c>
      <c r="H155" s="204" t="s">
        <v>270</v>
      </c>
      <c r="I155" s="204">
        <v>6677</v>
      </c>
      <c r="J155" s="209">
        <v>42429</v>
      </c>
      <c r="K155" s="210">
        <v>0.65914351851851849</v>
      </c>
      <c r="L155" s="209">
        <v>42431</v>
      </c>
      <c r="M155" s="204" t="s">
        <v>310</v>
      </c>
      <c r="N155" s="204" t="s">
        <v>331</v>
      </c>
      <c r="O155" s="204" t="s">
        <v>332</v>
      </c>
      <c r="P155" s="204" t="s">
        <v>274</v>
      </c>
      <c r="Q155" s="204" t="s">
        <v>275</v>
      </c>
      <c r="R155" s="204" t="s">
        <v>858</v>
      </c>
      <c r="S155" s="204" t="s">
        <v>156</v>
      </c>
      <c r="T155" s="204" t="s">
        <v>277</v>
      </c>
      <c r="U155" s="204">
        <v>2262</v>
      </c>
      <c r="V155" s="204" t="s">
        <v>156</v>
      </c>
      <c r="W155" s="204" t="s">
        <v>280</v>
      </c>
      <c r="X155" s="204">
        <v>5.0030000000000001</v>
      </c>
      <c r="Y155" s="211">
        <v>0</v>
      </c>
      <c r="Z155" s="211">
        <v>1.8</v>
      </c>
      <c r="AA155" s="211">
        <v>9</v>
      </c>
      <c r="AB155" s="211">
        <v>-0.92</v>
      </c>
      <c r="AC155" s="211">
        <v>0</v>
      </c>
      <c r="AD155" s="211">
        <v>0</v>
      </c>
      <c r="AE155" s="211">
        <v>8.08</v>
      </c>
      <c r="AF155" s="211">
        <v>-1.2</v>
      </c>
      <c r="AG155" s="204" t="s">
        <v>279</v>
      </c>
      <c r="AH155" s="211">
        <v>0</v>
      </c>
      <c r="AI155" s="211">
        <v>9</v>
      </c>
      <c r="AJ155" s="211">
        <v>0</v>
      </c>
      <c r="AK155" s="204" t="str">
        <f t="shared" si="3"/>
        <v>1.00000000</v>
      </c>
      <c r="AL155" s="204">
        <v>20.8</v>
      </c>
    </row>
    <row r="156" spans="1:38" x14ac:dyDescent="0.2">
      <c r="A156" s="204" t="str">
        <f t="shared" si="5"/>
        <v>0496002595700</v>
      </c>
      <c r="B156" s="204">
        <v>1</v>
      </c>
      <c r="C156" s="204" t="s">
        <v>156</v>
      </c>
      <c r="D156" s="204" t="s">
        <v>269</v>
      </c>
      <c r="E156" s="204" t="s">
        <v>269</v>
      </c>
      <c r="F156" s="204" t="s">
        <v>243</v>
      </c>
      <c r="G156" s="204">
        <v>2262</v>
      </c>
      <c r="H156" s="204" t="s">
        <v>270</v>
      </c>
      <c r="I156" s="204">
        <v>6813</v>
      </c>
      <c r="J156" s="209">
        <v>42445</v>
      </c>
      <c r="K156" s="210">
        <v>0.57292824074074067</v>
      </c>
      <c r="L156" s="209">
        <v>42447</v>
      </c>
      <c r="M156" s="204" t="s">
        <v>310</v>
      </c>
      <c r="N156" s="204" t="s">
        <v>331</v>
      </c>
      <c r="O156" s="204" t="s">
        <v>332</v>
      </c>
      <c r="P156" s="204" t="s">
        <v>274</v>
      </c>
      <c r="Q156" s="204" t="s">
        <v>275</v>
      </c>
      <c r="R156" s="204" t="s">
        <v>858</v>
      </c>
      <c r="S156" s="204" t="s">
        <v>156</v>
      </c>
      <c r="T156" s="204" t="s">
        <v>277</v>
      </c>
      <c r="U156" s="204">
        <v>2262</v>
      </c>
      <c r="V156" s="204" t="s">
        <v>156</v>
      </c>
      <c r="W156" s="204" t="s">
        <v>278</v>
      </c>
      <c r="X156" s="204">
        <v>6.5250000000000004</v>
      </c>
      <c r="Y156" s="211">
        <v>0</v>
      </c>
      <c r="Z156" s="211">
        <v>2.2999999999999998</v>
      </c>
      <c r="AA156" s="211">
        <v>15</v>
      </c>
      <c r="AB156" s="211">
        <v>-1.19</v>
      </c>
      <c r="AC156" s="211">
        <v>0</v>
      </c>
      <c r="AD156" s="211">
        <v>0</v>
      </c>
      <c r="AE156" s="211">
        <v>13.81</v>
      </c>
      <c r="AF156" s="211">
        <v>-1.57</v>
      </c>
      <c r="AG156" s="204" t="s">
        <v>279</v>
      </c>
      <c r="AH156" s="211">
        <v>0</v>
      </c>
      <c r="AI156" s="211">
        <v>15</v>
      </c>
      <c r="AJ156" s="211">
        <v>0</v>
      </c>
      <c r="AK156" s="204" t="str">
        <f t="shared" si="3"/>
        <v>1.00000000</v>
      </c>
      <c r="AL156" s="204">
        <v>20.8</v>
      </c>
    </row>
    <row r="157" spans="1:38" x14ac:dyDescent="0.2">
      <c r="A157" s="204" t="str">
        <f t="shared" si="5"/>
        <v>0496002595700</v>
      </c>
      <c r="B157" s="204">
        <v>1</v>
      </c>
      <c r="C157" s="204" t="s">
        <v>156</v>
      </c>
      <c r="D157" s="204" t="s">
        <v>269</v>
      </c>
      <c r="E157" s="204" t="s">
        <v>269</v>
      </c>
      <c r="F157" s="204" t="s">
        <v>243</v>
      </c>
      <c r="G157" s="204">
        <v>2262</v>
      </c>
      <c r="H157" s="204" t="s">
        <v>270</v>
      </c>
      <c r="I157" s="204">
        <v>7265</v>
      </c>
      <c r="J157" s="209">
        <v>42505</v>
      </c>
      <c r="K157" s="210">
        <v>0.79305555555555562</v>
      </c>
      <c r="L157" s="209">
        <v>42507</v>
      </c>
      <c r="M157" s="204" t="s">
        <v>271</v>
      </c>
      <c r="N157" s="204" t="s">
        <v>272</v>
      </c>
      <c r="O157" s="204" t="s">
        <v>273</v>
      </c>
      <c r="P157" s="204" t="s">
        <v>274</v>
      </c>
      <c r="Q157" s="204" t="s">
        <v>275</v>
      </c>
      <c r="R157" s="204" t="s">
        <v>276</v>
      </c>
      <c r="S157" s="204" t="s">
        <v>156</v>
      </c>
      <c r="T157" s="204" t="s">
        <v>277</v>
      </c>
      <c r="U157" s="204">
        <v>2262</v>
      </c>
      <c r="V157" s="204" t="s">
        <v>156</v>
      </c>
      <c r="W157" s="204" t="s">
        <v>278</v>
      </c>
      <c r="X157" s="204">
        <v>5.1719999999999997</v>
      </c>
      <c r="Y157" s="211">
        <v>-0.16</v>
      </c>
      <c r="Z157" s="211">
        <v>2.56</v>
      </c>
      <c r="AA157" s="211">
        <v>13.23</v>
      </c>
      <c r="AB157" s="211">
        <v>-0.95</v>
      </c>
      <c r="AC157" s="211">
        <v>0</v>
      </c>
      <c r="AD157" s="211">
        <v>0</v>
      </c>
      <c r="AE157" s="211">
        <v>12.12</v>
      </c>
      <c r="AF157" s="211">
        <v>-1.24</v>
      </c>
      <c r="AG157" s="204" t="s">
        <v>279</v>
      </c>
      <c r="AH157" s="211">
        <v>0</v>
      </c>
      <c r="AI157" s="211">
        <v>13.23</v>
      </c>
      <c r="AJ157" s="211">
        <v>0</v>
      </c>
      <c r="AK157" s="204" t="str">
        <f t="shared" si="3"/>
        <v>1.00000000</v>
      </c>
      <c r="AL157" s="204">
        <v>87.4</v>
      </c>
    </row>
    <row r="158" spans="1:38" x14ac:dyDescent="0.2">
      <c r="A158" s="204" t="str">
        <f t="shared" si="5"/>
        <v>0496002595700</v>
      </c>
      <c r="B158" s="204">
        <v>2</v>
      </c>
      <c r="C158" s="204" t="s">
        <v>156</v>
      </c>
      <c r="D158" s="204">
        <v>42</v>
      </c>
      <c r="E158" s="204">
        <v>42</v>
      </c>
      <c r="F158" s="204" t="s">
        <v>243</v>
      </c>
      <c r="G158" s="204">
        <v>2262</v>
      </c>
      <c r="H158" s="204" t="s">
        <v>270</v>
      </c>
      <c r="I158" s="204">
        <v>9456</v>
      </c>
      <c r="J158" s="209">
        <v>42371</v>
      </c>
      <c r="K158" s="210">
        <v>0.43958333333333338</v>
      </c>
      <c r="L158" s="209">
        <v>42374</v>
      </c>
      <c r="M158" s="204" t="s">
        <v>853</v>
      </c>
      <c r="N158" s="204" t="s">
        <v>272</v>
      </c>
      <c r="O158" s="204" t="s">
        <v>273</v>
      </c>
      <c r="P158" s="204" t="s">
        <v>274</v>
      </c>
      <c r="Q158" s="204" t="s">
        <v>275</v>
      </c>
      <c r="R158" s="204" t="s">
        <v>276</v>
      </c>
      <c r="S158" s="204" t="s">
        <v>156</v>
      </c>
      <c r="T158" s="204" t="s">
        <v>277</v>
      </c>
      <c r="U158" s="204">
        <v>2262</v>
      </c>
      <c r="V158" s="204" t="s">
        <v>156</v>
      </c>
      <c r="W158" s="204" t="s">
        <v>280</v>
      </c>
      <c r="X158" s="204">
        <v>4.6310000000000002</v>
      </c>
      <c r="Y158" s="211">
        <v>-0.14000000000000001</v>
      </c>
      <c r="Z158" s="211">
        <v>2.02</v>
      </c>
      <c r="AA158" s="211">
        <v>9.35</v>
      </c>
      <c r="AB158" s="211">
        <v>-0.85</v>
      </c>
      <c r="AC158" s="211">
        <v>0</v>
      </c>
      <c r="AD158" s="211">
        <v>0</v>
      </c>
      <c r="AE158" s="211">
        <v>8.36</v>
      </c>
      <c r="AF158" s="211">
        <v>-1.1100000000000001</v>
      </c>
      <c r="AG158" s="204" t="s">
        <v>279</v>
      </c>
      <c r="AH158" s="211">
        <v>0</v>
      </c>
      <c r="AI158" s="211">
        <v>9.35</v>
      </c>
      <c r="AJ158" s="211">
        <v>0</v>
      </c>
      <c r="AK158" s="204" t="str">
        <f t="shared" si="3"/>
        <v>1.00000000</v>
      </c>
      <c r="AL158" s="204">
        <v>36.700000000000003</v>
      </c>
    </row>
    <row r="159" spans="1:38" x14ac:dyDescent="0.2">
      <c r="A159" s="204" t="str">
        <f t="shared" si="5"/>
        <v>0496002595700</v>
      </c>
      <c r="B159" s="204">
        <v>2</v>
      </c>
      <c r="C159" s="204" t="s">
        <v>156</v>
      </c>
      <c r="D159" s="204">
        <v>42</v>
      </c>
      <c r="E159" s="204">
        <v>42</v>
      </c>
      <c r="F159" s="204" t="s">
        <v>243</v>
      </c>
      <c r="G159" s="204">
        <v>2262</v>
      </c>
      <c r="H159" s="204" t="s">
        <v>270</v>
      </c>
      <c r="I159" s="204">
        <v>9879</v>
      </c>
      <c r="J159" s="209">
        <v>42375</v>
      </c>
      <c r="K159" s="210">
        <v>0.58819444444444446</v>
      </c>
      <c r="L159" s="209">
        <v>42377</v>
      </c>
      <c r="M159" s="204" t="s">
        <v>853</v>
      </c>
      <c r="N159" s="204" t="s">
        <v>454</v>
      </c>
      <c r="O159" s="204" t="s">
        <v>903</v>
      </c>
      <c r="P159" s="204" t="s">
        <v>364</v>
      </c>
      <c r="Q159" s="204" t="s">
        <v>275</v>
      </c>
      <c r="R159" s="204" t="s">
        <v>904</v>
      </c>
      <c r="S159" s="204" t="s">
        <v>156</v>
      </c>
      <c r="T159" s="204" t="s">
        <v>277</v>
      </c>
      <c r="U159" s="204">
        <v>2262</v>
      </c>
      <c r="V159" s="204" t="s">
        <v>156</v>
      </c>
      <c r="W159" s="204" t="s">
        <v>280</v>
      </c>
      <c r="X159" s="204">
        <v>10.807</v>
      </c>
      <c r="Y159" s="211">
        <v>-0.32</v>
      </c>
      <c r="Z159" s="211">
        <v>1.97</v>
      </c>
      <c r="AA159" s="211">
        <v>21.28</v>
      </c>
      <c r="AB159" s="211">
        <v>-1.98</v>
      </c>
      <c r="AC159" s="211">
        <v>0</v>
      </c>
      <c r="AD159" s="211">
        <v>0</v>
      </c>
      <c r="AE159" s="211">
        <v>18.98</v>
      </c>
      <c r="AF159" s="211">
        <v>-2.59</v>
      </c>
      <c r="AG159" s="204" t="s">
        <v>279</v>
      </c>
      <c r="AH159" s="211">
        <v>0</v>
      </c>
      <c r="AI159" s="211">
        <v>21.28</v>
      </c>
      <c r="AJ159" s="211">
        <v>0</v>
      </c>
      <c r="AK159" s="204" t="str">
        <f t="shared" si="3"/>
        <v>1.00000000</v>
      </c>
      <c r="AL159" s="204">
        <v>39.1</v>
      </c>
    </row>
    <row r="160" spans="1:38" x14ac:dyDescent="0.2">
      <c r="A160" s="204" t="str">
        <f t="shared" si="5"/>
        <v>0496002595700</v>
      </c>
      <c r="B160" s="204">
        <v>2</v>
      </c>
      <c r="C160" s="204" t="s">
        <v>156</v>
      </c>
      <c r="D160" s="204">
        <v>42</v>
      </c>
      <c r="E160" s="204">
        <v>42</v>
      </c>
      <c r="F160" s="204" t="s">
        <v>243</v>
      </c>
      <c r="G160" s="204">
        <v>2262</v>
      </c>
      <c r="H160" s="204" t="s">
        <v>270</v>
      </c>
      <c r="I160" s="204">
        <v>10079</v>
      </c>
      <c r="J160" s="209">
        <v>42382</v>
      </c>
      <c r="K160" s="210">
        <v>0.59166666666666667</v>
      </c>
      <c r="L160" s="209">
        <v>42384</v>
      </c>
      <c r="M160" s="204" t="s">
        <v>853</v>
      </c>
      <c r="N160" s="204" t="s">
        <v>272</v>
      </c>
      <c r="O160" s="204" t="s">
        <v>273</v>
      </c>
      <c r="P160" s="204" t="s">
        <v>274</v>
      </c>
      <c r="Q160" s="204" t="s">
        <v>275</v>
      </c>
      <c r="R160" s="204" t="s">
        <v>276</v>
      </c>
      <c r="S160" s="204" t="s">
        <v>156</v>
      </c>
      <c r="T160" s="204" t="s">
        <v>277</v>
      </c>
      <c r="U160" s="204">
        <v>2262</v>
      </c>
      <c r="V160" s="204" t="s">
        <v>156</v>
      </c>
      <c r="W160" s="204" t="s">
        <v>280</v>
      </c>
      <c r="X160" s="204">
        <v>5.5490000000000004</v>
      </c>
      <c r="Y160" s="211">
        <v>-0.17</v>
      </c>
      <c r="Z160" s="211">
        <v>1.93</v>
      </c>
      <c r="AA160" s="211">
        <v>10.71</v>
      </c>
      <c r="AB160" s="211">
        <v>-1.02</v>
      </c>
      <c r="AC160" s="211">
        <v>0</v>
      </c>
      <c r="AD160" s="211">
        <v>0</v>
      </c>
      <c r="AE160" s="211">
        <v>9.52</v>
      </c>
      <c r="AF160" s="211">
        <v>-1.33</v>
      </c>
      <c r="AG160" s="204" t="s">
        <v>279</v>
      </c>
      <c r="AH160" s="211">
        <v>0</v>
      </c>
      <c r="AI160" s="211">
        <v>10.71</v>
      </c>
      <c r="AJ160" s="211">
        <v>0</v>
      </c>
      <c r="AK160" s="204" t="str">
        <f t="shared" si="3"/>
        <v>1.00000000</v>
      </c>
      <c r="AL160" s="204">
        <v>36</v>
      </c>
    </row>
    <row r="161" spans="1:38" x14ac:dyDescent="0.2">
      <c r="A161" s="204" t="str">
        <f t="shared" si="5"/>
        <v>0496002595700</v>
      </c>
      <c r="B161" s="204">
        <v>2</v>
      </c>
      <c r="C161" s="204" t="s">
        <v>156</v>
      </c>
      <c r="D161" s="204">
        <v>42</v>
      </c>
      <c r="E161" s="204">
        <v>42</v>
      </c>
      <c r="F161" s="204" t="s">
        <v>243</v>
      </c>
      <c r="G161" s="204">
        <v>2262</v>
      </c>
      <c r="H161" s="204" t="s">
        <v>270</v>
      </c>
      <c r="I161" s="204">
        <v>11037</v>
      </c>
      <c r="J161" s="209">
        <v>42399</v>
      </c>
      <c r="K161" s="210">
        <v>0.35325231481481478</v>
      </c>
      <c r="L161" s="209">
        <v>42402</v>
      </c>
      <c r="M161" s="204" t="s">
        <v>310</v>
      </c>
      <c r="N161" s="204" t="s">
        <v>331</v>
      </c>
      <c r="O161" s="204" t="s">
        <v>332</v>
      </c>
      <c r="P161" s="204" t="s">
        <v>274</v>
      </c>
      <c r="Q161" s="204" t="s">
        <v>275</v>
      </c>
      <c r="R161" s="204" t="s">
        <v>858</v>
      </c>
      <c r="S161" s="204" t="s">
        <v>156</v>
      </c>
      <c r="T161" s="204" t="s">
        <v>277</v>
      </c>
      <c r="U161" s="204">
        <v>2262</v>
      </c>
      <c r="V161" s="204" t="s">
        <v>156</v>
      </c>
      <c r="W161" s="204" t="s">
        <v>280</v>
      </c>
      <c r="X161" s="204">
        <v>8.8059999999999992</v>
      </c>
      <c r="Y161" s="211">
        <v>0</v>
      </c>
      <c r="Z161" s="211">
        <v>1.96</v>
      </c>
      <c r="AA161" s="211">
        <v>17.25</v>
      </c>
      <c r="AB161" s="211">
        <v>-1.61</v>
      </c>
      <c r="AC161" s="211">
        <v>0</v>
      </c>
      <c r="AD161" s="211">
        <v>0</v>
      </c>
      <c r="AE161" s="211">
        <v>15.64</v>
      </c>
      <c r="AF161" s="211">
        <v>-2.11</v>
      </c>
      <c r="AG161" s="204" t="s">
        <v>279</v>
      </c>
      <c r="AH161" s="211">
        <v>0</v>
      </c>
      <c r="AI161" s="211">
        <v>17.25</v>
      </c>
      <c r="AJ161" s="211">
        <v>0</v>
      </c>
      <c r="AK161" s="204" t="str">
        <f t="shared" si="3"/>
        <v>1.00000000</v>
      </c>
      <c r="AL161" s="204">
        <v>108.8</v>
      </c>
    </row>
    <row r="162" spans="1:38" x14ac:dyDescent="0.2">
      <c r="A162" s="204" t="str">
        <f t="shared" si="5"/>
        <v>0496002595700</v>
      </c>
      <c r="B162" s="204">
        <v>2</v>
      </c>
      <c r="C162" s="204" t="s">
        <v>156</v>
      </c>
      <c r="D162" s="204">
        <v>42</v>
      </c>
      <c r="E162" s="204">
        <v>42</v>
      </c>
      <c r="F162" s="204" t="s">
        <v>243</v>
      </c>
      <c r="G162" s="204">
        <v>2262</v>
      </c>
      <c r="H162" s="204" t="s">
        <v>270</v>
      </c>
      <c r="I162" s="204">
        <v>11235</v>
      </c>
      <c r="J162" s="209">
        <v>42404</v>
      </c>
      <c r="K162" s="210">
        <v>0.37152777777777773</v>
      </c>
      <c r="L162" s="209">
        <v>42408</v>
      </c>
      <c r="M162" s="204" t="s">
        <v>853</v>
      </c>
      <c r="N162" s="204" t="s">
        <v>352</v>
      </c>
      <c r="O162" s="204" t="s">
        <v>353</v>
      </c>
      <c r="P162" s="204" t="s">
        <v>343</v>
      </c>
      <c r="Q162" s="204" t="s">
        <v>275</v>
      </c>
      <c r="R162" s="204" t="s">
        <v>602</v>
      </c>
      <c r="S162" s="204" t="s">
        <v>156</v>
      </c>
      <c r="T162" s="204" t="s">
        <v>277</v>
      </c>
      <c r="U162" s="204">
        <v>2262</v>
      </c>
      <c r="V162" s="204" t="s">
        <v>156</v>
      </c>
      <c r="W162" s="204" t="s">
        <v>280</v>
      </c>
      <c r="X162" s="204">
        <v>4.3819999999999997</v>
      </c>
      <c r="Y162" s="211">
        <v>-0.13</v>
      </c>
      <c r="Z162" s="211">
        <v>1.8</v>
      </c>
      <c r="AA162" s="211">
        <v>7.88</v>
      </c>
      <c r="AB162" s="211">
        <v>-0.8</v>
      </c>
      <c r="AC162" s="211">
        <v>0</v>
      </c>
      <c r="AD162" s="211">
        <v>0</v>
      </c>
      <c r="AE162" s="211">
        <v>6.95</v>
      </c>
      <c r="AF162" s="211">
        <v>-1.05</v>
      </c>
      <c r="AG162" s="204" t="s">
        <v>279</v>
      </c>
      <c r="AH162" s="211">
        <v>0</v>
      </c>
      <c r="AI162" s="211">
        <v>7.88</v>
      </c>
      <c r="AJ162" s="211">
        <v>0</v>
      </c>
      <c r="AK162" s="204" t="str">
        <f t="shared" si="3"/>
        <v>1.00000000</v>
      </c>
      <c r="AL162" s="204">
        <v>45.2</v>
      </c>
    </row>
    <row r="163" spans="1:38" x14ac:dyDescent="0.2">
      <c r="A163" s="204" t="str">
        <f t="shared" si="5"/>
        <v>0496002595700</v>
      </c>
      <c r="B163" s="204">
        <v>2</v>
      </c>
      <c r="C163" s="204" t="s">
        <v>156</v>
      </c>
      <c r="D163" s="204">
        <v>42</v>
      </c>
      <c r="E163" s="204">
        <v>42</v>
      </c>
      <c r="F163" s="204" t="s">
        <v>243</v>
      </c>
      <c r="G163" s="204">
        <v>2262</v>
      </c>
      <c r="H163" s="204" t="s">
        <v>270</v>
      </c>
      <c r="I163" s="204">
        <v>11553</v>
      </c>
      <c r="J163" s="209">
        <v>42404</v>
      </c>
      <c r="K163" s="210">
        <v>0.68888888888888899</v>
      </c>
      <c r="L163" s="209">
        <v>42408</v>
      </c>
      <c r="M163" s="204" t="s">
        <v>302</v>
      </c>
      <c r="N163" s="204" t="s">
        <v>905</v>
      </c>
      <c r="O163" s="204" t="s">
        <v>906</v>
      </c>
      <c r="P163" s="204" t="s">
        <v>742</v>
      </c>
      <c r="Q163" s="204" t="s">
        <v>329</v>
      </c>
      <c r="R163" s="204">
        <v>13365</v>
      </c>
      <c r="S163" s="204" t="s">
        <v>156</v>
      </c>
      <c r="T163" s="204" t="s">
        <v>277</v>
      </c>
      <c r="U163" s="204">
        <v>2262</v>
      </c>
      <c r="V163" s="204" t="s">
        <v>156</v>
      </c>
      <c r="W163" s="204" t="s">
        <v>280</v>
      </c>
      <c r="X163" s="204">
        <v>8.3089999999999993</v>
      </c>
      <c r="Y163" s="211">
        <v>0</v>
      </c>
      <c r="Z163" s="211">
        <v>2.1</v>
      </c>
      <c r="AA163" s="211">
        <v>17.440000000000001</v>
      </c>
      <c r="AB163" s="211">
        <v>-1.52</v>
      </c>
      <c r="AC163" s="211">
        <v>0</v>
      </c>
      <c r="AD163" s="211">
        <v>0</v>
      </c>
      <c r="AE163" s="211">
        <v>15.92</v>
      </c>
      <c r="AF163" s="211">
        <v>-3.39</v>
      </c>
      <c r="AG163" s="204" t="s">
        <v>279</v>
      </c>
      <c r="AH163" s="211">
        <v>0</v>
      </c>
      <c r="AI163" s="211">
        <v>17.440000000000001</v>
      </c>
      <c r="AJ163" s="211">
        <v>0</v>
      </c>
      <c r="AK163" s="204" t="str">
        <f t="shared" si="3"/>
        <v>1.00000000</v>
      </c>
      <c r="AL163" s="204">
        <v>38.299999999999997</v>
      </c>
    </row>
    <row r="164" spans="1:38" x14ac:dyDescent="0.2">
      <c r="A164" s="204" t="str">
        <f t="shared" si="5"/>
        <v>0496002595700</v>
      </c>
      <c r="B164" s="204">
        <v>2</v>
      </c>
      <c r="C164" s="204" t="s">
        <v>156</v>
      </c>
      <c r="D164" s="204">
        <v>42</v>
      </c>
      <c r="E164" s="204">
        <v>42</v>
      </c>
      <c r="F164" s="204" t="s">
        <v>243</v>
      </c>
      <c r="G164" s="204">
        <v>2262</v>
      </c>
      <c r="H164" s="204" t="s">
        <v>270</v>
      </c>
      <c r="I164" s="204">
        <v>11758</v>
      </c>
      <c r="J164" s="209">
        <v>42406</v>
      </c>
      <c r="K164" s="210">
        <v>0.79305555555555562</v>
      </c>
      <c r="L164" s="209">
        <v>42409</v>
      </c>
      <c r="M164" s="204" t="s">
        <v>310</v>
      </c>
      <c r="N164" s="204" t="s">
        <v>331</v>
      </c>
      <c r="O164" s="204" t="s">
        <v>332</v>
      </c>
      <c r="P164" s="204" t="s">
        <v>274</v>
      </c>
      <c r="Q164" s="204" t="s">
        <v>275</v>
      </c>
      <c r="R164" s="204" t="s">
        <v>858</v>
      </c>
      <c r="S164" s="204" t="s">
        <v>156</v>
      </c>
      <c r="T164" s="204" t="s">
        <v>277</v>
      </c>
      <c r="U164" s="204">
        <v>2262</v>
      </c>
      <c r="V164" s="204" t="s">
        <v>156</v>
      </c>
      <c r="W164" s="204" t="s">
        <v>280</v>
      </c>
      <c r="X164" s="204">
        <v>5.3979999999999997</v>
      </c>
      <c r="Y164" s="211">
        <v>0</v>
      </c>
      <c r="Z164" s="211">
        <v>1.9</v>
      </c>
      <c r="AA164" s="211">
        <v>10.25</v>
      </c>
      <c r="AB164" s="211">
        <v>-0.99</v>
      </c>
      <c r="AC164" s="211">
        <v>0</v>
      </c>
      <c r="AD164" s="211">
        <v>0</v>
      </c>
      <c r="AE164" s="211">
        <v>9.26</v>
      </c>
      <c r="AF164" s="211">
        <v>-1.3</v>
      </c>
      <c r="AG164" s="204" t="s">
        <v>279</v>
      </c>
      <c r="AH164" s="211">
        <v>0</v>
      </c>
      <c r="AI164" s="211">
        <v>10.25</v>
      </c>
      <c r="AJ164" s="211">
        <v>0</v>
      </c>
      <c r="AK164" s="204" t="str">
        <f t="shared" si="3"/>
        <v>1.00000000</v>
      </c>
      <c r="AL164" s="204">
        <v>38</v>
      </c>
    </row>
    <row r="165" spans="1:38" x14ac:dyDescent="0.2">
      <c r="A165" s="204" t="str">
        <f t="shared" si="5"/>
        <v>0496002595700</v>
      </c>
      <c r="B165" s="204">
        <v>2</v>
      </c>
      <c r="C165" s="204" t="s">
        <v>156</v>
      </c>
      <c r="D165" s="204">
        <v>42</v>
      </c>
      <c r="E165" s="204">
        <v>42</v>
      </c>
      <c r="F165" s="204" t="s">
        <v>243</v>
      </c>
      <c r="G165" s="204">
        <v>2262</v>
      </c>
      <c r="H165" s="204" t="s">
        <v>270</v>
      </c>
      <c r="I165" s="204">
        <v>111111</v>
      </c>
      <c r="J165" s="209">
        <v>42407</v>
      </c>
      <c r="K165" s="210">
        <v>0.69050925925925932</v>
      </c>
      <c r="L165" s="209">
        <v>42409</v>
      </c>
      <c r="M165" s="204" t="s">
        <v>310</v>
      </c>
      <c r="N165" s="204" t="s">
        <v>331</v>
      </c>
      <c r="O165" s="204" t="s">
        <v>332</v>
      </c>
      <c r="P165" s="204" t="s">
        <v>274</v>
      </c>
      <c r="Q165" s="204" t="s">
        <v>275</v>
      </c>
      <c r="R165" s="204" t="s">
        <v>858</v>
      </c>
      <c r="S165" s="204" t="s">
        <v>156</v>
      </c>
      <c r="T165" s="204" t="s">
        <v>277</v>
      </c>
      <c r="U165" s="204">
        <v>2262</v>
      </c>
      <c r="V165" s="204" t="s">
        <v>156</v>
      </c>
      <c r="W165" s="204" t="s">
        <v>280</v>
      </c>
      <c r="X165" s="204">
        <v>8.952</v>
      </c>
      <c r="Y165" s="211">
        <v>0</v>
      </c>
      <c r="Z165" s="211">
        <v>1.9</v>
      </c>
      <c r="AA165" s="211">
        <v>17</v>
      </c>
      <c r="AB165" s="211">
        <v>-1.64</v>
      </c>
      <c r="AC165" s="211">
        <v>0</v>
      </c>
      <c r="AD165" s="211">
        <v>0</v>
      </c>
      <c r="AE165" s="211">
        <v>15.36</v>
      </c>
      <c r="AF165" s="211">
        <v>-2.15</v>
      </c>
      <c r="AG165" s="204" t="s">
        <v>279</v>
      </c>
      <c r="AH165" s="211">
        <v>0</v>
      </c>
      <c r="AI165" s="211">
        <v>17</v>
      </c>
      <c r="AJ165" s="211">
        <v>0</v>
      </c>
      <c r="AK165" s="204" t="str">
        <f t="shared" si="3"/>
        <v>1.00000000</v>
      </c>
      <c r="AL165" s="204">
        <v>11098.4</v>
      </c>
    </row>
    <row r="166" spans="1:38" x14ac:dyDescent="0.2">
      <c r="A166" s="204" t="str">
        <f t="shared" si="5"/>
        <v>0496002595700</v>
      </c>
      <c r="B166" s="204">
        <v>2</v>
      </c>
      <c r="C166" s="204" t="s">
        <v>156</v>
      </c>
      <c r="D166" s="204">
        <v>42</v>
      </c>
      <c r="E166" s="204">
        <v>42</v>
      </c>
      <c r="F166" s="204" t="s">
        <v>243</v>
      </c>
      <c r="G166" s="204">
        <v>2262</v>
      </c>
      <c r="H166" s="204" t="s">
        <v>270</v>
      </c>
      <c r="I166" s="204">
        <v>12571</v>
      </c>
      <c r="J166" s="209">
        <v>42415</v>
      </c>
      <c r="K166" s="210">
        <v>0.38958333333333334</v>
      </c>
      <c r="L166" s="209">
        <v>42417</v>
      </c>
      <c r="M166" s="204" t="s">
        <v>853</v>
      </c>
      <c r="N166" s="204" t="s">
        <v>272</v>
      </c>
      <c r="O166" s="204" t="s">
        <v>273</v>
      </c>
      <c r="P166" s="204" t="s">
        <v>274</v>
      </c>
      <c r="Q166" s="204" t="s">
        <v>275</v>
      </c>
      <c r="R166" s="204" t="s">
        <v>276</v>
      </c>
      <c r="S166" s="204" t="s">
        <v>156</v>
      </c>
      <c r="T166" s="204" t="s">
        <v>277</v>
      </c>
      <c r="U166" s="204">
        <v>2262</v>
      </c>
      <c r="V166" s="204" t="s">
        <v>156</v>
      </c>
      <c r="W166" s="204" t="s">
        <v>280</v>
      </c>
      <c r="X166" s="204">
        <v>7.8559999999999999</v>
      </c>
      <c r="Y166" s="211">
        <v>-0.24</v>
      </c>
      <c r="Z166" s="211">
        <v>1.76</v>
      </c>
      <c r="AA166" s="211">
        <v>13.82</v>
      </c>
      <c r="AB166" s="211">
        <v>-1.44</v>
      </c>
      <c r="AC166" s="211">
        <v>0</v>
      </c>
      <c r="AD166" s="211">
        <v>0</v>
      </c>
      <c r="AE166" s="211">
        <v>12.14</v>
      </c>
      <c r="AF166" s="211">
        <v>-1.89</v>
      </c>
      <c r="AG166" s="204" t="s">
        <v>279</v>
      </c>
      <c r="AH166" s="211">
        <v>0</v>
      </c>
      <c r="AI166" s="211">
        <v>13.82</v>
      </c>
      <c r="AJ166" s="211">
        <v>0</v>
      </c>
      <c r="AK166" s="204" t="str">
        <f t="shared" si="3"/>
        <v>1.00000000</v>
      </c>
      <c r="AL166" s="204">
        <v>0</v>
      </c>
    </row>
    <row r="167" spans="1:38" x14ac:dyDescent="0.2">
      <c r="A167" s="204" t="str">
        <f t="shared" si="5"/>
        <v>0496002595700</v>
      </c>
      <c r="B167" s="204">
        <v>2</v>
      </c>
      <c r="C167" s="204" t="s">
        <v>156</v>
      </c>
      <c r="D167" s="204">
        <v>42</v>
      </c>
      <c r="E167" s="204">
        <v>42</v>
      </c>
      <c r="F167" s="204" t="s">
        <v>243</v>
      </c>
      <c r="G167" s="204">
        <v>2262</v>
      </c>
      <c r="H167" s="204" t="s">
        <v>270</v>
      </c>
      <c r="I167" s="204">
        <v>13019</v>
      </c>
      <c r="J167" s="209">
        <v>42419</v>
      </c>
      <c r="K167" s="210">
        <v>0.29305555555555557</v>
      </c>
      <c r="L167" s="209">
        <v>42423</v>
      </c>
      <c r="M167" s="204" t="s">
        <v>853</v>
      </c>
      <c r="N167" s="204" t="s">
        <v>352</v>
      </c>
      <c r="O167" s="204" t="s">
        <v>353</v>
      </c>
      <c r="P167" s="204" t="s">
        <v>343</v>
      </c>
      <c r="Q167" s="204" t="s">
        <v>275</v>
      </c>
      <c r="R167" s="204" t="s">
        <v>602</v>
      </c>
      <c r="S167" s="204" t="s">
        <v>156</v>
      </c>
      <c r="T167" s="204" t="s">
        <v>277</v>
      </c>
      <c r="U167" s="204">
        <v>2262</v>
      </c>
      <c r="V167" s="204" t="s">
        <v>156</v>
      </c>
      <c r="W167" s="204" t="s">
        <v>280</v>
      </c>
      <c r="X167" s="204">
        <v>6.5309999999999997</v>
      </c>
      <c r="Y167" s="211">
        <v>-0.2</v>
      </c>
      <c r="Z167" s="211">
        <v>1.73</v>
      </c>
      <c r="AA167" s="211">
        <v>11.3</v>
      </c>
      <c r="AB167" s="211">
        <v>-1.2</v>
      </c>
      <c r="AC167" s="211">
        <v>0</v>
      </c>
      <c r="AD167" s="211">
        <v>0</v>
      </c>
      <c r="AE167" s="211">
        <v>9.9</v>
      </c>
      <c r="AF167" s="211">
        <v>-1.57</v>
      </c>
      <c r="AG167" s="204" t="s">
        <v>279</v>
      </c>
      <c r="AH167" s="211">
        <v>0</v>
      </c>
      <c r="AI167" s="211">
        <v>11.3</v>
      </c>
      <c r="AJ167" s="211">
        <v>0</v>
      </c>
      <c r="AK167" s="204" t="str">
        <f t="shared" si="3"/>
        <v>1.00000000</v>
      </c>
      <c r="AL167" s="204">
        <v>68.599999999999994</v>
      </c>
    </row>
    <row r="168" spans="1:38" x14ac:dyDescent="0.2">
      <c r="A168" s="204" t="str">
        <f t="shared" si="5"/>
        <v>0496002595700</v>
      </c>
      <c r="B168" s="204">
        <v>2</v>
      </c>
      <c r="C168" s="204" t="s">
        <v>156</v>
      </c>
      <c r="D168" s="204">
        <v>42</v>
      </c>
      <c r="E168" s="204">
        <v>42</v>
      </c>
      <c r="F168" s="204" t="s">
        <v>243</v>
      </c>
      <c r="G168" s="204">
        <v>2262</v>
      </c>
      <c r="H168" s="204" t="s">
        <v>270</v>
      </c>
      <c r="I168" s="204">
        <v>13351</v>
      </c>
      <c r="J168" s="209">
        <v>42424</v>
      </c>
      <c r="K168" s="210">
        <v>0.69097222222222221</v>
      </c>
      <c r="L168" s="209">
        <v>42429</v>
      </c>
      <c r="M168" s="204" t="s">
        <v>325</v>
      </c>
      <c r="N168" s="204" t="s">
        <v>326</v>
      </c>
      <c r="O168" s="204" t="s">
        <v>907</v>
      </c>
      <c r="P168" s="204" t="s">
        <v>908</v>
      </c>
      <c r="Q168" s="204" t="s">
        <v>558</v>
      </c>
      <c r="R168" s="204">
        <v>18428</v>
      </c>
      <c r="S168" s="204" t="s">
        <v>156</v>
      </c>
      <c r="T168" s="204" t="s">
        <v>277</v>
      </c>
      <c r="U168" s="204">
        <v>2262</v>
      </c>
      <c r="V168" s="204" t="s">
        <v>156</v>
      </c>
      <c r="W168" s="204" t="s">
        <v>280</v>
      </c>
      <c r="X168" s="204">
        <v>8.0090000000000003</v>
      </c>
      <c r="Y168" s="211">
        <v>0</v>
      </c>
      <c r="Z168" s="211">
        <v>1.94</v>
      </c>
      <c r="AA168" s="211">
        <v>15.53</v>
      </c>
      <c r="AB168" s="211">
        <v>-1.47</v>
      </c>
      <c r="AC168" s="211">
        <v>0</v>
      </c>
      <c r="AD168" s="211">
        <v>0</v>
      </c>
      <c r="AE168" s="211">
        <v>14.06</v>
      </c>
      <c r="AF168" s="211">
        <v>-4.03</v>
      </c>
      <c r="AG168" s="204" t="s">
        <v>279</v>
      </c>
      <c r="AH168" s="211">
        <v>0</v>
      </c>
      <c r="AI168" s="211">
        <v>15.53</v>
      </c>
      <c r="AJ168" s="211">
        <v>0</v>
      </c>
      <c r="AK168" s="204" t="str">
        <f t="shared" si="3"/>
        <v>1.00000000</v>
      </c>
      <c r="AL168" s="204">
        <v>41.4</v>
      </c>
    </row>
    <row r="169" spans="1:38" x14ac:dyDescent="0.2">
      <c r="A169" s="204" t="str">
        <f t="shared" si="5"/>
        <v>0496002595700</v>
      </c>
      <c r="B169" s="204">
        <v>2</v>
      </c>
      <c r="C169" s="204" t="s">
        <v>156</v>
      </c>
      <c r="D169" s="204">
        <v>42</v>
      </c>
      <c r="E169" s="204">
        <v>42</v>
      </c>
      <c r="F169" s="204" t="s">
        <v>243</v>
      </c>
      <c r="G169" s="204">
        <v>2262</v>
      </c>
      <c r="H169" s="204" t="s">
        <v>270</v>
      </c>
      <c r="I169" s="204">
        <v>1377</v>
      </c>
      <c r="J169" s="209">
        <v>42426</v>
      </c>
      <c r="K169" s="210">
        <v>0.87430555555555556</v>
      </c>
      <c r="L169" s="209">
        <v>42430</v>
      </c>
      <c r="M169" s="204" t="s">
        <v>294</v>
      </c>
      <c r="N169" s="204" t="s">
        <v>299</v>
      </c>
      <c r="O169" s="204" t="s">
        <v>300</v>
      </c>
      <c r="P169" s="204" t="s">
        <v>301</v>
      </c>
      <c r="Q169" s="204" t="s">
        <v>275</v>
      </c>
      <c r="R169" s="204">
        <v>1069</v>
      </c>
      <c r="S169" s="204" t="s">
        <v>156</v>
      </c>
      <c r="T169" s="204" t="s">
        <v>277</v>
      </c>
      <c r="U169" s="204">
        <v>2262</v>
      </c>
      <c r="V169" s="204" t="s">
        <v>156</v>
      </c>
      <c r="W169" s="204" t="s">
        <v>330</v>
      </c>
      <c r="X169" s="204">
        <v>9.58</v>
      </c>
      <c r="Y169" s="211">
        <v>0</v>
      </c>
      <c r="Z169" s="211">
        <v>1.68</v>
      </c>
      <c r="AA169" s="211">
        <v>16.09</v>
      </c>
      <c r="AB169" s="211">
        <v>-1.75</v>
      </c>
      <c r="AC169" s="211">
        <v>0</v>
      </c>
      <c r="AD169" s="211">
        <v>0</v>
      </c>
      <c r="AE169" s="211">
        <v>14.34</v>
      </c>
      <c r="AF169" s="211">
        <v>-2.2999999999999998</v>
      </c>
      <c r="AG169" s="204" t="s">
        <v>279</v>
      </c>
      <c r="AH169" s="211">
        <v>0</v>
      </c>
      <c r="AI169" s="211">
        <v>16.09</v>
      </c>
      <c r="AJ169" s="211">
        <v>0</v>
      </c>
      <c r="AK169" s="204" t="str">
        <f t="shared" si="3"/>
        <v>1.00000000</v>
      </c>
      <c r="AL169" s="204">
        <v>0</v>
      </c>
    </row>
    <row r="170" spans="1:38" x14ac:dyDescent="0.2">
      <c r="A170" s="204" t="str">
        <f t="shared" si="5"/>
        <v>0496002595700</v>
      </c>
      <c r="B170" s="204">
        <v>2</v>
      </c>
      <c r="C170" s="204" t="s">
        <v>156</v>
      </c>
      <c r="D170" s="204">
        <v>42</v>
      </c>
      <c r="E170" s="204">
        <v>42</v>
      </c>
      <c r="F170" s="204" t="s">
        <v>243</v>
      </c>
      <c r="G170" s="204">
        <v>2262</v>
      </c>
      <c r="H170" s="204" t="s">
        <v>270</v>
      </c>
      <c r="I170" s="204">
        <v>14452</v>
      </c>
      <c r="J170" s="209">
        <v>42439</v>
      </c>
      <c r="K170" s="210">
        <v>0.92638888888888893</v>
      </c>
      <c r="L170" s="209">
        <v>42443</v>
      </c>
      <c r="M170" s="204" t="s">
        <v>853</v>
      </c>
      <c r="N170" s="204" t="s">
        <v>272</v>
      </c>
      <c r="O170" s="204" t="s">
        <v>273</v>
      </c>
      <c r="P170" s="204" t="s">
        <v>274</v>
      </c>
      <c r="Q170" s="204" t="s">
        <v>275</v>
      </c>
      <c r="R170" s="204" t="s">
        <v>276</v>
      </c>
      <c r="S170" s="204" t="s">
        <v>156</v>
      </c>
      <c r="T170" s="204" t="s">
        <v>277</v>
      </c>
      <c r="U170" s="204">
        <v>2262</v>
      </c>
      <c r="V170" s="204" t="s">
        <v>156</v>
      </c>
      <c r="W170" s="204" t="s">
        <v>280</v>
      </c>
      <c r="X170" s="204">
        <v>7.9980000000000002</v>
      </c>
      <c r="Y170" s="211">
        <v>-0.24</v>
      </c>
      <c r="Z170" s="211">
        <v>1.77</v>
      </c>
      <c r="AA170" s="211">
        <v>14.15</v>
      </c>
      <c r="AB170" s="211">
        <v>-1.46</v>
      </c>
      <c r="AC170" s="211">
        <v>0</v>
      </c>
      <c r="AD170" s="211">
        <v>0</v>
      </c>
      <c r="AE170" s="211">
        <v>12.45</v>
      </c>
      <c r="AF170" s="211">
        <v>-1.92</v>
      </c>
      <c r="AG170" s="204" t="s">
        <v>279</v>
      </c>
      <c r="AH170" s="211">
        <v>0</v>
      </c>
      <c r="AI170" s="211">
        <v>14.15</v>
      </c>
      <c r="AJ170" s="211">
        <v>0</v>
      </c>
      <c r="AK170" s="204" t="str">
        <f t="shared" si="3"/>
        <v>1.00000000</v>
      </c>
      <c r="AL170" s="204">
        <v>1634.8</v>
      </c>
    </row>
    <row r="171" spans="1:38" x14ac:dyDescent="0.2">
      <c r="A171" s="204" t="str">
        <f t="shared" si="5"/>
        <v>0496002595700</v>
      </c>
      <c r="B171" s="204">
        <v>2</v>
      </c>
      <c r="C171" s="204" t="s">
        <v>156</v>
      </c>
      <c r="D171" s="204">
        <v>42</v>
      </c>
      <c r="E171" s="204">
        <v>42</v>
      </c>
      <c r="F171" s="204" t="s">
        <v>243</v>
      </c>
      <c r="G171" s="204">
        <v>2262</v>
      </c>
      <c r="H171" s="204" t="s">
        <v>270</v>
      </c>
      <c r="I171" s="204">
        <v>14453</v>
      </c>
      <c r="J171" s="209">
        <v>42440</v>
      </c>
      <c r="K171" s="210">
        <v>0.36736111111111108</v>
      </c>
      <c r="L171" s="209">
        <v>42444</v>
      </c>
      <c r="M171" s="204" t="s">
        <v>302</v>
      </c>
      <c r="N171" s="204" t="s">
        <v>501</v>
      </c>
      <c r="O171" s="204" t="s">
        <v>502</v>
      </c>
      <c r="P171" s="204" t="s">
        <v>274</v>
      </c>
      <c r="Q171" s="204" t="s">
        <v>275</v>
      </c>
      <c r="R171" s="204" t="s">
        <v>720</v>
      </c>
      <c r="S171" s="204" t="s">
        <v>156</v>
      </c>
      <c r="T171" s="204" t="s">
        <v>277</v>
      </c>
      <c r="U171" s="204">
        <v>2262</v>
      </c>
      <c r="V171" s="204" t="s">
        <v>156</v>
      </c>
      <c r="W171" s="204" t="s">
        <v>280</v>
      </c>
      <c r="X171" s="204">
        <v>0.59</v>
      </c>
      <c r="Y171" s="211">
        <v>0</v>
      </c>
      <c r="Z171" s="211">
        <v>1.85</v>
      </c>
      <c r="AA171" s="211">
        <v>1.0900000000000001</v>
      </c>
      <c r="AB171" s="211">
        <v>-0.11</v>
      </c>
      <c r="AC171" s="211">
        <v>0</v>
      </c>
      <c r="AD171" s="211">
        <v>0</v>
      </c>
      <c r="AE171" s="211">
        <v>0.98</v>
      </c>
      <c r="AF171" s="211">
        <v>-0.14000000000000001</v>
      </c>
      <c r="AG171" s="204" t="s">
        <v>279</v>
      </c>
      <c r="AH171" s="211">
        <v>0</v>
      </c>
      <c r="AI171" s="211">
        <v>1.0900000000000001</v>
      </c>
      <c r="AJ171" s="211">
        <v>0</v>
      </c>
      <c r="AK171" s="204" t="str">
        <f t="shared" si="3"/>
        <v>1.00000000</v>
      </c>
      <c r="AL171" s="204">
        <v>1.7</v>
      </c>
    </row>
    <row r="172" spans="1:38" x14ac:dyDescent="0.2">
      <c r="A172" s="204" t="str">
        <f t="shared" si="5"/>
        <v>0496002595700</v>
      </c>
      <c r="B172" s="204">
        <v>2</v>
      </c>
      <c r="C172" s="204" t="s">
        <v>156</v>
      </c>
      <c r="D172" s="204">
        <v>42</v>
      </c>
      <c r="E172" s="204">
        <v>42</v>
      </c>
      <c r="F172" s="204" t="s">
        <v>243</v>
      </c>
      <c r="G172" s="204">
        <v>2262</v>
      </c>
      <c r="H172" s="204" t="s">
        <v>270</v>
      </c>
      <c r="I172" s="204">
        <v>14722</v>
      </c>
      <c r="J172" s="209">
        <v>42441</v>
      </c>
      <c r="K172" s="210">
        <v>0.93402777777777779</v>
      </c>
      <c r="L172" s="209">
        <v>42444</v>
      </c>
      <c r="M172" s="204" t="s">
        <v>606</v>
      </c>
      <c r="N172" s="204" t="s">
        <v>909</v>
      </c>
      <c r="O172" s="204" t="s">
        <v>910</v>
      </c>
      <c r="P172" s="204" t="s">
        <v>911</v>
      </c>
      <c r="Q172" s="204" t="s">
        <v>275</v>
      </c>
      <c r="R172" s="204" t="s">
        <v>912</v>
      </c>
      <c r="S172" s="204" t="s">
        <v>156</v>
      </c>
      <c r="T172" s="204" t="s">
        <v>277</v>
      </c>
      <c r="U172" s="204">
        <v>2262</v>
      </c>
      <c r="V172" s="204" t="s">
        <v>156</v>
      </c>
      <c r="W172" s="204" t="s">
        <v>280</v>
      </c>
      <c r="X172" s="204">
        <v>6.4859999999999998</v>
      </c>
      <c r="Y172" s="211">
        <v>0</v>
      </c>
      <c r="Z172" s="211">
        <v>1.78</v>
      </c>
      <c r="AA172" s="211">
        <v>11.54</v>
      </c>
      <c r="AB172" s="211">
        <v>-1.19</v>
      </c>
      <c r="AC172" s="211">
        <v>0</v>
      </c>
      <c r="AD172" s="211">
        <v>0</v>
      </c>
      <c r="AE172" s="211">
        <v>10.35</v>
      </c>
      <c r="AF172" s="211">
        <v>-1.56</v>
      </c>
      <c r="AG172" s="204" t="s">
        <v>279</v>
      </c>
      <c r="AH172" s="211">
        <v>0</v>
      </c>
      <c r="AI172" s="211">
        <v>11.54</v>
      </c>
      <c r="AJ172" s="211">
        <v>0</v>
      </c>
      <c r="AK172" s="204" t="str">
        <f t="shared" si="3"/>
        <v>1.00000000</v>
      </c>
      <c r="AL172" s="204">
        <v>41.5</v>
      </c>
    </row>
    <row r="173" spans="1:38" x14ac:dyDescent="0.2">
      <c r="A173" s="204" t="str">
        <f t="shared" si="5"/>
        <v>0496002595700</v>
      </c>
      <c r="B173" s="204">
        <v>2</v>
      </c>
      <c r="C173" s="204" t="s">
        <v>156</v>
      </c>
      <c r="D173" s="204">
        <v>42</v>
      </c>
      <c r="E173" s="204">
        <v>42</v>
      </c>
      <c r="F173" s="204" t="s">
        <v>243</v>
      </c>
      <c r="G173" s="204">
        <v>2262</v>
      </c>
      <c r="H173" s="204" t="s">
        <v>270</v>
      </c>
      <c r="I173" s="204">
        <v>15079</v>
      </c>
      <c r="J173" s="209">
        <v>42446</v>
      </c>
      <c r="K173" s="210">
        <v>0.86732638888888891</v>
      </c>
      <c r="L173" s="209">
        <v>42450</v>
      </c>
      <c r="M173" s="204" t="s">
        <v>384</v>
      </c>
      <c r="N173" s="204" t="s">
        <v>385</v>
      </c>
      <c r="O173" s="204" t="s">
        <v>386</v>
      </c>
      <c r="P173" s="204" t="s">
        <v>343</v>
      </c>
      <c r="Q173" s="204" t="s">
        <v>275</v>
      </c>
      <c r="R173" s="204" t="s">
        <v>387</v>
      </c>
      <c r="S173" s="204" t="s">
        <v>156</v>
      </c>
      <c r="T173" s="204" t="s">
        <v>277</v>
      </c>
      <c r="U173" s="204">
        <v>2262</v>
      </c>
      <c r="V173" s="204" t="s">
        <v>156</v>
      </c>
      <c r="W173" s="204" t="s">
        <v>280</v>
      </c>
      <c r="X173" s="204">
        <v>8.9629999999999992</v>
      </c>
      <c r="Y173" s="211">
        <v>0</v>
      </c>
      <c r="Z173" s="211">
        <v>1.88</v>
      </c>
      <c r="AA173" s="211">
        <v>16.84</v>
      </c>
      <c r="AB173" s="211">
        <v>-1.64</v>
      </c>
      <c r="AC173" s="211">
        <v>0</v>
      </c>
      <c r="AD173" s="211">
        <v>0</v>
      </c>
      <c r="AE173" s="211">
        <v>15.2</v>
      </c>
      <c r="AF173" s="211">
        <v>-2.15</v>
      </c>
      <c r="AG173" s="204" t="s">
        <v>279</v>
      </c>
      <c r="AH173" s="211">
        <v>0</v>
      </c>
      <c r="AI173" s="211">
        <v>16.84</v>
      </c>
      <c r="AJ173" s="211">
        <v>0</v>
      </c>
      <c r="AK173" s="204" t="str">
        <f t="shared" si="3"/>
        <v>1.00000000</v>
      </c>
      <c r="AL173" s="204">
        <v>39.799999999999997</v>
      </c>
    </row>
    <row r="174" spans="1:38" x14ac:dyDescent="0.2">
      <c r="A174" s="204" t="str">
        <f t="shared" si="5"/>
        <v>0496002595700</v>
      </c>
      <c r="B174" s="204">
        <v>2</v>
      </c>
      <c r="C174" s="204" t="s">
        <v>156</v>
      </c>
      <c r="D174" s="204">
        <v>42</v>
      </c>
      <c r="E174" s="204">
        <v>42</v>
      </c>
      <c r="F174" s="204" t="s">
        <v>243</v>
      </c>
      <c r="G174" s="204">
        <v>2262</v>
      </c>
      <c r="H174" s="204" t="s">
        <v>270</v>
      </c>
      <c r="I174" s="204">
        <v>15623</v>
      </c>
      <c r="J174" s="209">
        <v>42453</v>
      </c>
      <c r="K174" s="210">
        <v>0.47638888888888892</v>
      </c>
      <c r="L174" s="209">
        <v>42457</v>
      </c>
      <c r="M174" s="204" t="s">
        <v>853</v>
      </c>
      <c r="N174" s="204" t="s">
        <v>272</v>
      </c>
      <c r="O174" s="204" t="s">
        <v>273</v>
      </c>
      <c r="P174" s="204" t="s">
        <v>274</v>
      </c>
      <c r="Q174" s="204" t="s">
        <v>275</v>
      </c>
      <c r="R174" s="204" t="s">
        <v>276</v>
      </c>
      <c r="S174" s="204" t="s">
        <v>156</v>
      </c>
      <c r="T174" s="204" t="s">
        <v>277</v>
      </c>
      <c r="U174" s="204">
        <v>2262</v>
      </c>
      <c r="V174" s="204" t="s">
        <v>156</v>
      </c>
      <c r="W174" s="204" t="s">
        <v>280</v>
      </c>
      <c r="X174" s="204">
        <v>1.927</v>
      </c>
      <c r="Y174" s="211">
        <v>-0.06</v>
      </c>
      <c r="Z174" s="211">
        <v>2.0099999999999998</v>
      </c>
      <c r="AA174" s="211">
        <v>3.87</v>
      </c>
      <c r="AB174" s="211">
        <v>-0.35</v>
      </c>
      <c r="AC174" s="211">
        <v>0</v>
      </c>
      <c r="AD174" s="211">
        <v>0</v>
      </c>
      <c r="AE174" s="211">
        <v>3.46</v>
      </c>
      <c r="AF174" s="211">
        <v>-0.46</v>
      </c>
      <c r="AG174" s="204" t="s">
        <v>279</v>
      </c>
      <c r="AH174" s="211">
        <v>0</v>
      </c>
      <c r="AI174" s="211">
        <v>3.87</v>
      </c>
      <c r="AJ174" s="211">
        <v>0</v>
      </c>
      <c r="AK174" s="204" t="str">
        <f t="shared" si="3"/>
        <v>1.00000000</v>
      </c>
      <c r="AL174" s="204">
        <v>282.3</v>
      </c>
    </row>
    <row r="175" spans="1:38" x14ac:dyDescent="0.2">
      <c r="A175" s="204" t="str">
        <f t="shared" si="5"/>
        <v>0496002595700</v>
      </c>
      <c r="B175" s="204">
        <v>2</v>
      </c>
      <c r="C175" s="204" t="s">
        <v>156</v>
      </c>
      <c r="D175" s="204">
        <v>42</v>
      </c>
      <c r="E175" s="204">
        <v>42</v>
      </c>
      <c r="F175" s="204" t="s">
        <v>243</v>
      </c>
      <c r="G175" s="204">
        <v>2262</v>
      </c>
      <c r="H175" s="204" t="s">
        <v>270</v>
      </c>
      <c r="I175" s="204">
        <v>15000</v>
      </c>
      <c r="J175" s="209">
        <v>42455</v>
      </c>
      <c r="K175" s="210">
        <v>0.4678356481481481</v>
      </c>
      <c r="L175" s="209">
        <v>42458</v>
      </c>
      <c r="M175" s="204" t="s">
        <v>310</v>
      </c>
      <c r="N175" s="204" t="s">
        <v>331</v>
      </c>
      <c r="O175" s="204" t="s">
        <v>332</v>
      </c>
      <c r="P175" s="204" t="s">
        <v>274</v>
      </c>
      <c r="Q175" s="204" t="s">
        <v>275</v>
      </c>
      <c r="R175" s="204" t="s">
        <v>858</v>
      </c>
      <c r="S175" s="204" t="s">
        <v>156</v>
      </c>
      <c r="T175" s="204" t="s">
        <v>277</v>
      </c>
      <c r="U175" s="204">
        <v>2262</v>
      </c>
      <c r="V175" s="204" t="s">
        <v>156</v>
      </c>
      <c r="W175" s="204" t="s">
        <v>280</v>
      </c>
      <c r="X175" s="204">
        <v>9.3800000000000008</v>
      </c>
      <c r="Y175" s="211">
        <v>0</v>
      </c>
      <c r="Z175" s="211">
        <v>2</v>
      </c>
      <c r="AA175" s="211">
        <v>18.75</v>
      </c>
      <c r="AB175" s="211">
        <v>-1.72</v>
      </c>
      <c r="AC175" s="211">
        <v>0</v>
      </c>
      <c r="AD175" s="211">
        <v>0</v>
      </c>
      <c r="AE175" s="211">
        <v>17.03</v>
      </c>
      <c r="AF175" s="211">
        <v>-2.25</v>
      </c>
      <c r="AG175" s="204" t="s">
        <v>279</v>
      </c>
      <c r="AH175" s="211">
        <v>0</v>
      </c>
      <c r="AI175" s="211">
        <v>18.75</v>
      </c>
      <c r="AJ175" s="211">
        <v>0</v>
      </c>
      <c r="AK175" s="204" t="str">
        <f t="shared" si="3"/>
        <v>1.00000000</v>
      </c>
      <c r="AL175" s="204">
        <v>0</v>
      </c>
    </row>
    <row r="176" spans="1:38" x14ac:dyDescent="0.2">
      <c r="A176" s="204" t="str">
        <f t="shared" si="5"/>
        <v>0496002595700</v>
      </c>
      <c r="B176" s="204">
        <v>2</v>
      </c>
      <c r="C176" s="204" t="s">
        <v>156</v>
      </c>
      <c r="D176" s="204">
        <v>42</v>
      </c>
      <c r="E176" s="204">
        <v>42</v>
      </c>
      <c r="F176" s="204" t="s">
        <v>243</v>
      </c>
      <c r="G176" s="204">
        <v>2262</v>
      </c>
      <c r="H176" s="204" t="s">
        <v>270</v>
      </c>
      <c r="I176" s="204">
        <v>16162</v>
      </c>
      <c r="J176" s="209">
        <v>42458</v>
      </c>
      <c r="K176" s="210">
        <v>0.62152777777777779</v>
      </c>
      <c r="L176" s="209">
        <v>42460</v>
      </c>
      <c r="M176" s="204" t="s">
        <v>701</v>
      </c>
      <c r="N176" s="204" t="s">
        <v>702</v>
      </c>
      <c r="O176" s="204" t="s">
        <v>703</v>
      </c>
      <c r="P176" s="204" t="s">
        <v>704</v>
      </c>
      <c r="Q176" s="204" t="s">
        <v>309</v>
      </c>
      <c r="R176" s="204" t="s">
        <v>705</v>
      </c>
      <c r="S176" s="204" t="s">
        <v>156</v>
      </c>
      <c r="T176" s="204" t="s">
        <v>277</v>
      </c>
      <c r="U176" s="204">
        <v>2262</v>
      </c>
      <c r="V176" s="204" t="s">
        <v>156</v>
      </c>
      <c r="W176" s="204" t="s">
        <v>280</v>
      </c>
      <c r="X176" s="204">
        <v>7.7050000000000001</v>
      </c>
      <c r="Y176" s="211">
        <v>0</v>
      </c>
      <c r="Z176" s="211">
        <v>2.4</v>
      </c>
      <c r="AA176" s="211">
        <v>18.48</v>
      </c>
      <c r="AB176" s="211">
        <v>-1.41</v>
      </c>
      <c r="AC176" s="211">
        <v>0</v>
      </c>
      <c r="AD176" s="211">
        <v>0</v>
      </c>
      <c r="AE176" s="211">
        <v>17.07</v>
      </c>
      <c r="AF176" s="211">
        <v>-1.93</v>
      </c>
      <c r="AG176" s="204" t="s">
        <v>279</v>
      </c>
      <c r="AH176" s="211">
        <v>0</v>
      </c>
      <c r="AI176" s="211">
        <v>18.48</v>
      </c>
      <c r="AJ176" s="211">
        <v>0</v>
      </c>
      <c r="AK176" s="204" t="str">
        <f t="shared" si="3"/>
        <v>1.00000000</v>
      </c>
      <c r="AL176" s="204">
        <v>150.80000000000001</v>
      </c>
    </row>
    <row r="177" spans="1:38" x14ac:dyDescent="0.2">
      <c r="A177" s="204" t="str">
        <f t="shared" si="5"/>
        <v>0496002595700</v>
      </c>
      <c r="B177" s="204">
        <v>2</v>
      </c>
      <c r="C177" s="204" t="s">
        <v>156</v>
      </c>
      <c r="D177" s="204">
        <v>42</v>
      </c>
      <c r="E177" s="204">
        <v>42</v>
      </c>
      <c r="F177" s="204" t="s">
        <v>243</v>
      </c>
      <c r="G177" s="204">
        <v>2262</v>
      </c>
      <c r="H177" s="204" t="s">
        <v>270</v>
      </c>
      <c r="I177" s="204">
        <v>16474</v>
      </c>
      <c r="J177" s="209">
        <v>42461</v>
      </c>
      <c r="K177" s="210">
        <v>0.75347222222222221</v>
      </c>
      <c r="L177" s="209">
        <v>42465</v>
      </c>
      <c r="M177" s="204" t="s">
        <v>271</v>
      </c>
      <c r="N177" s="204" t="s">
        <v>272</v>
      </c>
      <c r="O177" s="204" t="s">
        <v>273</v>
      </c>
      <c r="P177" s="204" t="s">
        <v>274</v>
      </c>
      <c r="Q177" s="204" t="s">
        <v>275</v>
      </c>
      <c r="R177" s="204" t="s">
        <v>276</v>
      </c>
      <c r="S177" s="204" t="s">
        <v>156</v>
      </c>
      <c r="T177" s="204" t="s">
        <v>277</v>
      </c>
      <c r="U177" s="204">
        <v>2262</v>
      </c>
      <c r="V177" s="204" t="s">
        <v>156</v>
      </c>
      <c r="W177" s="204" t="s">
        <v>280</v>
      </c>
      <c r="X177" s="204">
        <v>6.835</v>
      </c>
      <c r="Y177" s="211">
        <v>-0.21</v>
      </c>
      <c r="Z177" s="211">
        <v>2.0299999999999998</v>
      </c>
      <c r="AA177" s="211">
        <v>13.87</v>
      </c>
      <c r="AB177" s="211">
        <v>-1.25</v>
      </c>
      <c r="AC177" s="211">
        <v>0</v>
      </c>
      <c r="AD177" s="211">
        <v>0</v>
      </c>
      <c r="AE177" s="211">
        <v>12.41</v>
      </c>
      <c r="AF177" s="211">
        <v>-1.64</v>
      </c>
      <c r="AG177" s="204" t="s">
        <v>279</v>
      </c>
      <c r="AH177" s="211">
        <v>0</v>
      </c>
      <c r="AI177" s="211">
        <v>13.87</v>
      </c>
      <c r="AJ177" s="211">
        <v>0</v>
      </c>
      <c r="AK177" s="204" t="str">
        <f t="shared" si="3"/>
        <v>1.00000000</v>
      </c>
      <c r="AL177" s="204">
        <v>45.6</v>
      </c>
    </row>
    <row r="178" spans="1:38" x14ac:dyDescent="0.2">
      <c r="A178" s="204" t="str">
        <f t="shared" si="5"/>
        <v>0496002595700</v>
      </c>
      <c r="B178" s="204">
        <v>2</v>
      </c>
      <c r="C178" s="204" t="s">
        <v>156</v>
      </c>
      <c r="D178" s="204">
        <v>42</v>
      </c>
      <c r="E178" s="204">
        <v>42</v>
      </c>
      <c r="F178" s="204" t="s">
        <v>243</v>
      </c>
      <c r="G178" s="204">
        <v>2262</v>
      </c>
      <c r="H178" s="204" t="s">
        <v>270</v>
      </c>
      <c r="I178" s="204">
        <v>16691</v>
      </c>
      <c r="J178" s="209">
        <v>42463</v>
      </c>
      <c r="K178" s="210">
        <v>0.73472222222222217</v>
      </c>
      <c r="L178" s="209">
        <v>42465</v>
      </c>
      <c r="M178" s="204" t="s">
        <v>271</v>
      </c>
      <c r="N178" s="204" t="s">
        <v>272</v>
      </c>
      <c r="O178" s="204" t="s">
        <v>273</v>
      </c>
      <c r="P178" s="204" t="s">
        <v>274</v>
      </c>
      <c r="Q178" s="204" t="s">
        <v>275</v>
      </c>
      <c r="R178" s="204" t="s">
        <v>276</v>
      </c>
      <c r="S178" s="204" t="s">
        <v>156</v>
      </c>
      <c r="T178" s="204" t="s">
        <v>277</v>
      </c>
      <c r="U178" s="204">
        <v>2262</v>
      </c>
      <c r="V178" s="204" t="s">
        <v>156</v>
      </c>
      <c r="W178" s="204" t="s">
        <v>280</v>
      </c>
      <c r="X178" s="204">
        <v>5.9429999999999996</v>
      </c>
      <c r="Y178" s="211">
        <v>-0.18</v>
      </c>
      <c r="Z178" s="211">
        <v>2.0299999999999998</v>
      </c>
      <c r="AA178" s="211">
        <v>12.06</v>
      </c>
      <c r="AB178" s="211">
        <v>-1.0900000000000001</v>
      </c>
      <c r="AC178" s="211">
        <v>0</v>
      </c>
      <c r="AD178" s="211">
        <v>0</v>
      </c>
      <c r="AE178" s="211">
        <v>10.79</v>
      </c>
      <c r="AF178" s="211">
        <v>-1.43</v>
      </c>
      <c r="AG178" s="204" t="s">
        <v>279</v>
      </c>
      <c r="AH178" s="211">
        <v>0</v>
      </c>
      <c r="AI178" s="211">
        <v>12.06</v>
      </c>
      <c r="AJ178" s="211">
        <v>0</v>
      </c>
      <c r="AK178" s="204" t="str">
        <f t="shared" si="3"/>
        <v>1.00000000</v>
      </c>
      <c r="AL178" s="204">
        <v>36.5</v>
      </c>
    </row>
    <row r="179" spans="1:38" x14ac:dyDescent="0.2">
      <c r="A179" s="204" t="str">
        <f t="shared" si="5"/>
        <v>0496002595700</v>
      </c>
      <c r="B179" s="204">
        <v>2</v>
      </c>
      <c r="C179" s="204" t="s">
        <v>156</v>
      </c>
      <c r="D179" s="204">
        <v>42</v>
      </c>
      <c r="E179" s="204">
        <v>42</v>
      </c>
      <c r="F179" s="204" t="s">
        <v>243</v>
      </c>
      <c r="G179" s="204">
        <v>2262</v>
      </c>
      <c r="H179" s="204" t="s">
        <v>270</v>
      </c>
      <c r="I179" s="204">
        <v>16950</v>
      </c>
      <c r="J179" s="209">
        <v>42475</v>
      </c>
      <c r="K179" s="210">
        <v>0.59722222222222221</v>
      </c>
      <c r="L179" s="209">
        <v>42479</v>
      </c>
      <c r="M179" s="204" t="s">
        <v>271</v>
      </c>
      <c r="N179" s="204" t="s">
        <v>272</v>
      </c>
      <c r="O179" s="204" t="s">
        <v>273</v>
      </c>
      <c r="P179" s="204" t="s">
        <v>274</v>
      </c>
      <c r="Q179" s="204" t="s">
        <v>275</v>
      </c>
      <c r="R179" s="204" t="s">
        <v>276</v>
      </c>
      <c r="S179" s="204" t="s">
        <v>156</v>
      </c>
      <c r="T179" s="204" t="s">
        <v>277</v>
      </c>
      <c r="U179" s="204">
        <v>2262</v>
      </c>
      <c r="V179" s="204" t="s">
        <v>156</v>
      </c>
      <c r="W179" s="204" t="s">
        <v>280</v>
      </c>
      <c r="X179" s="204">
        <v>5.5570000000000004</v>
      </c>
      <c r="Y179" s="211">
        <v>-0.17</v>
      </c>
      <c r="Z179" s="211">
        <v>2.09</v>
      </c>
      <c r="AA179" s="211">
        <v>11.61</v>
      </c>
      <c r="AB179" s="211">
        <v>-1.02</v>
      </c>
      <c r="AC179" s="211">
        <v>0</v>
      </c>
      <c r="AD179" s="211">
        <v>0</v>
      </c>
      <c r="AE179" s="211">
        <v>10.42</v>
      </c>
      <c r="AF179" s="211">
        <v>-1.33</v>
      </c>
      <c r="AG179" s="204" t="s">
        <v>279</v>
      </c>
      <c r="AH179" s="211">
        <v>0</v>
      </c>
      <c r="AI179" s="211">
        <v>11.61</v>
      </c>
      <c r="AJ179" s="211">
        <v>0</v>
      </c>
      <c r="AK179" s="204" t="str">
        <f t="shared" si="3"/>
        <v>1.00000000</v>
      </c>
      <c r="AL179" s="204">
        <v>46.6</v>
      </c>
    </row>
    <row r="180" spans="1:38" x14ac:dyDescent="0.2">
      <c r="A180" s="204" t="str">
        <f t="shared" si="5"/>
        <v>0496002595700</v>
      </c>
      <c r="B180" s="204">
        <v>2</v>
      </c>
      <c r="C180" s="204" t="s">
        <v>156</v>
      </c>
      <c r="D180" s="204">
        <v>42</v>
      </c>
      <c r="E180" s="204">
        <v>42</v>
      </c>
      <c r="F180" s="204" t="s">
        <v>243</v>
      </c>
      <c r="G180" s="204">
        <v>2262</v>
      </c>
      <c r="H180" s="204" t="s">
        <v>270</v>
      </c>
      <c r="I180" s="204">
        <v>17253</v>
      </c>
      <c r="J180" s="209">
        <v>42477</v>
      </c>
      <c r="K180" s="210">
        <v>0.37013888888888885</v>
      </c>
      <c r="L180" s="209">
        <v>42479</v>
      </c>
      <c r="M180" s="204" t="s">
        <v>302</v>
      </c>
      <c r="N180" s="204" t="s">
        <v>913</v>
      </c>
      <c r="O180" s="204" t="s">
        <v>914</v>
      </c>
      <c r="P180" s="204" t="s">
        <v>915</v>
      </c>
      <c r="Q180" s="204" t="s">
        <v>329</v>
      </c>
      <c r="R180" s="204" t="s">
        <v>916</v>
      </c>
      <c r="S180" s="204" t="s">
        <v>156</v>
      </c>
      <c r="T180" s="204" t="s">
        <v>277</v>
      </c>
      <c r="U180" s="204">
        <v>2262</v>
      </c>
      <c r="V180" s="204" t="s">
        <v>156</v>
      </c>
      <c r="W180" s="204" t="s">
        <v>280</v>
      </c>
      <c r="X180" s="204">
        <v>7.4909999999999997</v>
      </c>
      <c r="Y180" s="211">
        <v>0</v>
      </c>
      <c r="Z180" s="211">
        <v>2.2799999999999998</v>
      </c>
      <c r="AA180" s="211">
        <v>17.07</v>
      </c>
      <c r="AB180" s="211">
        <v>-1.37</v>
      </c>
      <c r="AC180" s="211">
        <v>0</v>
      </c>
      <c r="AD180" s="211">
        <v>0</v>
      </c>
      <c r="AE180" s="211">
        <v>15.7</v>
      </c>
      <c r="AF180" s="211">
        <v>-3.08</v>
      </c>
      <c r="AG180" s="204" t="s">
        <v>279</v>
      </c>
      <c r="AH180" s="211">
        <v>0</v>
      </c>
      <c r="AI180" s="211">
        <v>17.07</v>
      </c>
      <c r="AJ180" s="211">
        <v>0</v>
      </c>
      <c r="AK180" s="204" t="str">
        <f t="shared" si="3"/>
        <v>1.00000000</v>
      </c>
      <c r="AL180" s="204">
        <v>40.4</v>
      </c>
    </row>
    <row r="181" spans="1:38" x14ac:dyDescent="0.2">
      <c r="A181" s="204" t="str">
        <f t="shared" si="5"/>
        <v>0496002595700</v>
      </c>
      <c r="B181" s="204">
        <v>2</v>
      </c>
      <c r="C181" s="204" t="s">
        <v>156</v>
      </c>
      <c r="D181" s="204">
        <v>42</v>
      </c>
      <c r="E181" s="204">
        <v>42</v>
      </c>
      <c r="F181" s="204" t="s">
        <v>243</v>
      </c>
      <c r="G181" s="204">
        <v>2262</v>
      </c>
      <c r="H181" s="204" t="s">
        <v>270</v>
      </c>
      <c r="I181" s="204">
        <v>17606</v>
      </c>
      <c r="J181" s="209">
        <v>42480</v>
      </c>
      <c r="K181" s="210">
        <v>0.69513888888888886</v>
      </c>
      <c r="L181" s="209">
        <v>42482</v>
      </c>
      <c r="M181" s="204" t="s">
        <v>775</v>
      </c>
      <c r="N181" s="204" t="s">
        <v>776</v>
      </c>
      <c r="O181" s="204" t="s">
        <v>777</v>
      </c>
      <c r="P181" s="204" t="s">
        <v>778</v>
      </c>
      <c r="Q181" s="204" t="s">
        <v>275</v>
      </c>
      <c r="R181" s="204" t="s">
        <v>897</v>
      </c>
      <c r="S181" s="204" t="s">
        <v>156</v>
      </c>
      <c r="T181" s="204" t="s">
        <v>277</v>
      </c>
      <c r="U181" s="204">
        <v>2262</v>
      </c>
      <c r="V181" s="204" t="s">
        <v>156</v>
      </c>
      <c r="W181" s="204" t="s">
        <v>280</v>
      </c>
      <c r="X181" s="204">
        <v>9.1370000000000005</v>
      </c>
      <c r="Y181" s="211">
        <v>0</v>
      </c>
      <c r="Z181" s="211">
        <v>2.1</v>
      </c>
      <c r="AA181" s="211">
        <v>19.18</v>
      </c>
      <c r="AB181" s="211">
        <v>-1.67</v>
      </c>
      <c r="AC181" s="211">
        <v>0</v>
      </c>
      <c r="AD181" s="211">
        <v>0</v>
      </c>
      <c r="AE181" s="211">
        <v>17.510000000000002</v>
      </c>
      <c r="AF181" s="211">
        <v>-2.19</v>
      </c>
      <c r="AG181" s="204" t="s">
        <v>279</v>
      </c>
      <c r="AH181" s="211">
        <v>0</v>
      </c>
      <c r="AI181" s="211">
        <v>19.18</v>
      </c>
      <c r="AJ181" s="211">
        <v>0</v>
      </c>
      <c r="AK181" s="204" t="str">
        <f t="shared" si="3"/>
        <v>1.00000000</v>
      </c>
      <c r="AL181" s="204">
        <v>45.6</v>
      </c>
    </row>
    <row r="182" spans="1:38" x14ac:dyDescent="0.2">
      <c r="A182" s="204" t="str">
        <f t="shared" si="5"/>
        <v>0496002595700</v>
      </c>
      <c r="B182" s="204">
        <v>2</v>
      </c>
      <c r="C182" s="204" t="s">
        <v>156</v>
      </c>
      <c r="D182" s="204">
        <v>42</v>
      </c>
      <c r="E182" s="204">
        <v>42</v>
      </c>
      <c r="F182" s="204" t="s">
        <v>243</v>
      </c>
      <c r="G182" s="204">
        <v>2262</v>
      </c>
      <c r="H182" s="204" t="s">
        <v>270</v>
      </c>
      <c r="I182" s="204">
        <v>18200</v>
      </c>
      <c r="J182" s="209">
        <v>42482</v>
      </c>
      <c r="K182" s="210">
        <v>0.58611111111111114</v>
      </c>
      <c r="L182" s="209">
        <v>42486</v>
      </c>
      <c r="M182" s="204" t="s">
        <v>271</v>
      </c>
      <c r="N182" s="204" t="s">
        <v>272</v>
      </c>
      <c r="O182" s="204" t="s">
        <v>273</v>
      </c>
      <c r="P182" s="204" t="s">
        <v>274</v>
      </c>
      <c r="Q182" s="204" t="s">
        <v>275</v>
      </c>
      <c r="R182" s="204" t="s">
        <v>276</v>
      </c>
      <c r="S182" s="204" t="s">
        <v>156</v>
      </c>
      <c r="T182" s="204" t="s">
        <v>277</v>
      </c>
      <c r="U182" s="204">
        <v>2262</v>
      </c>
      <c r="V182" s="204" t="s">
        <v>156</v>
      </c>
      <c r="W182" s="204" t="s">
        <v>280</v>
      </c>
      <c r="X182" s="204">
        <v>4.7610000000000001</v>
      </c>
      <c r="Y182" s="211">
        <v>-0.14000000000000001</v>
      </c>
      <c r="Z182" s="211">
        <v>2.12</v>
      </c>
      <c r="AA182" s="211">
        <v>10.09</v>
      </c>
      <c r="AB182" s="211">
        <v>-0.87</v>
      </c>
      <c r="AC182" s="211">
        <v>0</v>
      </c>
      <c r="AD182" s="211">
        <v>0</v>
      </c>
      <c r="AE182" s="211">
        <v>9.08</v>
      </c>
      <c r="AF182" s="211">
        <v>-1.1399999999999999</v>
      </c>
      <c r="AG182" s="204" t="s">
        <v>279</v>
      </c>
      <c r="AH182" s="211">
        <v>0</v>
      </c>
      <c r="AI182" s="211">
        <v>10.09</v>
      </c>
      <c r="AJ182" s="211">
        <v>0</v>
      </c>
      <c r="AK182" s="204" t="str">
        <f t="shared" si="3"/>
        <v>1.00000000</v>
      </c>
      <c r="AL182" s="204">
        <v>38.6</v>
      </c>
    </row>
    <row r="183" spans="1:38" x14ac:dyDescent="0.2">
      <c r="A183" s="204" t="str">
        <f t="shared" si="5"/>
        <v>0496002595700</v>
      </c>
      <c r="B183" s="204">
        <v>2</v>
      </c>
      <c r="C183" s="204" t="s">
        <v>156</v>
      </c>
      <c r="D183" s="204">
        <v>42</v>
      </c>
      <c r="E183" s="204">
        <v>42</v>
      </c>
      <c r="F183" s="204" t="s">
        <v>243</v>
      </c>
      <c r="G183" s="204">
        <v>2262</v>
      </c>
      <c r="H183" s="204" t="s">
        <v>270</v>
      </c>
      <c r="I183" s="204">
        <v>18193</v>
      </c>
      <c r="J183" s="209">
        <v>42485</v>
      </c>
      <c r="K183" s="210">
        <v>0.40763888888888888</v>
      </c>
      <c r="L183" s="209">
        <v>42487</v>
      </c>
      <c r="M183" s="204" t="s">
        <v>606</v>
      </c>
      <c r="N183" s="204" t="s">
        <v>917</v>
      </c>
      <c r="O183" s="204" t="s">
        <v>918</v>
      </c>
      <c r="P183" s="204" t="s">
        <v>919</v>
      </c>
      <c r="Q183" s="204" t="s">
        <v>275</v>
      </c>
      <c r="R183" s="204" t="s">
        <v>920</v>
      </c>
      <c r="S183" s="204" t="s">
        <v>156</v>
      </c>
      <c r="T183" s="204" t="s">
        <v>277</v>
      </c>
      <c r="U183" s="204">
        <v>2262</v>
      </c>
      <c r="V183" s="204" t="s">
        <v>156</v>
      </c>
      <c r="W183" s="204" t="s">
        <v>280</v>
      </c>
      <c r="X183" s="204">
        <v>9.3059999999999992</v>
      </c>
      <c r="Y183" s="211">
        <v>0</v>
      </c>
      <c r="Z183" s="211">
        <v>2.1800000000000002</v>
      </c>
      <c r="AA183" s="211">
        <v>20.28</v>
      </c>
      <c r="AB183" s="211">
        <v>-1.7</v>
      </c>
      <c r="AC183" s="211">
        <v>0</v>
      </c>
      <c r="AD183" s="211">
        <v>0</v>
      </c>
      <c r="AE183" s="211">
        <v>18.579999999999998</v>
      </c>
      <c r="AF183" s="211">
        <v>-2.23</v>
      </c>
      <c r="AG183" s="204" t="s">
        <v>279</v>
      </c>
      <c r="AH183" s="211">
        <v>0</v>
      </c>
      <c r="AI183" s="211">
        <v>20.28</v>
      </c>
      <c r="AJ183" s="211">
        <v>0</v>
      </c>
      <c r="AK183" s="204" t="str">
        <f t="shared" si="3"/>
        <v>1.00000000</v>
      </c>
      <c r="AL183" s="204">
        <v>36.4</v>
      </c>
    </row>
    <row r="184" spans="1:38" x14ac:dyDescent="0.2">
      <c r="A184" s="204" t="str">
        <f t="shared" si="5"/>
        <v>0496002595700</v>
      </c>
      <c r="B184" s="204">
        <v>2</v>
      </c>
      <c r="C184" s="204" t="s">
        <v>156</v>
      </c>
      <c r="D184" s="204">
        <v>42</v>
      </c>
      <c r="E184" s="204">
        <v>42</v>
      </c>
      <c r="F184" s="204" t="s">
        <v>243</v>
      </c>
      <c r="G184" s="204">
        <v>2262</v>
      </c>
      <c r="H184" s="204" t="s">
        <v>270</v>
      </c>
      <c r="I184" s="204">
        <v>45000</v>
      </c>
      <c r="J184" s="209">
        <v>42490</v>
      </c>
      <c r="K184" s="210">
        <v>0.32708333333333334</v>
      </c>
      <c r="L184" s="209">
        <v>42493</v>
      </c>
      <c r="M184" s="204" t="s">
        <v>271</v>
      </c>
      <c r="N184" s="204" t="s">
        <v>272</v>
      </c>
      <c r="O184" s="204" t="s">
        <v>273</v>
      </c>
      <c r="P184" s="204" t="s">
        <v>274</v>
      </c>
      <c r="Q184" s="204" t="s">
        <v>275</v>
      </c>
      <c r="R184" s="204" t="s">
        <v>276</v>
      </c>
      <c r="S184" s="204" t="s">
        <v>156</v>
      </c>
      <c r="T184" s="204" t="s">
        <v>277</v>
      </c>
      <c r="U184" s="204">
        <v>2262</v>
      </c>
      <c r="V184" s="204" t="s">
        <v>156</v>
      </c>
      <c r="W184" s="204" t="s">
        <v>280</v>
      </c>
      <c r="X184" s="204">
        <v>4.4969999999999999</v>
      </c>
      <c r="Y184" s="211">
        <v>-0.13</v>
      </c>
      <c r="Z184" s="211">
        <v>2.2000000000000002</v>
      </c>
      <c r="AA184" s="211">
        <v>9.89</v>
      </c>
      <c r="AB184" s="211">
        <v>-0.82</v>
      </c>
      <c r="AC184" s="211">
        <v>0</v>
      </c>
      <c r="AD184" s="211">
        <v>0</v>
      </c>
      <c r="AE184" s="211">
        <v>8.94</v>
      </c>
      <c r="AF184" s="211">
        <v>-1.08</v>
      </c>
      <c r="AG184" s="204" t="s">
        <v>279</v>
      </c>
      <c r="AH184" s="211">
        <v>0</v>
      </c>
      <c r="AI184" s="211">
        <v>9.89</v>
      </c>
      <c r="AJ184" s="211">
        <v>0</v>
      </c>
      <c r="AK184" s="204" t="str">
        <f t="shared" si="3"/>
        <v>1.00000000</v>
      </c>
      <c r="AL184" s="204">
        <v>38.700000000000003</v>
      </c>
    </row>
    <row r="185" spans="1:38" x14ac:dyDescent="0.2">
      <c r="A185" s="204" t="str">
        <f t="shared" si="5"/>
        <v>0496002595700</v>
      </c>
      <c r="B185" s="204">
        <v>2</v>
      </c>
      <c r="C185" s="204" t="s">
        <v>156</v>
      </c>
      <c r="D185" s="204">
        <v>42</v>
      </c>
      <c r="E185" s="204">
        <v>42</v>
      </c>
      <c r="F185" s="204" t="s">
        <v>243</v>
      </c>
      <c r="G185" s="204">
        <v>2262</v>
      </c>
      <c r="H185" s="204" t="s">
        <v>270</v>
      </c>
      <c r="I185" s="204">
        <v>19137</v>
      </c>
      <c r="J185" s="209">
        <v>42493</v>
      </c>
      <c r="K185" s="210">
        <v>0.6</v>
      </c>
      <c r="L185" s="209">
        <v>42495</v>
      </c>
      <c r="M185" s="204" t="s">
        <v>271</v>
      </c>
      <c r="N185" s="204" t="s">
        <v>352</v>
      </c>
      <c r="O185" s="204" t="s">
        <v>353</v>
      </c>
      <c r="P185" s="204" t="s">
        <v>343</v>
      </c>
      <c r="Q185" s="204" t="s">
        <v>275</v>
      </c>
      <c r="R185" s="204" t="s">
        <v>602</v>
      </c>
      <c r="S185" s="204" t="s">
        <v>156</v>
      </c>
      <c r="T185" s="204" t="s">
        <v>277</v>
      </c>
      <c r="U185" s="204">
        <v>2262</v>
      </c>
      <c r="V185" s="204" t="s">
        <v>156</v>
      </c>
      <c r="W185" s="204" t="s">
        <v>280</v>
      </c>
      <c r="X185" s="204">
        <v>7.4630000000000001</v>
      </c>
      <c r="Y185" s="211">
        <v>-0.22</v>
      </c>
      <c r="Z185" s="211">
        <v>2.2400000000000002</v>
      </c>
      <c r="AA185" s="211">
        <v>16.71</v>
      </c>
      <c r="AB185" s="211">
        <v>-1.37</v>
      </c>
      <c r="AC185" s="211">
        <v>0</v>
      </c>
      <c r="AD185" s="211">
        <v>0</v>
      </c>
      <c r="AE185" s="211">
        <v>15.12</v>
      </c>
      <c r="AF185" s="211">
        <v>-1.79</v>
      </c>
      <c r="AG185" s="204" t="s">
        <v>279</v>
      </c>
      <c r="AH185" s="211">
        <v>0</v>
      </c>
      <c r="AI185" s="211">
        <v>16.71</v>
      </c>
      <c r="AJ185" s="211">
        <v>0</v>
      </c>
      <c r="AK185" s="204" t="str">
        <f t="shared" si="3"/>
        <v>1.00000000</v>
      </c>
      <c r="AL185" s="204">
        <v>38.6</v>
      </c>
    </row>
    <row r="186" spans="1:38" x14ac:dyDescent="0.2">
      <c r="A186" s="204" t="str">
        <f t="shared" si="5"/>
        <v>0496002595700</v>
      </c>
      <c r="B186" s="204">
        <v>2</v>
      </c>
      <c r="C186" s="204" t="s">
        <v>156</v>
      </c>
      <c r="D186" s="204">
        <v>42</v>
      </c>
      <c r="E186" s="204">
        <v>42</v>
      </c>
      <c r="F186" s="204" t="s">
        <v>243</v>
      </c>
      <c r="G186" s="204">
        <v>2262</v>
      </c>
      <c r="H186" s="204" t="s">
        <v>270</v>
      </c>
      <c r="I186" s="204">
        <v>19415</v>
      </c>
      <c r="J186" s="209">
        <v>42504</v>
      </c>
      <c r="K186" s="210">
        <v>0.40763888888888888</v>
      </c>
      <c r="L186" s="209">
        <v>42507</v>
      </c>
      <c r="M186" s="204" t="s">
        <v>271</v>
      </c>
      <c r="N186" s="204" t="s">
        <v>272</v>
      </c>
      <c r="O186" s="204" t="s">
        <v>273</v>
      </c>
      <c r="P186" s="204" t="s">
        <v>274</v>
      </c>
      <c r="Q186" s="204" t="s">
        <v>275</v>
      </c>
      <c r="R186" s="204" t="s">
        <v>276</v>
      </c>
      <c r="S186" s="204" t="s">
        <v>156</v>
      </c>
      <c r="T186" s="204" t="s">
        <v>277</v>
      </c>
      <c r="U186" s="204">
        <v>2262</v>
      </c>
      <c r="V186" s="204" t="s">
        <v>156</v>
      </c>
      <c r="W186" s="204" t="s">
        <v>280</v>
      </c>
      <c r="X186" s="204">
        <v>6.24</v>
      </c>
      <c r="Y186" s="211">
        <v>-0.19</v>
      </c>
      <c r="Z186" s="211">
        <v>2.23</v>
      </c>
      <c r="AA186" s="211">
        <v>13.91</v>
      </c>
      <c r="AB186" s="211">
        <v>-1.1399999999999999</v>
      </c>
      <c r="AC186" s="211">
        <v>0</v>
      </c>
      <c r="AD186" s="211">
        <v>0</v>
      </c>
      <c r="AE186" s="211">
        <v>12.58</v>
      </c>
      <c r="AF186" s="211">
        <v>-1.5</v>
      </c>
      <c r="AG186" s="204" t="s">
        <v>279</v>
      </c>
      <c r="AH186" s="211">
        <v>0</v>
      </c>
      <c r="AI186" s="211">
        <v>13.91</v>
      </c>
      <c r="AJ186" s="211">
        <v>0</v>
      </c>
      <c r="AK186" s="204" t="str">
        <f t="shared" si="3"/>
        <v>1.00000000</v>
      </c>
      <c r="AL186" s="204">
        <v>44.6</v>
      </c>
    </row>
    <row r="187" spans="1:38" x14ac:dyDescent="0.2">
      <c r="A187" s="204" t="str">
        <f t="shared" si="5"/>
        <v>0496002595700</v>
      </c>
      <c r="B187" s="204">
        <v>2</v>
      </c>
      <c r="C187" s="204" t="s">
        <v>156</v>
      </c>
      <c r="D187" s="204">
        <v>42</v>
      </c>
      <c r="E187" s="204">
        <v>42</v>
      </c>
      <c r="F187" s="204" t="s">
        <v>243</v>
      </c>
      <c r="G187" s="204">
        <v>2262</v>
      </c>
      <c r="H187" s="204" t="s">
        <v>270</v>
      </c>
      <c r="I187" s="204">
        <v>2203</v>
      </c>
      <c r="J187" s="209">
        <v>42508</v>
      </c>
      <c r="K187" s="210">
        <v>0.66319444444444442</v>
      </c>
      <c r="L187" s="209">
        <v>42510</v>
      </c>
      <c r="M187" s="204" t="s">
        <v>294</v>
      </c>
      <c r="N187" s="204" t="s">
        <v>921</v>
      </c>
      <c r="O187" s="204" t="s">
        <v>922</v>
      </c>
      <c r="P187" s="204" t="s">
        <v>807</v>
      </c>
      <c r="Q187" s="204" t="s">
        <v>275</v>
      </c>
      <c r="R187" s="204" t="s">
        <v>923</v>
      </c>
      <c r="S187" s="204" t="s">
        <v>156</v>
      </c>
      <c r="T187" s="204" t="s">
        <v>277</v>
      </c>
      <c r="U187" s="204">
        <v>2262</v>
      </c>
      <c r="V187" s="204" t="s">
        <v>156</v>
      </c>
      <c r="W187" s="204" t="s">
        <v>330</v>
      </c>
      <c r="X187" s="204">
        <v>8.94</v>
      </c>
      <c r="Y187" s="211">
        <v>0</v>
      </c>
      <c r="Z187" s="211">
        <v>2.2799999999999998</v>
      </c>
      <c r="AA187" s="211">
        <v>20.38</v>
      </c>
      <c r="AB187" s="211">
        <v>-1.64</v>
      </c>
      <c r="AC187" s="211">
        <v>0</v>
      </c>
      <c r="AD187" s="211">
        <v>0</v>
      </c>
      <c r="AE187" s="211">
        <v>18.739999999999998</v>
      </c>
      <c r="AF187" s="211">
        <v>-2.15</v>
      </c>
      <c r="AG187" s="204" t="s">
        <v>279</v>
      </c>
      <c r="AH187" s="211">
        <v>0</v>
      </c>
      <c r="AI187" s="211">
        <v>20.38</v>
      </c>
      <c r="AJ187" s="211">
        <v>0</v>
      </c>
      <c r="AK187" s="204" t="str">
        <f t="shared" si="3"/>
        <v>1.00000000</v>
      </c>
      <c r="AL187" s="204">
        <v>38.6</v>
      </c>
    </row>
    <row r="188" spans="1:38" x14ac:dyDescent="0.2">
      <c r="A188" s="204" t="str">
        <f t="shared" si="5"/>
        <v>0496002595700</v>
      </c>
      <c r="B188" s="204">
        <v>2</v>
      </c>
      <c r="C188" s="204" t="s">
        <v>156</v>
      </c>
      <c r="D188" s="204">
        <v>42</v>
      </c>
      <c r="E188" s="204">
        <v>42</v>
      </c>
      <c r="F188" s="204" t="s">
        <v>243</v>
      </c>
      <c r="G188" s="204">
        <v>2262</v>
      </c>
      <c r="H188" s="204" t="s">
        <v>270</v>
      </c>
      <c r="I188" s="204">
        <v>23000</v>
      </c>
      <c r="J188" s="209">
        <v>42516</v>
      </c>
      <c r="K188" s="210">
        <v>0.37777777777777777</v>
      </c>
      <c r="L188" s="209">
        <v>42520</v>
      </c>
      <c r="M188" s="204" t="s">
        <v>271</v>
      </c>
      <c r="N188" s="204" t="s">
        <v>924</v>
      </c>
      <c r="O188" s="204" t="s">
        <v>925</v>
      </c>
      <c r="P188" s="204" t="s">
        <v>926</v>
      </c>
      <c r="Q188" s="204" t="s">
        <v>275</v>
      </c>
      <c r="R188" s="204" t="s">
        <v>927</v>
      </c>
      <c r="S188" s="204" t="s">
        <v>156</v>
      </c>
      <c r="T188" s="204" t="s">
        <v>277</v>
      </c>
      <c r="U188" s="204">
        <v>2262</v>
      </c>
      <c r="V188" s="204" t="s">
        <v>156</v>
      </c>
      <c r="W188" s="204" t="s">
        <v>278</v>
      </c>
      <c r="X188" s="204">
        <v>9.6999999999999993</v>
      </c>
      <c r="Y188" s="211">
        <v>-0.19</v>
      </c>
      <c r="Z188" s="211">
        <v>2.2400000000000002</v>
      </c>
      <c r="AA188" s="211">
        <v>21.72</v>
      </c>
      <c r="AB188" s="211">
        <v>-1.78</v>
      </c>
      <c r="AC188" s="211">
        <v>0</v>
      </c>
      <c r="AD188" s="211">
        <v>0</v>
      </c>
      <c r="AE188" s="211">
        <v>19.75</v>
      </c>
      <c r="AF188" s="211">
        <v>-2.33</v>
      </c>
      <c r="AG188" s="204" t="s">
        <v>279</v>
      </c>
      <c r="AH188" s="211">
        <v>0</v>
      </c>
      <c r="AI188" s="211">
        <v>21.72</v>
      </c>
      <c r="AJ188" s="211">
        <v>0</v>
      </c>
      <c r="AK188" s="204" t="str">
        <f t="shared" si="3"/>
        <v>1.00000000</v>
      </c>
      <c r="AL188" s="204">
        <v>38.700000000000003</v>
      </c>
    </row>
    <row r="189" spans="1:38" x14ac:dyDescent="0.2">
      <c r="A189" s="204" t="str">
        <f t="shared" si="5"/>
        <v>0496002595700</v>
      </c>
      <c r="B189" s="204">
        <v>2</v>
      </c>
      <c r="C189" s="204" t="s">
        <v>156</v>
      </c>
      <c r="D189" s="204">
        <v>42</v>
      </c>
      <c r="E189" s="204">
        <v>42</v>
      </c>
      <c r="F189" s="204" t="s">
        <v>243</v>
      </c>
      <c r="G189" s="204">
        <v>2262</v>
      </c>
      <c r="H189" s="204" t="s">
        <v>270</v>
      </c>
      <c r="I189" s="204">
        <v>20424</v>
      </c>
      <c r="J189" s="209">
        <v>42517</v>
      </c>
      <c r="K189" s="210">
        <v>0.90069444444444446</v>
      </c>
      <c r="L189" s="209">
        <v>42521</v>
      </c>
      <c r="M189" s="204" t="s">
        <v>271</v>
      </c>
      <c r="N189" s="204" t="s">
        <v>272</v>
      </c>
      <c r="O189" s="204" t="s">
        <v>273</v>
      </c>
      <c r="P189" s="204" t="s">
        <v>274</v>
      </c>
      <c r="Q189" s="204" t="s">
        <v>275</v>
      </c>
      <c r="R189" s="204" t="s">
        <v>276</v>
      </c>
      <c r="S189" s="204" t="s">
        <v>156</v>
      </c>
      <c r="T189" s="204" t="s">
        <v>277</v>
      </c>
      <c r="U189" s="204">
        <v>2262</v>
      </c>
      <c r="V189" s="204" t="s">
        <v>156</v>
      </c>
      <c r="W189" s="204" t="s">
        <v>280</v>
      </c>
      <c r="X189" s="204">
        <v>3.0590000000000002</v>
      </c>
      <c r="Y189" s="211">
        <v>-0.09</v>
      </c>
      <c r="Z189" s="211">
        <v>2.29</v>
      </c>
      <c r="AA189" s="211">
        <v>7</v>
      </c>
      <c r="AB189" s="211">
        <v>-0.56000000000000005</v>
      </c>
      <c r="AC189" s="211">
        <v>0</v>
      </c>
      <c r="AD189" s="211">
        <v>0</v>
      </c>
      <c r="AE189" s="211">
        <v>6.35</v>
      </c>
      <c r="AF189" s="211">
        <v>-0.73</v>
      </c>
      <c r="AG189" s="204" t="s">
        <v>279</v>
      </c>
      <c r="AH189" s="211">
        <v>0</v>
      </c>
      <c r="AI189" s="211">
        <v>7</v>
      </c>
      <c r="AJ189" s="211">
        <v>0</v>
      </c>
      <c r="AK189" s="204" t="str">
        <f t="shared" si="3"/>
        <v>1.00000000</v>
      </c>
      <c r="AL189" s="204">
        <v>38.6</v>
      </c>
    </row>
    <row r="190" spans="1:38" x14ac:dyDescent="0.2">
      <c r="A190" s="204" t="str">
        <f t="shared" si="5"/>
        <v>0496002595700</v>
      </c>
      <c r="B190" s="204">
        <v>2</v>
      </c>
      <c r="C190" s="204" t="s">
        <v>156</v>
      </c>
      <c r="D190" s="204">
        <v>42</v>
      </c>
      <c r="E190" s="204">
        <v>42</v>
      </c>
      <c r="F190" s="204" t="s">
        <v>243</v>
      </c>
      <c r="G190" s="204">
        <v>2262</v>
      </c>
      <c r="H190" s="204" t="s">
        <v>270</v>
      </c>
      <c r="I190" s="204">
        <v>20660</v>
      </c>
      <c r="J190" s="209">
        <v>42523</v>
      </c>
      <c r="K190" s="210">
        <v>0.35069444444444442</v>
      </c>
      <c r="L190" s="209">
        <v>42527</v>
      </c>
      <c r="M190" s="204" t="s">
        <v>271</v>
      </c>
      <c r="N190" s="204" t="s">
        <v>272</v>
      </c>
      <c r="O190" s="204" t="s">
        <v>273</v>
      </c>
      <c r="P190" s="204" t="s">
        <v>274</v>
      </c>
      <c r="Q190" s="204" t="s">
        <v>275</v>
      </c>
      <c r="R190" s="204" t="s">
        <v>276</v>
      </c>
      <c r="S190" s="204" t="s">
        <v>156</v>
      </c>
      <c r="T190" s="204" t="s">
        <v>277</v>
      </c>
      <c r="U190" s="204">
        <v>2262</v>
      </c>
      <c r="V190" s="204" t="s">
        <v>156</v>
      </c>
      <c r="W190" s="204" t="s">
        <v>280</v>
      </c>
      <c r="X190" s="204">
        <v>4.7069999999999999</v>
      </c>
      <c r="Y190" s="211">
        <v>-0.14000000000000001</v>
      </c>
      <c r="Z190" s="211">
        <v>2.33</v>
      </c>
      <c r="AA190" s="211">
        <v>10.96</v>
      </c>
      <c r="AB190" s="211">
        <v>-0.86</v>
      </c>
      <c r="AC190" s="211">
        <v>0</v>
      </c>
      <c r="AD190" s="211">
        <v>0</v>
      </c>
      <c r="AE190" s="211">
        <v>9.9600000000000009</v>
      </c>
      <c r="AF190" s="211">
        <v>-1.1299999999999999</v>
      </c>
      <c r="AG190" s="204" t="s">
        <v>279</v>
      </c>
      <c r="AH190" s="211">
        <v>0</v>
      </c>
      <c r="AI190" s="211">
        <v>10.96</v>
      </c>
      <c r="AJ190" s="211">
        <v>0</v>
      </c>
      <c r="AK190" s="204" t="str">
        <f t="shared" si="3"/>
        <v>1.00000000</v>
      </c>
      <c r="AL190" s="204">
        <v>38.700000000000003</v>
      </c>
    </row>
    <row r="191" spans="1:38" x14ac:dyDescent="0.2">
      <c r="A191" s="204" t="str">
        <f t="shared" si="5"/>
        <v>0496002595700</v>
      </c>
      <c r="B191" s="204">
        <v>2</v>
      </c>
      <c r="C191" s="204" t="s">
        <v>156</v>
      </c>
      <c r="D191" s="204">
        <v>42</v>
      </c>
      <c r="E191" s="204">
        <v>42</v>
      </c>
      <c r="F191" s="204" t="s">
        <v>243</v>
      </c>
      <c r="G191" s="204">
        <v>2262</v>
      </c>
      <c r="H191" s="204" t="s">
        <v>270</v>
      </c>
      <c r="I191" s="204">
        <v>20915</v>
      </c>
      <c r="J191" s="209">
        <v>42527</v>
      </c>
      <c r="K191" s="210">
        <v>0.6875</v>
      </c>
      <c r="L191" s="209">
        <v>42529</v>
      </c>
      <c r="M191" s="204" t="s">
        <v>271</v>
      </c>
      <c r="N191" s="204" t="s">
        <v>272</v>
      </c>
      <c r="O191" s="204" t="s">
        <v>273</v>
      </c>
      <c r="P191" s="204" t="s">
        <v>274</v>
      </c>
      <c r="Q191" s="204" t="s">
        <v>275</v>
      </c>
      <c r="R191" s="204" t="s">
        <v>276</v>
      </c>
      <c r="S191" s="204" t="s">
        <v>156</v>
      </c>
      <c r="T191" s="204" t="s">
        <v>277</v>
      </c>
      <c r="U191" s="204">
        <v>2262</v>
      </c>
      <c r="V191" s="204" t="s">
        <v>156</v>
      </c>
      <c r="W191" s="204" t="s">
        <v>280</v>
      </c>
      <c r="X191" s="204">
        <v>5.367</v>
      </c>
      <c r="Y191" s="211">
        <v>-0.16</v>
      </c>
      <c r="Z191" s="211">
        <v>2.33</v>
      </c>
      <c r="AA191" s="211">
        <v>12.5</v>
      </c>
      <c r="AB191" s="211">
        <v>-0.98</v>
      </c>
      <c r="AC191" s="211">
        <v>0</v>
      </c>
      <c r="AD191" s="211">
        <v>0</v>
      </c>
      <c r="AE191" s="211">
        <v>11.36</v>
      </c>
      <c r="AF191" s="211">
        <v>-1.29</v>
      </c>
      <c r="AG191" s="204" t="s">
        <v>279</v>
      </c>
      <c r="AH191" s="211">
        <v>0</v>
      </c>
      <c r="AI191" s="211">
        <v>12.5</v>
      </c>
      <c r="AJ191" s="211">
        <v>0</v>
      </c>
      <c r="AK191" s="204" t="str">
        <f t="shared" si="3"/>
        <v>1.00000000</v>
      </c>
      <c r="AL191" s="204">
        <v>38.6</v>
      </c>
    </row>
    <row r="192" spans="1:38" x14ac:dyDescent="0.2">
      <c r="A192" s="204" t="str">
        <f t="shared" si="5"/>
        <v>0496002595700</v>
      </c>
      <c r="B192" s="204">
        <v>2</v>
      </c>
      <c r="C192" s="204" t="s">
        <v>156</v>
      </c>
      <c r="D192" s="204">
        <v>42</v>
      </c>
      <c r="E192" s="204">
        <v>42</v>
      </c>
      <c r="F192" s="204" t="s">
        <v>243</v>
      </c>
      <c r="G192" s="204">
        <v>2262</v>
      </c>
      <c r="H192" s="204" t="s">
        <v>270</v>
      </c>
      <c r="I192" s="204">
        <v>21713</v>
      </c>
      <c r="J192" s="209">
        <v>42535</v>
      </c>
      <c r="K192" s="210">
        <v>0.59898148148148145</v>
      </c>
      <c r="L192" s="209">
        <v>42537</v>
      </c>
      <c r="M192" s="204" t="s">
        <v>349</v>
      </c>
      <c r="N192" s="204" t="s">
        <v>350</v>
      </c>
      <c r="O192" s="204" t="s">
        <v>351</v>
      </c>
      <c r="P192" s="204" t="s">
        <v>343</v>
      </c>
      <c r="Q192" s="204" t="s">
        <v>275</v>
      </c>
      <c r="R192" s="204" t="s">
        <v>605</v>
      </c>
      <c r="S192" s="204" t="s">
        <v>156</v>
      </c>
      <c r="T192" s="204" t="s">
        <v>277</v>
      </c>
      <c r="U192" s="204">
        <v>2262</v>
      </c>
      <c r="V192" s="204" t="s">
        <v>156</v>
      </c>
      <c r="W192" s="204" t="s">
        <v>280</v>
      </c>
      <c r="X192" s="204">
        <v>7.0860000000000003</v>
      </c>
      <c r="Y192" s="211">
        <v>0</v>
      </c>
      <c r="Z192" s="211">
        <v>2.2999999999999998</v>
      </c>
      <c r="AA192" s="211">
        <v>16.29</v>
      </c>
      <c r="AB192" s="211">
        <v>-1.3</v>
      </c>
      <c r="AC192" s="211">
        <v>0</v>
      </c>
      <c r="AD192" s="211">
        <v>0</v>
      </c>
      <c r="AE192" s="211">
        <v>14.99</v>
      </c>
      <c r="AF192" s="211">
        <v>-1.7</v>
      </c>
      <c r="AG192" s="204" t="s">
        <v>279</v>
      </c>
      <c r="AH192" s="211">
        <v>0</v>
      </c>
      <c r="AI192" s="211">
        <v>16.29</v>
      </c>
      <c r="AJ192" s="211">
        <v>0</v>
      </c>
      <c r="AK192" s="204" t="str">
        <f t="shared" si="3"/>
        <v>1.00000000</v>
      </c>
      <c r="AL192" s="204">
        <v>38.700000000000003</v>
      </c>
    </row>
    <row r="193" spans="1:38" x14ac:dyDescent="0.2">
      <c r="A193" s="204" t="str">
        <f t="shared" si="5"/>
        <v>0496002595700</v>
      </c>
      <c r="B193" s="204">
        <v>2</v>
      </c>
      <c r="C193" s="204" t="s">
        <v>156</v>
      </c>
      <c r="D193" s="204">
        <v>42</v>
      </c>
      <c r="E193" s="204">
        <v>42</v>
      </c>
      <c r="F193" s="204" t="s">
        <v>243</v>
      </c>
      <c r="G193" s="204">
        <v>2262</v>
      </c>
      <c r="H193" s="204" t="s">
        <v>270</v>
      </c>
      <c r="I193" s="204">
        <v>21713</v>
      </c>
      <c r="J193" s="209">
        <v>42535</v>
      </c>
      <c r="K193" s="210">
        <v>0.59898148148148145</v>
      </c>
      <c r="L193" s="209">
        <v>42537</v>
      </c>
      <c r="M193" s="204" t="s">
        <v>349</v>
      </c>
      <c r="N193" s="204" t="s">
        <v>350</v>
      </c>
      <c r="O193" s="204" t="s">
        <v>351</v>
      </c>
      <c r="P193" s="204" t="s">
        <v>343</v>
      </c>
      <c r="Q193" s="204" t="s">
        <v>275</v>
      </c>
      <c r="R193" s="204" t="s">
        <v>605</v>
      </c>
      <c r="S193" s="204" t="s">
        <v>156</v>
      </c>
      <c r="T193" s="204" t="s">
        <v>277</v>
      </c>
      <c r="U193" s="204">
        <v>2262</v>
      </c>
      <c r="V193" s="204" t="s">
        <v>156</v>
      </c>
      <c r="W193" s="204" t="s">
        <v>928</v>
      </c>
      <c r="X193" s="204">
        <v>1</v>
      </c>
      <c r="Y193" s="211">
        <v>0</v>
      </c>
      <c r="Z193" s="211">
        <v>-0.71</v>
      </c>
      <c r="AA193" s="211">
        <v>-0.71</v>
      </c>
      <c r="AB193" s="211">
        <v>0</v>
      </c>
      <c r="AC193" s="211">
        <v>0</v>
      </c>
      <c r="AD193" s="211">
        <v>0</v>
      </c>
      <c r="AE193" s="211">
        <v>-0.71</v>
      </c>
      <c r="AF193" s="211">
        <v>0</v>
      </c>
      <c r="AG193" s="204" t="s">
        <v>279</v>
      </c>
      <c r="AH193" s="211">
        <v>0</v>
      </c>
      <c r="AI193" s="211">
        <v>0</v>
      </c>
      <c r="AJ193" s="211">
        <v>-0.71</v>
      </c>
      <c r="AK193" s="204" t="str">
        <f t="shared" si="3"/>
        <v>1.00000000</v>
      </c>
      <c r="AL193" s="204">
        <v>0</v>
      </c>
    </row>
    <row r="194" spans="1:38" x14ac:dyDescent="0.2">
      <c r="A194" s="204" t="str">
        <f t="shared" si="5"/>
        <v>0496002595700</v>
      </c>
      <c r="B194" s="204">
        <v>2</v>
      </c>
      <c r="C194" s="204" t="s">
        <v>156</v>
      </c>
      <c r="D194" s="204">
        <v>42</v>
      </c>
      <c r="E194" s="204">
        <v>42</v>
      </c>
      <c r="F194" s="204" t="s">
        <v>243</v>
      </c>
      <c r="G194" s="204">
        <v>2262</v>
      </c>
      <c r="H194" s="204" t="s">
        <v>270</v>
      </c>
      <c r="I194" s="204">
        <v>22125</v>
      </c>
      <c r="J194" s="209">
        <v>42537</v>
      </c>
      <c r="K194" s="210">
        <v>0.56319444444444444</v>
      </c>
      <c r="L194" s="209">
        <v>42541</v>
      </c>
      <c r="M194" s="204" t="s">
        <v>612</v>
      </c>
      <c r="N194" s="204" t="s">
        <v>929</v>
      </c>
      <c r="O194" s="204" t="s">
        <v>930</v>
      </c>
      <c r="P194" s="204" t="s">
        <v>931</v>
      </c>
      <c r="Q194" s="204" t="s">
        <v>289</v>
      </c>
      <c r="R194" s="204">
        <v>8055</v>
      </c>
      <c r="S194" s="204" t="s">
        <v>156</v>
      </c>
      <c r="T194" s="204" t="s">
        <v>277</v>
      </c>
      <c r="U194" s="204">
        <v>2262</v>
      </c>
      <c r="V194" s="204" t="s">
        <v>156</v>
      </c>
      <c r="W194" s="204" t="s">
        <v>280</v>
      </c>
      <c r="X194" s="204">
        <v>8.5090000000000003</v>
      </c>
      <c r="Y194" s="211">
        <v>0</v>
      </c>
      <c r="Z194" s="211">
        <v>1.98</v>
      </c>
      <c r="AA194" s="211">
        <v>16.84</v>
      </c>
      <c r="AB194" s="211">
        <v>-1.56</v>
      </c>
      <c r="AC194" s="211">
        <v>0</v>
      </c>
      <c r="AD194" s="211">
        <v>0</v>
      </c>
      <c r="AE194" s="211">
        <v>15.28</v>
      </c>
      <c r="AF194" s="211">
        <v>-1.23</v>
      </c>
      <c r="AG194" s="204" t="s">
        <v>279</v>
      </c>
      <c r="AH194" s="211">
        <v>0</v>
      </c>
      <c r="AI194" s="211">
        <v>16.84</v>
      </c>
      <c r="AJ194" s="211">
        <v>0</v>
      </c>
      <c r="AK194" s="204" t="str">
        <f t="shared" ref="AK194:AK257" si="6">"1.00000000"</f>
        <v>1.00000000</v>
      </c>
      <c r="AL194" s="204">
        <v>38.700000000000003</v>
      </c>
    </row>
    <row r="195" spans="1:38" x14ac:dyDescent="0.2">
      <c r="A195" s="204" t="str">
        <f t="shared" si="5"/>
        <v>0496002595700</v>
      </c>
      <c r="B195" s="204">
        <v>2</v>
      </c>
      <c r="C195" s="204" t="s">
        <v>156</v>
      </c>
      <c r="D195" s="204">
        <v>42</v>
      </c>
      <c r="E195" s="204">
        <v>42</v>
      </c>
      <c r="F195" s="204" t="s">
        <v>243</v>
      </c>
      <c r="G195" s="204">
        <v>2262</v>
      </c>
      <c r="H195" s="204" t="s">
        <v>270</v>
      </c>
      <c r="I195" s="204">
        <v>36020</v>
      </c>
      <c r="J195" s="209">
        <v>42538</v>
      </c>
      <c r="K195" s="210">
        <v>0.97430555555555554</v>
      </c>
      <c r="L195" s="209">
        <v>42542</v>
      </c>
      <c r="M195" s="204" t="s">
        <v>271</v>
      </c>
      <c r="N195" s="204" t="s">
        <v>352</v>
      </c>
      <c r="O195" s="204" t="s">
        <v>353</v>
      </c>
      <c r="P195" s="204" t="s">
        <v>343</v>
      </c>
      <c r="Q195" s="204" t="s">
        <v>275</v>
      </c>
      <c r="R195" s="204" t="s">
        <v>602</v>
      </c>
      <c r="S195" s="204" t="s">
        <v>156</v>
      </c>
      <c r="T195" s="204" t="s">
        <v>277</v>
      </c>
      <c r="U195" s="204">
        <v>2262</v>
      </c>
      <c r="V195" s="204" t="s">
        <v>156</v>
      </c>
      <c r="W195" s="204" t="s">
        <v>278</v>
      </c>
      <c r="X195" s="204">
        <v>7.9539999999999997</v>
      </c>
      <c r="Y195" s="211">
        <v>-0.24</v>
      </c>
      <c r="Z195" s="211">
        <v>2.67</v>
      </c>
      <c r="AA195" s="211">
        <v>21.23</v>
      </c>
      <c r="AB195" s="211">
        <v>-1.46</v>
      </c>
      <c r="AC195" s="211">
        <v>0</v>
      </c>
      <c r="AD195" s="211">
        <v>0</v>
      </c>
      <c r="AE195" s="211">
        <v>19.53</v>
      </c>
      <c r="AF195" s="211">
        <v>-1.91</v>
      </c>
      <c r="AG195" s="204" t="s">
        <v>279</v>
      </c>
      <c r="AH195" s="211">
        <v>0</v>
      </c>
      <c r="AI195" s="211">
        <v>21.23</v>
      </c>
      <c r="AJ195" s="211">
        <v>0</v>
      </c>
      <c r="AK195" s="204" t="str">
        <f t="shared" si="6"/>
        <v>1.00000000</v>
      </c>
      <c r="AL195" s="204">
        <v>38.6</v>
      </c>
    </row>
    <row r="196" spans="1:38" x14ac:dyDescent="0.2">
      <c r="A196" s="204" t="str">
        <f t="shared" si="5"/>
        <v>0496002595700</v>
      </c>
      <c r="B196" s="204">
        <v>3</v>
      </c>
      <c r="C196" s="204" t="s">
        <v>156</v>
      </c>
      <c r="D196" s="204">
        <v>41</v>
      </c>
      <c r="E196" s="204">
        <v>41</v>
      </c>
      <c r="F196" s="204" t="s">
        <v>243</v>
      </c>
      <c r="G196" s="204">
        <v>2262</v>
      </c>
      <c r="H196" s="204" t="s">
        <v>270</v>
      </c>
      <c r="I196" s="204">
        <v>538</v>
      </c>
      <c r="J196" s="209">
        <v>42382</v>
      </c>
      <c r="K196" s="210">
        <v>4.8611111111111112E-3</v>
      </c>
      <c r="L196" s="209">
        <v>42383</v>
      </c>
      <c r="M196" s="204" t="s">
        <v>853</v>
      </c>
      <c r="N196" s="204" t="s">
        <v>272</v>
      </c>
      <c r="O196" s="204" t="s">
        <v>273</v>
      </c>
      <c r="P196" s="204" t="s">
        <v>274</v>
      </c>
      <c r="Q196" s="204" t="s">
        <v>275</v>
      </c>
      <c r="R196" s="204" t="s">
        <v>276</v>
      </c>
      <c r="S196" s="204" t="s">
        <v>156</v>
      </c>
      <c r="T196" s="204" t="s">
        <v>277</v>
      </c>
      <c r="U196" s="204">
        <v>2262</v>
      </c>
      <c r="V196" s="204" t="s">
        <v>156</v>
      </c>
      <c r="W196" s="204" t="s">
        <v>280</v>
      </c>
      <c r="X196" s="204">
        <v>14.135999999999999</v>
      </c>
      <c r="Y196" s="211">
        <v>-0.42</v>
      </c>
      <c r="Z196" s="211">
        <v>1.93</v>
      </c>
      <c r="AA196" s="211">
        <v>27.27</v>
      </c>
      <c r="AB196" s="211">
        <v>-2.59</v>
      </c>
      <c r="AC196" s="211">
        <v>0</v>
      </c>
      <c r="AD196" s="211">
        <v>0</v>
      </c>
      <c r="AE196" s="211">
        <v>24.26</v>
      </c>
      <c r="AF196" s="211">
        <v>-3.39</v>
      </c>
      <c r="AG196" s="204" t="s">
        <v>279</v>
      </c>
      <c r="AH196" s="211">
        <v>0</v>
      </c>
      <c r="AI196" s="211">
        <v>27.27</v>
      </c>
      <c r="AJ196" s="211">
        <v>0</v>
      </c>
      <c r="AK196" s="204" t="str">
        <f t="shared" si="6"/>
        <v>1.00000000</v>
      </c>
      <c r="AL196" s="204">
        <v>21.8</v>
      </c>
    </row>
    <row r="197" spans="1:38" x14ac:dyDescent="0.2">
      <c r="A197" s="204" t="str">
        <f t="shared" si="5"/>
        <v>0496002595700</v>
      </c>
      <c r="B197" s="204">
        <v>3</v>
      </c>
      <c r="C197" s="204" t="s">
        <v>156</v>
      </c>
      <c r="D197" s="204">
        <v>41</v>
      </c>
      <c r="E197" s="204">
        <v>41</v>
      </c>
      <c r="F197" s="204" t="s">
        <v>243</v>
      </c>
      <c r="G197" s="204">
        <v>2262</v>
      </c>
      <c r="H197" s="204" t="s">
        <v>270</v>
      </c>
      <c r="I197" s="204">
        <v>79076</v>
      </c>
      <c r="J197" s="209">
        <v>42382</v>
      </c>
      <c r="K197" s="210">
        <v>0.78263888888888899</v>
      </c>
      <c r="L197" s="209">
        <v>42384</v>
      </c>
      <c r="M197" s="204" t="s">
        <v>853</v>
      </c>
      <c r="N197" s="204" t="s">
        <v>272</v>
      </c>
      <c r="O197" s="204" t="s">
        <v>273</v>
      </c>
      <c r="P197" s="204" t="s">
        <v>274</v>
      </c>
      <c r="Q197" s="204" t="s">
        <v>275</v>
      </c>
      <c r="R197" s="204" t="s">
        <v>276</v>
      </c>
      <c r="S197" s="204" t="s">
        <v>156</v>
      </c>
      <c r="T197" s="204" t="s">
        <v>277</v>
      </c>
      <c r="U197" s="204">
        <v>2262</v>
      </c>
      <c r="V197" s="204" t="s">
        <v>156</v>
      </c>
      <c r="W197" s="204" t="s">
        <v>280</v>
      </c>
      <c r="X197" s="204">
        <v>10.222</v>
      </c>
      <c r="Y197" s="211">
        <v>-0.31</v>
      </c>
      <c r="Z197" s="211">
        <v>1.93</v>
      </c>
      <c r="AA197" s="211">
        <v>19.72</v>
      </c>
      <c r="AB197" s="211">
        <v>-1.87</v>
      </c>
      <c r="AC197" s="211">
        <v>0</v>
      </c>
      <c r="AD197" s="211">
        <v>0</v>
      </c>
      <c r="AE197" s="211">
        <v>17.54</v>
      </c>
      <c r="AF197" s="211">
        <v>-2.4500000000000002</v>
      </c>
      <c r="AG197" s="204" t="s">
        <v>279</v>
      </c>
      <c r="AH197" s="211">
        <v>0</v>
      </c>
      <c r="AI197" s="211">
        <v>19.72</v>
      </c>
      <c r="AJ197" s="211">
        <v>0</v>
      </c>
      <c r="AK197" s="204" t="str">
        <f t="shared" si="6"/>
        <v>1.00000000</v>
      </c>
      <c r="AL197" s="204">
        <v>21.8</v>
      </c>
    </row>
    <row r="198" spans="1:38" x14ac:dyDescent="0.2">
      <c r="A198" s="204" t="str">
        <f t="shared" si="5"/>
        <v>0496002595700</v>
      </c>
      <c r="B198" s="204">
        <v>3</v>
      </c>
      <c r="C198" s="204" t="s">
        <v>156</v>
      </c>
      <c r="D198" s="204">
        <v>41</v>
      </c>
      <c r="E198" s="204">
        <v>41</v>
      </c>
      <c r="F198" s="204" t="s">
        <v>243</v>
      </c>
      <c r="G198" s="204">
        <v>2262</v>
      </c>
      <c r="H198" s="204" t="s">
        <v>270</v>
      </c>
      <c r="I198" s="204">
        <v>79484</v>
      </c>
      <c r="J198" s="209">
        <v>42392</v>
      </c>
      <c r="K198" s="210">
        <v>0.79513888888888884</v>
      </c>
      <c r="L198" s="209">
        <v>42395</v>
      </c>
      <c r="M198" s="204" t="s">
        <v>853</v>
      </c>
      <c r="N198" s="204" t="s">
        <v>272</v>
      </c>
      <c r="O198" s="204" t="s">
        <v>273</v>
      </c>
      <c r="P198" s="204" t="s">
        <v>274</v>
      </c>
      <c r="Q198" s="204" t="s">
        <v>275</v>
      </c>
      <c r="R198" s="204" t="s">
        <v>276</v>
      </c>
      <c r="S198" s="204" t="s">
        <v>156</v>
      </c>
      <c r="T198" s="204" t="s">
        <v>277</v>
      </c>
      <c r="U198" s="204">
        <v>2262</v>
      </c>
      <c r="V198" s="204" t="s">
        <v>156</v>
      </c>
      <c r="W198" s="204" t="s">
        <v>280</v>
      </c>
      <c r="X198" s="204">
        <v>15.505000000000001</v>
      </c>
      <c r="Y198" s="211">
        <v>-0.47</v>
      </c>
      <c r="Z198" s="211">
        <v>1.89</v>
      </c>
      <c r="AA198" s="211">
        <v>29.29</v>
      </c>
      <c r="AB198" s="211">
        <v>-2.84</v>
      </c>
      <c r="AC198" s="211">
        <v>0</v>
      </c>
      <c r="AD198" s="211">
        <v>0</v>
      </c>
      <c r="AE198" s="211">
        <v>25.98</v>
      </c>
      <c r="AF198" s="211">
        <v>-3.72</v>
      </c>
      <c r="AG198" s="204" t="s">
        <v>279</v>
      </c>
      <c r="AH198" s="211">
        <v>0</v>
      </c>
      <c r="AI198" s="211">
        <v>29.29</v>
      </c>
      <c r="AJ198" s="211">
        <v>0</v>
      </c>
      <c r="AK198" s="204" t="str">
        <f t="shared" si="6"/>
        <v>1.00000000</v>
      </c>
      <c r="AL198" s="204">
        <v>26.3</v>
      </c>
    </row>
    <row r="199" spans="1:38" x14ac:dyDescent="0.2">
      <c r="A199" s="204" t="str">
        <f t="shared" si="5"/>
        <v>0496002595700</v>
      </c>
      <c r="B199" s="204">
        <v>3</v>
      </c>
      <c r="C199" s="204" t="s">
        <v>156</v>
      </c>
      <c r="D199" s="204">
        <v>41</v>
      </c>
      <c r="E199" s="204">
        <v>41</v>
      </c>
      <c r="F199" s="204" t="s">
        <v>243</v>
      </c>
      <c r="G199" s="204">
        <v>2262</v>
      </c>
      <c r="H199" s="204" t="s">
        <v>270</v>
      </c>
      <c r="I199" s="204">
        <v>2262</v>
      </c>
      <c r="J199" s="209">
        <v>42394</v>
      </c>
      <c r="K199" s="210">
        <v>0.74903935185185189</v>
      </c>
      <c r="L199" s="209">
        <v>42396</v>
      </c>
      <c r="M199" s="204" t="s">
        <v>310</v>
      </c>
      <c r="N199" s="204" t="s">
        <v>331</v>
      </c>
      <c r="O199" s="204" t="s">
        <v>332</v>
      </c>
      <c r="P199" s="204" t="s">
        <v>274</v>
      </c>
      <c r="Q199" s="204" t="s">
        <v>275</v>
      </c>
      <c r="R199" s="204" t="s">
        <v>858</v>
      </c>
      <c r="S199" s="204" t="s">
        <v>156</v>
      </c>
      <c r="T199" s="204" t="s">
        <v>277</v>
      </c>
      <c r="U199" s="204">
        <v>2262</v>
      </c>
      <c r="V199" s="204" t="s">
        <v>156</v>
      </c>
      <c r="W199" s="204" t="s">
        <v>280</v>
      </c>
      <c r="X199" s="204">
        <v>11.536</v>
      </c>
      <c r="Y199" s="211">
        <v>0</v>
      </c>
      <c r="Z199" s="211">
        <v>1.96</v>
      </c>
      <c r="AA199" s="211">
        <v>22.6</v>
      </c>
      <c r="AB199" s="211">
        <v>-2.11</v>
      </c>
      <c r="AC199" s="211">
        <v>0</v>
      </c>
      <c r="AD199" s="211">
        <v>0</v>
      </c>
      <c r="AE199" s="211">
        <v>20.49</v>
      </c>
      <c r="AF199" s="211">
        <v>-2.77</v>
      </c>
      <c r="AG199" s="204" t="s">
        <v>279</v>
      </c>
      <c r="AH199" s="211">
        <v>0</v>
      </c>
      <c r="AI199" s="211">
        <v>22.6</v>
      </c>
      <c r="AJ199" s="211">
        <v>0</v>
      </c>
      <c r="AK199" s="204" t="str">
        <f t="shared" si="6"/>
        <v>1.00000000</v>
      </c>
      <c r="AL199" s="204">
        <v>26.4</v>
      </c>
    </row>
    <row r="200" spans="1:38" x14ac:dyDescent="0.2">
      <c r="A200" s="204" t="str">
        <f t="shared" si="5"/>
        <v>0496002595700</v>
      </c>
      <c r="B200" s="204">
        <v>3</v>
      </c>
      <c r="C200" s="204" t="s">
        <v>156</v>
      </c>
      <c r="D200" s="204">
        <v>41</v>
      </c>
      <c r="E200" s="204">
        <v>41</v>
      </c>
      <c r="F200" s="204" t="s">
        <v>243</v>
      </c>
      <c r="G200" s="204">
        <v>2262</v>
      </c>
      <c r="H200" s="204" t="s">
        <v>270</v>
      </c>
      <c r="I200" s="204">
        <v>79888</v>
      </c>
      <c r="J200" s="209">
        <v>42400</v>
      </c>
      <c r="K200" s="210">
        <v>0.27152777777777776</v>
      </c>
      <c r="L200" s="209">
        <v>42402</v>
      </c>
      <c r="M200" s="204" t="s">
        <v>853</v>
      </c>
      <c r="N200" s="204" t="s">
        <v>272</v>
      </c>
      <c r="O200" s="204" t="s">
        <v>273</v>
      </c>
      <c r="P200" s="204" t="s">
        <v>274</v>
      </c>
      <c r="Q200" s="204" t="s">
        <v>275</v>
      </c>
      <c r="R200" s="204" t="s">
        <v>276</v>
      </c>
      <c r="S200" s="204" t="s">
        <v>156</v>
      </c>
      <c r="T200" s="204" t="s">
        <v>277</v>
      </c>
      <c r="U200" s="204">
        <v>2262</v>
      </c>
      <c r="V200" s="204" t="s">
        <v>156</v>
      </c>
      <c r="W200" s="204" t="s">
        <v>280</v>
      </c>
      <c r="X200" s="204">
        <v>12.397</v>
      </c>
      <c r="Y200" s="211">
        <v>-0.37</v>
      </c>
      <c r="Z200" s="211">
        <v>1.87</v>
      </c>
      <c r="AA200" s="211">
        <v>23.17</v>
      </c>
      <c r="AB200" s="211">
        <v>-2.27</v>
      </c>
      <c r="AC200" s="211">
        <v>0</v>
      </c>
      <c r="AD200" s="211">
        <v>0</v>
      </c>
      <c r="AE200" s="211">
        <v>20.53</v>
      </c>
      <c r="AF200" s="211">
        <v>-2.98</v>
      </c>
      <c r="AG200" s="204" t="s">
        <v>279</v>
      </c>
      <c r="AH200" s="211">
        <v>0</v>
      </c>
      <c r="AI200" s="211">
        <v>23.17</v>
      </c>
      <c r="AJ200" s="211">
        <v>0</v>
      </c>
      <c r="AK200" s="204" t="str">
        <f t="shared" si="6"/>
        <v>1.00000000</v>
      </c>
      <c r="AL200" s="204">
        <v>26.3</v>
      </c>
    </row>
    <row r="201" spans="1:38" x14ac:dyDescent="0.2">
      <c r="A201" s="204" t="str">
        <f t="shared" si="5"/>
        <v>0496002595700</v>
      </c>
      <c r="B201" s="204">
        <v>3</v>
      </c>
      <c r="C201" s="204" t="s">
        <v>156</v>
      </c>
      <c r="D201" s="204">
        <v>41</v>
      </c>
      <c r="E201" s="204">
        <v>41</v>
      </c>
      <c r="F201" s="204" t="s">
        <v>243</v>
      </c>
      <c r="G201" s="204">
        <v>2262</v>
      </c>
      <c r="H201" s="204" t="s">
        <v>270</v>
      </c>
      <c r="I201" s="204">
        <v>80159</v>
      </c>
      <c r="J201" s="209">
        <v>42400</v>
      </c>
      <c r="K201" s="210">
        <v>0.62361111111111112</v>
      </c>
      <c r="L201" s="209">
        <v>42402</v>
      </c>
      <c r="M201" s="204" t="s">
        <v>853</v>
      </c>
      <c r="N201" s="204" t="s">
        <v>272</v>
      </c>
      <c r="O201" s="204" t="s">
        <v>273</v>
      </c>
      <c r="P201" s="204" t="s">
        <v>274</v>
      </c>
      <c r="Q201" s="204" t="s">
        <v>275</v>
      </c>
      <c r="R201" s="204" t="s">
        <v>276</v>
      </c>
      <c r="S201" s="204" t="s">
        <v>156</v>
      </c>
      <c r="T201" s="204" t="s">
        <v>277</v>
      </c>
      <c r="U201" s="204">
        <v>2262</v>
      </c>
      <c r="V201" s="204" t="s">
        <v>156</v>
      </c>
      <c r="W201" s="204" t="s">
        <v>280</v>
      </c>
      <c r="X201" s="204">
        <v>11.978999999999999</v>
      </c>
      <c r="Y201" s="211">
        <v>-0.36</v>
      </c>
      <c r="Z201" s="211">
        <v>1.87</v>
      </c>
      <c r="AA201" s="211">
        <v>22.39</v>
      </c>
      <c r="AB201" s="211">
        <v>-2.19</v>
      </c>
      <c r="AC201" s="211">
        <v>0</v>
      </c>
      <c r="AD201" s="211">
        <v>0</v>
      </c>
      <c r="AE201" s="211">
        <v>19.84</v>
      </c>
      <c r="AF201" s="211">
        <v>-2.87</v>
      </c>
      <c r="AG201" s="204" t="s">
        <v>279</v>
      </c>
      <c r="AH201" s="211">
        <v>0</v>
      </c>
      <c r="AI201" s="211">
        <v>22.39</v>
      </c>
      <c r="AJ201" s="211">
        <v>0</v>
      </c>
      <c r="AK201" s="204" t="str">
        <f t="shared" si="6"/>
        <v>1.00000000</v>
      </c>
      <c r="AL201" s="204">
        <v>22.6</v>
      </c>
    </row>
    <row r="202" spans="1:38" x14ac:dyDescent="0.2">
      <c r="A202" s="204" t="str">
        <f t="shared" si="5"/>
        <v>0496002595700</v>
      </c>
      <c r="B202" s="204">
        <v>3</v>
      </c>
      <c r="C202" s="204" t="s">
        <v>156</v>
      </c>
      <c r="D202" s="204">
        <v>41</v>
      </c>
      <c r="E202" s="204">
        <v>41</v>
      </c>
      <c r="F202" s="204" t="s">
        <v>243</v>
      </c>
      <c r="G202" s="204">
        <v>2262</v>
      </c>
      <c r="H202" s="204" t="s">
        <v>270</v>
      </c>
      <c r="I202" s="204">
        <v>80464</v>
      </c>
      <c r="J202" s="209">
        <v>42405</v>
      </c>
      <c r="K202" s="210">
        <v>0.6777777777777777</v>
      </c>
      <c r="L202" s="209">
        <v>42409</v>
      </c>
      <c r="M202" s="204" t="s">
        <v>853</v>
      </c>
      <c r="N202" s="204" t="s">
        <v>272</v>
      </c>
      <c r="O202" s="204" t="s">
        <v>273</v>
      </c>
      <c r="P202" s="204" t="s">
        <v>274</v>
      </c>
      <c r="Q202" s="204" t="s">
        <v>275</v>
      </c>
      <c r="R202" s="204" t="s">
        <v>276</v>
      </c>
      <c r="S202" s="204" t="s">
        <v>156</v>
      </c>
      <c r="T202" s="204" t="s">
        <v>277</v>
      </c>
      <c r="U202" s="204">
        <v>2262</v>
      </c>
      <c r="V202" s="204" t="s">
        <v>156</v>
      </c>
      <c r="W202" s="204" t="s">
        <v>280</v>
      </c>
      <c r="X202" s="204">
        <v>16.295000000000002</v>
      </c>
      <c r="Y202" s="211">
        <v>-0.49</v>
      </c>
      <c r="Z202" s="211">
        <v>1.85</v>
      </c>
      <c r="AA202" s="211">
        <v>30.13</v>
      </c>
      <c r="AB202" s="211">
        <v>-2.98</v>
      </c>
      <c r="AC202" s="211">
        <v>0</v>
      </c>
      <c r="AD202" s="211">
        <v>0</v>
      </c>
      <c r="AE202" s="211">
        <v>26.66</v>
      </c>
      <c r="AF202" s="211">
        <v>-3.91</v>
      </c>
      <c r="AG202" s="204" t="s">
        <v>279</v>
      </c>
      <c r="AH202" s="211">
        <v>0</v>
      </c>
      <c r="AI202" s="211">
        <v>30.13</v>
      </c>
      <c r="AJ202" s="211">
        <v>0</v>
      </c>
      <c r="AK202" s="204" t="str">
        <f t="shared" si="6"/>
        <v>1.00000000</v>
      </c>
      <c r="AL202" s="204">
        <v>26.3</v>
      </c>
    </row>
    <row r="203" spans="1:38" x14ac:dyDescent="0.2">
      <c r="A203" s="204" t="str">
        <f t="shared" si="5"/>
        <v>0496002595700</v>
      </c>
      <c r="B203" s="204">
        <v>3</v>
      </c>
      <c r="C203" s="204" t="s">
        <v>156</v>
      </c>
      <c r="D203" s="204">
        <v>41</v>
      </c>
      <c r="E203" s="204">
        <v>41</v>
      </c>
      <c r="F203" s="204" t="s">
        <v>243</v>
      </c>
      <c r="G203" s="204">
        <v>2262</v>
      </c>
      <c r="H203" s="204" t="s">
        <v>270</v>
      </c>
      <c r="I203" s="204">
        <v>80695</v>
      </c>
      <c r="J203" s="209">
        <v>42410</v>
      </c>
      <c r="K203" s="210">
        <v>0.65833333333333333</v>
      </c>
      <c r="L203" s="209">
        <v>42412</v>
      </c>
      <c r="M203" s="204" t="s">
        <v>853</v>
      </c>
      <c r="N203" s="204" t="s">
        <v>272</v>
      </c>
      <c r="O203" s="204" t="s">
        <v>273</v>
      </c>
      <c r="P203" s="204" t="s">
        <v>274</v>
      </c>
      <c r="Q203" s="204" t="s">
        <v>275</v>
      </c>
      <c r="R203" s="204" t="s">
        <v>276</v>
      </c>
      <c r="S203" s="204" t="s">
        <v>156</v>
      </c>
      <c r="T203" s="204" t="s">
        <v>277</v>
      </c>
      <c r="U203" s="204">
        <v>2262</v>
      </c>
      <c r="V203" s="204" t="s">
        <v>156</v>
      </c>
      <c r="W203" s="204" t="s">
        <v>280</v>
      </c>
      <c r="X203" s="204">
        <v>14.221</v>
      </c>
      <c r="Y203" s="211">
        <v>-0.43</v>
      </c>
      <c r="Z203" s="211">
        <v>1.78</v>
      </c>
      <c r="AA203" s="211">
        <v>25.3</v>
      </c>
      <c r="AB203" s="211">
        <v>-2.6</v>
      </c>
      <c r="AC203" s="211">
        <v>0</v>
      </c>
      <c r="AD203" s="211">
        <v>0</v>
      </c>
      <c r="AE203" s="211">
        <v>22.27</v>
      </c>
      <c r="AF203" s="211">
        <v>-3.41</v>
      </c>
      <c r="AG203" s="204" t="s">
        <v>279</v>
      </c>
      <c r="AH203" s="211">
        <v>0</v>
      </c>
      <c r="AI203" s="211">
        <v>25.3</v>
      </c>
      <c r="AJ203" s="211">
        <v>0</v>
      </c>
      <c r="AK203" s="204" t="str">
        <f t="shared" si="6"/>
        <v>1.00000000</v>
      </c>
      <c r="AL203" s="204">
        <v>26.3</v>
      </c>
    </row>
    <row r="204" spans="1:38" x14ac:dyDescent="0.2">
      <c r="A204" s="204" t="str">
        <f t="shared" si="5"/>
        <v>0496002595700</v>
      </c>
      <c r="B204" s="204">
        <v>3</v>
      </c>
      <c r="C204" s="204" t="s">
        <v>156</v>
      </c>
      <c r="D204" s="204">
        <v>41</v>
      </c>
      <c r="E204" s="204">
        <v>41</v>
      </c>
      <c r="F204" s="204" t="s">
        <v>243</v>
      </c>
      <c r="G204" s="204">
        <v>2262</v>
      </c>
      <c r="H204" s="204" t="s">
        <v>270</v>
      </c>
      <c r="I204" s="204">
        <v>81036</v>
      </c>
      <c r="J204" s="209">
        <v>42418</v>
      </c>
      <c r="K204" s="210">
        <v>0.4993055555555555</v>
      </c>
      <c r="L204" s="209">
        <v>42422</v>
      </c>
      <c r="M204" s="204" t="s">
        <v>853</v>
      </c>
      <c r="N204" s="204" t="s">
        <v>352</v>
      </c>
      <c r="O204" s="204" t="s">
        <v>353</v>
      </c>
      <c r="P204" s="204" t="s">
        <v>343</v>
      </c>
      <c r="Q204" s="204" t="s">
        <v>275</v>
      </c>
      <c r="R204" s="204" t="s">
        <v>602</v>
      </c>
      <c r="S204" s="204" t="s">
        <v>156</v>
      </c>
      <c r="T204" s="204" t="s">
        <v>277</v>
      </c>
      <c r="U204" s="204">
        <v>2262</v>
      </c>
      <c r="V204" s="204" t="s">
        <v>156</v>
      </c>
      <c r="W204" s="204" t="s">
        <v>280</v>
      </c>
      <c r="X204" s="204">
        <v>8.4440000000000008</v>
      </c>
      <c r="Y204" s="211">
        <v>-0.25</v>
      </c>
      <c r="Z204" s="211">
        <v>1.73</v>
      </c>
      <c r="AA204" s="211">
        <v>14.6</v>
      </c>
      <c r="AB204" s="211">
        <v>-1.55</v>
      </c>
      <c r="AC204" s="211">
        <v>0</v>
      </c>
      <c r="AD204" s="211">
        <v>0</v>
      </c>
      <c r="AE204" s="211">
        <v>12.8</v>
      </c>
      <c r="AF204" s="211">
        <v>-2.0299999999999998</v>
      </c>
      <c r="AG204" s="204" t="s">
        <v>279</v>
      </c>
      <c r="AH204" s="211">
        <v>0</v>
      </c>
      <c r="AI204" s="211">
        <v>14.6</v>
      </c>
      <c r="AJ204" s="211">
        <v>0</v>
      </c>
      <c r="AK204" s="204" t="str">
        <f t="shared" si="6"/>
        <v>1.00000000</v>
      </c>
      <c r="AL204" s="204">
        <v>16.2</v>
      </c>
    </row>
    <row r="205" spans="1:38" x14ac:dyDescent="0.2">
      <c r="A205" s="204" t="str">
        <f t="shared" si="5"/>
        <v>0496002595700</v>
      </c>
      <c r="B205" s="204">
        <v>3</v>
      </c>
      <c r="C205" s="204" t="s">
        <v>156</v>
      </c>
      <c r="D205" s="204">
        <v>41</v>
      </c>
      <c r="E205" s="204">
        <v>41</v>
      </c>
      <c r="F205" s="204" t="s">
        <v>243</v>
      </c>
      <c r="G205" s="204">
        <v>2262</v>
      </c>
      <c r="H205" s="204" t="s">
        <v>270</v>
      </c>
      <c r="I205" s="204">
        <v>81351</v>
      </c>
      <c r="J205" s="209">
        <v>42419</v>
      </c>
      <c r="K205" s="210">
        <v>4.8611111111111112E-3</v>
      </c>
      <c r="L205" s="209">
        <v>42423</v>
      </c>
      <c r="M205" s="204" t="s">
        <v>302</v>
      </c>
      <c r="N205" s="204" t="s">
        <v>932</v>
      </c>
      <c r="O205" s="204" t="s">
        <v>504</v>
      </c>
      <c r="P205" s="204" t="s">
        <v>505</v>
      </c>
      <c r="Q205" s="204" t="s">
        <v>309</v>
      </c>
      <c r="R205" s="204" t="s">
        <v>933</v>
      </c>
      <c r="S205" s="204" t="s">
        <v>156</v>
      </c>
      <c r="T205" s="204" t="s">
        <v>277</v>
      </c>
      <c r="U205" s="204">
        <v>2262</v>
      </c>
      <c r="V205" s="204" t="s">
        <v>156</v>
      </c>
      <c r="W205" s="204" t="s">
        <v>280</v>
      </c>
      <c r="X205" s="204">
        <v>14.105</v>
      </c>
      <c r="Y205" s="211">
        <v>0</v>
      </c>
      <c r="Z205" s="211">
        <v>2.1</v>
      </c>
      <c r="AA205" s="211">
        <v>29.61</v>
      </c>
      <c r="AB205" s="211">
        <v>-2.58</v>
      </c>
      <c r="AC205" s="211">
        <v>0</v>
      </c>
      <c r="AD205" s="211">
        <v>0</v>
      </c>
      <c r="AE205" s="211">
        <v>27.03</v>
      </c>
      <c r="AF205" s="211">
        <v>-3.53</v>
      </c>
      <c r="AG205" s="204" t="s">
        <v>279</v>
      </c>
      <c r="AH205" s="211">
        <v>0</v>
      </c>
      <c r="AI205" s="211">
        <v>29.61</v>
      </c>
      <c r="AJ205" s="211">
        <v>0</v>
      </c>
      <c r="AK205" s="204" t="str">
        <f t="shared" si="6"/>
        <v>1.00000000</v>
      </c>
      <c r="AL205" s="204">
        <v>40.4</v>
      </c>
    </row>
    <row r="206" spans="1:38" x14ac:dyDescent="0.2">
      <c r="A206" s="204" t="str">
        <f t="shared" si="5"/>
        <v>0496002595700</v>
      </c>
      <c r="B206" s="204">
        <v>3</v>
      </c>
      <c r="C206" s="204" t="s">
        <v>156</v>
      </c>
      <c r="D206" s="204">
        <v>41</v>
      </c>
      <c r="E206" s="204">
        <v>41</v>
      </c>
      <c r="F206" s="204" t="s">
        <v>243</v>
      </c>
      <c r="G206" s="204">
        <v>2262</v>
      </c>
      <c r="H206" s="204" t="s">
        <v>270</v>
      </c>
      <c r="I206" s="204">
        <v>81513</v>
      </c>
      <c r="J206" s="209">
        <v>42424</v>
      </c>
      <c r="K206" s="210">
        <v>0.57980324074074074</v>
      </c>
      <c r="L206" s="209">
        <v>42426</v>
      </c>
      <c r="M206" s="204" t="s">
        <v>310</v>
      </c>
      <c r="N206" s="204" t="s">
        <v>331</v>
      </c>
      <c r="O206" s="204" t="s">
        <v>332</v>
      </c>
      <c r="P206" s="204" t="s">
        <v>274</v>
      </c>
      <c r="Q206" s="204" t="s">
        <v>275</v>
      </c>
      <c r="R206" s="204" t="s">
        <v>858</v>
      </c>
      <c r="S206" s="204" t="s">
        <v>156</v>
      </c>
      <c r="T206" s="204" t="s">
        <v>277</v>
      </c>
      <c r="U206" s="204">
        <v>2262</v>
      </c>
      <c r="V206" s="204" t="s">
        <v>156</v>
      </c>
      <c r="W206" s="204" t="s">
        <v>280</v>
      </c>
      <c r="X206" s="204">
        <v>8.06</v>
      </c>
      <c r="Y206" s="211">
        <v>0</v>
      </c>
      <c r="Z206" s="211">
        <v>1.8</v>
      </c>
      <c r="AA206" s="211">
        <v>14.5</v>
      </c>
      <c r="AB206" s="211">
        <v>-1.47</v>
      </c>
      <c r="AC206" s="211">
        <v>0</v>
      </c>
      <c r="AD206" s="211">
        <v>0</v>
      </c>
      <c r="AE206" s="211">
        <v>13.03</v>
      </c>
      <c r="AF206" s="211">
        <v>-1.93</v>
      </c>
      <c r="AG206" s="204" t="s">
        <v>279</v>
      </c>
      <c r="AH206" s="211">
        <v>0</v>
      </c>
      <c r="AI206" s="211">
        <v>14.5</v>
      </c>
      <c r="AJ206" s="211">
        <v>0</v>
      </c>
      <c r="AK206" s="204" t="str">
        <f t="shared" si="6"/>
        <v>1.00000000</v>
      </c>
      <c r="AL206" s="204">
        <v>40.299999999999997</v>
      </c>
    </row>
    <row r="207" spans="1:38" x14ac:dyDescent="0.2">
      <c r="A207" s="204" t="str">
        <f t="shared" si="5"/>
        <v>0496002595700</v>
      </c>
      <c r="B207" s="204">
        <v>3</v>
      </c>
      <c r="C207" s="204" t="s">
        <v>156</v>
      </c>
      <c r="D207" s="204">
        <v>41</v>
      </c>
      <c r="E207" s="204">
        <v>41</v>
      </c>
      <c r="F207" s="204" t="s">
        <v>243</v>
      </c>
      <c r="G207" s="204">
        <v>2262</v>
      </c>
      <c r="H207" s="204" t="s">
        <v>270</v>
      </c>
      <c r="I207" s="204">
        <v>81815</v>
      </c>
      <c r="J207" s="209">
        <v>42437</v>
      </c>
      <c r="K207" s="210">
        <v>0.59686342592592589</v>
      </c>
      <c r="L207" s="209">
        <v>42439</v>
      </c>
      <c r="M207" s="204" t="s">
        <v>396</v>
      </c>
      <c r="N207" s="204" t="s">
        <v>397</v>
      </c>
      <c r="O207" s="204" t="s">
        <v>398</v>
      </c>
      <c r="P207" s="204" t="s">
        <v>343</v>
      </c>
      <c r="Q207" s="204" t="s">
        <v>275</v>
      </c>
      <c r="R207" s="204" t="s">
        <v>686</v>
      </c>
      <c r="S207" s="204" t="s">
        <v>156</v>
      </c>
      <c r="T207" s="204" t="s">
        <v>277</v>
      </c>
      <c r="U207" s="204">
        <v>2262</v>
      </c>
      <c r="V207" s="204" t="s">
        <v>156</v>
      </c>
      <c r="W207" s="204" t="s">
        <v>280</v>
      </c>
      <c r="X207" s="204">
        <v>14.292999999999999</v>
      </c>
      <c r="Y207" s="211">
        <v>0</v>
      </c>
      <c r="Z207" s="211">
        <v>1.8</v>
      </c>
      <c r="AA207" s="211">
        <v>25.71</v>
      </c>
      <c r="AB207" s="211">
        <v>-2.62</v>
      </c>
      <c r="AC207" s="211">
        <v>0</v>
      </c>
      <c r="AD207" s="211">
        <v>0</v>
      </c>
      <c r="AE207" s="211">
        <v>23.09</v>
      </c>
      <c r="AF207" s="211">
        <v>-3.43</v>
      </c>
      <c r="AG207" s="204" t="s">
        <v>279</v>
      </c>
      <c r="AH207" s="211">
        <v>0</v>
      </c>
      <c r="AI207" s="211">
        <v>25.71</v>
      </c>
      <c r="AJ207" s="211">
        <v>0</v>
      </c>
      <c r="AK207" s="204" t="str">
        <f t="shared" si="6"/>
        <v>1.00000000</v>
      </c>
      <c r="AL207" s="204">
        <v>21.1</v>
      </c>
    </row>
    <row r="208" spans="1:38" x14ac:dyDescent="0.2">
      <c r="A208" s="204" t="str">
        <f t="shared" si="5"/>
        <v>0496002595700</v>
      </c>
      <c r="B208" s="204">
        <v>3</v>
      </c>
      <c r="C208" s="204" t="s">
        <v>156</v>
      </c>
      <c r="D208" s="204">
        <v>41</v>
      </c>
      <c r="E208" s="204">
        <v>41</v>
      </c>
      <c r="F208" s="204" t="s">
        <v>243</v>
      </c>
      <c r="G208" s="204">
        <v>2262</v>
      </c>
      <c r="H208" s="204" t="s">
        <v>270</v>
      </c>
      <c r="I208" s="204">
        <v>82099</v>
      </c>
      <c r="J208" s="209">
        <v>42440</v>
      </c>
      <c r="K208" s="210">
        <v>0.24722222222222223</v>
      </c>
      <c r="L208" s="209">
        <v>42444</v>
      </c>
      <c r="M208" s="204" t="s">
        <v>853</v>
      </c>
      <c r="N208" s="204" t="s">
        <v>272</v>
      </c>
      <c r="O208" s="204" t="s">
        <v>273</v>
      </c>
      <c r="P208" s="204" t="s">
        <v>274</v>
      </c>
      <c r="Q208" s="204" t="s">
        <v>275</v>
      </c>
      <c r="R208" s="204" t="s">
        <v>276</v>
      </c>
      <c r="S208" s="204" t="s">
        <v>156</v>
      </c>
      <c r="T208" s="204" t="s">
        <v>277</v>
      </c>
      <c r="U208" s="204">
        <v>2262</v>
      </c>
      <c r="V208" s="204" t="s">
        <v>156</v>
      </c>
      <c r="W208" s="204" t="s">
        <v>280</v>
      </c>
      <c r="X208" s="204">
        <v>15.121</v>
      </c>
      <c r="Y208" s="211">
        <v>-0.45</v>
      </c>
      <c r="Z208" s="211">
        <v>1.77</v>
      </c>
      <c r="AA208" s="211">
        <v>26.75</v>
      </c>
      <c r="AB208" s="211">
        <v>-2.77</v>
      </c>
      <c r="AC208" s="211">
        <v>0</v>
      </c>
      <c r="AD208" s="211">
        <v>0</v>
      </c>
      <c r="AE208" s="211">
        <v>23.53</v>
      </c>
      <c r="AF208" s="211">
        <v>-3.63</v>
      </c>
      <c r="AG208" s="204" t="s">
        <v>279</v>
      </c>
      <c r="AH208" s="211">
        <v>0</v>
      </c>
      <c r="AI208" s="211">
        <v>26.75</v>
      </c>
      <c r="AJ208" s="211">
        <v>0</v>
      </c>
      <c r="AK208" s="204" t="str">
        <f t="shared" si="6"/>
        <v>1.00000000</v>
      </c>
      <c r="AL208" s="204">
        <v>24.1</v>
      </c>
    </row>
    <row r="209" spans="1:38" x14ac:dyDescent="0.2">
      <c r="A209" s="204" t="str">
        <f t="shared" si="5"/>
        <v>0496002595700</v>
      </c>
      <c r="B209" s="204">
        <v>3</v>
      </c>
      <c r="C209" s="204" t="s">
        <v>156</v>
      </c>
      <c r="D209" s="204">
        <v>41</v>
      </c>
      <c r="E209" s="204">
        <v>41</v>
      </c>
      <c r="F209" s="204" t="s">
        <v>243</v>
      </c>
      <c r="G209" s="204">
        <v>2262</v>
      </c>
      <c r="H209" s="204" t="s">
        <v>270</v>
      </c>
      <c r="I209" s="204">
        <v>82340</v>
      </c>
      <c r="J209" s="209">
        <v>42444</v>
      </c>
      <c r="K209" s="210">
        <v>0.39305555555555555</v>
      </c>
      <c r="L209" s="209">
        <v>42446</v>
      </c>
      <c r="M209" s="204" t="s">
        <v>853</v>
      </c>
      <c r="N209" s="204" t="s">
        <v>272</v>
      </c>
      <c r="O209" s="204" t="s">
        <v>273</v>
      </c>
      <c r="P209" s="204" t="s">
        <v>274</v>
      </c>
      <c r="Q209" s="204" t="s">
        <v>275</v>
      </c>
      <c r="R209" s="204" t="s">
        <v>276</v>
      </c>
      <c r="S209" s="204" t="s">
        <v>156</v>
      </c>
      <c r="T209" s="204" t="s">
        <v>277</v>
      </c>
      <c r="U209" s="204">
        <v>2262</v>
      </c>
      <c r="V209" s="204" t="s">
        <v>156</v>
      </c>
      <c r="W209" s="204" t="s">
        <v>280</v>
      </c>
      <c r="X209" s="204">
        <v>11.476000000000001</v>
      </c>
      <c r="Y209" s="211">
        <v>-0.34</v>
      </c>
      <c r="Z209" s="211">
        <v>1.87</v>
      </c>
      <c r="AA209" s="211">
        <v>21.45</v>
      </c>
      <c r="AB209" s="211">
        <v>-2.1</v>
      </c>
      <c r="AC209" s="211">
        <v>0</v>
      </c>
      <c r="AD209" s="211">
        <v>0</v>
      </c>
      <c r="AE209" s="211">
        <v>19.010000000000002</v>
      </c>
      <c r="AF209" s="211">
        <v>-2.75</v>
      </c>
      <c r="AG209" s="204" t="s">
        <v>279</v>
      </c>
      <c r="AH209" s="211">
        <v>0</v>
      </c>
      <c r="AI209" s="211">
        <v>21.45</v>
      </c>
      <c r="AJ209" s="211">
        <v>0</v>
      </c>
      <c r="AK209" s="204" t="str">
        <f t="shared" si="6"/>
        <v>1.00000000</v>
      </c>
      <c r="AL209" s="204">
        <v>21</v>
      </c>
    </row>
    <row r="210" spans="1:38" x14ac:dyDescent="0.2">
      <c r="A210" s="204" t="str">
        <f t="shared" si="5"/>
        <v>0496002595700</v>
      </c>
      <c r="B210" s="204">
        <v>3</v>
      </c>
      <c r="C210" s="204" t="s">
        <v>156</v>
      </c>
      <c r="D210" s="204">
        <v>41</v>
      </c>
      <c r="E210" s="204">
        <v>41</v>
      </c>
      <c r="F210" s="204" t="s">
        <v>243</v>
      </c>
      <c r="G210" s="204">
        <v>2262</v>
      </c>
      <c r="H210" s="204" t="s">
        <v>270</v>
      </c>
      <c r="I210" s="204">
        <v>82523</v>
      </c>
      <c r="J210" s="209">
        <v>42445</v>
      </c>
      <c r="K210" s="210">
        <v>0.37847222222222227</v>
      </c>
      <c r="L210" s="209">
        <v>42447</v>
      </c>
      <c r="M210" s="204" t="s">
        <v>853</v>
      </c>
      <c r="N210" s="204" t="s">
        <v>272</v>
      </c>
      <c r="O210" s="204" t="s">
        <v>273</v>
      </c>
      <c r="P210" s="204" t="s">
        <v>274</v>
      </c>
      <c r="Q210" s="204" t="s">
        <v>275</v>
      </c>
      <c r="R210" s="204" t="s">
        <v>276</v>
      </c>
      <c r="S210" s="204" t="s">
        <v>156</v>
      </c>
      <c r="T210" s="204" t="s">
        <v>277</v>
      </c>
      <c r="U210" s="204">
        <v>2262</v>
      </c>
      <c r="V210" s="204" t="s">
        <v>156</v>
      </c>
      <c r="W210" s="204" t="s">
        <v>280</v>
      </c>
      <c r="X210" s="204">
        <v>8.3729999999999993</v>
      </c>
      <c r="Y210" s="211">
        <v>-0.25</v>
      </c>
      <c r="Z210" s="211">
        <v>1.87</v>
      </c>
      <c r="AA210" s="211">
        <v>15.65</v>
      </c>
      <c r="AB210" s="211">
        <v>-1.53</v>
      </c>
      <c r="AC210" s="211">
        <v>0</v>
      </c>
      <c r="AD210" s="211">
        <v>0</v>
      </c>
      <c r="AE210" s="211">
        <v>13.87</v>
      </c>
      <c r="AF210" s="211">
        <v>-2.0099999999999998</v>
      </c>
      <c r="AG210" s="204" t="s">
        <v>279</v>
      </c>
      <c r="AH210" s="211">
        <v>0</v>
      </c>
      <c r="AI210" s="211">
        <v>15.65</v>
      </c>
      <c r="AJ210" s="211">
        <v>0</v>
      </c>
      <c r="AK210" s="204" t="str">
        <f t="shared" si="6"/>
        <v>1.00000000</v>
      </c>
      <c r="AL210" s="204">
        <v>21.9</v>
      </c>
    </row>
    <row r="211" spans="1:38" x14ac:dyDescent="0.2">
      <c r="A211" s="204" t="str">
        <f t="shared" si="5"/>
        <v>0496002595700</v>
      </c>
      <c r="B211" s="204">
        <v>3</v>
      </c>
      <c r="C211" s="204" t="s">
        <v>156</v>
      </c>
      <c r="D211" s="204">
        <v>41</v>
      </c>
      <c r="E211" s="204">
        <v>41</v>
      </c>
      <c r="F211" s="204" t="s">
        <v>243</v>
      </c>
      <c r="G211" s="204">
        <v>2262</v>
      </c>
      <c r="H211" s="204" t="s">
        <v>270</v>
      </c>
      <c r="I211" s="204">
        <v>82862</v>
      </c>
      <c r="J211" s="209">
        <v>42453</v>
      </c>
      <c r="K211" s="210">
        <v>0.33819444444444446</v>
      </c>
      <c r="L211" s="209">
        <v>42457</v>
      </c>
      <c r="M211" s="204" t="s">
        <v>853</v>
      </c>
      <c r="N211" s="204" t="s">
        <v>272</v>
      </c>
      <c r="O211" s="204" t="s">
        <v>273</v>
      </c>
      <c r="P211" s="204" t="s">
        <v>274</v>
      </c>
      <c r="Q211" s="204" t="s">
        <v>275</v>
      </c>
      <c r="R211" s="204" t="s">
        <v>276</v>
      </c>
      <c r="S211" s="204" t="s">
        <v>156</v>
      </c>
      <c r="T211" s="204" t="s">
        <v>277</v>
      </c>
      <c r="U211" s="204">
        <v>2262</v>
      </c>
      <c r="V211" s="204" t="s">
        <v>156</v>
      </c>
      <c r="W211" s="204" t="s">
        <v>280</v>
      </c>
      <c r="X211" s="204">
        <v>16.241</v>
      </c>
      <c r="Y211" s="211">
        <v>-0.49</v>
      </c>
      <c r="Z211" s="211">
        <v>2.0099999999999998</v>
      </c>
      <c r="AA211" s="211">
        <v>32.630000000000003</v>
      </c>
      <c r="AB211" s="211">
        <v>-2.97</v>
      </c>
      <c r="AC211" s="211">
        <v>0</v>
      </c>
      <c r="AD211" s="211">
        <v>0</v>
      </c>
      <c r="AE211" s="211">
        <v>29.17</v>
      </c>
      <c r="AF211" s="211">
        <v>-3.9</v>
      </c>
      <c r="AG211" s="204" t="s">
        <v>279</v>
      </c>
      <c r="AH211" s="211">
        <v>0</v>
      </c>
      <c r="AI211" s="211">
        <v>32.630000000000003</v>
      </c>
      <c r="AJ211" s="211">
        <v>0</v>
      </c>
      <c r="AK211" s="204" t="str">
        <f t="shared" si="6"/>
        <v>1.00000000</v>
      </c>
      <c r="AL211" s="204">
        <v>20.9</v>
      </c>
    </row>
    <row r="212" spans="1:38" x14ac:dyDescent="0.2">
      <c r="A212" s="204" t="str">
        <f t="shared" si="5"/>
        <v>0496002595700</v>
      </c>
      <c r="B212" s="204">
        <v>3</v>
      </c>
      <c r="C212" s="204" t="s">
        <v>156</v>
      </c>
      <c r="D212" s="204">
        <v>41</v>
      </c>
      <c r="E212" s="204">
        <v>41</v>
      </c>
      <c r="F212" s="204" t="s">
        <v>243</v>
      </c>
      <c r="G212" s="204">
        <v>2262</v>
      </c>
      <c r="H212" s="204" t="s">
        <v>270</v>
      </c>
      <c r="I212" s="204">
        <v>83115</v>
      </c>
      <c r="J212" s="209">
        <v>42456</v>
      </c>
      <c r="K212" s="210">
        <v>0.34156249999999999</v>
      </c>
      <c r="L212" s="209">
        <v>42458</v>
      </c>
      <c r="M212" s="204" t="s">
        <v>396</v>
      </c>
      <c r="N212" s="204" t="s">
        <v>397</v>
      </c>
      <c r="O212" s="204" t="s">
        <v>398</v>
      </c>
      <c r="P212" s="204" t="s">
        <v>343</v>
      </c>
      <c r="Q212" s="204" t="s">
        <v>275</v>
      </c>
      <c r="R212" s="204" t="s">
        <v>686</v>
      </c>
      <c r="S212" s="204" t="s">
        <v>156</v>
      </c>
      <c r="T212" s="204" t="s">
        <v>277</v>
      </c>
      <c r="U212" s="204">
        <v>2262</v>
      </c>
      <c r="V212" s="204" t="s">
        <v>156</v>
      </c>
      <c r="W212" s="204" t="s">
        <v>280</v>
      </c>
      <c r="X212" s="204">
        <v>12.981999999999999</v>
      </c>
      <c r="Y212" s="211">
        <v>0</v>
      </c>
      <c r="Z212" s="211">
        <v>2.04</v>
      </c>
      <c r="AA212" s="211">
        <v>26.47</v>
      </c>
      <c r="AB212" s="211">
        <v>-2.38</v>
      </c>
      <c r="AC212" s="211">
        <v>0</v>
      </c>
      <c r="AD212" s="211">
        <v>0</v>
      </c>
      <c r="AE212" s="211">
        <v>24.09</v>
      </c>
      <c r="AF212" s="211">
        <v>-3.12</v>
      </c>
      <c r="AG212" s="204" t="s">
        <v>279</v>
      </c>
      <c r="AH212" s="211">
        <v>0</v>
      </c>
      <c r="AI212" s="211">
        <v>26.47</v>
      </c>
      <c r="AJ212" s="211">
        <v>0</v>
      </c>
      <c r="AK212" s="204" t="str">
        <f t="shared" si="6"/>
        <v>1.00000000</v>
      </c>
      <c r="AL212" s="204">
        <v>19.5</v>
      </c>
    </row>
    <row r="213" spans="1:38" x14ac:dyDescent="0.2">
      <c r="A213" s="204" t="str">
        <f t="shared" si="5"/>
        <v>0496002595700</v>
      </c>
      <c r="B213" s="204">
        <v>3</v>
      </c>
      <c r="C213" s="204" t="s">
        <v>156</v>
      </c>
      <c r="D213" s="204">
        <v>41</v>
      </c>
      <c r="E213" s="204">
        <v>41</v>
      </c>
      <c r="F213" s="204" t="s">
        <v>243</v>
      </c>
      <c r="G213" s="204">
        <v>2262</v>
      </c>
      <c r="H213" s="204" t="s">
        <v>270</v>
      </c>
      <c r="I213" s="204">
        <v>83792</v>
      </c>
      <c r="J213" s="209">
        <v>42462</v>
      </c>
      <c r="K213" s="210">
        <v>0.24918981481481484</v>
      </c>
      <c r="L213" s="209">
        <v>42465</v>
      </c>
      <c r="M213" s="204" t="s">
        <v>384</v>
      </c>
      <c r="N213" s="204" t="s">
        <v>385</v>
      </c>
      <c r="O213" s="204" t="s">
        <v>386</v>
      </c>
      <c r="P213" s="204" t="s">
        <v>343</v>
      </c>
      <c r="Q213" s="204" t="s">
        <v>275</v>
      </c>
      <c r="R213" s="204" t="s">
        <v>387</v>
      </c>
      <c r="S213" s="204" t="s">
        <v>156</v>
      </c>
      <c r="T213" s="204" t="s">
        <v>277</v>
      </c>
      <c r="U213" s="204">
        <v>2262</v>
      </c>
      <c r="V213" s="204" t="s">
        <v>156</v>
      </c>
      <c r="W213" s="204" t="s">
        <v>280</v>
      </c>
      <c r="X213" s="204">
        <v>11.268000000000001</v>
      </c>
      <c r="Y213" s="211">
        <v>0</v>
      </c>
      <c r="Z213" s="211">
        <v>2.04</v>
      </c>
      <c r="AA213" s="211">
        <v>22.98</v>
      </c>
      <c r="AB213" s="211">
        <v>-2.06</v>
      </c>
      <c r="AC213" s="211">
        <v>0</v>
      </c>
      <c r="AD213" s="211">
        <v>0</v>
      </c>
      <c r="AE213" s="211">
        <v>20.92</v>
      </c>
      <c r="AF213" s="211">
        <v>-2.7</v>
      </c>
      <c r="AG213" s="204" t="s">
        <v>279</v>
      </c>
      <c r="AH213" s="211">
        <v>0</v>
      </c>
      <c r="AI213" s="211">
        <v>22.98</v>
      </c>
      <c r="AJ213" s="211">
        <v>0</v>
      </c>
      <c r="AK213" s="204" t="str">
        <f t="shared" si="6"/>
        <v>1.00000000</v>
      </c>
      <c r="AL213" s="204">
        <v>21.8</v>
      </c>
    </row>
    <row r="214" spans="1:38" x14ac:dyDescent="0.2">
      <c r="A214" s="204" t="str">
        <f t="shared" si="5"/>
        <v>0496002595700</v>
      </c>
      <c r="B214" s="204">
        <v>3</v>
      </c>
      <c r="C214" s="204" t="s">
        <v>156</v>
      </c>
      <c r="D214" s="204">
        <v>41</v>
      </c>
      <c r="E214" s="204">
        <v>41</v>
      </c>
      <c r="F214" s="204" t="s">
        <v>243</v>
      </c>
      <c r="G214" s="204">
        <v>2262</v>
      </c>
      <c r="H214" s="204" t="s">
        <v>270</v>
      </c>
      <c r="I214" s="204">
        <v>84043</v>
      </c>
      <c r="J214" s="209">
        <v>42462</v>
      </c>
      <c r="K214" s="210">
        <v>0.81944444444444453</v>
      </c>
      <c r="L214" s="209">
        <v>42465</v>
      </c>
      <c r="M214" s="204" t="s">
        <v>271</v>
      </c>
      <c r="N214" s="204" t="s">
        <v>934</v>
      </c>
      <c r="O214" s="204" t="s">
        <v>935</v>
      </c>
      <c r="P214" s="204" t="s">
        <v>481</v>
      </c>
      <c r="Q214" s="204" t="s">
        <v>275</v>
      </c>
      <c r="R214" s="204">
        <v>1008</v>
      </c>
      <c r="S214" s="204" t="s">
        <v>156</v>
      </c>
      <c r="T214" s="204" t="s">
        <v>277</v>
      </c>
      <c r="U214" s="204">
        <v>2262</v>
      </c>
      <c r="V214" s="204" t="s">
        <v>156</v>
      </c>
      <c r="W214" s="204" t="s">
        <v>280</v>
      </c>
      <c r="X214" s="204">
        <v>15.612</v>
      </c>
      <c r="Y214" s="211">
        <v>-0.47</v>
      </c>
      <c r="Z214" s="211">
        <v>2.13</v>
      </c>
      <c r="AA214" s="211">
        <v>33.24</v>
      </c>
      <c r="AB214" s="211">
        <v>-2.86</v>
      </c>
      <c r="AC214" s="211">
        <v>0</v>
      </c>
      <c r="AD214" s="211">
        <v>0</v>
      </c>
      <c r="AE214" s="211">
        <v>29.91</v>
      </c>
      <c r="AF214" s="211">
        <v>-3.75</v>
      </c>
      <c r="AG214" s="204" t="s">
        <v>279</v>
      </c>
      <c r="AH214" s="211">
        <v>0</v>
      </c>
      <c r="AI214" s="211">
        <v>33.24</v>
      </c>
      <c r="AJ214" s="211">
        <v>0</v>
      </c>
      <c r="AK214" s="204" t="str">
        <f t="shared" si="6"/>
        <v>1.00000000</v>
      </c>
      <c r="AL214" s="204">
        <v>21.8</v>
      </c>
    </row>
    <row r="215" spans="1:38" x14ac:dyDescent="0.2">
      <c r="A215" s="204" t="str">
        <f t="shared" ref="A215:A278" si="7">"0496002595700"</f>
        <v>0496002595700</v>
      </c>
      <c r="B215" s="204">
        <v>3</v>
      </c>
      <c r="C215" s="204" t="s">
        <v>156</v>
      </c>
      <c r="D215" s="204">
        <v>41</v>
      </c>
      <c r="E215" s="204">
        <v>41</v>
      </c>
      <c r="F215" s="204" t="s">
        <v>243</v>
      </c>
      <c r="G215" s="204">
        <v>2262</v>
      </c>
      <c r="H215" s="204" t="s">
        <v>270</v>
      </c>
      <c r="I215" s="204">
        <v>84302</v>
      </c>
      <c r="J215" s="209">
        <v>42478</v>
      </c>
      <c r="K215" s="210">
        <v>0.61041666666666672</v>
      </c>
      <c r="L215" s="209">
        <v>42480</v>
      </c>
      <c r="M215" s="204" t="s">
        <v>271</v>
      </c>
      <c r="N215" s="204" t="s">
        <v>272</v>
      </c>
      <c r="O215" s="204" t="s">
        <v>273</v>
      </c>
      <c r="P215" s="204" t="s">
        <v>274</v>
      </c>
      <c r="Q215" s="204" t="s">
        <v>275</v>
      </c>
      <c r="R215" s="204" t="s">
        <v>276</v>
      </c>
      <c r="S215" s="204" t="s">
        <v>156</v>
      </c>
      <c r="T215" s="204" t="s">
        <v>277</v>
      </c>
      <c r="U215" s="204">
        <v>2262</v>
      </c>
      <c r="V215" s="204" t="s">
        <v>156</v>
      </c>
      <c r="W215" s="204" t="s">
        <v>280</v>
      </c>
      <c r="X215" s="204">
        <v>16.524000000000001</v>
      </c>
      <c r="Y215" s="211">
        <v>-0.5</v>
      </c>
      <c r="Z215" s="211">
        <v>2.09</v>
      </c>
      <c r="AA215" s="211">
        <v>34.520000000000003</v>
      </c>
      <c r="AB215" s="211">
        <v>-3.02</v>
      </c>
      <c r="AC215" s="211">
        <v>0</v>
      </c>
      <c r="AD215" s="211">
        <v>0</v>
      </c>
      <c r="AE215" s="211">
        <v>31</v>
      </c>
      <c r="AF215" s="211">
        <v>-3.97</v>
      </c>
      <c r="AG215" s="204" t="s">
        <v>279</v>
      </c>
      <c r="AH215" s="211">
        <v>0</v>
      </c>
      <c r="AI215" s="211">
        <v>34.520000000000003</v>
      </c>
      <c r="AJ215" s="211">
        <v>0</v>
      </c>
      <c r="AK215" s="204" t="str">
        <f t="shared" si="6"/>
        <v>1.00000000</v>
      </c>
      <c r="AL215" s="204">
        <v>15.7</v>
      </c>
    </row>
    <row r="216" spans="1:38" x14ac:dyDescent="0.2">
      <c r="A216" s="204" t="str">
        <f t="shared" si="7"/>
        <v>0496002595700</v>
      </c>
      <c r="B216" s="204">
        <v>3</v>
      </c>
      <c r="C216" s="204" t="s">
        <v>156</v>
      </c>
      <c r="D216" s="204">
        <v>41</v>
      </c>
      <c r="E216" s="204">
        <v>41</v>
      </c>
      <c r="F216" s="204" t="s">
        <v>243</v>
      </c>
      <c r="G216" s="204">
        <v>2262</v>
      </c>
      <c r="H216" s="204" t="s">
        <v>270</v>
      </c>
      <c r="I216" s="204">
        <v>84582</v>
      </c>
      <c r="J216" s="209">
        <v>42484</v>
      </c>
      <c r="K216" s="210">
        <v>0.67152777777777783</v>
      </c>
      <c r="L216" s="209">
        <v>42486</v>
      </c>
      <c r="M216" s="204" t="s">
        <v>294</v>
      </c>
      <c r="N216" s="204" t="s">
        <v>670</v>
      </c>
      <c r="O216" s="204" t="s">
        <v>671</v>
      </c>
      <c r="P216" s="204" t="s">
        <v>672</v>
      </c>
      <c r="Q216" s="204" t="s">
        <v>329</v>
      </c>
      <c r="R216" s="204" t="s">
        <v>673</v>
      </c>
      <c r="S216" s="204" t="s">
        <v>156</v>
      </c>
      <c r="T216" s="204" t="s">
        <v>277</v>
      </c>
      <c r="U216" s="204">
        <v>2262</v>
      </c>
      <c r="V216" s="204" t="s">
        <v>156</v>
      </c>
      <c r="W216" s="204" t="s">
        <v>280</v>
      </c>
      <c r="X216" s="204">
        <v>13.92</v>
      </c>
      <c r="Y216" s="211">
        <v>0</v>
      </c>
      <c r="Z216" s="211">
        <v>2.4</v>
      </c>
      <c r="AA216" s="211">
        <v>33.409999999999997</v>
      </c>
      <c r="AB216" s="211">
        <v>-2.5499999999999998</v>
      </c>
      <c r="AC216" s="211">
        <v>0</v>
      </c>
      <c r="AD216" s="211">
        <v>0</v>
      </c>
      <c r="AE216" s="211">
        <v>30.86</v>
      </c>
      <c r="AF216" s="211">
        <v>-5.81</v>
      </c>
      <c r="AG216" s="204" t="s">
        <v>279</v>
      </c>
      <c r="AH216" s="211">
        <v>0</v>
      </c>
      <c r="AI216" s="211">
        <v>33.409999999999997</v>
      </c>
      <c r="AJ216" s="211">
        <v>0</v>
      </c>
      <c r="AK216" s="204" t="str">
        <f t="shared" si="6"/>
        <v>1.00000000</v>
      </c>
      <c r="AL216" s="204">
        <v>20.100000000000001</v>
      </c>
    </row>
    <row r="217" spans="1:38" x14ac:dyDescent="0.2">
      <c r="A217" s="204" t="str">
        <f t="shared" si="7"/>
        <v>0496002595700</v>
      </c>
      <c r="B217" s="204">
        <v>3</v>
      </c>
      <c r="C217" s="204" t="s">
        <v>156</v>
      </c>
      <c r="D217" s="204">
        <v>41</v>
      </c>
      <c r="E217" s="204">
        <v>41</v>
      </c>
      <c r="F217" s="204" t="s">
        <v>243</v>
      </c>
      <c r="G217" s="204">
        <v>2262</v>
      </c>
      <c r="H217" s="204" t="s">
        <v>270</v>
      </c>
      <c r="I217" s="204">
        <v>85245</v>
      </c>
      <c r="J217" s="209">
        <v>42489</v>
      </c>
      <c r="K217" s="210">
        <v>0.91319444444444453</v>
      </c>
      <c r="L217" s="209">
        <v>42493</v>
      </c>
      <c r="M217" s="204" t="s">
        <v>271</v>
      </c>
      <c r="N217" s="204" t="s">
        <v>272</v>
      </c>
      <c r="O217" s="204" t="s">
        <v>273</v>
      </c>
      <c r="P217" s="204" t="s">
        <v>274</v>
      </c>
      <c r="Q217" s="204" t="s">
        <v>275</v>
      </c>
      <c r="R217" s="204" t="s">
        <v>276</v>
      </c>
      <c r="S217" s="204" t="s">
        <v>156</v>
      </c>
      <c r="T217" s="204" t="s">
        <v>277</v>
      </c>
      <c r="U217" s="204">
        <v>2262</v>
      </c>
      <c r="V217" s="204" t="s">
        <v>156</v>
      </c>
      <c r="W217" s="204" t="s">
        <v>278</v>
      </c>
      <c r="X217" s="204">
        <v>16.815000000000001</v>
      </c>
      <c r="Y217" s="211">
        <v>-0.5</v>
      </c>
      <c r="Z217" s="211">
        <v>2.56</v>
      </c>
      <c r="AA217" s="211">
        <v>43.03</v>
      </c>
      <c r="AB217" s="211">
        <v>-3.08</v>
      </c>
      <c r="AC217" s="211">
        <v>0</v>
      </c>
      <c r="AD217" s="211">
        <v>0</v>
      </c>
      <c r="AE217" s="211">
        <v>39.450000000000003</v>
      </c>
      <c r="AF217" s="211">
        <v>-4.04</v>
      </c>
      <c r="AG217" s="204" t="s">
        <v>279</v>
      </c>
      <c r="AH217" s="211">
        <v>0</v>
      </c>
      <c r="AI217" s="211">
        <v>43.03</v>
      </c>
      <c r="AJ217" s="211">
        <v>0</v>
      </c>
      <c r="AK217" s="204" t="str">
        <f t="shared" si="6"/>
        <v>1.00000000</v>
      </c>
      <c r="AL217" s="204">
        <v>20.100000000000001</v>
      </c>
    </row>
    <row r="218" spans="1:38" x14ac:dyDescent="0.2">
      <c r="A218" s="204" t="str">
        <f t="shared" si="7"/>
        <v>0496002595700</v>
      </c>
      <c r="B218" s="204">
        <v>3</v>
      </c>
      <c r="C218" s="204" t="s">
        <v>156</v>
      </c>
      <c r="D218" s="204">
        <v>41</v>
      </c>
      <c r="E218" s="204">
        <v>41</v>
      </c>
      <c r="F218" s="204" t="s">
        <v>243</v>
      </c>
      <c r="G218" s="204">
        <v>2262</v>
      </c>
      <c r="H218" s="204" t="s">
        <v>270</v>
      </c>
      <c r="I218" s="204">
        <v>85598</v>
      </c>
      <c r="J218" s="209">
        <v>42499</v>
      </c>
      <c r="K218" s="210">
        <v>0.71952546296296294</v>
      </c>
      <c r="L218" s="209">
        <v>42501</v>
      </c>
      <c r="M218" s="204" t="s">
        <v>396</v>
      </c>
      <c r="N218" s="204" t="s">
        <v>397</v>
      </c>
      <c r="O218" s="204" t="s">
        <v>398</v>
      </c>
      <c r="P218" s="204" t="s">
        <v>343</v>
      </c>
      <c r="Q218" s="204" t="s">
        <v>275</v>
      </c>
      <c r="R218" s="204" t="s">
        <v>686</v>
      </c>
      <c r="S218" s="204" t="s">
        <v>156</v>
      </c>
      <c r="T218" s="204" t="s">
        <v>277</v>
      </c>
      <c r="U218" s="204">
        <v>2262</v>
      </c>
      <c r="V218" s="204" t="s">
        <v>156</v>
      </c>
      <c r="W218" s="204" t="s">
        <v>280</v>
      </c>
      <c r="X218" s="204">
        <v>11.397</v>
      </c>
      <c r="Y218" s="211">
        <v>0</v>
      </c>
      <c r="Z218" s="211">
        <v>2.2000000000000002</v>
      </c>
      <c r="AA218" s="211">
        <v>25.06</v>
      </c>
      <c r="AB218" s="211">
        <v>-2.09</v>
      </c>
      <c r="AC218" s="211">
        <v>0</v>
      </c>
      <c r="AD218" s="211">
        <v>0</v>
      </c>
      <c r="AE218" s="211">
        <v>22.97</v>
      </c>
      <c r="AF218" s="211">
        <v>-2.74</v>
      </c>
      <c r="AG218" s="204" t="s">
        <v>279</v>
      </c>
      <c r="AH218" s="211">
        <v>0</v>
      </c>
      <c r="AI218" s="211">
        <v>25.06</v>
      </c>
      <c r="AJ218" s="211">
        <v>0</v>
      </c>
      <c r="AK218" s="204" t="str">
        <f t="shared" si="6"/>
        <v>1.00000000</v>
      </c>
      <c r="AL218" s="204">
        <v>24.1</v>
      </c>
    </row>
    <row r="219" spans="1:38" x14ac:dyDescent="0.2">
      <c r="A219" s="204" t="str">
        <f t="shared" si="7"/>
        <v>0496002595700</v>
      </c>
      <c r="B219" s="204">
        <v>3</v>
      </c>
      <c r="C219" s="204" t="s">
        <v>156</v>
      </c>
      <c r="D219" s="204">
        <v>41</v>
      </c>
      <c r="E219" s="204">
        <v>41</v>
      </c>
      <c r="F219" s="204" t="s">
        <v>243</v>
      </c>
      <c r="G219" s="204">
        <v>2262</v>
      </c>
      <c r="H219" s="204" t="s">
        <v>270</v>
      </c>
      <c r="I219" s="204">
        <v>2262</v>
      </c>
      <c r="J219" s="209">
        <v>42503</v>
      </c>
      <c r="K219" s="210">
        <v>0.48728009259259258</v>
      </c>
      <c r="L219" s="209">
        <v>42507</v>
      </c>
      <c r="M219" s="204" t="s">
        <v>310</v>
      </c>
      <c r="N219" s="204" t="s">
        <v>331</v>
      </c>
      <c r="O219" s="204" t="s">
        <v>332</v>
      </c>
      <c r="P219" s="204" t="s">
        <v>274</v>
      </c>
      <c r="Q219" s="204" t="s">
        <v>275</v>
      </c>
      <c r="R219" s="204" t="s">
        <v>858</v>
      </c>
      <c r="S219" s="204" t="s">
        <v>156</v>
      </c>
      <c r="T219" s="204" t="s">
        <v>277</v>
      </c>
      <c r="U219" s="204">
        <v>2262</v>
      </c>
      <c r="V219" s="204" t="s">
        <v>156</v>
      </c>
      <c r="W219" s="204" t="s">
        <v>280</v>
      </c>
      <c r="X219" s="204">
        <v>15.007</v>
      </c>
      <c r="Y219" s="211">
        <v>0</v>
      </c>
      <c r="Z219" s="211">
        <v>2.2000000000000002</v>
      </c>
      <c r="AA219" s="211">
        <v>33</v>
      </c>
      <c r="AB219" s="211">
        <v>-2.75</v>
      </c>
      <c r="AC219" s="211">
        <v>0</v>
      </c>
      <c r="AD219" s="211">
        <v>0</v>
      </c>
      <c r="AE219" s="211">
        <v>30.25</v>
      </c>
      <c r="AF219" s="211">
        <v>-3.6</v>
      </c>
      <c r="AG219" s="204" t="s">
        <v>279</v>
      </c>
      <c r="AH219" s="211">
        <v>0</v>
      </c>
      <c r="AI219" s="211">
        <v>33</v>
      </c>
      <c r="AJ219" s="211">
        <v>0</v>
      </c>
      <c r="AK219" s="204" t="str">
        <f t="shared" si="6"/>
        <v>1.00000000</v>
      </c>
      <c r="AL219" s="204">
        <v>31</v>
      </c>
    </row>
    <row r="220" spans="1:38" x14ac:dyDescent="0.2">
      <c r="A220" s="204" t="str">
        <f t="shared" si="7"/>
        <v>0496002595700</v>
      </c>
      <c r="B220" s="204">
        <v>3</v>
      </c>
      <c r="C220" s="204" t="s">
        <v>156</v>
      </c>
      <c r="D220" s="204">
        <v>41</v>
      </c>
      <c r="E220" s="204">
        <v>41</v>
      </c>
      <c r="F220" s="204" t="s">
        <v>243</v>
      </c>
      <c r="G220" s="204">
        <v>2262</v>
      </c>
      <c r="H220" s="204" t="s">
        <v>270</v>
      </c>
      <c r="I220" s="204">
        <v>86165</v>
      </c>
      <c r="J220" s="209">
        <v>42505</v>
      </c>
      <c r="K220" s="210">
        <v>0.56458333333333333</v>
      </c>
      <c r="L220" s="209">
        <v>42507</v>
      </c>
      <c r="M220" s="204" t="s">
        <v>271</v>
      </c>
      <c r="N220" s="204" t="s">
        <v>272</v>
      </c>
      <c r="O220" s="204" t="s">
        <v>273</v>
      </c>
      <c r="P220" s="204" t="s">
        <v>274</v>
      </c>
      <c r="Q220" s="204" t="s">
        <v>275</v>
      </c>
      <c r="R220" s="204" t="s">
        <v>276</v>
      </c>
      <c r="S220" s="204" t="s">
        <v>156</v>
      </c>
      <c r="T220" s="204" t="s">
        <v>277</v>
      </c>
      <c r="U220" s="204">
        <v>2262</v>
      </c>
      <c r="V220" s="204" t="s">
        <v>156</v>
      </c>
      <c r="W220" s="204" t="s">
        <v>280</v>
      </c>
      <c r="X220" s="204">
        <v>13.672000000000001</v>
      </c>
      <c r="Y220" s="211">
        <v>-0.41</v>
      </c>
      <c r="Z220" s="211">
        <v>2.2200000000000002</v>
      </c>
      <c r="AA220" s="211">
        <v>30.34</v>
      </c>
      <c r="AB220" s="211">
        <v>-2.5</v>
      </c>
      <c r="AC220" s="211">
        <v>0</v>
      </c>
      <c r="AD220" s="211">
        <v>0</v>
      </c>
      <c r="AE220" s="211">
        <v>27.43</v>
      </c>
      <c r="AF220" s="211">
        <v>-3.28</v>
      </c>
      <c r="AG220" s="204" t="s">
        <v>279</v>
      </c>
      <c r="AH220" s="211">
        <v>0</v>
      </c>
      <c r="AI220" s="211">
        <v>30.34</v>
      </c>
      <c r="AJ220" s="211">
        <v>0</v>
      </c>
      <c r="AK220" s="204" t="str">
        <f t="shared" si="6"/>
        <v>1.00000000</v>
      </c>
      <c r="AL220" s="204">
        <v>30.9</v>
      </c>
    </row>
    <row r="221" spans="1:38" x14ac:dyDescent="0.2">
      <c r="A221" s="204" t="str">
        <f t="shared" si="7"/>
        <v>0496002595700</v>
      </c>
      <c r="B221" s="204">
        <v>3</v>
      </c>
      <c r="C221" s="204" t="s">
        <v>156</v>
      </c>
      <c r="D221" s="204">
        <v>41</v>
      </c>
      <c r="E221" s="204">
        <v>41</v>
      </c>
      <c r="F221" s="204" t="s">
        <v>243</v>
      </c>
      <c r="G221" s="204">
        <v>2262</v>
      </c>
      <c r="H221" s="204" t="s">
        <v>270</v>
      </c>
      <c r="I221" s="204">
        <v>86505</v>
      </c>
      <c r="J221" s="209">
        <v>42511</v>
      </c>
      <c r="K221" s="210">
        <v>0.81944444444444453</v>
      </c>
      <c r="L221" s="209">
        <v>42514</v>
      </c>
      <c r="M221" s="204" t="s">
        <v>302</v>
      </c>
      <c r="N221" s="204" t="s">
        <v>936</v>
      </c>
      <c r="O221" s="204" t="s">
        <v>937</v>
      </c>
      <c r="P221" s="204" t="s">
        <v>938</v>
      </c>
      <c r="Q221" s="204" t="s">
        <v>275</v>
      </c>
      <c r="R221" s="204">
        <v>1237</v>
      </c>
      <c r="S221" s="204" t="s">
        <v>156</v>
      </c>
      <c r="T221" s="204" t="s">
        <v>277</v>
      </c>
      <c r="U221" s="204">
        <v>2262</v>
      </c>
      <c r="V221" s="204" t="s">
        <v>156</v>
      </c>
      <c r="W221" s="204" t="s">
        <v>280</v>
      </c>
      <c r="X221" s="204">
        <v>16.974</v>
      </c>
      <c r="Y221" s="211">
        <v>0</v>
      </c>
      <c r="Z221" s="211">
        <v>2.2599999999999998</v>
      </c>
      <c r="AA221" s="211">
        <v>38.340000000000003</v>
      </c>
      <c r="AB221" s="211">
        <v>-3.11</v>
      </c>
      <c r="AC221" s="211">
        <v>0</v>
      </c>
      <c r="AD221" s="211">
        <v>0</v>
      </c>
      <c r="AE221" s="211">
        <v>35.229999999999997</v>
      </c>
      <c r="AF221" s="211">
        <v>-4.07</v>
      </c>
      <c r="AG221" s="204" t="s">
        <v>279</v>
      </c>
      <c r="AH221" s="211">
        <v>0</v>
      </c>
      <c r="AI221" s="211">
        <v>38.340000000000003</v>
      </c>
      <c r="AJ221" s="211">
        <v>0</v>
      </c>
      <c r="AK221" s="204" t="str">
        <f t="shared" si="6"/>
        <v>1.00000000</v>
      </c>
      <c r="AL221" s="204">
        <v>31</v>
      </c>
    </row>
    <row r="222" spans="1:38" x14ac:dyDescent="0.2">
      <c r="A222" s="204" t="str">
        <f t="shared" si="7"/>
        <v>0496002595700</v>
      </c>
      <c r="B222" s="204">
        <v>3</v>
      </c>
      <c r="C222" s="204" t="s">
        <v>156</v>
      </c>
      <c r="D222" s="204">
        <v>41</v>
      </c>
      <c r="E222" s="204">
        <v>41</v>
      </c>
      <c r="F222" s="204" t="s">
        <v>243</v>
      </c>
      <c r="G222" s="204">
        <v>2262</v>
      </c>
      <c r="H222" s="204" t="s">
        <v>270</v>
      </c>
      <c r="I222" s="204">
        <v>86881</v>
      </c>
      <c r="J222" s="209">
        <v>42514</v>
      </c>
      <c r="K222" s="210">
        <v>0.57777777777777783</v>
      </c>
      <c r="L222" s="209">
        <v>42516</v>
      </c>
      <c r="M222" s="204" t="s">
        <v>302</v>
      </c>
      <c r="N222" s="204" t="s">
        <v>939</v>
      </c>
      <c r="O222" s="204" t="s">
        <v>940</v>
      </c>
      <c r="P222" s="204" t="s">
        <v>941</v>
      </c>
      <c r="Q222" s="204" t="s">
        <v>275</v>
      </c>
      <c r="R222" s="204" t="s">
        <v>942</v>
      </c>
      <c r="S222" s="204" t="s">
        <v>156</v>
      </c>
      <c r="T222" s="204" t="s">
        <v>277</v>
      </c>
      <c r="U222" s="204">
        <v>2262</v>
      </c>
      <c r="V222" s="204" t="s">
        <v>156</v>
      </c>
      <c r="W222" s="204" t="s">
        <v>280</v>
      </c>
      <c r="X222" s="204">
        <v>16.298999999999999</v>
      </c>
      <c r="Y222" s="211">
        <v>0</v>
      </c>
      <c r="Z222" s="211">
        <v>2.2999999999999998</v>
      </c>
      <c r="AA222" s="211">
        <v>37.47</v>
      </c>
      <c r="AB222" s="211">
        <v>-2.98</v>
      </c>
      <c r="AC222" s="211">
        <v>0</v>
      </c>
      <c r="AD222" s="211">
        <v>0</v>
      </c>
      <c r="AE222" s="211">
        <v>34.49</v>
      </c>
      <c r="AF222" s="211">
        <v>-3.91</v>
      </c>
      <c r="AG222" s="204" t="s">
        <v>279</v>
      </c>
      <c r="AH222" s="211">
        <v>0</v>
      </c>
      <c r="AI222" s="211">
        <v>37.47</v>
      </c>
      <c r="AJ222" s="211">
        <v>0</v>
      </c>
      <c r="AK222" s="204" t="str">
        <f t="shared" si="6"/>
        <v>1.00000000</v>
      </c>
      <c r="AL222" s="204">
        <v>23.1</v>
      </c>
    </row>
    <row r="223" spans="1:38" x14ac:dyDescent="0.2">
      <c r="A223" s="204" t="str">
        <f t="shared" si="7"/>
        <v>0496002595700</v>
      </c>
      <c r="B223" s="204">
        <v>3</v>
      </c>
      <c r="C223" s="204" t="s">
        <v>156</v>
      </c>
      <c r="D223" s="204">
        <v>41</v>
      </c>
      <c r="E223" s="204">
        <v>41</v>
      </c>
      <c r="F223" s="204" t="s">
        <v>243</v>
      </c>
      <c r="G223" s="204">
        <v>2262</v>
      </c>
      <c r="H223" s="204" t="s">
        <v>270</v>
      </c>
      <c r="I223" s="204">
        <v>87248</v>
      </c>
      <c r="J223" s="209">
        <v>42527</v>
      </c>
      <c r="K223" s="210">
        <v>0.81417824074074074</v>
      </c>
      <c r="L223" s="209">
        <v>42529</v>
      </c>
      <c r="M223" s="204" t="s">
        <v>310</v>
      </c>
      <c r="N223" s="204" t="s">
        <v>331</v>
      </c>
      <c r="O223" s="204" t="s">
        <v>332</v>
      </c>
      <c r="P223" s="204" t="s">
        <v>274</v>
      </c>
      <c r="Q223" s="204" t="s">
        <v>275</v>
      </c>
      <c r="R223" s="204" t="s">
        <v>858</v>
      </c>
      <c r="S223" s="204" t="s">
        <v>156</v>
      </c>
      <c r="T223" s="204" t="s">
        <v>277</v>
      </c>
      <c r="U223" s="204">
        <v>2262</v>
      </c>
      <c r="V223" s="204" t="s">
        <v>156</v>
      </c>
      <c r="W223" s="204" t="s">
        <v>280</v>
      </c>
      <c r="X223" s="204">
        <v>16.745999999999999</v>
      </c>
      <c r="Y223" s="211">
        <v>0</v>
      </c>
      <c r="Z223" s="211">
        <v>2.2999999999999998</v>
      </c>
      <c r="AA223" s="211">
        <v>38.5</v>
      </c>
      <c r="AB223" s="211">
        <v>-3.06</v>
      </c>
      <c r="AC223" s="211">
        <v>0</v>
      </c>
      <c r="AD223" s="211">
        <v>0</v>
      </c>
      <c r="AE223" s="211">
        <v>35.44</v>
      </c>
      <c r="AF223" s="211">
        <v>-4.0199999999999996</v>
      </c>
      <c r="AG223" s="204" t="s">
        <v>279</v>
      </c>
      <c r="AH223" s="211">
        <v>0</v>
      </c>
      <c r="AI223" s="211">
        <v>38.5</v>
      </c>
      <c r="AJ223" s="211">
        <v>0</v>
      </c>
      <c r="AK223" s="204" t="str">
        <f t="shared" si="6"/>
        <v>1.00000000</v>
      </c>
      <c r="AL223" s="204">
        <v>21.9</v>
      </c>
    </row>
    <row r="224" spans="1:38" x14ac:dyDescent="0.2">
      <c r="A224" s="204" t="str">
        <f t="shared" si="7"/>
        <v>0496002595700</v>
      </c>
      <c r="B224" s="204">
        <v>3</v>
      </c>
      <c r="C224" s="204" t="s">
        <v>156</v>
      </c>
      <c r="D224" s="204">
        <v>41</v>
      </c>
      <c r="E224" s="204">
        <v>41</v>
      </c>
      <c r="F224" s="204" t="s">
        <v>243</v>
      </c>
      <c r="G224" s="204">
        <v>2262</v>
      </c>
      <c r="H224" s="204" t="s">
        <v>270</v>
      </c>
      <c r="I224" s="204">
        <v>87545</v>
      </c>
      <c r="J224" s="209">
        <v>42530</v>
      </c>
      <c r="K224" s="210">
        <v>0.73392361111111104</v>
      </c>
      <c r="L224" s="209">
        <v>42534</v>
      </c>
      <c r="M224" s="204" t="s">
        <v>310</v>
      </c>
      <c r="N224" s="204" t="s">
        <v>943</v>
      </c>
      <c r="O224" s="204" t="s">
        <v>944</v>
      </c>
      <c r="P224" s="204" t="s">
        <v>945</v>
      </c>
      <c r="Q224" s="204" t="s">
        <v>329</v>
      </c>
      <c r="R224" s="204" t="s">
        <v>946</v>
      </c>
      <c r="S224" s="204" t="s">
        <v>156</v>
      </c>
      <c r="T224" s="204" t="s">
        <v>277</v>
      </c>
      <c r="U224" s="204">
        <v>2262</v>
      </c>
      <c r="V224" s="204" t="s">
        <v>156</v>
      </c>
      <c r="W224" s="204" t="s">
        <v>280</v>
      </c>
      <c r="X224" s="204">
        <v>14.073</v>
      </c>
      <c r="Y224" s="211">
        <v>0</v>
      </c>
      <c r="Z224" s="211">
        <v>2.58</v>
      </c>
      <c r="AA224" s="211">
        <v>36.29</v>
      </c>
      <c r="AB224" s="211">
        <v>-2.58</v>
      </c>
      <c r="AC224" s="211">
        <v>0</v>
      </c>
      <c r="AD224" s="211">
        <v>0</v>
      </c>
      <c r="AE224" s="211">
        <v>33.71</v>
      </c>
      <c r="AF224" s="211">
        <v>-5.96</v>
      </c>
      <c r="AG224" s="204" t="s">
        <v>279</v>
      </c>
      <c r="AH224" s="211">
        <v>0</v>
      </c>
      <c r="AI224" s="211">
        <v>36.29</v>
      </c>
      <c r="AJ224" s="211">
        <v>0</v>
      </c>
      <c r="AK224" s="204" t="str">
        <f t="shared" si="6"/>
        <v>1.00000000</v>
      </c>
      <c r="AL224" s="204">
        <v>21.1</v>
      </c>
    </row>
    <row r="225" spans="1:38" x14ac:dyDescent="0.2">
      <c r="A225" s="204" t="str">
        <f t="shared" si="7"/>
        <v>0496002595700</v>
      </c>
      <c r="B225" s="204">
        <v>3</v>
      </c>
      <c r="C225" s="204" t="s">
        <v>156</v>
      </c>
      <c r="D225" s="204">
        <v>41</v>
      </c>
      <c r="E225" s="204">
        <v>41</v>
      </c>
      <c r="F225" s="204" t="s">
        <v>243</v>
      </c>
      <c r="G225" s="204">
        <v>2262</v>
      </c>
      <c r="H225" s="204" t="s">
        <v>270</v>
      </c>
      <c r="I225" s="204">
        <v>87943</v>
      </c>
      <c r="J225" s="209">
        <v>42533</v>
      </c>
      <c r="K225" s="210">
        <v>0.63472222222222219</v>
      </c>
      <c r="L225" s="209">
        <v>42535</v>
      </c>
      <c r="M225" s="204" t="s">
        <v>612</v>
      </c>
      <c r="N225" s="204" t="s">
        <v>947</v>
      </c>
      <c r="O225" s="204" t="s">
        <v>948</v>
      </c>
      <c r="P225" s="204" t="s">
        <v>949</v>
      </c>
      <c r="Q225" s="204" t="s">
        <v>412</v>
      </c>
      <c r="R225" s="204" t="s">
        <v>950</v>
      </c>
      <c r="S225" s="204" t="s">
        <v>156</v>
      </c>
      <c r="T225" s="204" t="s">
        <v>277</v>
      </c>
      <c r="U225" s="204">
        <v>2262</v>
      </c>
      <c r="V225" s="204" t="s">
        <v>156</v>
      </c>
      <c r="W225" s="204" t="s">
        <v>280</v>
      </c>
      <c r="X225" s="204">
        <v>16.318999999999999</v>
      </c>
      <c r="Y225" s="211">
        <v>0</v>
      </c>
      <c r="Z225" s="211">
        <v>2.2400000000000002</v>
      </c>
      <c r="AA225" s="211">
        <v>36.54</v>
      </c>
      <c r="AB225" s="211">
        <v>-2.99</v>
      </c>
      <c r="AC225" s="211">
        <v>0</v>
      </c>
      <c r="AD225" s="211">
        <v>0</v>
      </c>
      <c r="AE225" s="211">
        <v>33.549999999999997</v>
      </c>
      <c r="AF225" s="211">
        <v>-5.32</v>
      </c>
      <c r="AG225" s="204" t="s">
        <v>279</v>
      </c>
      <c r="AH225" s="211">
        <v>0</v>
      </c>
      <c r="AI225" s="211">
        <v>36.54</v>
      </c>
      <c r="AJ225" s="211">
        <v>0</v>
      </c>
      <c r="AK225" s="204" t="str">
        <f t="shared" si="6"/>
        <v>1.00000000</v>
      </c>
      <c r="AL225" s="204">
        <v>24.4</v>
      </c>
    </row>
    <row r="226" spans="1:38" x14ac:dyDescent="0.2">
      <c r="A226" s="204" t="str">
        <f t="shared" si="7"/>
        <v>0496002595700</v>
      </c>
      <c r="B226" s="204">
        <v>3</v>
      </c>
      <c r="C226" s="204" t="s">
        <v>156</v>
      </c>
      <c r="D226" s="204">
        <v>41</v>
      </c>
      <c r="E226" s="204">
        <v>41</v>
      </c>
      <c r="F226" s="204" t="s">
        <v>243</v>
      </c>
      <c r="G226" s="204">
        <v>2262</v>
      </c>
      <c r="H226" s="204" t="s">
        <v>270</v>
      </c>
      <c r="I226" s="204">
        <v>88197</v>
      </c>
      <c r="J226" s="209">
        <v>42534</v>
      </c>
      <c r="K226" s="210">
        <v>0.63611111111111118</v>
      </c>
      <c r="L226" s="209">
        <v>42536</v>
      </c>
      <c r="M226" s="204" t="s">
        <v>294</v>
      </c>
      <c r="N226" s="204" t="s">
        <v>670</v>
      </c>
      <c r="O226" s="204" t="s">
        <v>671</v>
      </c>
      <c r="P226" s="204" t="s">
        <v>672</v>
      </c>
      <c r="Q226" s="204" t="s">
        <v>329</v>
      </c>
      <c r="R226" s="204" t="s">
        <v>673</v>
      </c>
      <c r="S226" s="204" t="s">
        <v>156</v>
      </c>
      <c r="T226" s="204" t="s">
        <v>277</v>
      </c>
      <c r="U226" s="204">
        <v>2262</v>
      </c>
      <c r="V226" s="204" t="s">
        <v>156</v>
      </c>
      <c r="W226" s="204" t="s">
        <v>280</v>
      </c>
      <c r="X226" s="204">
        <v>10.85</v>
      </c>
      <c r="Y226" s="211">
        <v>0</v>
      </c>
      <c r="Z226" s="211">
        <v>2.6</v>
      </c>
      <c r="AA226" s="211">
        <v>28.22</v>
      </c>
      <c r="AB226" s="211">
        <v>-1.99</v>
      </c>
      <c r="AC226" s="211">
        <v>0</v>
      </c>
      <c r="AD226" s="211">
        <v>0</v>
      </c>
      <c r="AE226" s="211">
        <v>26.23</v>
      </c>
      <c r="AF226" s="211">
        <v>-4.6100000000000003</v>
      </c>
      <c r="AG226" s="204" t="s">
        <v>279</v>
      </c>
      <c r="AH226" s="211">
        <v>0</v>
      </c>
      <c r="AI226" s="211">
        <v>28.22</v>
      </c>
      <c r="AJ226" s="211">
        <v>0</v>
      </c>
      <c r="AK226" s="204" t="str">
        <f t="shared" si="6"/>
        <v>1.00000000</v>
      </c>
      <c r="AL226" s="204">
        <v>23.4</v>
      </c>
    </row>
    <row r="227" spans="1:38" x14ac:dyDescent="0.2">
      <c r="A227" s="204" t="str">
        <f t="shared" si="7"/>
        <v>0496002595700</v>
      </c>
      <c r="B227" s="204">
        <v>3</v>
      </c>
      <c r="C227" s="204" t="s">
        <v>156</v>
      </c>
      <c r="D227" s="204">
        <v>41</v>
      </c>
      <c r="E227" s="204">
        <v>41</v>
      </c>
      <c r="F227" s="204" t="s">
        <v>243</v>
      </c>
      <c r="G227" s="204">
        <v>2262</v>
      </c>
      <c r="H227" s="204" t="s">
        <v>270</v>
      </c>
      <c r="I227" s="204">
        <v>88584</v>
      </c>
      <c r="J227" s="209">
        <v>42535</v>
      </c>
      <c r="K227" s="210">
        <v>0.5708333333333333</v>
      </c>
      <c r="L227" s="209">
        <v>42538</v>
      </c>
      <c r="M227" s="204" t="s">
        <v>325</v>
      </c>
      <c r="N227" s="204" t="s">
        <v>326</v>
      </c>
      <c r="O227" s="204" t="s">
        <v>951</v>
      </c>
      <c r="P227" s="204" t="s">
        <v>952</v>
      </c>
      <c r="Q227" s="204" t="s">
        <v>412</v>
      </c>
      <c r="R227" s="204">
        <v>21901</v>
      </c>
      <c r="S227" s="204" t="s">
        <v>156</v>
      </c>
      <c r="T227" s="204" t="s">
        <v>277</v>
      </c>
      <c r="U227" s="204">
        <v>2262</v>
      </c>
      <c r="V227" s="204" t="s">
        <v>156</v>
      </c>
      <c r="W227" s="204" t="s">
        <v>330</v>
      </c>
      <c r="X227" s="204">
        <v>16.504999999999999</v>
      </c>
      <c r="Y227" s="211">
        <v>0</v>
      </c>
      <c r="Z227" s="211">
        <v>2.42</v>
      </c>
      <c r="AA227" s="211">
        <v>39.93</v>
      </c>
      <c r="AB227" s="211">
        <v>-3.02</v>
      </c>
      <c r="AC227" s="211">
        <v>0</v>
      </c>
      <c r="AD227" s="211">
        <v>0</v>
      </c>
      <c r="AE227" s="211">
        <v>36.909999999999997</v>
      </c>
      <c r="AF227" s="211">
        <v>-5.38</v>
      </c>
      <c r="AG227" s="204" t="s">
        <v>279</v>
      </c>
      <c r="AH227" s="211">
        <v>0</v>
      </c>
      <c r="AI227" s="211">
        <v>39.93</v>
      </c>
      <c r="AJ227" s="211">
        <v>0</v>
      </c>
      <c r="AK227" s="204" t="str">
        <f t="shared" si="6"/>
        <v>1.00000000</v>
      </c>
      <c r="AL227" s="204">
        <v>23.4</v>
      </c>
    </row>
    <row r="228" spans="1:38" x14ac:dyDescent="0.2">
      <c r="A228" s="204" t="str">
        <f t="shared" si="7"/>
        <v>0496002595700</v>
      </c>
      <c r="B228" s="204">
        <v>3</v>
      </c>
      <c r="C228" s="204" t="s">
        <v>156</v>
      </c>
      <c r="D228" s="204">
        <v>41</v>
      </c>
      <c r="E228" s="204">
        <v>41</v>
      </c>
      <c r="F228" s="204" t="s">
        <v>243</v>
      </c>
      <c r="G228" s="204">
        <v>2262</v>
      </c>
      <c r="H228" s="204" t="s">
        <v>270</v>
      </c>
      <c r="I228" s="204">
        <v>88952</v>
      </c>
      <c r="J228" s="209">
        <v>42536</v>
      </c>
      <c r="K228" s="210">
        <v>0.89444444444444438</v>
      </c>
      <c r="L228" s="209">
        <v>42541</v>
      </c>
      <c r="M228" s="204" t="s">
        <v>325</v>
      </c>
      <c r="N228" s="204" t="s">
        <v>326</v>
      </c>
      <c r="O228" s="204" t="s">
        <v>428</v>
      </c>
      <c r="P228" s="204" t="s">
        <v>428</v>
      </c>
      <c r="Q228" s="204" t="s">
        <v>329</v>
      </c>
      <c r="R228" s="204">
        <v>10974</v>
      </c>
      <c r="S228" s="204" t="s">
        <v>156</v>
      </c>
      <c r="T228" s="204" t="s">
        <v>277</v>
      </c>
      <c r="U228" s="204">
        <v>2262</v>
      </c>
      <c r="V228" s="204" t="s">
        <v>156</v>
      </c>
      <c r="W228" s="204" t="s">
        <v>330</v>
      </c>
      <c r="X228" s="204">
        <v>11.465</v>
      </c>
      <c r="Y228" s="211">
        <v>0</v>
      </c>
      <c r="Z228" s="211">
        <v>2.66</v>
      </c>
      <c r="AA228" s="211">
        <v>30.49</v>
      </c>
      <c r="AB228" s="211">
        <v>-2.1</v>
      </c>
      <c r="AC228" s="211">
        <v>0</v>
      </c>
      <c r="AD228" s="211">
        <v>0</v>
      </c>
      <c r="AE228" s="211">
        <v>28.39</v>
      </c>
      <c r="AF228" s="211">
        <v>-4.97</v>
      </c>
      <c r="AG228" s="204" t="s">
        <v>279</v>
      </c>
      <c r="AH228" s="211">
        <v>0</v>
      </c>
      <c r="AI228" s="211">
        <v>30.49</v>
      </c>
      <c r="AJ228" s="211">
        <v>0</v>
      </c>
      <c r="AK228" s="204" t="str">
        <f t="shared" si="6"/>
        <v>1.00000000</v>
      </c>
      <c r="AL228" s="204">
        <v>24.2</v>
      </c>
    </row>
    <row r="229" spans="1:38" x14ac:dyDescent="0.2">
      <c r="A229" s="204" t="str">
        <f t="shared" si="7"/>
        <v>0496002595700</v>
      </c>
      <c r="B229" s="204">
        <v>4</v>
      </c>
      <c r="C229" s="204" t="s">
        <v>156</v>
      </c>
      <c r="D229" s="204">
        <v>85</v>
      </c>
      <c r="E229" s="204">
        <v>85</v>
      </c>
      <c r="F229" s="204" t="s">
        <v>243</v>
      </c>
      <c r="G229" s="204">
        <v>2262</v>
      </c>
      <c r="H229" s="204" t="s">
        <v>270</v>
      </c>
      <c r="I229" s="204">
        <v>66477</v>
      </c>
      <c r="J229" s="209">
        <v>42385</v>
      </c>
      <c r="K229" s="210">
        <v>0.45208333333333334</v>
      </c>
      <c r="L229" s="209">
        <v>42388</v>
      </c>
      <c r="M229" s="204" t="s">
        <v>853</v>
      </c>
      <c r="N229" s="204" t="s">
        <v>272</v>
      </c>
      <c r="O229" s="204" t="s">
        <v>273</v>
      </c>
      <c r="P229" s="204" t="s">
        <v>274</v>
      </c>
      <c r="Q229" s="204" t="s">
        <v>275</v>
      </c>
      <c r="R229" s="204" t="s">
        <v>276</v>
      </c>
      <c r="S229" s="204" t="s">
        <v>156</v>
      </c>
      <c r="T229" s="204" t="s">
        <v>277</v>
      </c>
      <c r="U229" s="204">
        <v>2262</v>
      </c>
      <c r="V229" s="204" t="s">
        <v>156</v>
      </c>
      <c r="W229" s="204" t="s">
        <v>280</v>
      </c>
      <c r="X229" s="204">
        <v>7.8609999999999998</v>
      </c>
      <c r="Y229" s="211">
        <v>-0.24</v>
      </c>
      <c r="Z229" s="211">
        <v>1.89</v>
      </c>
      <c r="AA229" s="211">
        <v>14.85</v>
      </c>
      <c r="AB229" s="211">
        <v>-1.44</v>
      </c>
      <c r="AC229" s="211">
        <v>0</v>
      </c>
      <c r="AD229" s="211">
        <v>0</v>
      </c>
      <c r="AE229" s="211">
        <v>13.17</v>
      </c>
      <c r="AF229" s="211">
        <v>-1.89</v>
      </c>
      <c r="AG229" s="204" t="s">
        <v>279</v>
      </c>
      <c r="AH229" s="211">
        <v>0</v>
      </c>
      <c r="AI229" s="211">
        <v>14.85</v>
      </c>
      <c r="AJ229" s="211">
        <v>0</v>
      </c>
      <c r="AK229" s="204" t="str">
        <f t="shared" si="6"/>
        <v>1.00000000</v>
      </c>
      <c r="AL229" s="204">
        <v>46.2</v>
      </c>
    </row>
    <row r="230" spans="1:38" x14ac:dyDescent="0.2">
      <c r="A230" s="204" t="str">
        <f t="shared" si="7"/>
        <v>0496002595700</v>
      </c>
      <c r="B230" s="204">
        <v>4</v>
      </c>
      <c r="C230" s="204" t="s">
        <v>156</v>
      </c>
      <c r="D230" s="204">
        <v>85</v>
      </c>
      <c r="E230" s="204">
        <v>85</v>
      </c>
      <c r="F230" s="204" t="s">
        <v>243</v>
      </c>
      <c r="G230" s="204">
        <v>2262</v>
      </c>
      <c r="H230" s="204" t="s">
        <v>270</v>
      </c>
      <c r="I230" s="204">
        <v>66829</v>
      </c>
      <c r="J230" s="209">
        <v>42387</v>
      </c>
      <c r="K230" s="210">
        <v>0.50416666666666665</v>
      </c>
      <c r="L230" s="209">
        <v>42389</v>
      </c>
      <c r="M230" s="204" t="s">
        <v>853</v>
      </c>
      <c r="N230" s="204" t="s">
        <v>272</v>
      </c>
      <c r="O230" s="204" t="s">
        <v>273</v>
      </c>
      <c r="P230" s="204" t="s">
        <v>274</v>
      </c>
      <c r="Q230" s="204" t="s">
        <v>275</v>
      </c>
      <c r="R230" s="204" t="s">
        <v>276</v>
      </c>
      <c r="S230" s="204" t="s">
        <v>156</v>
      </c>
      <c r="T230" s="204" t="s">
        <v>277</v>
      </c>
      <c r="U230" s="204">
        <v>2262</v>
      </c>
      <c r="V230" s="204" t="s">
        <v>156</v>
      </c>
      <c r="W230" s="204" t="s">
        <v>280</v>
      </c>
      <c r="X230" s="204">
        <v>15.648</v>
      </c>
      <c r="Y230" s="211">
        <v>-0.47</v>
      </c>
      <c r="Z230" s="211">
        <v>1.89</v>
      </c>
      <c r="AA230" s="211">
        <v>29.56</v>
      </c>
      <c r="AB230" s="211">
        <v>-2.86</v>
      </c>
      <c r="AC230" s="211">
        <v>0</v>
      </c>
      <c r="AD230" s="211">
        <v>0</v>
      </c>
      <c r="AE230" s="211">
        <v>26.23</v>
      </c>
      <c r="AF230" s="211">
        <v>-3.76</v>
      </c>
      <c r="AG230" s="204" t="s">
        <v>279</v>
      </c>
      <c r="AH230" s="211">
        <v>0</v>
      </c>
      <c r="AI230" s="211">
        <v>29.56</v>
      </c>
      <c r="AJ230" s="211">
        <v>0</v>
      </c>
      <c r="AK230" s="204" t="str">
        <f t="shared" si="6"/>
        <v>1.00000000</v>
      </c>
      <c r="AL230" s="204">
        <v>22.5</v>
      </c>
    </row>
    <row r="231" spans="1:38" x14ac:dyDescent="0.2">
      <c r="A231" s="204" t="str">
        <f t="shared" si="7"/>
        <v>0496002595700</v>
      </c>
      <c r="B231" s="204">
        <v>4</v>
      </c>
      <c r="C231" s="204" t="s">
        <v>156</v>
      </c>
      <c r="D231" s="204">
        <v>85</v>
      </c>
      <c r="E231" s="204">
        <v>85</v>
      </c>
      <c r="F231" s="204" t="s">
        <v>243</v>
      </c>
      <c r="G231" s="204">
        <v>2262</v>
      </c>
      <c r="H231" s="204" t="s">
        <v>270</v>
      </c>
      <c r="I231" s="204">
        <v>67229</v>
      </c>
      <c r="J231" s="209">
        <v>42388</v>
      </c>
      <c r="K231" s="210">
        <v>0.66351851851851851</v>
      </c>
      <c r="L231" s="209">
        <v>42390</v>
      </c>
      <c r="M231" s="204" t="s">
        <v>310</v>
      </c>
      <c r="N231" s="204" t="s">
        <v>331</v>
      </c>
      <c r="O231" s="204" t="s">
        <v>332</v>
      </c>
      <c r="P231" s="204" t="s">
        <v>274</v>
      </c>
      <c r="Q231" s="204" t="s">
        <v>275</v>
      </c>
      <c r="R231" s="204" t="s">
        <v>858</v>
      </c>
      <c r="S231" s="204" t="s">
        <v>156</v>
      </c>
      <c r="T231" s="204" t="s">
        <v>277</v>
      </c>
      <c r="U231" s="204">
        <v>2262</v>
      </c>
      <c r="V231" s="204" t="s">
        <v>156</v>
      </c>
      <c r="W231" s="204" t="s">
        <v>280</v>
      </c>
      <c r="X231" s="204">
        <v>17.866</v>
      </c>
      <c r="Y231" s="211">
        <v>0</v>
      </c>
      <c r="Z231" s="211">
        <v>1.96</v>
      </c>
      <c r="AA231" s="211">
        <v>35</v>
      </c>
      <c r="AB231" s="211">
        <v>-3.27</v>
      </c>
      <c r="AC231" s="211">
        <v>0</v>
      </c>
      <c r="AD231" s="211">
        <v>0</v>
      </c>
      <c r="AE231" s="211">
        <v>31.73</v>
      </c>
      <c r="AF231" s="211">
        <v>-4.29</v>
      </c>
      <c r="AG231" s="204" t="s">
        <v>279</v>
      </c>
      <c r="AH231" s="211">
        <v>0</v>
      </c>
      <c r="AI231" s="211">
        <v>35</v>
      </c>
      <c r="AJ231" s="211">
        <v>0</v>
      </c>
      <c r="AK231" s="204" t="str">
        <f t="shared" si="6"/>
        <v>1.00000000</v>
      </c>
      <c r="AL231" s="204">
        <v>22.4</v>
      </c>
    </row>
    <row r="232" spans="1:38" x14ac:dyDescent="0.2">
      <c r="A232" s="204" t="str">
        <f t="shared" si="7"/>
        <v>0496002595700</v>
      </c>
      <c r="B232" s="204">
        <v>4</v>
      </c>
      <c r="C232" s="204" t="s">
        <v>156</v>
      </c>
      <c r="D232" s="204">
        <v>85</v>
      </c>
      <c r="E232" s="204">
        <v>85</v>
      </c>
      <c r="F232" s="204" t="s">
        <v>243</v>
      </c>
      <c r="G232" s="204">
        <v>2262</v>
      </c>
      <c r="H232" s="204" t="s">
        <v>270</v>
      </c>
      <c r="I232" s="204">
        <v>67553</v>
      </c>
      <c r="J232" s="209">
        <v>42391</v>
      </c>
      <c r="K232" s="210">
        <v>0.9458333333333333</v>
      </c>
      <c r="L232" s="209">
        <v>42395</v>
      </c>
      <c r="M232" s="204" t="s">
        <v>302</v>
      </c>
      <c r="N232" s="204" t="s">
        <v>953</v>
      </c>
      <c r="O232" s="204" t="s">
        <v>954</v>
      </c>
      <c r="P232" s="204" t="s">
        <v>568</v>
      </c>
      <c r="Q232" s="204" t="s">
        <v>309</v>
      </c>
      <c r="R232" s="204">
        <v>6460</v>
      </c>
      <c r="S232" s="204" t="s">
        <v>156</v>
      </c>
      <c r="T232" s="204" t="s">
        <v>277</v>
      </c>
      <c r="U232" s="204">
        <v>2262</v>
      </c>
      <c r="V232" s="204" t="s">
        <v>156</v>
      </c>
      <c r="W232" s="204" t="s">
        <v>280</v>
      </c>
      <c r="X232" s="204">
        <v>17.568999999999999</v>
      </c>
      <c r="Y232" s="211">
        <v>0</v>
      </c>
      <c r="Z232" s="211">
        <v>2</v>
      </c>
      <c r="AA232" s="211">
        <v>35.119999999999997</v>
      </c>
      <c r="AB232" s="211">
        <v>-3.22</v>
      </c>
      <c r="AC232" s="211">
        <v>0</v>
      </c>
      <c r="AD232" s="211">
        <v>0</v>
      </c>
      <c r="AE232" s="211">
        <v>31.9</v>
      </c>
      <c r="AF232" s="211">
        <v>-4.3899999999999997</v>
      </c>
      <c r="AG232" s="204" t="s">
        <v>279</v>
      </c>
      <c r="AH232" s="211">
        <v>0</v>
      </c>
      <c r="AI232" s="211">
        <v>35.119999999999997</v>
      </c>
      <c r="AJ232" s="211">
        <v>0</v>
      </c>
      <c r="AK232" s="204" t="str">
        <f t="shared" si="6"/>
        <v>1.00000000</v>
      </c>
      <c r="AL232" s="204">
        <v>18.399999999999999</v>
      </c>
    </row>
    <row r="233" spans="1:38" x14ac:dyDescent="0.2">
      <c r="A233" s="204" t="str">
        <f t="shared" si="7"/>
        <v>0496002595700</v>
      </c>
      <c r="B233" s="204">
        <v>4</v>
      </c>
      <c r="C233" s="204" t="s">
        <v>156</v>
      </c>
      <c r="D233" s="204">
        <v>85</v>
      </c>
      <c r="E233" s="204">
        <v>85</v>
      </c>
      <c r="F233" s="204" t="s">
        <v>243</v>
      </c>
      <c r="G233" s="204">
        <v>2262</v>
      </c>
      <c r="H233" s="204" t="s">
        <v>270</v>
      </c>
      <c r="I233" s="204">
        <v>67894</v>
      </c>
      <c r="J233" s="209">
        <v>42393</v>
      </c>
      <c r="K233" s="210">
        <v>0.85069444444444453</v>
      </c>
      <c r="L233" s="209">
        <v>42395</v>
      </c>
      <c r="M233" s="204" t="s">
        <v>853</v>
      </c>
      <c r="N233" s="204" t="s">
        <v>272</v>
      </c>
      <c r="O233" s="204" t="s">
        <v>273</v>
      </c>
      <c r="P233" s="204" t="s">
        <v>274</v>
      </c>
      <c r="Q233" s="204" t="s">
        <v>275</v>
      </c>
      <c r="R233" s="204" t="s">
        <v>276</v>
      </c>
      <c r="S233" s="204" t="s">
        <v>156</v>
      </c>
      <c r="T233" s="204" t="s">
        <v>277</v>
      </c>
      <c r="U233" s="204">
        <v>2262</v>
      </c>
      <c r="V233" s="204" t="s">
        <v>156</v>
      </c>
      <c r="W233" s="204" t="s">
        <v>280</v>
      </c>
      <c r="X233" s="204">
        <v>16.061</v>
      </c>
      <c r="Y233" s="211">
        <v>-0.48</v>
      </c>
      <c r="Z233" s="211">
        <v>1.89</v>
      </c>
      <c r="AA233" s="211">
        <v>30.34</v>
      </c>
      <c r="AB233" s="211">
        <v>-2.94</v>
      </c>
      <c r="AC233" s="211">
        <v>0</v>
      </c>
      <c r="AD233" s="211">
        <v>0</v>
      </c>
      <c r="AE233" s="211">
        <v>26.92</v>
      </c>
      <c r="AF233" s="211">
        <v>-3.85</v>
      </c>
      <c r="AG233" s="204" t="s">
        <v>279</v>
      </c>
      <c r="AH233" s="211">
        <v>0</v>
      </c>
      <c r="AI233" s="211">
        <v>30.34</v>
      </c>
      <c r="AJ233" s="211">
        <v>0</v>
      </c>
      <c r="AK233" s="204" t="str">
        <f t="shared" si="6"/>
        <v>1.00000000</v>
      </c>
      <c r="AL233" s="204">
        <v>21.2</v>
      </c>
    </row>
    <row r="234" spans="1:38" x14ac:dyDescent="0.2">
      <c r="A234" s="204" t="str">
        <f t="shared" si="7"/>
        <v>0496002595700</v>
      </c>
      <c r="B234" s="204">
        <v>4</v>
      </c>
      <c r="C234" s="204" t="s">
        <v>156</v>
      </c>
      <c r="D234" s="204">
        <v>85</v>
      </c>
      <c r="E234" s="204">
        <v>85</v>
      </c>
      <c r="F234" s="204" t="s">
        <v>243</v>
      </c>
      <c r="G234" s="204">
        <v>2262</v>
      </c>
      <c r="H234" s="204" t="s">
        <v>270</v>
      </c>
      <c r="I234" s="204">
        <v>68732</v>
      </c>
      <c r="J234" s="209">
        <v>42409</v>
      </c>
      <c r="K234" s="210">
        <v>0.57847222222222217</v>
      </c>
      <c r="L234" s="209">
        <v>42411</v>
      </c>
      <c r="M234" s="204" t="s">
        <v>853</v>
      </c>
      <c r="N234" s="204" t="s">
        <v>272</v>
      </c>
      <c r="O234" s="204" t="s">
        <v>273</v>
      </c>
      <c r="P234" s="204" t="s">
        <v>274</v>
      </c>
      <c r="Q234" s="204" t="s">
        <v>275</v>
      </c>
      <c r="R234" s="204" t="s">
        <v>276</v>
      </c>
      <c r="S234" s="204" t="s">
        <v>156</v>
      </c>
      <c r="T234" s="204" t="s">
        <v>277</v>
      </c>
      <c r="U234" s="204">
        <v>2262</v>
      </c>
      <c r="V234" s="204" t="s">
        <v>156</v>
      </c>
      <c r="W234" s="204" t="s">
        <v>280</v>
      </c>
      <c r="X234" s="204">
        <v>13.051</v>
      </c>
      <c r="Y234" s="211">
        <v>-0.39</v>
      </c>
      <c r="Z234" s="211">
        <v>1.8</v>
      </c>
      <c r="AA234" s="211">
        <v>23.48</v>
      </c>
      <c r="AB234" s="211">
        <v>-2.39</v>
      </c>
      <c r="AC234" s="211">
        <v>0</v>
      </c>
      <c r="AD234" s="211">
        <v>0</v>
      </c>
      <c r="AE234" s="211">
        <v>20.7</v>
      </c>
      <c r="AF234" s="211">
        <v>-3.13</v>
      </c>
      <c r="AG234" s="204" t="s">
        <v>279</v>
      </c>
      <c r="AH234" s="211">
        <v>0</v>
      </c>
      <c r="AI234" s="211">
        <v>23.48</v>
      </c>
      <c r="AJ234" s="211">
        <v>0</v>
      </c>
      <c r="AK234" s="204" t="str">
        <f t="shared" si="6"/>
        <v>1.00000000</v>
      </c>
      <c r="AL234" s="204">
        <v>64.2</v>
      </c>
    </row>
    <row r="235" spans="1:38" x14ac:dyDescent="0.2">
      <c r="A235" s="204" t="str">
        <f t="shared" si="7"/>
        <v>0496002595700</v>
      </c>
      <c r="B235" s="204">
        <v>4</v>
      </c>
      <c r="C235" s="204" t="s">
        <v>156</v>
      </c>
      <c r="D235" s="204">
        <v>85</v>
      </c>
      <c r="E235" s="204">
        <v>85</v>
      </c>
      <c r="F235" s="204" t="s">
        <v>243</v>
      </c>
      <c r="G235" s="204">
        <v>2262</v>
      </c>
      <c r="H235" s="204" t="s">
        <v>270</v>
      </c>
      <c r="I235" s="204">
        <v>69018</v>
      </c>
      <c r="J235" s="209">
        <v>42413</v>
      </c>
      <c r="K235" s="210">
        <v>0.80347222222222225</v>
      </c>
      <c r="L235" s="209">
        <v>42416</v>
      </c>
      <c r="M235" s="204" t="s">
        <v>853</v>
      </c>
      <c r="N235" s="204" t="s">
        <v>352</v>
      </c>
      <c r="O235" s="204" t="s">
        <v>353</v>
      </c>
      <c r="P235" s="204" t="s">
        <v>343</v>
      </c>
      <c r="Q235" s="204" t="s">
        <v>275</v>
      </c>
      <c r="R235" s="204" t="s">
        <v>602</v>
      </c>
      <c r="S235" s="204" t="s">
        <v>156</v>
      </c>
      <c r="T235" s="204" t="s">
        <v>277</v>
      </c>
      <c r="U235" s="204">
        <v>2262</v>
      </c>
      <c r="V235" s="204" t="s">
        <v>156</v>
      </c>
      <c r="W235" s="204" t="s">
        <v>280</v>
      </c>
      <c r="X235" s="204">
        <v>16.574000000000002</v>
      </c>
      <c r="Y235" s="211">
        <v>-0.5</v>
      </c>
      <c r="Z235" s="211">
        <v>1.7</v>
      </c>
      <c r="AA235" s="211">
        <v>28.16</v>
      </c>
      <c r="AB235" s="211">
        <v>-3.03</v>
      </c>
      <c r="AC235" s="211">
        <v>0</v>
      </c>
      <c r="AD235" s="211">
        <v>0</v>
      </c>
      <c r="AE235" s="211">
        <v>24.63</v>
      </c>
      <c r="AF235" s="211">
        <v>-3.98</v>
      </c>
      <c r="AG235" s="204" t="s">
        <v>279</v>
      </c>
      <c r="AH235" s="211">
        <v>0</v>
      </c>
      <c r="AI235" s="211">
        <v>28.16</v>
      </c>
      <c r="AJ235" s="211">
        <v>0</v>
      </c>
      <c r="AK235" s="204" t="str">
        <f t="shared" si="6"/>
        <v>1.00000000</v>
      </c>
      <c r="AL235" s="204">
        <v>17.3</v>
      </c>
    </row>
    <row r="236" spans="1:38" x14ac:dyDescent="0.2">
      <c r="A236" s="204" t="str">
        <f t="shared" si="7"/>
        <v>0496002595700</v>
      </c>
      <c r="B236" s="204">
        <v>4</v>
      </c>
      <c r="C236" s="204" t="s">
        <v>156</v>
      </c>
      <c r="D236" s="204">
        <v>85</v>
      </c>
      <c r="E236" s="204">
        <v>85</v>
      </c>
      <c r="F236" s="204" t="s">
        <v>243</v>
      </c>
      <c r="G236" s="204">
        <v>2262</v>
      </c>
      <c r="H236" s="204" t="s">
        <v>270</v>
      </c>
      <c r="I236" s="204">
        <v>111111</v>
      </c>
      <c r="J236" s="209">
        <v>42423</v>
      </c>
      <c r="K236" s="210">
        <v>0.52202546296296293</v>
      </c>
      <c r="L236" s="209">
        <v>42425</v>
      </c>
      <c r="M236" s="204" t="s">
        <v>310</v>
      </c>
      <c r="N236" s="204" t="s">
        <v>331</v>
      </c>
      <c r="O236" s="204" t="s">
        <v>332</v>
      </c>
      <c r="P236" s="204" t="s">
        <v>274</v>
      </c>
      <c r="Q236" s="204" t="s">
        <v>275</v>
      </c>
      <c r="R236" s="204" t="s">
        <v>858</v>
      </c>
      <c r="S236" s="204" t="s">
        <v>156</v>
      </c>
      <c r="T236" s="204" t="s">
        <v>277</v>
      </c>
      <c r="U236" s="204">
        <v>2262</v>
      </c>
      <c r="V236" s="204" t="s">
        <v>156</v>
      </c>
      <c r="W236" s="204" t="s">
        <v>280</v>
      </c>
      <c r="X236" s="204">
        <v>10.839</v>
      </c>
      <c r="Y236" s="211">
        <v>0</v>
      </c>
      <c r="Z236" s="211">
        <v>1.8</v>
      </c>
      <c r="AA236" s="211">
        <v>19.5</v>
      </c>
      <c r="AB236" s="211">
        <v>-1.98</v>
      </c>
      <c r="AC236" s="211">
        <v>0</v>
      </c>
      <c r="AD236" s="211">
        <v>0</v>
      </c>
      <c r="AE236" s="211">
        <v>17.52</v>
      </c>
      <c r="AF236" s="211">
        <v>-2.6</v>
      </c>
      <c r="AG236" s="204" t="s">
        <v>279</v>
      </c>
      <c r="AH236" s="211">
        <v>0</v>
      </c>
      <c r="AI236" s="211">
        <v>19.5</v>
      </c>
      <c r="AJ236" s="211">
        <v>0</v>
      </c>
      <c r="AK236" s="204" t="str">
        <f t="shared" si="6"/>
        <v>1.00000000</v>
      </c>
      <c r="AL236" s="204">
        <v>3883.5</v>
      </c>
    </row>
    <row r="237" spans="1:38" x14ac:dyDescent="0.2">
      <c r="A237" s="204" t="str">
        <f t="shared" si="7"/>
        <v>0496002595700</v>
      </c>
      <c r="B237" s="204">
        <v>4</v>
      </c>
      <c r="C237" s="204" t="s">
        <v>156</v>
      </c>
      <c r="D237" s="204">
        <v>85</v>
      </c>
      <c r="E237" s="204">
        <v>85</v>
      </c>
      <c r="F237" s="204" t="s">
        <v>243</v>
      </c>
      <c r="G237" s="204">
        <v>2262</v>
      </c>
      <c r="H237" s="204" t="s">
        <v>270</v>
      </c>
      <c r="I237" s="204">
        <v>117</v>
      </c>
      <c r="J237" s="209">
        <v>42426</v>
      </c>
      <c r="K237" s="210">
        <v>0.61736111111111114</v>
      </c>
      <c r="L237" s="209">
        <v>42430</v>
      </c>
      <c r="M237" s="204" t="s">
        <v>853</v>
      </c>
      <c r="N237" s="204" t="s">
        <v>352</v>
      </c>
      <c r="O237" s="204" t="s">
        <v>353</v>
      </c>
      <c r="P237" s="204" t="s">
        <v>343</v>
      </c>
      <c r="Q237" s="204" t="s">
        <v>275</v>
      </c>
      <c r="R237" s="204" t="s">
        <v>602</v>
      </c>
      <c r="S237" s="204" t="s">
        <v>156</v>
      </c>
      <c r="T237" s="204" t="s">
        <v>277</v>
      </c>
      <c r="U237" s="204">
        <v>2262</v>
      </c>
      <c r="V237" s="204" t="s">
        <v>156</v>
      </c>
      <c r="W237" s="204" t="s">
        <v>280</v>
      </c>
      <c r="X237" s="204">
        <v>14.52</v>
      </c>
      <c r="Y237" s="211">
        <v>-0.44</v>
      </c>
      <c r="Z237" s="211">
        <v>1.68</v>
      </c>
      <c r="AA237" s="211">
        <v>24.38</v>
      </c>
      <c r="AB237" s="211">
        <v>-2.66</v>
      </c>
      <c r="AC237" s="211">
        <v>0</v>
      </c>
      <c r="AD237" s="211">
        <v>0</v>
      </c>
      <c r="AE237" s="211">
        <v>21.28</v>
      </c>
      <c r="AF237" s="211">
        <v>-3.48</v>
      </c>
      <c r="AG237" s="204" t="s">
        <v>279</v>
      </c>
      <c r="AH237" s="211">
        <v>0</v>
      </c>
      <c r="AI237" s="211">
        <v>24.38</v>
      </c>
      <c r="AJ237" s="211">
        <v>0</v>
      </c>
      <c r="AK237" s="204" t="str">
        <f t="shared" si="6"/>
        <v>1.00000000</v>
      </c>
      <c r="AL237" s="204">
        <v>0</v>
      </c>
    </row>
    <row r="238" spans="1:38" x14ac:dyDescent="0.2">
      <c r="A238" s="204" t="str">
        <f t="shared" si="7"/>
        <v>0496002595700</v>
      </c>
      <c r="B238" s="204">
        <v>4</v>
      </c>
      <c r="C238" s="204" t="s">
        <v>156</v>
      </c>
      <c r="D238" s="204">
        <v>85</v>
      </c>
      <c r="E238" s="204">
        <v>85</v>
      </c>
      <c r="F238" s="204" t="s">
        <v>243</v>
      </c>
      <c r="G238" s="204">
        <v>2262</v>
      </c>
      <c r="H238" s="204" t="s">
        <v>270</v>
      </c>
      <c r="I238" s="204">
        <v>383</v>
      </c>
      <c r="J238" s="209">
        <v>42428</v>
      </c>
      <c r="K238" s="210">
        <v>0.61875000000000002</v>
      </c>
      <c r="L238" s="209">
        <v>42430</v>
      </c>
      <c r="M238" s="204" t="s">
        <v>853</v>
      </c>
      <c r="N238" s="204" t="s">
        <v>955</v>
      </c>
      <c r="O238" s="204" t="s">
        <v>956</v>
      </c>
      <c r="P238" s="204" t="s">
        <v>615</v>
      </c>
      <c r="Q238" s="204" t="s">
        <v>558</v>
      </c>
      <c r="R238" s="204" t="s">
        <v>957</v>
      </c>
      <c r="S238" s="204" t="s">
        <v>156</v>
      </c>
      <c r="T238" s="204" t="s">
        <v>277</v>
      </c>
      <c r="U238" s="204">
        <v>2262</v>
      </c>
      <c r="V238" s="204" t="s">
        <v>156</v>
      </c>
      <c r="W238" s="204" t="s">
        <v>280</v>
      </c>
      <c r="X238" s="204">
        <v>12.930999999999999</v>
      </c>
      <c r="Y238" s="211">
        <v>-0.26</v>
      </c>
      <c r="Z238" s="211">
        <v>2</v>
      </c>
      <c r="AA238" s="211">
        <v>25.85</v>
      </c>
      <c r="AB238" s="211">
        <v>-2.37</v>
      </c>
      <c r="AC238" s="211">
        <v>0</v>
      </c>
      <c r="AD238" s="211">
        <v>0</v>
      </c>
      <c r="AE238" s="211">
        <v>23.22</v>
      </c>
      <c r="AF238" s="211">
        <v>-6.5</v>
      </c>
      <c r="AG238" s="204" t="s">
        <v>279</v>
      </c>
      <c r="AH238" s="211">
        <v>0</v>
      </c>
      <c r="AI238" s="211">
        <v>25.85</v>
      </c>
      <c r="AJ238" s="211">
        <v>0</v>
      </c>
      <c r="AK238" s="204" t="str">
        <f t="shared" si="6"/>
        <v>1.00000000</v>
      </c>
      <c r="AL238" s="204">
        <v>20.6</v>
      </c>
    </row>
    <row r="239" spans="1:38" x14ac:dyDescent="0.2">
      <c r="A239" s="204" t="str">
        <f t="shared" si="7"/>
        <v>0496002595700</v>
      </c>
      <c r="B239" s="204">
        <v>4</v>
      </c>
      <c r="C239" s="204" t="s">
        <v>156</v>
      </c>
      <c r="D239" s="204">
        <v>85</v>
      </c>
      <c r="E239" s="204">
        <v>85</v>
      </c>
      <c r="F239" s="204" t="s">
        <v>243</v>
      </c>
      <c r="G239" s="204">
        <v>2262</v>
      </c>
      <c r="H239" s="204" t="s">
        <v>270</v>
      </c>
      <c r="I239" s="204">
        <v>638</v>
      </c>
      <c r="J239" s="209">
        <v>42428</v>
      </c>
      <c r="K239" s="210">
        <v>0.80138888888888893</v>
      </c>
      <c r="L239" s="209">
        <v>42430</v>
      </c>
      <c r="M239" s="204" t="s">
        <v>853</v>
      </c>
      <c r="N239" s="204" t="s">
        <v>352</v>
      </c>
      <c r="O239" s="204" t="s">
        <v>353</v>
      </c>
      <c r="P239" s="204" t="s">
        <v>343</v>
      </c>
      <c r="Q239" s="204" t="s">
        <v>275</v>
      </c>
      <c r="R239" s="204" t="s">
        <v>602</v>
      </c>
      <c r="S239" s="204" t="s">
        <v>156</v>
      </c>
      <c r="T239" s="204" t="s">
        <v>277</v>
      </c>
      <c r="U239" s="204">
        <v>2262</v>
      </c>
      <c r="V239" s="204" t="s">
        <v>156</v>
      </c>
      <c r="W239" s="204" t="s">
        <v>280</v>
      </c>
      <c r="X239" s="204">
        <v>10.083</v>
      </c>
      <c r="Y239" s="211">
        <v>-0.3</v>
      </c>
      <c r="Z239" s="211">
        <v>1.68</v>
      </c>
      <c r="AA239" s="211">
        <v>16.93</v>
      </c>
      <c r="AB239" s="211">
        <v>-1.85</v>
      </c>
      <c r="AC239" s="211">
        <v>0</v>
      </c>
      <c r="AD239" s="211">
        <v>0</v>
      </c>
      <c r="AE239" s="211">
        <v>14.78</v>
      </c>
      <c r="AF239" s="211">
        <v>-2.42</v>
      </c>
      <c r="AG239" s="204" t="s">
        <v>279</v>
      </c>
      <c r="AH239" s="211">
        <v>0</v>
      </c>
      <c r="AI239" s="211">
        <v>16.93</v>
      </c>
      <c r="AJ239" s="211">
        <v>0</v>
      </c>
      <c r="AK239" s="204" t="str">
        <f t="shared" si="6"/>
        <v>1.00000000</v>
      </c>
      <c r="AL239" s="204">
        <v>25.3</v>
      </c>
    </row>
    <row r="240" spans="1:38" x14ac:dyDescent="0.2">
      <c r="A240" s="204" t="str">
        <f t="shared" si="7"/>
        <v>0496002595700</v>
      </c>
      <c r="B240" s="204">
        <v>4</v>
      </c>
      <c r="C240" s="204" t="s">
        <v>156</v>
      </c>
      <c r="D240" s="204">
        <v>85</v>
      </c>
      <c r="E240" s="204">
        <v>85</v>
      </c>
      <c r="F240" s="204" t="s">
        <v>243</v>
      </c>
      <c r="G240" s="204">
        <v>2262</v>
      </c>
      <c r="H240" s="204" t="s">
        <v>270</v>
      </c>
      <c r="I240" s="204">
        <v>878</v>
      </c>
      <c r="J240" s="209">
        <v>42433</v>
      </c>
      <c r="K240" s="210">
        <v>0.88888888888888884</v>
      </c>
      <c r="L240" s="209">
        <v>42437</v>
      </c>
      <c r="M240" s="204" t="s">
        <v>294</v>
      </c>
      <c r="N240" s="204" t="s">
        <v>498</v>
      </c>
      <c r="O240" s="204" t="s">
        <v>958</v>
      </c>
      <c r="P240" s="204" t="s">
        <v>959</v>
      </c>
      <c r="Q240" s="204" t="s">
        <v>377</v>
      </c>
      <c r="R240" s="204" t="s">
        <v>960</v>
      </c>
      <c r="S240" s="204" t="s">
        <v>156</v>
      </c>
      <c r="T240" s="204" t="s">
        <v>277</v>
      </c>
      <c r="U240" s="204">
        <v>2262</v>
      </c>
      <c r="V240" s="204" t="s">
        <v>156</v>
      </c>
      <c r="W240" s="204" t="s">
        <v>280</v>
      </c>
      <c r="X240" s="204">
        <v>12.9</v>
      </c>
      <c r="Y240" s="211">
        <v>0</v>
      </c>
      <c r="Z240" s="211">
        <v>1.9</v>
      </c>
      <c r="AA240" s="211">
        <v>24.5</v>
      </c>
      <c r="AB240" s="211">
        <v>-2.36</v>
      </c>
      <c r="AC240" s="211">
        <v>0</v>
      </c>
      <c r="AD240" s="211">
        <v>0</v>
      </c>
      <c r="AE240" s="211">
        <v>22.14</v>
      </c>
      <c r="AF240" s="211">
        <v>-3.09</v>
      </c>
      <c r="AG240" s="204" t="s">
        <v>279</v>
      </c>
      <c r="AH240" s="211">
        <v>0</v>
      </c>
      <c r="AI240" s="211">
        <v>24.5</v>
      </c>
      <c r="AJ240" s="211">
        <v>0</v>
      </c>
      <c r="AK240" s="204" t="str">
        <f t="shared" si="6"/>
        <v>1.00000000</v>
      </c>
      <c r="AL240" s="204">
        <v>18.600000000000001</v>
      </c>
    </row>
    <row r="241" spans="1:38" x14ac:dyDescent="0.2">
      <c r="A241" s="204" t="str">
        <f t="shared" si="7"/>
        <v>0496002595700</v>
      </c>
      <c r="B241" s="204">
        <v>4</v>
      </c>
      <c r="C241" s="204" t="s">
        <v>156</v>
      </c>
      <c r="D241" s="204">
        <v>85</v>
      </c>
      <c r="E241" s="204">
        <v>85</v>
      </c>
      <c r="F241" s="204" t="s">
        <v>243</v>
      </c>
      <c r="G241" s="204">
        <v>2262</v>
      </c>
      <c r="H241" s="204" t="s">
        <v>270</v>
      </c>
      <c r="I241" s="204">
        <v>1204</v>
      </c>
      <c r="J241" s="209">
        <v>42438</v>
      </c>
      <c r="K241" s="210">
        <v>0.71458333333333324</v>
      </c>
      <c r="L241" s="209">
        <v>42443</v>
      </c>
      <c r="M241" s="204" t="s">
        <v>325</v>
      </c>
      <c r="N241" s="204" t="s">
        <v>326</v>
      </c>
      <c r="O241" s="204" t="s">
        <v>961</v>
      </c>
      <c r="P241" s="204" t="s">
        <v>962</v>
      </c>
      <c r="Q241" s="204" t="s">
        <v>377</v>
      </c>
      <c r="R241" s="204">
        <v>5101</v>
      </c>
      <c r="S241" s="204" t="s">
        <v>156</v>
      </c>
      <c r="T241" s="204" t="s">
        <v>277</v>
      </c>
      <c r="U241" s="204">
        <v>2262</v>
      </c>
      <c r="V241" s="204" t="s">
        <v>156</v>
      </c>
      <c r="W241" s="204" t="s">
        <v>280</v>
      </c>
      <c r="X241" s="204">
        <v>15.93</v>
      </c>
      <c r="Y241" s="211">
        <v>0</v>
      </c>
      <c r="Z241" s="211">
        <v>1.9</v>
      </c>
      <c r="AA241" s="211">
        <v>30.25</v>
      </c>
      <c r="AB241" s="211">
        <v>-2.92</v>
      </c>
      <c r="AC241" s="211">
        <v>0</v>
      </c>
      <c r="AD241" s="211">
        <v>0</v>
      </c>
      <c r="AE241" s="211">
        <v>27.33</v>
      </c>
      <c r="AF241" s="211">
        <v>-3.82</v>
      </c>
      <c r="AG241" s="204" t="s">
        <v>279</v>
      </c>
      <c r="AH241" s="211">
        <v>0</v>
      </c>
      <c r="AI241" s="211">
        <v>30.25</v>
      </c>
      <c r="AJ241" s="211">
        <v>0</v>
      </c>
      <c r="AK241" s="204" t="str">
        <f t="shared" si="6"/>
        <v>1.00000000</v>
      </c>
      <c r="AL241" s="204">
        <v>20.5</v>
      </c>
    </row>
    <row r="242" spans="1:38" x14ac:dyDescent="0.2">
      <c r="A242" s="204" t="str">
        <f t="shared" si="7"/>
        <v>0496002595700</v>
      </c>
      <c r="B242" s="204">
        <v>4</v>
      </c>
      <c r="C242" s="204" t="s">
        <v>156</v>
      </c>
      <c r="D242" s="204">
        <v>85</v>
      </c>
      <c r="E242" s="204">
        <v>85</v>
      </c>
      <c r="F242" s="204" t="s">
        <v>243</v>
      </c>
      <c r="G242" s="204">
        <v>2262</v>
      </c>
      <c r="H242" s="204" t="s">
        <v>270</v>
      </c>
      <c r="I242" s="204">
        <v>70995</v>
      </c>
      <c r="J242" s="209">
        <v>42443</v>
      </c>
      <c r="K242" s="210">
        <v>0.74375000000000002</v>
      </c>
      <c r="L242" s="209">
        <v>42445</v>
      </c>
      <c r="M242" s="204" t="s">
        <v>853</v>
      </c>
      <c r="N242" s="204" t="s">
        <v>272</v>
      </c>
      <c r="O242" s="204" t="s">
        <v>273</v>
      </c>
      <c r="P242" s="204" t="s">
        <v>274</v>
      </c>
      <c r="Q242" s="204" t="s">
        <v>275</v>
      </c>
      <c r="R242" s="204" t="s">
        <v>276</v>
      </c>
      <c r="S242" s="204" t="s">
        <v>156</v>
      </c>
      <c r="T242" s="204" t="s">
        <v>277</v>
      </c>
      <c r="U242" s="204">
        <v>2262</v>
      </c>
      <c r="V242" s="204" t="s">
        <v>156</v>
      </c>
      <c r="W242" s="204" t="s">
        <v>280</v>
      </c>
      <c r="X242" s="204">
        <v>15.869</v>
      </c>
      <c r="Y242" s="211">
        <v>-0.48</v>
      </c>
      <c r="Z242" s="211">
        <v>1.87</v>
      </c>
      <c r="AA242" s="211">
        <v>29.66</v>
      </c>
      <c r="AB242" s="211">
        <v>-2.9</v>
      </c>
      <c r="AC242" s="211">
        <v>0</v>
      </c>
      <c r="AD242" s="211">
        <v>0</v>
      </c>
      <c r="AE242" s="211">
        <v>26.28</v>
      </c>
      <c r="AF242" s="211">
        <v>-3.81</v>
      </c>
      <c r="AG242" s="204" t="s">
        <v>279</v>
      </c>
      <c r="AH242" s="211">
        <v>0</v>
      </c>
      <c r="AI242" s="211">
        <v>29.66</v>
      </c>
      <c r="AJ242" s="211">
        <v>0</v>
      </c>
      <c r="AK242" s="204" t="str">
        <f t="shared" si="6"/>
        <v>1.00000000</v>
      </c>
      <c r="AL242" s="204">
        <v>20.6</v>
      </c>
    </row>
    <row r="243" spans="1:38" x14ac:dyDescent="0.2">
      <c r="A243" s="204" t="str">
        <f t="shared" si="7"/>
        <v>0496002595700</v>
      </c>
      <c r="B243" s="204">
        <v>4</v>
      </c>
      <c r="C243" s="204" t="s">
        <v>156</v>
      </c>
      <c r="D243" s="204">
        <v>85</v>
      </c>
      <c r="E243" s="204">
        <v>85</v>
      </c>
      <c r="F243" s="204" t="s">
        <v>243</v>
      </c>
      <c r="G243" s="204">
        <v>2262</v>
      </c>
      <c r="H243" s="204" t="s">
        <v>270</v>
      </c>
      <c r="I243" s="204">
        <v>71245</v>
      </c>
      <c r="J243" s="209">
        <v>42456</v>
      </c>
      <c r="K243" s="210">
        <v>0.82013888888888886</v>
      </c>
      <c r="L243" s="209">
        <v>42458</v>
      </c>
      <c r="M243" s="204" t="s">
        <v>853</v>
      </c>
      <c r="N243" s="204" t="s">
        <v>272</v>
      </c>
      <c r="O243" s="204" t="s">
        <v>273</v>
      </c>
      <c r="P243" s="204" t="s">
        <v>274</v>
      </c>
      <c r="Q243" s="204" t="s">
        <v>275</v>
      </c>
      <c r="R243" s="204" t="s">
        <v>276</v>
      </c>
      <c r="S243" s="204" t="s">
        <v>156</v>
      </c>
      <c r="T243" s="204" t="s">
        <v>277</v>
      </c>
      <c r="U243" s="204">
        <v>2262</v>
      </c>
      <c r="V243" s="204" t="s">
        <v>156</v>
      </c>
      <c r="W243" s="204" t="s">
        <v>280</v>
      </c>
      <c r="X243" s="204">
        <v>9.8079999999999998</v>
      </c>
      <c r="Y243" s="211">
        <v>-0.28999999999999998</v>
      </c>
      <c r="Z243" s="211">
        <v>2.04</v>
      </c>
      <c r="AA243" s="211">
        <v>20</v>
      </c>
      <c r="AB243" s="211">
        <v>-1.79</v>
      </c>
      <c r="AC243" s="211">
        <v>0</v>
      </c>
      <c r="AD243" s="211">
        <v>0</v>
      </c>
      <c r="AE243" s="211">
        <v>17.920000000000002</v>
      </c>
      <c r="AF243" s="211">
        <v>-2.35</v>
      </c>
      <c r="AG243" s="204" t="s">
        <v>279</v>
      </c>
      <c r="AH243" s="211">
        <v>0</v>
      </c>
      <c r="AI243" s="211">
        <v>20</v>
      </c>
      <c r="AJ243" s="211">
        <v>0</v>
      </c>
      <c r="AK243" s="204" t="str">
        <f t="shared" si="6"/>
        <v>1.00000000</v>
      </c>
      <c r="AL243" s="204">
        <v>20.6</v>
      </c>
    </row>
    <row r="244" spans="1:38" x14ac:dyDescent="0.2">
      <c r="A244" s="204" t="str">
        <f t="shared" si="7"/>
        <v>0496002595700</v>
      </c>
      <c r="B244" s="204">
        <v>4</v>
      </c>
      <c r="C244" s="204" t="s">
        <v>156</v>
      </c>
      <c r="D244" s="204">
        <v>85</v>
      </c>
      <c r="E244" s="204">
        <v>85</v>
      </c>
      <c r="F244" s="204" t="s">
        <v>243</v>
      </c>
      <c r="G244" s="204">
        <v>2262</v>
      </c>
      <c r="H244" s="204" t="s">
        <v>270</v>
      </c>
      <c r="I244" s="204">
        <v>71454</v>
      </c>
      <c r="J244" s="209">
        <v>42459</v>
      </c>
      <c r="K244" s="210">
        <v>0.67847222222222225</v>
      </c>
      <c r="L244" s="209">
        <v>42461</v>
      </c>
      <c r="M244" s="204" t="s">
        <v>271</v>
      </c>
      <c r="N244" s="204" t="s">
        <v>272</v>
      </c>
      <c r="O244" s="204" t="s">
        <v>273</v>
      </c>
      <c r="P244" s="204" t="s">
        <v>274</v>
      </c>
      <c r="Q244" s="204" t="s">
        <v>275</v>
      </c>
      <c r="R244" s="204" t="s">
        <v>276</v>
      </c>
      <c r="S244" s="204" t="s">
        <v>156</v>
      </c>
      <c r="T244" s="204" t="s">
        <v>277</v>
      </c>
      <c r="U244" s="204">
        <v>2262</v>
      </c>
      <c r="V244" s="204" t="s">
        <v>156</v>
      </c>
      <c r="W244" s="204" t="s">
        <v>280</v>
      </c>
      <c r="X244" s="204">
        <v>13.997</v>
      </c>
      <c r="Y244" s="211">
        <v>-0.42</v>
      </c>
      <c r="Z244" s="211">
        <v>2.0299999999999998</v>
      </c>
      <c r="AA244" s="211">
        <v>28.4</v>
      </c>
      <c r="AB244" s="211">
        <v>-2.56</v>
      </c>
      <c r="AC244" s="211">
        <v>0</v>
      </c>
      <c r="AD244" s="211">
        <v>0</v>
      </c>
      <c r="AE244" s="211">
        <v>25.42</v>
      </c>
      <c r="AF244" s="211">
        <v>-3.36</v>
      </c>
      <c r="AG244" s="204" t="s">
        <v>279</v>
      </c>
      <c r="AH244" s="211">
        <v>0</v>
      </c>
      <c r="AI244" s="211">
        <v>28.4</v>
      </c>
      <c r="AJ244" s="211">
        <v>0</v>
      </c>
      <c r="AK244" s="204" t="str">
        <f t="shared" si="6"/>
        <v>1.00000000</v>
      </c>
      <c r="AL244" s="204">
        <v>20.6</v>
      </c>
    </row>
    <row r="245" spans="1:38" x14ac:dyDescent="0.2">
      <c r="A245" s="204" t="str">
        <f t="shared" si="7"/>
        <v>0496002595700</v>
      </c>
      <c r="B245" s="204">
        <v>4</v>
      </c>
      <c r="C245" s="204" t="s">
        <v>156</v>
      </c>
      <c r="D245" s="204">
        <v>85</v>
      </c>
      <c r="E245" s="204">
        <v>85</v>
      </c>
      <c r="F245" s="204" t="s">
        <v>243</v>
      </c>
      <c r="G245" s="204">
        <v>2262</v>
      </c>
      <c r="H245" s="204" t="s">
        <v>270</v>
      </c>
      <c r="I245" s="204">
        <v>71695</v>
      </c>
      <c r="J245" s="209">
        <v>42461</v>
      </c>
      <c r="K245" s="210">
        <v>0.72361111111111109</v>
      </c>
      <c r="L245" s="209">
        <v>42465</v>
      </c>
      <c r="M245" s="204" t="s">
        <v>271</v>
      </c>
      <c r="N245" s="204" t="s">
        <v>661</v>
      </c>
      <c r="O245" s="204" t="s">
        <v>662</v>
      </c>
      <c r="P245" s="204" t="s">
        <v>394</v>
      </c>
      <c r="Q245" s="204" t="s">
        <v>395</v>
      </c>
      <c r="R245" s="204" t="s">
        <v>663</v>
      </c>
      <c r="S245" s="204" t="s">
        <v>156</v>
      </c>
      <c r="T245" s="204" t="s">
        <v>277</v>
      </c>
      <c r="U245" s="204">
        <v>2262</v>
      </c>
      <c r="V245" s="204" t="s">
        <v>156</v>
      </c>
      <c r="W245" s="204" t="s">
        <v>280</v>
      </c>
      <c r="X245" s="204">
        <v>13.073</v>
      </c>
      <c r="Y245" s="211">
        <v>-0.26</v>
      </c>
      <c r="Z245" s="211">
        <v>2.08</v>
      </c>
      <c r="AA245" s="211">
        <v>27.18</v>
      </c>
      <c r="AB245" s="211">
        <v>-2.39</v>
      </c>
      <c r="AC245" s="211">
        <v>0</v>
      </c>
      <c r="AD245" s="211">
        <v>0</v>
      </c>
      <c r="AE245" s="211">
        <v>24.53</v>
      </c>
      <c r="AF245" s="211">
        <v>-3.92</v>
      </c>
      <c r="AG245" s="204" t="s">
        <v>279</v>
      </c>
      <c r="AH245" s="211">
        <v>0</v>
      </c>
      <c r="AI245" s="211">
        <v>27.18</v>
      </c>
      <c r="AJ245" s="211">
        <v>0</v>
      </c>
      <c r="AK245" s="204" t="str">
        <f t="shared" si="6"/>
        <v>1.00000000</v>
      </c>
      <c r="AL245" s="204">
        <v>18.399999999999999</v>
      </c>
    </row>
    <row r="246" spans="1:38" x14ac:dyDescent="0.2">
      <c r="A246" s="204" t="str">
        <f t="shared" si="7"/>
        <v>0496002595700</v>
      </c>
      <c r="B246" s="204">
        <v>4</v>
      </c>
      <c r="C246" s="204" t="s">
        <v>156</v>
      </c>
      <c r="D246" s="204">
        <v>85</v>
      </c>
      <c r="E246" s="204">
        <v>85</v>
      </c>
      <c r="F246" s="204" t="s">
        <v>243</v>
      </c>
      <c r="G246" s="204">
        <v>2262</v>
      </c>
      <c r="H246" s="204" t="s">
        <v>270</v>
      </c>
      <c r="I246" s="204">
        <v>71906</v>
      </c>
      <c r="J246" s="209">
        <v>42463</v>
      </c>
      <c r="K246" s="210">
        <v>0.83124999999999993</v>
      </c>
      <c r="L246" s="209">
        <v>42465</v>
      </c>
      <c r="M246" s="204" t="s">
        <v>271</v>
      </c>
      <c r="N246" s="204" t="s">
        <v>272</v>
      </c>
      <c r="O246" s="204" t="s">
        <v>273</v>
      </c>
      <c r="P246" s="204" t="s">
        <v>274</v>
      </c>
      <c r="Q246" s="204" t="s">
        <v>275</v>
      </c>
      <c r="R246" s="204" t="s">
        <v>276</v>
      </c>
      <c r="S246" s="204" t="s">
        <v>156</v>
      </c>
      <c r="T246" s="204" t="s">
        <v>277</v>
      </c>
      <c r="U246" s="204">
        <v>2262</v>
      </c>
      <c r="V246" s="204" t="s">
        <v>156</v>
      </c>
      <c r="W246" s="204" t="s">
        <v>280</v>
      </c>
      <c r="X246" s="204">
        <v>10.887</v>
      </c>
      <c r="Y246" s="211">
        <v>-0.33</v>
      </c>
      <c r="Z246" s="211">
        <v>2.0299999999999998</v>
      </c>
      <c r="AA246" s="211">
        <v>22.09</v>
      </c>
      <c r="AB246" s="211">
        <v>-1.99</v>
      </c>
      <c r="AC246" s="211">
        <v>0</v>
      </c>
      <c r="AD246" s="211">
        <v>0</v>
      </c>
      <c r="AE246" s="211">
        <v>19.77</v>
      </c>
      <c r="AF246" s="211">
        <v>-2.61</v>
      </c>
      <c r="AG246" s="204" t="s">
        <v>279</v>
      </c>
      <c r="AH246" s="211">
        <v>0</v>
      </c>
      <c r="AI246" s="211">
        <v>22.09</v>
      </c>
      <c r="AJ246" s="211">
        <v>0</v>
      </c>
      <c r="AK246" s="204" t="str">
        <f t="shared" si="6"/>
        <v>1.00000000</v>
      </c>
      <c r="AL246" s="204">
        <v>19.399999999999999</v>
      </c>
    </row>
    <row r="247" spans="1:38" x14ac:dyDescent="0.2">
      <c r="A247" s="204" t="str">
        <f t="shared" si="7"/>
        <v>0496002595700</v>
      </c>
      <c r="B247" s="204">
        <v>4</v>
      </c>
      <c r="C247" s="204" t="s">
        <v>156</v>
      </c>
      <c r="D247" s="204">
        <v>85</v>
      </c>
      <c r="E247" s="204">
        <v>85</v>
      </c>
      <c r="F247" s="204" t="s">
        <v>243</v>
      </c>
      <c r="G247" s="204">
        <v>2262</v>
      </c>
      <c r="H247" s="204" t="s">
        <v>270</v>
      </c>
      <c r="I247" s="204">
        <v>72136</v>
      </c>
      <c r="J247" s="209">
        <v>42468</v>
      </c>
      <c r="K247" s="210">
        <v>0.71805555555555556</v>
      </c>
      <c r="L247" s="209">
        <v>42472</v>
      </c>
      <c r="M247" s="204" t="s">
        <v>271</v>
      </c>
      <c r="N247" s="204" t="s">
        <v>272</v>
      </c>
      <c r="O247" s="204" t="s">
        <v>273</v>
      </c>
      <c r="P247" s="204" t="s">
        <v>274</v>
      </c>
      <c r="Q247" s="204" t="s">
        <v>275</v>
      </c>
      <c r="R247" s="204" t="s">
        <v>276</v>
      </c>
      <c r="S247" s="204" t="s">
        <v>156</v>
      </c>
      <c r="T247" s="204" t="s">
        <v>277</v>
      </c>
      <c r="U247" s="204">
        <v>2262</v>
      </c>
      <c r="V247" s="204" t="s">
        <v>156</v>
      </c>
      <c r="W247" s="204" t="s">
        <v>280</v>
      </c>
      <c r="X247" s="204">
        <v>11.547000000000001</v>
      </c>
      <c r="Y247" s="211">
        <v>-0.35</v>
      </c>
      <c r="Z247" s="211">
        <v>2.0299999999999998</v>
      </c>
      <c r="AA247" s="211">
        <v>23.43</v>
      </c>
      <c r="AB247" s="211">
        <v>-2.11</v>
      </c>
      <c r="AC247" s="211">
        <v>0</v>
      </c>
      <c r="AD247" s="211">
        <v>0</v>
      </c>
      <c r="AE247" s="211">
        <v>20.97</v>
      </c>
      <c r="AF247" s="211">
        <v>-2.77</v>
      </c>
      <c r="AG247" s="204" t="s">
        <v>279</v>
      </c>
      <c r="AH247" s="211">
        <v>0</v>
      </c>
      <c r="AI247" s="211">
        <v>23.43</v>
      </c>
      <c r="AJ247" s="211">
        <v>0</v>
      </c>
      <c r="AK247" s="204" t="str">
        <f t="shared" si="6"/>
        <v>1.00000000</v>
      </c>
      <c r="AL247" s="204">
        <v>19.899999999999999</v>
      </c>
    </row>
    <row r="248" spans="1:38" x14ac:dyDescent="0.2">
      <c r="A248" s="204" t="str">
        <f t="shared" si="7"/>
        <v>0496002595700</v>
      </c>
      <c r="B248" s="204">
        <v>4</v>
      </c>
      <c r="C248" s="204" t="s">
        <v>156</v>
      </c>
      <c r="D248" s="204">
        <v>85</v>
      </c>
      <c r="E248" s="204">
        <v>85</v>
      </c>
      <c r="F248" s="204" t="s">
        <v>243</v>
      </c>
      <c r="G248" s="204">
        <v>2262</v>
      </c>
      <c r="H248" s="204" t="s">
        <v>270</v>
      </c>
      <c r="I248" s="204">
        <v>72419</v>
      </c>
      <c r="J248" s="209">
        <v>42474</v>
      </c>
      <c r="K248" s="210">
        <v>0.30069444444444443</v>
      </c>
      <c r="L248" s="209">
        <v>42478</v>
      </c>
      <c r="M248" s="204" t="s">
        <v>271</v>
      </c>
      <c r="N248" s="204" t="s">
        <v>272</v>
      </c>
      <c r="O248" s="204" t="s">
        <v>273</v>
      </c>
      <c r="P248" s="204" t="s">
        <v>274</v>
      </c>
      <c r="Q248" s="204" t="s">
        <v>275</v>
      </c>
      <c r="R248" s="204" t="s">
        <v>276</v>
      </c>
      <c r="S248" s="204" t="s">
        <v>156</v>
      </c>
      <c r="T248" s="204" t="s">
        <v>277</v>
      </c>
      <c r="U248" s="204">
        <v>2262</v>
      </c>
      <c r="V248" s="204" t="s">
        <v>156</v>
      </c>
      <c r="W248" s="204" t="s">
        <v>335</v>
      </c>
      <c r="X248" s="204">
        <v>10.1</v>
      </c>
      <c r="Y248" s="211">
        <v>-0.3</v>
      </c>
      <c r="Z248" s="211">
        <v>2.29</v>
      </c>
      <c r="AA248" s="211">
        <v>23.12</v>
      </c>
      <c r="AB248" s="211">
        <v>-1.85</v>
      </c>
      <c r="AC248" s="211">
        <v>0</v>
      </c>
      <c r="AD248" s="211">
        <v>0</v>
      </c>
      <c r="AE248" s="211">
        <v>20.97</v>
      </c>
      <c r="AF248" s="211">
        <v>-2.42</v>
      </c>
      <c r="AG248" s="204" t="s">
        <v>279</v>
      </c>
      <c r="AH248" s="211">
        <v>0</v>
      </c>
      <c r="AI248" s="211">
        <v>23.12</v>
      </c>
      <c r="AJ248" s="211">
        <v>0</v>
      </c>
      <c r="AK248" s="204" t="str">
        <f t="shared" si="6"/>
        <v>1.00000000</v>
      </c>
      <c r="AL248" s="204">
        <v>20.8</v>
      </c>
    </row>
    <row r="249" spans="1:38" x14ac:dyDescent="0.2">
      <c r="A249" s="204" t="str">
        <f t="shared" si="7"/>
        <v>0496002595700</v>
      </c>
      <c r="B249" s="204">
        <v>4</v>
      </c>
      <c r="C249" s="204" t="s">
        <v>156</v>
      </c>
      <c r="D249" s="204">
        <v>85</v>
      </c>
      <c r="E249" s="204">
        <v>85</v>
      </c>
      <c r="F249" s="204" t="s">
        <v>243</v>
      </c>
      <c r="G249" s="204">
        <v>2262</v>
      </c>
      <c r="H249" s="204" t="s">
        <v>270</v>
      </c>
      <c r="I249" s="204">
        <v>72516</v>
      </c>
      <c r="J249" s="209">
        <v>42478</v>
      </c>
      <c r="K249" s="210">
        <v>0.67291666666666661</v>
      </c>
      <c r="L249" s="209">
        <v>42480</v>
      </c>
      <c r="M249" s="204" t="s">
        <v>271</v>
      </c>
      <c r="N249" s="204" t="s">
        <v>272</v>
      </c>
      <c r="O249" s="204" t="s">
        <v>273</v>
      </c>
      <c r="P249" s="204" t="s">
        <v>274</v>
      </c>
      <c r="Q249" s="204" t="s">
        <v>275</v>
      </c>
      <c r="R249" s="204" t="s">
        <v>276</v>
      </c>
      <c r="S249" s="204" t="s">
        <v>156</v>
      </c>
      <c r="T249" s="204" t="s">
        <v>277</v>
      </c>
      <c r="U249" s="204">
        <v>2262</v>
      </c>
      <c r="V249" s="204" t="s">
        <v>156</v>
      </c>
      <c r="W249" s="204" t="s">
        <v>280</v>
      </c>
      <c r="X249" s="204">
        <v>12.082000000000001</v>
      </c>
      <c r="Y249" s="211">
        <v>-0.36</v>
      </c>
      <c r="Z249" s="211">
        <v>2.09</v>
      </c>
      <c r="AA249" s="211">
        <v>25.24</v>
      </c>
      <c r="AB249" s="211">
        <v>-2.21</v>
      </c>
      <c r="AC249" s="211">
        <v>0</v>
      </c>
      <c r="AD249" s="211">
        <v>0</v>
      </c>
      <c r="AE249" s="211">
        <v>22.67</v>
      </c>
      <c r="AF249" s="211">
        <v>-2.9</v>
      </c>
      <c r="AG249" s="204" t="s">
        <v>279</v>
      </c>
      <c r="AH249" s="211">
        <v>0</v>
      </c>
      <c r="AI249" s="211">
        <v>25.24</v>
      </c>
      <c r="AJ249" s="211">
        <v>0</v>
      </c>
      <c r="AK249" s="204" t="str">
        <f t="shared" si="6"/>
        <v>1.00000000</v>
      </c>
      <c r="AL249" s="204">
        <v>20.8</v>
      </c>
    </row>
    <row r="250" spans="1:38" x14ac:dyDescent="0.2">
      <c r="A250" s="204" t="str">
        <f t="shared" si="7"/>
        <v>0496002595700</v>
      </c>
      <c r="B250" s="204">
        <v>4</v>
      </c>
      <c r="C250" s="204" t="s">
        <v>156</v>
      </c>
      <c r="D250" s="204">
        <v>85</v>
      </c>
      <c r="E250" s="204">
        <v>85</v>
      </c>
      <c r="F250" s="204" t="s">
        <v>243</v>
      </c>
      <c r="G250" s="204">
        <v>2262</v>
      </c>
      <c r="H250" s="204" t="s">
        <v>270</v>
      </c>
      <c r="I250" s="204">
        <v>72853</v>
      </c>
      <c r="J250" s="209">
        <v>42490</v>
      </c>
      <c r="K250" s="210">
        <v>0.9291666666666667</v>
      </c>
      <c r="L250" s="209">
        <v>42493</v>
      </c>
      <c r="M250" s="204" t="s">
        <v>302</v>
      </c>
      <c r="N250" s="204" t="s">
        <v>963</v>
      </c>
      <c r="O250" s="204" t="s">
        <v>964</v>
      </c>
      <c r="P250" s="204" t="s">
        <v>965</v>
      </c>
      <c r="Q250" s="204" t="s">
        <v>275</v>
      </c>
      <c r="R250" s="204" t="s">
        <v>966</v>
      </c>
      <c r="S250" s="204" t="s">
        <v>156</v>
      </c>
      <c r="T250" s="204" t="s">
        <v>277</v>
      </c>
      <c r="U250" s="204">
        <v>2262</v>
      </c>
      <c r="V250" s="204" t="s">
        <v>156</v>
      </c>
      <c r="W250" s="204" t="s">
        <v>280</v>
      </c>
      <c r="X250" s="204">
        <v>17.398</v>
      </c>
      <c r="Y250" s="211">
        <v>0</v>
      </c>
      <c r="Z250" s="211">
        <v>2.2999999999999998</v>
      </c>
      <c r="AA250" s="211">
        <v>40</v>
      </c>
      <c r="AB250" s="211">
        <v>-3.18</v>
      </c>
      <c r="AC250" s="211">
        <v>0</v>
      </c>
      <c r="AD250" s="211">
        <v>0</v>
      </c>
      <c r="AE250" s="211">
        <v>36.82</v>
      </c>
      <c r="AF250" s="211">
        <v>-4.18</v>
      </c>
      <c r="AG250" s="204" t="s">
        <v>279</v>
      </c>
      <c r="AH250" s="211">
        <v>0</v>
      </c>
      <c r="AI250" s="211">
        <v>40</v>
      </c>
      <c r="AJ250" s="211">
        <v>0</v>
      </c>
      <c r="AK250" s="204" t="str">
        <f t="shared" si="6"/>
        <v>1.00000000</v>
      </c>
      <c r="AL250" s="204">
        <v>8</v>
      </c>
    </row>
    <row r="251" spans="1:38" x14ac:dyDescent="0.2">
      <c r="A251" s="204" t="str">
        <f t="shared" si="7"/>
        <v>0496002595700</v>
      </c>
      <c r="B251" s="204">
        <v>4</v>
      </c>
      <c r="C251" s="204" t="s">
        <v>156</v>
      </c>
      <c r="D251" s="204">
        <v>85</v>
      </c>
      <c r="E251" s="204">
        <v>85</v>
      </c>
      <c r="F251" s="204" t="s">
        <v>243</v>
      </c>
      <c r="G251" s="204">
        <v>2262</v>
      </c>
      <c r="H251" s="204" t="s">
        <v>270</v>
      </c>
      <c r="I251" s="204">
        <v>73032</v>
      </c>
      <c r="J251" s="209">
        <v>42496</v>
      </c>
      <c r="K251" s="210">
        <v>0.59583333333333333</v>
      </c>
      <c r="L251" s="209">
        <v>42500</v>
      </c>
      <c r="M251" s="204" t="s">
        <v>271</v>
      </c>
      <c r="N251" s="204" t="s">
        <v>272</v>
      </c>
      <c r="O251" s="204" t="s">
        <v>273</v>
      </c>
      <c r="P251" s="204" t="s">
        <v>274</v>
      </c>
      <c r="Q251" s="204" t="s">
        <v>275</v>
      </c>
      <c r="R251" s="204" t="s">
        <v>276</v>
      </c>
      <c r="S251" s="204" t="s">
        <v>156</v>
      </c>
      <c r="T251" s="204" t="s">
        <v>277</v>
      </c>
      <c r="U251" s="204">
        <v>2262</v>
      </c>
      <c r="V251" s="204" t="s">
        <v>156</v>
      </c>
      <c r="W251" s="204" t="s">
        <v>280</v>
      </c>
      <c r="X251" s="204">
        <v>9.3170000000000002</v>
      </c>
      <c r="Y251" s="211">
        <v>-0.28000000000000003</v>
      </c>
      <c r="Z251" s="211">
        <v>2.33</v>
      </c>
      <c r="AA251" s="211">
        <v>21.7</v>
      </c>
      <c r="AB251" s="211">
        <v>-1.71</v>
      </c>
      <c r="AC251" s="211">
        <v>0</v>
      </c>
      <c r="AD251" s="211">
        <v>0</v>
      </c>
      <c r="AE251" s="211">
        <v>19.71</v>
      </c>
      <c r="AF251" s="211">
        <v>-2.2400000000000002</v>
      </c>
      <c r="AG251" s="204" t="s">
        <v>279</v>
      </c>
      <c r="AH251" s="211">
        <v>0</v>
      </c>
      <c r="AI251" s="211">
        <v>21.7</v>
      </c>
      <c r="AJ251" s="211">
        <v>0</v>
      </c>
      <c r="AK251" s="204" t="str">
        <f t="shared" si="6"/>
        <v>1.00000000</v>
      </c>
      <c r="AL251" s="204">
        <v>19.2</v>
      </c>
    </row>
    <row r="252" spans="1:38" x14ac:dyDescent="0.2">
      <c r="A252" s="204" t="str">
        <f t="shared" si="7"/>
        <v>0496002595700</v>
      </c>
      <c r="B252" s="204">
        <v>4</v>
      </c>
      <c r="C252" s="204" t="s">
        <v>156</v>
      </c>
      <c r="D252" s="204">
        <v>85</v>
      </c>
      <c r="E252" s="204">
        <v>85</v>
      </c>
      <c r="F252" s="204" t="s">
        <v>243</v>
      </c>
      <c r="G252" s="204">
        <v>2262</v>
      </c>
      <c r="H252" s="204" t="s">
        <v>270</v>
      </c>
      <c r="I252" s="204">
        <v>5500</v>
      </c>
      <c r="J252" s="209">
        <v>42501</v>
      </c>
      <c r="K252" s="210">
        <v>0.45555555555555555</v>
      </c>
      <c r="L252" s="209">
        <v>42503</v>
      </c>
      <c r="M252" s="204" t="s">
        <v>271</v>
      </c>
      <c r="N252" s="204" t="s">
        <v>272</v>
      </c>
      <c r="O252" s="204" t="s">
        <v>273</v>
      </c>
      <c r="P252" s="204" t="s">
        <v>274</v>
      </c>
      <c r="Q252" s="204" t="s">
        <v>275</v>
      </c>
      <c r="R252" s="204" t="s">
        <v>276</v>
      </c>
      <c r="S252" s="204" t="s">
        <v>156</v>
      </c>
      <c r="T252" s="204" t="s">
        <v>277</v>
      </c>
      <c r="U252" s="204">
        <v>2262</v>
      </c>
      <c r="V252" s="204" t="s">
        <v>156</v>
      </c>
      <c r="W252" s="204" t="s">
        <v>280</v>
      </c>
      <c r="X252" s="204">
        <v>4.6950000000000003</v>
      </c>
      <c r="Y252" s="211">
        <v>-0.14000000000000001</v>
      </c>
      <c r="Z252" s="211">
        <v>2.23</v>
      </c>
      <c r="AA252" s="211">
        <v>10.47</v>
      </c>
      <c r="AB252" s="211">
        <v>-0.86</v>
      </c>
      <c r="AC252" s="211">
        <v>0</v>
      </c>
      <c r="AD252" s="211">
        <v>0</v>
      </c>
      <c r="AE252" s="211">
        <v>9.4700000000000006</v>
      </c>
      <c r="AF252" s="211">
        <v>-1.1299999999999999</v>
      </c>
      <c r="AG252" s="204" t="s">
        <v>279</v>
      </c>
      <c r="AH252" s="211">
        <v>0</v>
      </c>
      <c r="AI252" s="211">
        <v>10.47</v>
      </c>
      <c r="AJ252" s="211">
        <v>0</v>
      </c>
      <c r="AK252" s="204" t="str">
        <f t="shared" si="6"/>
        <v>1.00000000</v>
      </c>
      <c r="AL252" s="204">
        <v>19.399999999999999</v>
      </c>
    </row>
    <row r="253" spans="1:38" x14ac:dyDescent="0.2">
      <c r="A253" s="204" t="str">
        <f t="shared" si="7"/>
        <v>0496002595700</v>
      </c>
      <c r="B253" s="204">
        <v>4</v>
      </c>
      <c r="C253" s="204" t="s">
        <v>156</v>
      </c>
      <c r="D253" s="204">
        <v>85</v>
      </c>
      <c r="E253" s="204">
        <v>85</v>
      </c>
      <c r="F253" s="204" t="s">
        <v>243</v>
      </c>
      <c r="G253" s="204">
        <v>2262</v>
      </c>
      <c r="H253" s="204" t="s">
        <v>270</v>
      </c>
      <c r="I253" s="204">
        <v>5600</v>
      </c>
      <c r="J253" s="209">
        <v>42501</v>
      </c>
      <c r="K253" s="210">
        <v>0.79311342592592593</v>
      </c>
      <c r="L253" s="209">
        <v>42503</v>
      </c>
      <c r="M253" s="204" t="s">
        <v>340</v>
      </c>
      <c r="N253" s="204" t="s">
        <v>341</v>
      </c>
      <c r="O253" s="204" t="s">
        <v>342</v>
      </c>
      <c r="P253" s="204" t="s">
        <v>343</v>
      </c>
      <c r="Q253" s="204" t="s">
        <v>275</v>
      </c>
      <c r="R253" s="204" t="s">
        <v>629</v>
      </c>
      <c r="S253" s="204" t="s">
        <v>156</v>
      </c>
      <c r="T253" s="204" t="s">
        <v>277</v>
      </c>
      <c r="U253" s="204">
        <v>2262</v>
      </c>
      <c r="V253" s="204" t="s">
        <v>156</v>
      </c>
      <c r="W253" s="204" t="s">
        <v>280</v>
      </c>
      <c r="X253" s="204">
        <v>9.0939999999999994</v>
      </c>
      <c r="Y253" s="211">
        <v>0</v>
      </c>
      <c r="Z253" s="211">
        <v>2.2000000000000002</v>
      </c>
      <c r="AA253" s="211">
        <v>20</v>
      </c>
      <c r="AB253" s="211">
        <v>-1.66</v>
      </c>
      <c r="AC253" s="211">
        <v>0</v>
      </c>
      <c r="AD253" s="211">
        <v>0</v>
      </c>
      <c r="AE253" s="211">
        <v>18.34</v>
      </c>
      <c r="AF253" s="211">
        <v>-2.1800000000000002</v>
      </c>
      <c r="AG253" s="204" t="s">
        <v>279</v>
      </c>
      <c r="AH253" s="211">
        <v>0</v>
      </c>
      <c r="AI253" s="211">
        <v>20</v>
      </c>
      <c r="AJ253" s="211">
        <v>0</v>
      </c>
      <c r="AK253" s="204" t="str">
        <f t="shared" si="6"/>
        <v>1.00000000</v>
      </c>
      <c r="AL253" s="204">
        <v>19.399999999999999</v>
      </c>
    </row>
    <row r="254" spans="1:38" x14ac:dyDescent="0.2">
      <c r="A254" s="204" t="str">
        <f t="shared" si="7"/>
        <v>0496002595700</v>
      </c>
      <c r="B254" s="204">
        <v>4</v>
      </c>
      <c r="C254" s="204" t="s">
        <v>156</v>
      </c>
      <c r="D254" s="204">
        <v>85</v>
      </c>
      <c r="E254" s="204">
        <v>85</v>
      </c>
      <c r="F254" s="204" t="s">
        <v>243</v>
      </c>
      <c r="G254" s="204">
        <v>2262</v>
      </c>
      <c r="H254" s="204" t="s">
        <v>270</v>
      </c>
      <c r="I254" s="204">
        <v>73460</v>
      </c>
      <c r="J254" s="209">
        <v>42509</v>
      </c>
      <c r="K254" s="210">
        <v>0.71388888888888891</v>
      </c>
      <c r="L254" s="209">
        <v>42513</v>
      </c>
      <c r="M254" s="204" t="s">
        <v>271</v>
      </c>
      <c r="N254" s="204" t="s">
        <v>272</v>
      </c>
      <c r="O254" s="204" t="s">
        <v>273</v>
      </c>
      <c r="P254" s="204" t="s">
        <v>274</v>
      </c>
      <c r="Q254" s="204" t="s">
        <v>275</v>
      </c>
      <c r="R254" s="204" t="s">
        <v>276</v>
      </c>
      <c r="S254" s="204" t="s">
        <v>156</v>
      </c>
      <c r="T254" s="204" t="s">
        <v>277</v>
      </c>
      <c r="U254" s="204">
        <v>2262</v>
      </c>
      <c r="V254" s="204" t="s">
        <v>156</v>
      </c>
      <c r="W254" s="204" t="s">
        <v>280</v>
      </c>
      <c r="X254" s="204">
        <v>8.3859999999999992</v>
      </c>
      <c r="Y254" s="211">
        <v>-0.25</v>
      </c>
      <c r="Z254" s="211">
        <v>2.27</v>
      </c>
      <c r="AA254" s="211">
        <v>19.03</v>
      </c>
      <c r="AB254" s="211">
        <v>-1.53</v>
      </c>
      <c r="AC254" s="211">
        <v>0</v>
      </c>
      <c r="AD254" s="211">
        <v>0</v>
      </c>
      <c r="AE254" s="211">
        <v>17.25</v>
      </c>
      <c r="AF254" s="211">
        <v>-2.0099999999999998</v>
      </c>
      <c r="AG254" s="204" t="s">
        <v>279</v>
      </c>
      <c r="AH254" s="211">
        <v>0</v>
      </c>
      <c r="AI254" s="211">
        <v>19.03</v>
      </c>
      <c r="AJ254" s="211">
        <v>0</v>
      </c>
      <c r="AK254" s="204" t="str">
        <f t="shared" si="6"/>
        <v>1.00000000</v>
      </c>
      <c r="AL254" s="204">
        <v>19.3</v>
      </c>
    </row>
    <row r="255" spans="1:38" x14ac:dyDescent="0.2">
      <c r="A255" s="204" t="str">
        <f t="shared" si="7"/>
        <v>0496002595700</v>
      </c>
      <c r="B255" s="204">
        <v>4</v>
      </c>
      <c r="C255" s="204" t="s">
        <v>156</v>
      </c>
      <c r="D255" s="204">
        <v>85</v>
      </c>
      <c r="E255" s="204">
        <v>85</v>
      </c>
      <c r="F255" s="204" t="s">
        <v>243</v>
      </c>
      <c r="G255" s="204">
        <v>2262</v>
      </c>
      <c r="H255" s="204" t="s">
        <v>270</v>
      </c>
      <c r="I255" s="204">
        <v>73653</v>
      </c>
      <c r="J255" s="209">
        <v>42513</v>
      </c>
      <c r="K255" s="210">
        <v>0.58402777777777781</v>
      </c>
      <c r="L255" s="209">
        <v>42515</v>
      </c>
      <c r="M255" s="204" t="s">
        <v>271</v>
      </c>
      <c r="N255" s="204" t="s">
        <v>272</v>
      </c>
      <c r="O255" s="204" t="s">
        <v>273</v>
      </c>
      <c r="P255" s="204" t="s">
        <v>274</v>
      </c>
      <c r="Q255" s="204" t="s">
        <v>275</v>
      </c>
      <c r="R255" s="204" t="s">
        <v>276</v>
      </c>
      <c r="S255" s="204" t="s">
        <v>156</v>
      </c>
      <c r="T255" s="204" t="s">
        <v>277</v>
      </c>
      <c r="U255" s="204">
        <v>2262</v>
      </c>
      <c r="V255" s="204" t="s">
        <v>156</v>
      </c>
      <c r="W255" s="204" t="s">
        <v>280</v>
      </c>
      <c r="X255" s="204">
        <v>9.5760000000000005</v>
      </c>
      <c r="Y255" s="211">
        <v>-0.28999999999999998</v>
      </c>
      <c r="Z255" s="211">
        <v>2.27</v>
      </c>
      <c r="AA255" s="211">
        <v>21.73</v>
      </c>
      <c r="AB255" s="211">
        <v>-1.75</v>
      </c>
      <c r="AC255" s="211">
        <v>0</v>
      </c>
      <c r="AD255" s="211">
        <v>0</v>
      </c>
      <c r="AE255" s="211">
        <v>19.690000000000001</v>
      </c>
      <c r="AF255" s="211">
        <v>-2.2999999999999998</v>
      </c>
      <c r="AG255" s="204" t="s">
        <v>279</v>
      </c>
      <c r="AH255" s="211">
        <v>0</v>
      </c>
      <c r="AI255" s="211">
        <v>21.73</v>
      </c>
      <c r="AJ255" s="211">
        <v>0</v>
      </c>
      <c r="AK255" s="204" t="str">
        <f t="shared" si="6"/>
        <v>1.00000000</v>
      </c>
      <c r="AL255" s="204">
        <v>20.2</v>
      </c>
    </row>
    <row r="256" spans="1:38" x14ac:dyDescent="0.2">
      <c r="A256" s="204" t="str">
        <f t="shared" si="7"/>
        <v>0496002595700</v>
      </c>
      <c r="B256" s="204">
        <v>4</v>
      </c>
      <c r="C256" s="204" t="s">
        <v>156</v>
      </c>
      <c r="D256" s="204">
        <v>85</v>
      </c>
      <c r="E256" s="204">
        <v>85</v>
      </c>
      <c r="F256" s="204" t="s">
        <v>243</v>
      </c>
      <c r="G256" s="204">
        <v>2262</v>
      </c>
      <c r="H256" s="204" t="s">
        <v>270</v>
      </c>
      <c r="I256" s="204">
        <v>73828</v>
      </c>
      <c r="J256" s="209">
        <v>42517</v>
      </c>
      <c r="K256" s="210">
        <v>0.65138888888888891</v>
      </c>
      <c r="L256" s="209">
        <v>42521</v>
      </c>
      <c r="M256" s="204" t="s">
        <v>271</v>
      </c>
      <c r="N256" s="204" t="s">
        <v>272</v>
      </c>
      <c r="O256" s="204" t="s">
        <v>273</v>
      </c>
      <c r="P256" s="204" t="s">
        <v>274</v>
      </c>
      <c r="Q256" s="204" t="s">
        <v>275</v>
      </c>
      <c r="R256" s="204" t="s">
        <v>276</v>
      </c>
      <c r="S256" s="204" t="s">
        <v>156</v>
      </c>
      <c r="T256" s="204" t="s">
        <v>277</v>
      </c>
      <c r="U256" s="204">
        <v>2262</v>
      </c>
      <c r="V256" s="204" t="s">
        <v>156</v>
      </c>
      <c r="W256" s="204" t="s">
        <v>280</v>
      </c>
      <c r="X256" s="204">
        <v>7.1120000000000001</v>
      </c>
      <c r="Y256" s="211">
        <v>-0.21</v>
      </c>
      <c r="Z256" s="211">
        <v>2.29</v>
      </c>
      <c r="AA256" s="211">
        <v>16.28</v>
      </c>
      <c r="AB256" s="211">
        <v>-1.3</v>
      </c>
      <c r="AC256" s="211">
        <v>0</v>
      </c>
      <c r="AD256" s="211">
        <v>0</v>
      </c>
      <c r="AE256" s="211">
        <v>14.77</v>
      </c>
      <c r="AF256" s="211">
        <v>-1.71</v>
      </c>
      <c r="AG256" s="204" t="s">
        <v>279</v>
      </c>
      <c r="AH256" s="211">
        <v>0</v>
      </c>
      <c r="AI256" s="211">
        <v>16.28</v>
      </c>
      <c r="AJ256" s="211">
        <v>0</v>
      </c>
      <c r="AK256" s="204" t="str">
        <f t="shared" si="6"/>
        <v>1.00000000</v>
      </c>
      <c r="AL256" s="204">
        <v>19.399999999999999</v>
      </c>
    </row>
    <row r="257" spans="1:38" x14ac:dyDescent="0.2">
      <c r="A257" s="204" t="str">
        <f t="shared" si="7"/>
        <v>0496002595700</v>
      </c>
      <c r="B257" s="204">
        <v>4</v>
      </c>
      <c r="C257" s="204" t="s">
        <v>156</v>
      </c>
      <c r="D257" s="204">
        <v>85</v>
      </c>
      <c r="E257" s="204">
        <v>85</v>
      </c>
      <c r="F257" s="204" t="s">
        <v>243</v>
      </c>
      <c r="G257" s="204">
        <v>2262</v>
      </c>
      <c r="H257" s="204" t="s">
        <v>270</v>
      </c>
      <c r="I257" s="204">
        <v>74503</v>
      </c>
      <c r="J257" s="209">
        <v>42519</v>
      </c>
      <c r="K257" s="210">
        <v>0.94305555555555554</v>
      </c>
      <c r="L257" s="209">
        <v>42521</v>
      </c>
      <c r="M257" s="204" t="s">
        <v>271</v>
      </c>
      <c r="N257" s="204" t="s">
        <v>272</v>
      </c>
      <c r="O257" s="204" t="s">
        <v>273</v>
      </c>
      <c r="P257" s="204" t="s">
        <v>274</v>
      </c>
      <c r="Q257" s="204" t="s">
        <v>275</v>
      </c>
      <c r="R257" s="204" t="s">
        <v>276</v>
      </c>
      <c r="S257" s="204" t="s">
        <v>156</v>
      </c>
      <c r="T257" s="204" t="s">
        <v>277</v>
      </c>
      <c r="U257" s="204">
        <v>2262</v>
      </c>
      <c r="V257" s="204" t="s">
        <v>156</v>
      </c>
      <c r="W257" s="204" t="s">
        <v>280</v>
      </c>
      <c r="X257" s="204">
        <v>13.592000000000001</v>
      </c>
      <c r="Y257" s="211">
        <v>-0.41</v>
      </c>
      <c r="Z257" s="211">
        <v>2.2999999999999998</v>
      </c>
      <c r="AA257" s="211">
        <v>31.25</v>
      </c>
      <c r="AB257" s="211">
        <v>-2.4900000000000002</v>
      </c>
      <c r="AC257" s="211">
        <v>0</v>
      </c>
      <c r="AD257" s="211">
        <v>0</v>
      </c>
      <c r="AE257" s="211">
        <v>28.35</v>
      </c>
      <c r="AF257" s="211">
        <v>-3.26</v>
      </c>
      <c r="AG257" s="204" t="s">
        <v>279</v>
      </c>
      <c r="AH257" s="211">
        <v>0</v>
      </c>
      <c r="AI257" s="211">
        <v>31.25</v>
      </c>
      <c r="AJ257" s="211">
        <v>0</v>
      </c>
      <c r="AK257" s="204" t="str">
        <f t="shared" si="6"/>
        <v>1.00000000</v>
      </c>
      <c r="AL257" s="204">
        <v>19.399999999999999</v>
      </c>
    </row>
    <row r="258" spans="1:38" x14ac:dyDescent="0.2">
      <c r="A258" s="204" t="str">
        <f t="shared" si="7"/>
        <v>0496002595700</v>
      </c>
      <c r="B258" s="204">
        <v>4</v>
      </c>
      <c r="C258" s="204" t="s">
        <v>156</v>
      </c>
      <c r="D258" s="204">
        <v>85</v>
      </c>
      <c r="E258" s="204">
        <v>85</v>
      </c>
      <c r="F258" s="204" t="s">
        <v>243</v>
      </c>
      <c r="G258" s="204">
        <v>2262</v>
      </c>
      <c r="H258" s="204" t="s">
        <v>270</v>
      </c>
      <c r="I258" s="204">
        <v>74746</v>
      </c>
      <c r="J258" s="209">
        <v>42522</v>
      </c>
      <c r="K258" s="210">
        <v>0.52777777777777779</v>
      </c>
      <c r="L258" s="209">
        <v>42527</v>
      </c>
      <c r="M258" s="204" t="s">
        <v>325</v>
      </c>
      <c r="N258" s="204" t="s">
        <v>326</v>
      </c>
      <c r="O258" s="204" t="s">
        <v>967</v>
      </c>
      <c r="P258" s="204" t="s">
        <v>968</v>
      </c>
      <c r="Q258" s="204" t="s">
        <v>289</v>
      </c>
      <c r="R258" s="204">
        <v>8650</v>
      </c>
      <c r="S258" s="204" t="s">
        <v>156</v>
      </c>
      <c r="T258" s="204" t="s">
        <v>277</v>
      </c>
      <c r="U258" s="204">
        <v>2262</v>
      </c>
      <c r="V258" s="204" t="s">
        <v>156</v>
      </c>
      <c r="W258" s="204" t="s">
        <v>330</v>
      </c>
      <c r="X258" s="204">
        <v>10.617000000000001</v>
      </c>
      <c r="Y258" s="211">
        <v>0</v>
      </c>
      <c r="Z258" s="211">
        <v>2.15</v>
      </c>
      <c r="AA258" s="211">
        <v>22.82</v>
      </c>
      <c r="AB258" s="211">
        <v>-1.94</v>
      </c>
      <c r="AC258" s="211">
        <v>0</v>
      </c>
      <c r="AD258" s="211">
        <v>0</v>
      </c>
      <c r="AE258" s="211">
        <v>20.88</v>
      </c>
      <c r="AF258" s="211">
        <v>-1.53</v>
      </c>
      <c r="AG258" s="204" t="s">
        <v>279</v>
      </c>
      <c r="AH258" s="211">
        <v>0</v>
      </c>
      <c r="AI258" s="211">
        <v>22.82</v>
      </c>
      <c r="AJ258" s="211">
        <v>0</v>
      </c>
      <c r="AK258" s="204" t="str">
        <f t="shared" ref="AK258:AK321" si="8">"1.00000000"</f>
        <v>1.00000000</v>
      </c>
      <c r="AL258" s="204">
        <v>22.9</v>
      </c>
    </row>
    <row r="259" spans="1:38" x14ac:dyDescent="0.2">
      <c r="A259" s="204" t="str">
        <f t="shared" si="7"/>
        <v>0496002595700</v>
      </c>
      <c r="B259" s="204">
        <v>4</v>
      </c>
      <c r="C259" s="204" t="s">
        <v>156</v>
      </c>
      <c r="D259" s="204">
        <v>85</v>
      </c>
      <c r="E259" s="204">
        <v>85</v>
      </c>
      <c r="F259" s="204" t="s">
        <v>243</v>
      </c>
      <c r="G259" s="204">
        <v>2262</v>
      </c>
      <c r="H259" s="204" t="s">
        <v>270</v>
      </c>
      <c r="I259" s="204">
        <v>75072</v>
      </c>
      <c r="J259" s="209">
        <v>42523</v>
      </c>
      <c r="K259" s="210">
        <v>0.56944444444444442</v>
      </c>
      <c r="L259" s="209">
        <v>42528</v>
      </c>
      <c r="M259" s="204" t="s">
        <v>325</v>
      </c>
      <c r="N259" s="204" t="s">
        <v>326</v>
      </c>
      <c r="O259" s="204" t="s">
        <v>402</v>
      </c>
      <c r="P259" s="204" t="s">
        <v>403</v>
      </c>
      <c r="Q259" s="204" t="s">
        <v>289</v>
      </c>
      <c r="R259" s="204">
        <v>7095</v>
      </c>
      <c r="S259" s="204" t="s">
        <v>156</v>
      </c>
      <c r="T259" s="204" t="s">
        <v>277</v>
      </c>
      <c r="U259" s="204">
        <v>2262</v>
      </c>
      <c r="V259" s="204" t="s">
        <v>156</v>
      </c>
      <c r="W259" s="204" t="s">
        <v>330</v>
      </c>
      <c r="X259" s="204">
        <v>14.635</v>
      </c>
      <c r="Y259" s="211">
        <v>0</v>
      </c>
      <c r="Z259" s="211">
        <v>2.15</v>
      </c>
      <c r="AA259" s="211">
        <v>31.45</v>
      </c>
      <c r="AB259" s="211">
        <v>-2.68</v>
      </c>
      <c r="AC259" s="211">
        <v>0</v>
      </c>
      <c r="AD259" s="211">
        <v>0</v>
      </c>
      <c r="AE259" s="211">
        <v>28.77</v>
      </c>
      <c r="AF259" s="211">
        <v>-2.13</v>
      </c>
      <c r="AG259" s="204" t="s">
        <v>279</v>
      </c>
      <c r="AH259" s="211">
        <v>0</v>
      </c>
      <c r="AI259" s="211">
        <v>31.45</v>
      </c>
      <c r="AJ259" s="211">
        <v>0</v>
      </c>
      <c r="AK259" s="204" t="str">
        <f t="shared" si="8"/>
        <v>1.00000000</v>
      </c>
      <c r="AL259" s="204">
        <v>22.3</v>
      </c>
    </row>
    <row r="260" spans="1:38" x14ac:dyDescent="0.2">
      <c r="A260" s="204" t="str">
        <f t="shared" si="7"/>
        <v>0496002595700</v>
      </c>
      <c r="B260" s="204">
        <v>4</v>
      </c>
      <c r="C260" s="204" t="s">
        <v>156</v>
      </c>
      <c r="D260" s="204">
        <v>85</v>
      </c>
      <c r="E260" s="204">
        <v>85</v>
      </c>
      <c r="F260" s="204" t="s">
        <v>243</v>
      </c>
      <c r="G260" s="204">
        <v>2262</v>
      </c>
      <c r="H260" s="204" t="s">
        <v>270</v>
      </c>
      <c r="I260" s="204">
        <v>75477</v>
      </c>
      <c r="J260" s="209">
        <v>42526</v>
      </c>
      <c r="K260" s="210">
        <v>0.75208333333333333</v>
      </c>
      <c r="L260" s="209">
        <v>42529</v>
      </c>
      <c r="M260" s="204" t="s">
        <v>325</v>
      </c>
      <c r="N260" s="204" t="s">
        <v>326</v>
      </c>
      <c r="O260" s="204" t="s">
        <v>967</v>
      </c>
      <c r="P260" s="204" t="s">
        <v>968</v>
      </c>
      <c r="Q260" s="204" t="s">
        <v>289</v>
      </c>
      <c r="R260" s="204">
        <v>8650</v>
      </c>
      <c r="S260" s="204" t="s">
        <v>156</v>
      </c>
      <c r="T260" s="204" t="s">
        <v>277</v>
      </c>
      <c r="U260" s="204">
        <v>2262</v>
      </c>
      <c r="V260" s="204" t="s">
        <v>156</v>
      </c>
      <c r="W260" s="204" t="s">
        <v>330</v>
      </c>
      <c r="X260" s="204">
        <v>17.613</v>
      </c>
      <c r="Y260" s="211">
        <v>0</v>
      </c>
      <c r="Z260" s="211">
        <v>2.16</v>
      </c>
      <c r="AA260" s="211">
        <v>38.03</v>
      </c>
      <c r="AB260" s="211">
        <v>-3.22</v>
      </c>
      <c r="AC260" s="211">
        <v>0</v>
      </c>
      <c r="AD260" s="211">
        <v>0</v>
      </c>
      <c r="AE260" s="211">
        <v>34.81</v>
      </c>
      <c r="AF260" s="211">
        <v>-2.5499999999999998</v>
      </c>
      <c r="AG260" s="204" t="s">
        <v>279</v>
      </c>
      <c r="AH260" s="211">
        <v>0</v>
      </c>
      <c r="AI260" s="211">
        <v>38.03</v>
      </c>
      <c r="AJ260" s="211">
        <v>0</v>
      </c>
      <c r="AK260" s="204" t="str">
        <f t="shared" si="8"/>
        <v>1.00000000</v>
      </c>
      <c r="AL260" s="204">
        <v>23</v>
      </c>
    </row>
    <row r="261" spans="1:38" x14ac:dyDescent="0.2">
      <c r="A261" s="204" t="str">
        <f t="shared" si="7"/>
        <v>0496002595700</v>
      </c>
      <c r="B261" s="204">
        <v>4</v>
      </c>
      <c r="C261" s="204" t="s">
        <v>156</v>
      </c>
      <c r="D261" s="204">
        <v>85</v>
      </c>
      <c r="E261" s="204">
        <v>85</v>
      </c>
      <c r="F261" s="204" t="s">
        <v>243</v>
      </c>
      <c r="G261" s="204">
        <v>2262</v>
      </c>
      <c r="H261" s="204" t="s">
        <v>270</v>
      </c>
      <c r="I261" s="204">
        <v>75694</v>
      </c>
      <c r="J261" s="209">
        <v>42527</v>
      </c>
      <c r="K261" s="210">
        <v>0.86736111111111114</v>
      </c>
      <c r="L261" s="209">
        <v>42529</v>
      </c>
      <c r="M261" s="204" t="s">
        <v>408</v>
      </c>
      <c r="N261" s="204" t="s">
        <v>969</v>
      </c>
      <c r="O261" s="204" t="s">
        <v>970</v>
      </c>
      <c r="P261" s="204" t="s">
        <v>892</v>
      </c>
      <c r="Q261" s="204" t="s">
        <v>412</v>
      </c>
      <c r="R261" s="204" t="s">
        <v>971</v>
      </c>
      <c r="S261" s="204" t="s">
        <v>156</v>
      </c>
      <c r="T261" s="204" t="s">
        <v>277</v>
      </c>
      <c r="U261" s="204">
        <v>2262</v>
      </c>
      <c r="V261" s="204" t="s">
        <v>156</v>
      </c>
      <c r="W261" s="204" t="s">
        <v>280</v>
      </c>
      <c r="X261" s="204">
        <v>8.0030000000000001</v>
      </c>
      <c r="Y261" s="211">
        <v>0</v>
      </c>
      <c r="Z261" s="211">
        <v>2.2599999999999998</v>
      </c>
      <c r="AA261" s="211">
        <v>18.079999999999998</v>
      </c>
      <c r="AB261" s="211">
        <v>-1.46</v>
      </c>
      <c r="AC261" s="211">
        <v>0</v>
      </c>
      <c r="AD261" s="211">
        <v>0</v>
      </c>
      <c r="AE261" s="211">
        <v>16.62</v>
      </c>
      <c r="AF261" s="211">
        <v>-2.61</v>
      </c>
      <c r="AG261" s="204" t="s">
        <v>279</v>
      </c>
      <c r="AH261" s="211">
        <v>0</v>
      </c>
      <c r="AI261" s="211">
        <v>18.079999999999998</v>
      </c>
      <c r="AJ261" s="211">
        <v>0</v>
      </c>
      <c r="AK261" s="204" t="str">
        <f t="shared" si="8"/>
        <v>1.00000000</v>
      </c>
      <c r="AL261" s="204">
        <v>22.9</v>
      </c>
    </row>
    <row r="262" spans="1:38" x14ac:dyDescent="0.2">
      <c r="A262" s="204" t="str">
        <f t="shared" si="7"/>
        <v>0496002595700</v>
      </c>
      <c r="B262" s="204">
        <v>4</v>
      </c>
      <c r="C262" s="204" t="s">
        <v>156</v>
      </c>
      <c r="D262" s="204">
        <v>85</v>
      </c>
      <c r="E262" s="204">
        <v>85</v>
      </c>
      <c r="F262" s="204" t="s">
        <v>243</v>
      </c>
      <c r="G262" s="204">
        <v>2262</v>
      </c>
      <c r="H262" s="204" t="s">
        <v>270</v>
      </c>
      <c r="I262" s="204">
        <v>76055</v>
      </c>
      <c r="J262" s="209">
        <v>42530</v>
      </c>
      <c r="K262" s="210">
        <v>0.60528935185185184</v>
      </c>
      <c r="L262" s="209">
        <v>42534</v>
      </c>
      <c r="M262" s="204" t="s">
        <v>396</v>
      </c>
      <c r="N262" s="204" t="s">
        <v>397</v>
      </c>
      <c r="O262" s="204" t="s">
        <v>398</v>
      </c>
      <c r="P262" s="204" t="s">
        <v>343</v>
      </c>
      <c r="Q262" s="204" t="s">
        <v>275</v>
      </c>
      <c r="R262" s="204" t="s">
        <v>686</v>
      </c>
      <c r="S262" s="204" t="s">
        <v>156</v>
      </c>
      <c r="T262" s="204" t="s">
        <v>277</v>
      </c>
      <c r="U262" s="204">
        <v>2262</v>
      </c>
      <c r="V262" s="204" t="s">
        <v>156</v>
      </c>
      <c r="W262" s="204" t="s">
        <v>280</v>
      </c>
      <c r="X262" s="204">
        <v>14.994999999999999</v>
      </c>
      <c r="Y262" s="211">
        <v>0</v>
      </c>
      <c r="Z262" s="211">
        <v>2.2999999999999998</v>
      </c>
      <c r="AA262" s="211">
        <v>34.47</v>
      </c>
      <c r="AB262" s="211">
        <v>-2.74</v>
      </c>
      <c r="AC262" s="211">
        <v>0</v>
      </c>
      <c r="AD262" s="211">
        <v>0</v>
      </c>
      <c r="AE262" s="211">
        <v>31.73</v>
      </c>
      <c r="AF262" s="211">
        <v>-3.6</v>
      </c>
      <c r="AG262" s="204" t="s">
        <v>279</v>
      </c>
      <c r="AH262" s="211">
        <v>0</v>
      </c>
      <c r="AI262" s="211">
        <v>34.47</v>
      </c>
      <c r="AJ262" s="211">
        <v>0</v>
      </c>
      <c r="AK262" s="204" t="str">
        <f t="shared" si="8"/>
        <v>1.00000000</v>
      </c>
      <c r="AL262" s="204">
        <v>24.1</v>
      </c>
    </row>
    <row r="263" spans="1:38" x14ac:dyDescent="0.2">
      <c r="A263" s="204" t="str">
        <f t="shared" si="7"/>
        <v>0496002595700</v>
      </c>
      <c r="B263" s="204">
        <v>4</v>
      </c>
      <c r="C263" s="204" t="s">
        <v>156</v>
      </c>
      <c r="D263" s="204">
        <v>85</v>
      </c>
      <c r="E263" s="204">
        <v>85</v>
      </c>
      <c r="F263" s="204" t="s">
        <v>243</v>
      </c>
      <c r="G263" s="204">
        <v>2262</v>
      </c>
      <c r="H263" s="204" t="s">
        <v>270</v>
      </c>
      <c r="I263" s="204">
        <v>76464</v>
      </c>
      <c r="J263" s="209">
        <v>42534</v>
      </c>
      <c r="K263" s="210">
        <v>0.52013888888888882</v>
      </c>
      <c r="L263" s="209">
        <v>42537</v>
      </c>
      <c r="M263" s="204" t="s">
        <v>325</v>
      </c>
      <c r="N263" s="204" t="s">
        <v>326</v>
      </c>
      <c r="O263" s="204" t="s">
        <v>428</v>
      </c>
      <c r="P263" s="204" t="s">
        <v>428</v>
      </c>
      <c r="Q263" s="204" t="s">
        <v>329</v>
      </c>
      <c r="R263" s="204">
        <v>10974</v>
      </c>
      <c r="S263" s="204" t="s">
        <v>156</v>
      </c>
      <c r="T263" s="204" t="s">
        <v>277</v>
      </c>
      <c r="U263" s="204">
        <v>2262</v>
      </c>
      <c r="V263" s="204" t="s">
        <v>156</v>
      </c>
      <c r="W263" s="204" t="s">
        <v>330</v>
      </c>
      <c r="X263" s="204">
        <v>17.193000000000001</v>
      </c>
      <c r="Y263" s="211">
        <v>0</v>
      </c>
      <c r="Z263" s="211">
        <v>2.66</v>
      </c>
      <c r="AA263" s="211">
        <v>45.72</v>
      </c>
      <c r="AB263" s="211">
        <v>-3.15</v>
      </c>
      <c r="AC263" s="211">
        <v>0</v>
      </c>
      <c r="AD263" s="211">
        <v>0</v>
      </c>
      <c r="AE263" s="211">
        <v>42.57</v>
      </c>
      <c r="AF263" s="211">
        <v>-7.45</v>
      </c>
      <c r="AG263" s="204" t="s">
        <v>279</v>
      </c>
      <c r="AH263" s="211">
        <v>0</v>
      </c>
      <c r="AI263" s="211">
        <v>45.72</v>
      </c>
      <c r="AJ263" s="211">
        <v>0</v>
      </c>
      <c r="AK263" s="204" t="str">
        <f t="shared" si="8"/>
        <v>1.00000000</v>
      </c>
      <c r="AL263" s="204">
        <v>23.8</v>
      </c>
    </row>
    <row r="264" spans="1:38" x14ac:dyDescent="0.2">
      <c r="A264" s="204" t="str">
        <f t="shared" si="7"/>
        <v>0496002595700</v>
      </c>
      <c r="B264" s="204">
        <v>4</v>
      </c>
      <c r="C264" s="204" t="s">
        <v>156</v>
      </c>
      <c r="D264" s="204">
        <v>85</v>
      </c>
      <c r="E264" s="204">
        <v>85</v>
      </c>
      <c r="F264" s="204" t="s">
        <v>243</v>
      </c>
      <c r="G264" s="204">
        <v>2262</v>
      </c>
      <c r="H264" s="204" t="s">
        <v>270</v>
      </c>
      <c r="I264" s="204">
        <v>76810</v>
      </c>
      <c r="J264" s="209">
        <v>42534</v>
      </c>
      <c r="K264" s="210">
        <v>0.92013888888888884</v>
      </c>
      <c r="L264" s="209">
        <v>42537</v>
      </c>
      <c r="M264" s="204" t="s">
        <v>325</v>
      </c>
      <c r="N264" s="204" t="s">
        <v>326</v>
      </c>
      <c r="O264" s="204" t="s">
        <v>432</v>
      </c>
      <c r="P264" s="204" t="s">
        <v>432</v>
      </c>
      <c r="Q264" s="204" t="s">
        <v>329</v>
      </c>
      <c r="R264" s="204">
        <v>13490</v>
      </c>
      <c r="S264" s="204" t="s">
        <v>156</v>
      </c>
      <c r="T264" s="204" t="s">
        <v>277</v>
      </c>
      <c r="U264" s="204">
        <v>2262</v>
      </c>
      <c r="V264" s="204" t="s">
        <v>156</v>
      </c>
      <c r="W264" s="204" t="s">
        <v>330</v>
      </c>
      <c r="X264" s="204">
        <v>14.513</v>
      </c>
      <c r="Y264" s="211">
        <v>0</v>
      </c>
      <c r="Z264" s="211">
        <v>2.38</v>
      </c>
      <c r="AA264" s="211">
        <v>34.53</v>
      </c>
      <c r="AB264" s="211">
        <v>-2.66</v>
      </c>
      <c r="AC264" s="211">
        <v>0</v>
      </c>
      <c r="AD264" s="211">
        <v>0</v>
      </c>
      <c r="AE264" s="211">
        <v>31.87</v>
      </c>
      <c r="AF264" s="211">
        <v>-6.25</v>
      </c>
      <c r="AG264" s="204" t="s">
        <v>279</v>
      </c>
      <c r="AH264" s="211">
        <v>0</v>
      </c>
      <c r="AI264" s="211">
        <v>34.53</v>
      </c>
      <c r="AJ264" s="211">
        <v>0</v>
      </c>
      <c r="AK264" s="204" t="str">
        <f t="shared" si="8"/>
        <v>1.00000000</v>
      </c>
      <c r="AL264" s="204">
        <v>23.8</v>
      </c>
    </row>
    <row r="265" spans="1:38" x14ac:dyDescent="0.2">
      <c r="A265" s="204" t="str">
        <f t="shared" si="7"/>
        <v>0496002595700</v>
      </c>
      <c r="B265" s="204">
        <v>4</v>
      </c>
      <c r="C265" s="204" t="s">
        <v>156</v>
      </c>
      <c r="D265" s="204">
        <v>85</v>
      </c>
      <c r="E265" s="204">
        <v>85</v>
      </c>
      <c r="F265" s="204" t="s">
        <v>243</v>
      </c>
      <c r="G265" s="204">
        <v>2262</v>
      </c>
      <c r="H265" s="204" t="s">
        <v>270</v>
      </c>
      <c r="I265" s="204">
        <v>77231</v>
      </c>
      <c r="J265" s="209">
        <v>42537</v>
      </c>
      <c r="K265" s="210">
        <v>0.76874999999999993</v>
      </c>
      <c r="L265" s="209">
        <v>42542</v>
      </c>
      <c r="M265" s="204" t="s">
        <v>325</v>
      </c>
      <c r="N265" s="204" t="s">
        <v>326</v>
      </c>
      <c r="O265" s="204" t="s">
        <v>972</v>
      </c>
      <c r="P265" s="204" t="s">
        <v>759</v>
      </c>
      <c r="Q265" s="204" t="s">
        <v>289</v>
      </c>
      <c r="R265" s="204">
        <v>7094</v>
      </c>
      <c r="S265" s="204" t="s">
        <v>156</v>
      </c>
      <c r="T265" s="204" t="s">
        <v>277</v>
      </c>
      <c r="U265" s="204">
        <v>2262</v>
      </c>
      <c r="V265" s="204" t="s">
        <v>156</v>
      </c>
      <c r="W265" s="204" t="s">
        <v>330</v>
      </c>
      <c r="X265" s="204">
        <v>17.097999999999999</v>
      </c>
      <c r="Y265" s="211">
        <v>0</v>
      </c>
      <c r="Z265" s="211">
        <v>2.1800000000000002</v>
      </c>
      <c r="AA265" s="211">
        <v>37.26</v>
      </c>
      <c r="AB265" s="211">
        <v>-3.13</v>
      </c>
      <c r="AC265" s="211">
        <v>0</v>
      </c>
      <c r="AD265" s="211">
        <v>0</v>
      </c>
      <c r="AE265" s="211">
        <v>34.130000000000003</v>
      </c>
      <c r="AF265" s="211">
        <v>-2.48</v>
      </c>
      <c r="AG265" s="204" t="s">
        <v>279</v>
      </c>
      <c r="AH265" s="211">
        <v>0</v>
      </c>
      <c r="AI265" s="211">
        <v>37.26</v>
      </c>
      <c r="AJ265" s="211">
        <v>0</v>
      </c>
      <c r="AK265" s="204" t="str">
        <f t="shared" si="8"/>
        <v>1.00000000</v>
      </c>
      <c r="AL265" s="204">
        <v>24.6</v>
      </c>
    </row>
    <row r="266" spans="1:38" x14ac:dyDescent="0.2">
      <c r="A266" s="204" t="str">
        <f t="shared" si="7"/>
        <v>0496002595700</v>
      </c>
      <c r="B266" s="204">
        <v>4</v>
      </c>
      <c r="C266" s="204" t="s">
        <v>156</v>
      </c>
      <c r="D266" s="204">
        <v>85</v>
      </c>
      <c r="E266" s="204">
        <v>85</v>
      </c>
      <c r="F266" s="204" t="s">
        <v>243</v>
      </c>
      <c r="G266" s="204">
        <v>2262</v>
      </c>
      <c r="H266" s="204" t="s">
        <v>270</v>
      </c>
      <c r="I266" s="204">
        <v>77644</v>
      </c>
      <c r="J266" s="209">
        <v>42539</v>
      </c>
      <c r="K266" s="210">
        <v>0.80555555555555547</v>
      </c>
      <c r="L266" s="209">
        <v>42542</v>
      </c>
      <c r="M266" s="204" t="s">
        <v>973</v>
      </c>
      <c r="N266" s="204" t="s">
        <v>974</v>
      </c>
      <c r="O266" s="204" t="s">
        <v>975</v>
      </c>
      <c r="P266" s="204" t="s">
        <v>976</v>
      </c>
      <c r="Q266" s="204" t="s">
        <v>412</v>
      </c>
      <c r="R266" s="204" t="s">
        <v>977</v>
      </c>
      <c r="S266" s="204" t="s">
        <v>156</v>
      </c>
      <c r="T266" s="204" t="s">
        <v>277</v>
      </c>
      <c r="U266" s="204">
        <v>2262</v>
      </c>
      <c r="V266" s="204" t="s">
        <v>156</v>
      </c>
      <c r="W266" s="204" t="s">
        <v>330</v>
      </c>
      <c r="X266" s="204">
        <v>16.72</v>
      </c>
      <c r="Y266" s="211">
        <v>0</v>
      </c>
      <c r="Z266" s="211">
        <v>2.34</v>
      </c>
      <c r="AA266" s="211">
        <v>39.11</v>
      </c>
      <c r="AB266" s="211">
        <v>-3.06</v>
      </c>
      <c r="AC266" s="211">
        <v>0</v>
      </c>
      <c r="AD266" s="211">
        <v>0</v>
      </c>
      <c r="AE266" s="211">
        <v>36.049999999999997</v>
      </c>
      <c r="AF266" s="211">
        <v>-5.45</v>
      </c>
      <c r="AG266" s="204" t="s">
        <v>279</v>
      </c>
      <c r="AH266" s="211">
        <v>0</v>
      </c>
      <c r="AI266" s="211">
        <v>39.11</v>
      </c>
      <c r="AJ266" s="211">
        <v>0</v>
      </c>
      <c r="AK266" s="204" t="str">
        <f t="shared" si="8"/>
        <v>1.00000000</v>
      </c>
      <c r="AL266" s="204">
        <v>24.7</v>
      </c>
    </row>
    <row r="267" spans="1:38" x14ac:dyDescent="0.2">
      <c r="A267" s="204" t="str">
        <f t="shared" si="7"/>
        <v>0496002595700</v>
      </c>
      <c r="B267" s="204">
        <v>4</v>
      </c>
      <c r="C267" s="204" t="s">
        <v>156</v>
      </c>
      <c r="D267" s="204">
        <v>85</v>
      </c>
      <c r="E267" s="204">
        <v>85</v>
      </c>
      <c r="F267" s="204" t="s">
        <v>243</v>
      </c>
      <c r="G267" s="204">
        <v>2262</v>
      </c>
      <c r="H267" s="204" t="s">
        <v>270</v>
      </c>
      <c r="I267" s="204">
        <v>77995</v>
      </c>
      <c r="J267" s="209">
        <v>42541</v>
      </c>
      <c r="K267" s="210">
        <v>0.39652777777777781</v>
      </c>
      <c r="L267" s="209">
        <v>42543</v>
      </c>
      <c r="M267" s="204" t="s">
        <v>302</v>
      </c>
      <c r="N267" s="204" t="s">
        <v>491</v>
      </c>
      <c r="O267" s="204" t="s">
        <v>492</v>
      </c>
      <c r="P267" s="204" t="s">
        <v>493</v>
      </c>
      <c r="Q267" s="204" t="s">
        <v>309</v>
      </c>
      <c r="R267" s="204">
        <v>6831</v>
      </c>
      <c r="S267" s="204" t="s">
        <v>156</v>
      </c>
      <c r="T267" s="204" t="s">
        <v>277</v>
      </c>
      <c r="U267" s="204">
        <v>2262</v>
      </c>
      <c r="V267" s="204" t="s">
        <v>156</v>
      </c>
      <c r="W267" s="204" t="s">
        <v>280</v>
      </c>
      <c r="X267" s="204">
        <v>13.724</v>
      </c>
      <c r="Y267" s="211">
        <v>0</v>
      </c>
      <c r="Z267" s="211">
        <v>2.66</v>
      </c>
      <c r="AA267" s="211">
        <v>36.49</v>
      </c>
      <c r="AB267" s="211">
        <v>-2.5099999999999998</v>
      </c>
      <c r="AC267" s="211">
        <v>0</v>
      </c>
      <c r="AD267" s="211">
        <v>0</v>
      </c>
      <c r="AE267" s="211">
        <v>33.979999999999997</v>
      </c>
      <c r="AF267" s="211">
        <v>-3.43</v>
      </c>
      <c r="AG267" s="204" t="s">
        <v>279</v>
      </c>
      <c r="AH267" s="211">
        <v>0</v>
      </c>
      <c r="AI267" s="211">
        <v>36.49</v>
      </c>
      <c r="AJ267" s="211">
        <v>0</v>
      </c>
      <c r="AK267" s="204" t="str">
        <f t="shared" si="8"/>
        <v>1.00000000</v>
      </c>
      <c r="AL267" s="204">
        <v>25.6</v>
      </c>
    </row>
    <row r="268" spans="1:38" x14ac:dyDescent="0.2">
      <c r="A268" s="204" t="str">
        <f t="shared" si="7"/>
        <v>0496002595700</v>
      </c>
      <c r="B268" s="204">
        <v>5</v>
      </c>
      <c r="C268" s="204" t="s">
        <v>156</v>
      </c>
      <c r="D268" s="204">
        <v>86</v>
      </c>
      <c r="E268" s="204">
        <v>86</v>
      </c>
      <c r="F268" s="204" t="s">
        <v>243</v>
      </c>
      <c r="G268" s="204">
        <v>2262</v>
      </c>
      <c r="H268" s="204" t="s">
        <v>270</v>
      </c>
      <c r="I268" s="204">
        <v>2581</v>
      </c>
      <c r="J268" s="209">
        <v>42376</v>
      </c>
      <c r="K268" s="210">
        <v>0.73402777777777783</v>
      </c>
      <c r="L268" s="209">
        <v>42380</v>
      </c>
      <c r="M268" s="204" t="s">
        <v>853</v>
      </c>
      <c r="N268" s="204" t="s">
        <v>272</v>
      </c>
      <c r="O268" s="204" t="s">
        <v>273</v>
      </c>
      <c r="P268" s="204" t="s">
        <v>274</v>
      </c>
      <c r="Q268" s="204" t="s">
        <v>275</v>
      </c>
      <c r="R268" s="204" t="s">
        <v>276</v>
      </c>
      <c r="S268" s="204" t="s">
        <v>156</v>
      </c>
      <c r="T268" s="204" t="s">
        <v>277</v>
      </c>
      <c r="U268" s="204">
        <v>2262</v>
      </c>
      <c r="V268" s="204" t="s">
        <v>156</v>
      </c>
      <c r="W268" s="204" t="s">
        <v>280</v>
      </c>
      <c r="X268" s="204">
        <v>15.977</v>
      </c>
      <c r="Y268" s="211">
        <v>-0.48</v>
      </c>
      <c r="Z268" s="211">
        <v>1.98</v>
      </c>
      <c r="AA268" s="211">
        <v>31.62</v>
      </c>
      <c r="AB268" s="211">
        <v>-2.92</v>
      </c>
      <c r="AC268" s="211">
        <v>0</v>
      </c>
      <c r="AD268" s="211">
        <v>0</v>
      </c>
      <c r="AE268" s="211">
        <v>28.22</v>
      </c>
      <c r="AF268" s="211">
        <v>-3.83</v>
      </c>
      <c r="AG268" s="204" t="s">
        <v>279</v>
      </c>
      <c r="AH268" s="211">
        <v>0</v>
      </c>
      <c r="AI268" s="211">
        <v>31.62</v>
      </c>
      <c r="AJ268" s="211">
        <v>0</v>
      </c>
      <c r="AK268" s="204" t="str">
        <f t="shared" si="8"/>
        <v>1.00000000</v>
      </c>
      <c r="AL268" s="204">
        <v>14.8</v>
      </c>
    </row>
    <row r="269" spans="1:38" x14ac:dyDescent="0.2">
      <c r="A269" s="204" t="str">
        <f t="shared" si="7"/>
        <v>0496002595700</v>
      </c>
      <c r="B269" s="204">
        <v>5</v>
      </c>
      <c r="C269" s="204" t="s">
        <v>156</v>
      </c>
      <c r="D269" s="204">
        <v>86</v>
      </c>
      <c r="E269" s="204">
        <v>86</v>
      </c>
      <c r="F269" s="204" t="s">
        <v>243</v>
      </c>
      <c r="G269" s="204">
        <v>2262</v>
      </c>
      <c r="H269" s="204" t="s">
        <v>270</v>
      </c>
      <c r="I269" s="204">
        <v>2889</v>
      </c>
      <c r="J269" s="209">
        <v>42391</v>
      </c>
      <c r="K269" s="210">
        <v>0.59375</v>
      </c>
      <c r="L269" s="209">
        <v>42395</v>
      </c>
      <c r="M269" s="204" t="s">
        <v>853</v>
      </c>
      <c r="N269" s="204" t="s">
        <v>272</v>
      </c>
      <c r="O269" s="204" t="s">
        <v>273</v>
      </c>
      <c r="P269" s="204" t="s">
        <v>274</v>
      </c>
      <c r="Q269" s="204" t="s">
        <v>275</v>
      </c>
      <c r="R269" s="204" t="s">
        <v>276</v>
      </c>
      <c r="S269" s="204" t="s">
        <v>156</v>
      </c>
      <c r="T269" s="204" t="s">
        <v>277</v>
      </c>
      <c r="U269" s="204">
        <v>2262</v>
      </c>
      <c r="V269" s="204" t="s">
        <v>156</v>
      </c>
      <c r="W269" s="204" t="s">
        <v>280</v>
      </c>
      <c r="X269" s="204">
        <v>19.375</v>
      </c>
      <c r="Y269" s="211">
        <v>-0.57999999999999996</v>
      </c>
      <c r="Z269" s="211">
        <v>1.89</v>
      </c>
      <c r="AA269" s="211">
        <v>36.6</v>
      </c>
      <c r="AB269" s="211">
        <v>-3.55</v>
      </c>
      <c r="AC269" s="211">
        <v>0</v>
      </c>
      <c r="AD269" s="211">
        <v>0</v>
      </c>
      <c r="AE269" s="211">
        <v>32.47</v>
      </c>
      <c r="AF269" s="211">
        <v>-4.6500000000000004</v>
      </c>
      <c r="AG269" s="204" t="s">
        <v>279</v>
      </c>
      <c r="AH269" s="211">
        <v>0</v>
      </c>
      <c r="AI269" s="211">
        <v>36.6</v>
      </c>
      <c r="AJ269" s="211">
        <v>0</v>
      </c>
      <c r="AK269" s="204" t="str">
        <f t="shared" si="8"/>
        <v>1.00000000</v>
      </c>
      <c r="AL269" s="204">
        <v>15.9</v>
      </c>
    </row>
    <row r="270" spans="1:38" x14ac:dyDescent="0.2">
      <c r="A270" s="204" t="str">
        <f t="shared" si="7"/>
        <v>0496002595700</v>
      </c>
      <c r="B270" s="204">
        <v>5</v>
      </c>
      <c r="C270" s="204" t="s">
        <v>156</v>
      </c>
      <c r="D270" s="204">
        <v>86</v>
      </c>
      <c r="E270" s="204">
        <v>86</v>
      </c>
      <c r="F270" s="204" t="s">
        <v>243</v>
      </c>
      <c r="G270" s="204">
        <v>2262</v>
      </c>
      <c r="H270" s="204" t="s">
        <v>270</v>
      </c>
      <c r="I270" s="204">
        <v>3136</v>
      </c>
      <c r="J270" s="209">
        <v>42393</v>
      </c>
      <c r="K270" s="210">
        <v>0.84236111111111101</v>
      </c>
      <c r="L270" s="209">
        <v>42395</v>
      </c>
      <c r="M270" s="204" t="s">
        <v>853</v>
      </c>
      <c r="N270" s="204" t="s">
        <v>272</v>
      </c>
      <c r="O270" s="204" t="s">
        <v>273</v>
      </c>
      <c r="P270" s="204" t="s">
        <v>274</v>
      </c>
      <c r="Q270" s="204" t="s">
        <v>275</v>
      </c>
      <c r="R270" s="204" t="s">
        <v>276</v>
      </c>
      <c r="S270" s="204" t="s">
        <v>156</v>
      </c>
      <c r="T270" s="204" t="s">
        <v>277</v>
      </c>
      <c r="U270" s="204">
        <v>2262</v>
      </c>
      <c r="V270" s="204" t="s">
        <v>156</v>
      </c>
      <c r="W270" s="204" t="s">
        <v>280</v>
      </c>
      <c r="X270" s="204">
        <v>17.03</v>
      </c>
      <c r="Y270" s="211">
        <v>-0.51</v>
      </c>
      <c r="Z270" s="211">
        <v>1.89</v>
      </c>
      <c r="AA270" s="211">
        <v>32.17</v>
      </c>
      <c r="AB270" s="211">
        <v>-3.12</v>
      </c>
      <c r="AC270" s="211">
        <v>0</v>
      </c>
      <c r="AD270" s="211">
        <v>0</v>
      </c>
      <c r="AE270" s="211">
        <v>28.54</v>
      </c>
      <c r="AF270" s="211">
        <v>-4.09</v>
      </c>
      <c r="AG270" s="204" t="s">
        <v>279</v>
      </c>
      <c r="AH270" s="211">
        <v>0</v>
      </c>
      <c r="AI270" s="211">
        <v>32.17</v>
      </c>
      <c r="AJ270" s="211">
        <v>0</v>
      </c>
      <c r="AK270" s="204" t="str">
        <f t="shared" si="8"/>
        <v>1.00000000</v>
      </c>
      <c r="AL270" s="204">
        <v>14.5</v>
      </c>
    </row>
    <row r="271" spans="1:38" x14ac:dyDescent="0.2">
      <c r="A271" s="204" t="str">
        <f t="shared" si="7"/>
        <v>0496002595700</v>
      </c>
      <c r="B271" s="204">
        <v>5</v>
      </c>
      <c r="C271" s="204" t="s">
        <v>156</v>
      </c>
      <c r="D271" s="204">
        <v>86</v>
      </c>
      <c r="E271" s="204">
        <v>86</v>
      </c>
      <c r="F271" s="204" t="s">
        <v>243</v>
      </c>
      <c r="G271" s="204">
        <v>2262</v>
      </c>
      <c r="H271" s="204" t="s">
        <v>270</v>
      </c>
      <c r="I271" s="204">
        <v>3253</v>
      </c>
      <c r="J271" s="209">
        <v>42411</v>
      </c>
      <c r="K271" s="210">
        <v>0.7729166666666667</v>
      </c>
      <c r="L271" s="209">
        <v>42415</v>
      </c>
      <c r="M271" s="204" t="s">
        <v>853</v>
      </c>
      <c r="N271" s="204" t="s">
        <v>272</v>
      </c>
      <c r="O271" s="204" t="s">
        <v>273</v>
      </c>
      <c r="P271" s="204" t="s">
        <v>274</v>
      </c>
      <c r="Q271" s="204" t="s">
        <v>275</v>
      </c>
      <c r="R271" s="204" t="s">
        <v>276</v>
      </c>
      <c r="S271" s="204" t="s">
        <v>156</v>
      </c>
      <c r="T271" s="204" t="s">
        <v>277</v>
      </c>
      <c r="U271" s="204">
        <v>2262</v>
      </c>
      <c r="V271" s="204" t="s">
        <v>156</v>
      </c>
      <c r="W271" s="204" t="s">
        <v>280</v>
      </c>
      <c r="X271" s="204">
        <v>11.353999999999999</v>
      </c>
      <c r="Y271" s="211">
        <v>-0.34</v>
      </c>
      <c r="Z271" s="211">
        <v>1.78</v>
      </c>
      <c r="AA271" s="211">
        <v>20.2</v>
      </c>
      <c r="AB271" s="211">
        <v>-2.08</v>
      </c>
      <c r="AC271" s="211">
        <v>0</v>
      </c>
      <c r="AD271" s="211">
        <v>0</v>
      </c>
      <c r="AE271" s="211">
        <v>17.78</v>
      </c>
      <c r="AF271" s="211">
        <v>-2.72</v>
      </c>
      <c r="AG271" s="204" t="s">
        <v>279</v>
      </c>
      <c r="AH271" s="211">
        <v>0</v>
      </c>
      <c r="AI271" s="211">
        <v>20.2</v>
      </c>
      <c r="AJ271" s="211">
        <v>0</v>
      </c>
      <c r="AK271" s="204" t="str">
        <f t="shared" si="8"/>
        <v>1.00000000</v>
      </c>
      <c r="AL271" s="204">
        <v>10.3</v>
      </c>
    </row>
    <row r="272" spans="1:38" x14ac:dyDescent="0.2">
      <c r="A272" s="204" t="str">
        <f t="shared" si="7"/>
        <v>0496002595700</v>
      </c>
      <c r="B272" s="204">
        <v>5</v>
      </c>
      <c r="C272" s="204" t="s">
        <v>156</v>
      </c>
      <c r="D272" s="204">
        <v>86</v>
      </c>
      <c r="E272" s="204">
        <v>86</v>
      </c>
      <c r="F272" s="204" t="s">
        <v>243</v>
      </c>
      <c r="G272" s="204">
        <v>2262</v>
      </c>
      <c r="H272" s="204" t="s">
        <v>270</v>
      </c>
      <c r="I272" s="204">
        <v>3478</v>
      </c>
      <c r="J272" s="209">
        <v>42454</v>
      </c>
      <c r="K272" s="210">
        <v>0.48958333333333331</v>
      </c>
      <c r="L272" s="209">
        <v>42458</v>
      </c>
      <c r="M272" s="204" t="s">
        <v>302</v>
      </c>
      <c r="N272" s="204" t="s">
        <v>978</v>
      </c>
      <c r="O272" s="204" t="s">
        <v>567</v>
      </c>
      <c r="P272" s="204" t="s">
        <v>568</v>
      </c>
      <c r="Q272" s="204" t="s">
        <v>309</v>
      </c>
      <c r="R272" s="204">
        <v>6460</v>
      </c>
      <c r="S272" s="204" t="s">
        <v>156</v>
      </c>
      <c r="T272" s="204" t="s">
        <v>277</v>
      </c>
      <c r="U272" s="204">
        <v>2262</v>
      </c>
      <c r="V272" s="204" t="s">
        <v>156</v>
      </c>
      <c r="W272" s="204" t="s">
        <v>280</v>
      </c>
      <c r="X272" s="204">
        <v>16.074999999999999</v>
      </c>
      <c r="Y272" s="211">
        <v>0</v>
      </c>
      <c r="Z272" s="211">
        <v>2.1</v>
      </c>
      <c r="AA272" s="211">
        <v>33.74</v>
      </c>
      <c r="AB272" s="211">
        <v>-2.94</v>
      </c>
      <c r="AC272" s="211">
        <v>0</v>
      </c>
      <c r="AD272" s="211">
        <v>0</v>
      </c>
      <c r="AE272" s="211">
        <v>30.8</v>
      </c>
      <c r="AF272" s="211">
        <v>-4.0199999999999996</v>
      </c>
      <c r="AG272" s="204" t="s">
        <v>279</v>
      </c>
      <c r="AH272" s="211">
        <v>0</v>
      </c>
      <c r="AI272" s="211">
        <v>33.74</v>
      </c>
      <c r="AJ272" s="211">
        <v>0</v>
      </c>
      <c r="AK272" s="204" t="str">
        <f t="shared" si="8"/>
        <v>1.00000000</v>
      </c>
      <c r="AL272" s="204">
        <v>14</v>
      </c>
    </row>
    <row r="273" spans="1:38" x14ac:dyDescent="0.2">
      <c r="A273" s="204" t="str">
        <f t="shared" si="7"/>
        <v>0496002595700</v>
      </c>
      <c r="B273" s="204">
        <v>5</v>
      </c>
      <c r="C273" s="204" t="s">
        <v>156</v>
      </c>
      <c r="D273" s="204">
        <v>86</v>
      </c>
      <c r="E273" s="204">
        <v>86</v>
      </c>
      <c r="F273" s="204" t="s">
        <v>243</v>
      </c>
      <c r="G273" s="204">
        <v>2262</v>
      </c>
      <c r="H273" s="204" t="s">
        <v>270</v>
      </c>
      <c r="I273" s="204">
        <v>3661</v>
      </c>
      <c r="J273" s="209">
        <v>42456</v>
      </c>
      <c r="K273" s="210">
        <v>0.64861111111111114</v>
      </c>
      <c r="L273" s="209">
        <v>42458</v>
      </c>
      <c r="M273" s="204" t="s">
        <v>302</v>
      </c>
      <c r="N273" s="204" t="s">
        <v>979</v>
      </c>
      <c r="O273" s="204" t="s">
        <v>980</v>
      </c>
      <c r="P273" s="204" t="s">
        <v>645</v>
      </c>
      <c r="Q273" s="204" t="s">
        <v>309</v>
      </c>
      <c r="R273" s="204" t="s">
        <v>981</v>
      </c>
      <c r="S273" s="204" t="s">
        <v>156</v>
      </c>
      <c r="T273" s="204" t="s">
        <v>277</v>
      </c>
      <c r="U273" s="204">
        <v>2262</v>
      </c>
      <c r="V273" s="204" t="s">
        <v>156</v>
      </c>
      <c r="W273" s="204" t="s">
        <v>453</v>
      </c>
      <c r="X273" s="204">
        <v>9.048</v>
      </c>
      <c r="Y273" s="211">
        <v>0</v>
      </c>
      <c r="Z273" s="211">
        <v>2.16</v>
      </c>
      <c r="AA273" s="211">
        <v>19.53</v>
      </c>
      <c r="AB273" s="211">
        <v>0</v>
      </c>
      <c r="AC273" s="211">
        <v>0</v>
      </c>
      <c r="AD273" s="211">
        <v>0</v>
      </c>
      <c r="AE273" s="211">
        <v>19.53</v>
      </c>
      <c r="AF273" s="211">
        <v>0</v>
      </c>
      <c r="AG273" s="204" t="s">
        <v>279</v>
      </c>
      <c r="AH273" s="211">
        <v>0</v>
      </c>
      <c r="AI273" s="211">
        <v>19.53</v>
      </c>
      <c r="AJ273" s="211">
        <v>0</v>
      </c>
      <c r="AK273" s="204" t="str">
        <f t="shared" si="8"/>
        <v>1.00000000</v>
      </c>
      <c r="AL273" s="204">
        <v>20.2</v>
      </c>
    </row>
    <row r="274" spans="1:38" x14ac:dyDescent="0.2">
      <c r="A274" s="204" t="str">
        <f t="shared" si="7"/>
        <v>0496002595700</v>
      </c>
      <c r="B274" s="204">
        <v>5</v>
      </c>
      <c r="C274" s="204" t="s">
        <v>156</v>
      </c>
      <c r="D274" s="204">
        <v>86</v>
      </c>
      <c r="E274" s="204">
        <v>86</v>
      </c>
      <c r="F274" s="204" t="s">
        <v>243</v>
      </c>
      <c r="G274" s="204">
        <v>2262</v>
      </c>
      <c r="H274" s="204" t="s">
        <v>270</v>
      </c>
      <c r="I274" s="204">
        <v>3820</v>
      </c>
      <c r="J274" s="209">
        <v>42469</v>
      </c>
      <c r="K274" s="210">
        <v>0.74652777777777779</v>
      </c>
      <c r="L274" s="209">
        <v>42472</v>
      </c>
      <c r="M274" s="204" t="s">
        <v>271</v>
      </c>
      <c r="N274" s="204" t="s">
        <v>422</v>
      </c>
      <c r="O274" s="204" t="s">
        <v>423</v>
      </c>
      <c r="P274" s="204" t="s">
        <v>424</v>
      </c>
      <c r="Q274" s="204" t="s">
        <v>275</v>
      </c>
      <c r="R274" s="204" t="s">
        <v>719</v>
      </c>
      <c r="S274" s="204" t="s">
        <v>156</v>
      </c>
      <c r="T274" s="204" t="s">
        <v>277</v>
      </c>
      <c r="U274" s="204">
        <v>2262</v>
      </c>
      <c r="V274" s="204" t="s">
        <v>156</v>
      </c>
      <c r="W274" s="204" t="s">
        <v>280</v>
      </c>
      <c r="X274" s="204">
        <v>15.824</v>
      </c>
      <c r="Y274" s="211">
        <v>-0.47</v>
      </c>
      <c r="Z274" s="211">
        <v>2.08</v>
      </c>
      <c r="AA274" s="211">
        <v>32.9</v>
      </c>
      <c r="AB274" s="211">
        <v>-2.9</v>
      </c>
      <c r="AC274" s="211">
        <v>0</v>
      </c>
      <c r="AD274" s="211">
        <v>0</v>
      </c>
      <c r="AE274" s="211">
        <v>29.53</v>
      </c>
      <c r="AF274" s="211">
        <v>-3.8</v>
      </c>
      <c r="AG274" s="204" t="s">
        <v>279</v>
      </c>
      <c r="AH274" s="211">
        <v>0</v>
      </c>
      <c r="AI274" s="211">
        <v>32.9</v>
      </c>
      <c r="AJ274" s="211">
        <v>0</v>
      </c>
      <c r="AK274" s="204" t="str">
        <f t="shared" si="8"/>
        <v>1.00000000</v>
      </c>
      <c r="AL274" s="204">
        <v>10</v>
      </c>
    </row>
    <row r="275" spans="1:38" x14ac:dyDescent="0.2">
      <c r="A275" s="204" t="str">
        <f t="shared" si="7"/>
        <v>0496002595700</v>
      </c>
      <c r="B275" s="204">
        <v>5</v>
      </c>
      <c r="C275" s="204" t="s">
        <v>156</v>
      </c>
      <c r="D275" s="204">
        <v>86</v>
      </c>
      <c r="E275" s="204">
        <v>86</v>
      </c>
      <c r="F275" s="204" t="s">
        <v>243</v>
      </c>
      <c r="G275" s="204">
        <v>2262</v>
      </c>
      <c r="H275" s="204" t="s">
        <v>270</v>
      </c>
      <c r="I275" s="204">
        <v>4043</v>
      </c>
      <c r="J275" s="209">
        <v>42477</v>
      </c>
      <c r="K275" s="210">
        <v>0.76180555555555562</v>
      </c>
      <c r="L275" s="209">
        <v>42479</v>
      </c>
      <c r="M275" s="204" t="s">
        <v>271</v>
      </c>
      <c r="N275" s="204" t="s">
        <v>272</v>
      </c>
      <c r="O275" s="204" t="s">
        <v>273</v>
      </c>
      <c r="P275" s="204" t="s">
        <v>274</v>
      </c>
      <c r="Q275" s="204" t="s">
        <v>275</v>
      </c>
      <c r="R275" s="204" t="s">
        <v>276</v>
      </c>
      <c r="S275" s="204" t="s">
        <v>156</v>
      </c>
      <c r="T275" s="204" t="s">
        <v>277</v>
      </c>
      <c r="U275" s="204">
        <v>2262</v>
      </c>
      <c r="V275" s="204" t="s">
        <v>156</v>
      </c>
      <c r="W275" s="204" t="s">
        <v>280</v>
      </c>
      <c r="X275" s="204">
        <v>15.327</v>
      </c>
      <c r="Y275" s="211">
        <v>-0.46</v>
      </c>
      <c r="Z275" s="211">
        <v>2.09</v>
      </c>
      <c r="AA275" s="211">
        <v>32.020000000000003</v>
      </c>
      <c r="AB275" s="211">
        <v>-2.8</v>
      </c>
      <c r="AC275" s="211">
        <v>0</v>
      </c>
      <c r="AD275" s="211">
        <v>0</v>
      </c>
      <c r="AE275" s="211">
        <v>28.76</v>
      </c>
      <c r="AF275" s="211">
        <v>-3.68</v>
      </c>
      <c r="AG275" s="204" t="s">
        <v>279</v>
      </c>
      <c r="AH275" s="211">
        <v>0</v>
      </c>
      <c r="AI275" s="211">
        <v>32.020000000000003</v>
      </c>
      <c r="AJ275" s="211">
        <v>0</v>
      </c>
      <c r="AK275" s="204" t="str">
        <f t="shared" si="8"/>
        <v>1.00000000</v>
      </c>
      <c r="AL275" s="204">
        <v>14.6</v>
      </c>
    </row>
    <row r="276" spans="1:38" x14ac:dyDescent="0.2">
      <c r="A276" s="204" t="str">
        <f t="shared" si="7"/>
        <v>0496002595700</v>
      </c>
      <c r="B276" s="204">
        <v>5</v>
      </c>
      <c r="C276" s="204" t="s">
        <v>156</v>
      </c>
      <c r="D276" s="204">
        <v>86</v>
      </c>
      <c r="E276" s="204">
        <v>86</v>
      </c>
      <c r="F276" s="204" t="s">
        <v>243</v>
      </c>
      <c r="G276" s="204">
        <v>2262</v>
      </c>
      <c r="H276" s="204" t="s">
        <v>270</v>
      </c>
      <c r="I276" s="204">
        <v>4378</v>
      </c>
      <c r="J276" s="209">
        <v>42481</v>
      </c>
      <c r="K276" s="210">
        <v>0.30763888888888891</v>
      </c>
      <c r="L276" s="209">
        <v>42485</v>
      </c>
      <c r="M276" s="204" t="s">
        <v>271</v>
      </c>
      <c r="N276" s="204" t="s">
        <v>272</v>
      </c>
      <c r="O276" s="204" t="s">
        <v>273</v>
      </c>
      <c r="P276" s="204" t="s">
        <v>274</v>
      </c>
      <c r="Q276" s="204" t="s">
        <v>275</v>
      </c>
      <c r="R276" s="204" t="s">
        <v>276</v>
      </c>
      <c r="S276" s="204" t="s">
        <v>156</v>
      </c>
      <c r="T276" s="204" t="s">
        <v>277</v>
      </c>
      <c r="U276" s="204">
        <v>2262</v>
      </c>
      <c r="V276" s="204" t="s">
        <v>156</v>
      </c>
      <c r="W276" s="204" t="s">
        <v>280</v>
      </c>
      <c r="X276" s="204">
        <v>23.398</v>
      </c>
      <c r="Y276" s="211">
        <v>-0.7</v>
      </c>
      <c r="Z276" s="211">
        <v>2.09</v>
      </c>
      <c r="AA276" s="211">
        <v>48.88</v>
      </c>
      <c r="AB276" s="211">
        <v>-4.28</v>
      </c>
      <c r="AC276" s="211">
        <v>0</v>
      </c>
      <c r="AD276" s="211">
        <v>0</v>
      </c>
      <c r="AE276" s="211">
        <v>43.9</v>
      </c>
      <c r="AF276" s="211">
        <v>-5.62</v>
      </c>
      <c r="AG276" s="204" t="s">
        <v>279</v>
      </c>
      <c r="AH276" s="211">
        <v>0</v>
      </c>
      <c r="AI276" s="211">
        <v>48.88</v>
      </c>
      <c r="AJ276" s="211">
        <v>0</v>
      </c>
      <c r="AK276" s="204" t="str">
        <f t="shared" si="8"/>
        <v>1.00000000</v>
      </c>
      <c r="AL276" s="204">
        <v>14.3</v>
      </c>
    </row>
    <row r="277" spans="1:38" x14ac:dyDescent="0.2">
      <c r="A277" s="204" t="str">
        <f t="shared" si="7"/>
        <v>0496002595700</v>
      </c>
      <c r="B277" s="204">
        <v>5</v>
      </c>
      <c r="C277" s="204" t="s">
        <v>156</v>
      </c>
      <c r="D277" s="204">
        <v>86</v>
      </c>
      <c r="E277" s="204">
        <v>86</v>
      </c>
      <c r="F277" s="204" t="s">
        <v>243</v>
      </c>
      <c r="G277" s="204">
        <v>2262</v>
      </c>
      <c r="H277" s="204" t="s">
        <v>270</v>
      </c>
      <c r="I277" s="204">
        <v>4710</v>
      </c>
      <c r="J277" s="209">
        <v>42487</v>
      </c>
      <c r="K277" s="210">
        <v>0.96250000000000002</v>
      </c>
      <c r="L277" s="209">
        <v>42492</v>
      </c>
      <c r="M277" s="204" t="s">
        <v>302</v>
      </c>
      <c r="N277" s="204" t="s">
        <v>982</v>
      </c>
      <c r="O277" s="204" t="s">
        <v>983</v>
      </c>
      <c r="P277" s="204" t="s">
        <v>984</v>
      </c>
      <c r="Q277" s="204" t="s">
        <v>309</v>
      </c>
      <c r="R277" s="204" t="s">
        <v>985</v>
      </c>
      <c r="S277" s="204" t="s">
        <v>156</v>
      </c>
      <c r="T277" s="204" t="s">
        <v>277</v>
      </c>
      <c r="U277" s="204">
        <v>2262</v>
      </c>
      <c r="V277" s="204" t="s">
        <v>156</v>
      </c>
      <c r="W277" s="204" t="s">
        <v>453</v>
      </c>
      <c r="X277" s="204">
        <v>21.678999999999998</v>
      </c>
      <c r="Y277" s="211">
        <v>0</v>
      </c>
      <c r="Z277" s="211">
        <v>2.36</v>
      </c>
      <c r="AA277" s="211">
        <v>51.14</v>
      </c>
      <c r="AB277" s="211">
        <v>0</v>
      </c>
      <c r="AC277" s="211">
        <v>0</v>
      </c>
      <c r="AD277" s="211">
        <v>0</v>
      </c>
      <c r="AE277" s="211">
        <v>51.14</v>
      </c>
      <c r="AF277" s="211">
        <v>0</v>
      </c>
      <c r="AG277" s="204" t="s">
        <v>279</v>
      </c>
      <c r="AH277" s="211">
        <v>0</v>
      </c>
      <c r="AI277" s="211">
        <v>51.14</v>
      </c>
      <c r="AJ277" s="211">
        <v>0</v>
      </c>
      <c r="AK277" s="204" t="str">
        <f t="shared" si="8"/>
        <v>1.00000000</v>
      </c>
      <c r="AL277" s="204">
        <v>15.3</v>
      </c>
    </row>
    <row r="278" spans="1:38" x14ac:dyDescent="0.2">
      <c r="A278" s="204" t="str">
        <f t="shared" si="7"/>
        <v>0496002595700</v>
      </c>
      <c r="B278" s="204">
        <v>5</v>
      </c>
      <c r="C278" s="204" t="s">
        <v>156</v>
      </c>
      <c r="D278" s="204">
        <v>86</v>
      </c>
      <c r="E278" s="204">
        <v>86</v>
      </c>
      <c r="F278" s="204" t="s">
        <v>243</v>
      </c>
      <c r="G278" s="204">
        <v>2262</v>
      </c>
      <c r="H278" s="204" t="s">
        <v>270</v>
      </c>
      <c r="I278" s="204">
        <v>5067</v>
      </c>
      <c r="J278" s="209">
        <v>42516</v>
      </c>
      <c r="K278" s="210">
        <v>0.60158564814814819</v>
      </c>
      <c r="L278" s="209">
        <v>42520</v>
      </c>
      <c r="M278" s="204" t="s">
        <v>340</v>
      </c>
      <c r="N278" s="204" t="s">
        <v>341</v>
      </c>
      <c r="O278" s="204" t="s">
        <v>342</v>
      </c>
      <c r="P278" s="204" t="s">
        <v>343</v>
      </c>
      <c r="Q278" s="204" t="s">
        <v>275</v>
      </c>
      <c r="R278" s="204" t="s">
        <v>629</v>
      </c>
      <c r="S278" s="204" t="s">
        <v>156</v>
      </c>
      <c r="T278" s="204" t="s">
        <v>277</v>
      </c>
      <c r="U278" s="204">
        <v>2262</v>
      </c>
      <c r="V278" s="204" t="s">
        <v>156</v>
      </c>
      <c r="W278" s="204" t="s">
        <v>280</v>
      </c>
      <c r="X278" s="204">
        <v>20.651</v>
      </c>
      <c r="Y278" s="211">
        <v>0</v>
      </c>
      <c r="Z278" s="211">
        <v>2.2999999999999998</v>
      </c>
      <c r="AA278" s="211">
        <v>47.48</v>
      </c>
      <c r="AB278" s="211">
        <v>-3.78</v>
      </c>
      <c r="AC278" s="211">
        <v>0</v>
      </c>
      <c r="AD278" s="211">
        <v>0</v>
      </c>
      <c r="AE278" s="211">
        <v>43.7</v>
      </c>
      <c r="AF278" s="211">
        <v>-4.96</v>
      </c>
      <c r="AG278" s="204" t="s">
        <v>279</v>
      </c>
      <c r="AH278" s="211">
        <v>0</v>
      </c>
      <c r="AI278" s="211">
        <v>47.48</v>
      </c>
      <c r="AJ278" s="211">
        <v>0</v>
      </c>
      <c r="AK278" s="204" t="str">
        <f t="shared" si="8"/>
        <v>1.00000000</v>
      </c>
      <c r="AL278" s="204">
        <v>17.3</v>
      </c>
    </row>
    <row r="279" spans="1:38" x14ac:dyDescent="0.2">
      <c r="A279" s="204" t="str">
        <f t="shared" ref="A279:A306" si="9">"0496002595700"</f>
        <v>0496002595700</v>
      </c>
      <c r="B279" s="204">
        <v>6</v>
      </c>
      <c r="C279" s="204" t="s">
        <v>156</v>
      </c>
      <c r="D279" s="204" t="s">
        <v>344</v>
      </c>
      <c r="E279" s="204" t="s">
        <v>345</v>
      </c>
      <c r="F279" s="204" t="s">
        <v>243</v>
      </c>
      <c r="G279" s="204">
        <v>2262</v>
      </c>
      <c r="H279" s="204" t="s">
        <v>270</v>
      </c>
      <c r="I279" s="204">
        <v>45102</v>
      </c>
      <c r="J279" s="209">
        <v>42373</v>
      </c>
      <c r="K279" s="210">
        <v>0.51666666666666672</v>
      </c>
      <c r="L279" s="209">
        <v>42375</v>
      </c>
      <c r="M279" s="204" t="s">
        <v>853</v>
      </c>
      <c r="N279" s="204" t="s">
        <v>272</v>
      </c>
      <c r="O279" s="204" t="s">
        <v>273</v>
      </c>
      <c r="P279" s="204" t="s">
        <v>274</v>
      </c>
      <c r="Q279" s="204" t="s">
        <v>275</v>
      </c>
      <c r="R279" s="204" t="s">
        <v>276</v>
      </c>
      <c r="S279" s="204" t="s">
        <v>156</v>
      </c>
      <c r="T279" s="204" t="s">
        <v>277</v>
      </c>
      <c r="U279" s="204">
        <v>2262</v>
      </c>
      <c r="V279" s="204" t="s">
        <v>156</v>
      </c>
      <c r="W279" s="204" t="s">
        <v>335</v>
      </c>
      <c r="X279" s="204">
        <v>12.595000000000001</v>
      </c>
      <c r="Y279" s="211">
        <v>-0.38</v>
      </c>
      <c r="Z279" s="211">
        <v>2.2200000000000002</v>
      </c>
      <c r="AA279" s="211">
        <v>27.95</v>
      </c>
      <c r="AB279" s="211">
        <v>-2.2999999999999998</v>
      </c>
      <c r="AC279" s="211">
        <v>0</v>
      </c>
      <c r="AD279" s="211">
        <v>0</v>
      </c>
      <c r="AE279" s="211">
        <v>25.27</v>
      </c>
      <c r="AF279" s="211">
        <v>-3.02</v>
      </c>
      <c r="AG279" s="204" t="s">
        <v>279</v>
      </c>
      <c r="AH279" s="211">
        <v>0</v>
      </c>
      <c r="AI279" s="211">
        <v>27.95</v>
      </c>
      <c r="AJ279" s="211">
        <v>0</v>
      </c>
      <c r="AK279" s="204" t="str">
        <f t="shared" si="8"/>
        <v>1.00000000</v>
      </c>
      <c r="AL279" s="204">
        <v>24.4</v>
      </c>
    </row>
    <row r="280" spans="1:38" x14ac:dyDescent="0.2">
      <c r="A280" s="204" t="str">
        <f t="shared" si="9"/>
        <v>0496002595700</v>
      </c>
      <c r="B280" s="204">
        <v>6</v>
      </c>
      <c r="C280" s="204" t="s">
        <v>156</v>
      </c>
      <c r="D280" s="204" t="s">
        <v>344</v>
      </c>
      <c r="E280" s="204" t="s">
        <v>345</v>
      </c>
      <c r="F280" s="204" t="s">
        <v>243</v>
      </c>
      <c r="G280" s="204">
        <v>2262</v>
      </c>
      <c r="H280" s="204" t="s">
        <v>270</v>
      </c>
      <c r="I280" s="204">
        <v>45325</v>
      </c>
      <c r="J280" s="209">
        <v>42382</v>
      </c>
      <c r="K280" s="210">
        <v>0.40625</v>
      </c>
      <c r="L280" s="209">
        <v>42384</v>
      </c>
      <c r="M280" s="204" t="s">
        <v>853</v>
      </c>
      <c r="N280" s="204" t="s">
        <v>272</v>
      </c>
      <c r="O280" s="204" t="s">
        <v>273</v>
      </c>
      <c r="P280" s="204" t="s">
        <v>274</v>
      </c>
      <c r="Q280" s="204" t="s">
        <v>275</v>
      </c>
      <c r="R280" s="204" t="s">
        <v>276</v>
      </c>
      <c r="S280" s="204" t="s">
        <v>156</v>
      </c>
      <c r="T280" s="204" t="s">
        <v>277</v>
      </c>
      <c r="U280" s="204">
        <v>2262</v>
      </c>
      <c r="V280" s="204" t="s">
        <v>156</v>
      </c>
      <c r="W280" s="204" t="s">
        <v>335</v>
      </c>
      <c r="X280" s="204">
        <v>9.3030000000000008</v>
      </c>
      <c r="Y280" s="211">
        <v>-0.28000000000000003</v>
      </c>
      <c r="Z280" s="211">
        <v>2.14</v>
      </c>
      <c r="AA280" s="211">
        <v>19.899999999999999</v>
      </c>
      <c r="AB280" s="211">
        <v>-1.7</v>
      </c>
      <c r="AC280" s="211">
        <v>0</v>
      </c>
      <c r="AD280" s="211">
        <v>0</v>
      </c>
      <c r="AE280" s="211">
        <v>17.920000000000002</v>
      </c>
      <c r="AF280" s="211">
        <v>-2.23</v>
      </c>
      <c r="AG280" s="204" t="s">
        <v>279</v>
      </c>
      <c r="AH280" s="211">
        <v>0</v>
      </c>
      <c r="AI280" s="211">
        <v>19.899999999999999</v>
      </c>
      <c r="AJ280" s="211">
        <v>0</v>
      </c>
      <c r="AK280" s="204" t="str">
        <f t="shared" si="8"/>
        <v>1.00000000</v>
      </c>
      <c r="AL280" s="204">
        <v>24</v>
      </c>
    </row>
    <row r="281" spans="1:38" x14ac:dyDescent="0.2">
      <c r="A281" s="204" t="str">
        <f t="shared" si="9"/>
        <v>0496002595700</v>
      </c>
      <c r="B281" s="204">
        <v>6</v>
      </c>
      <c r="C281" s="204" t="s">
        <v>156</v>
      </c>
      <c r="D281" s="204" t="s">
        <v>344</v>
      </c>
      <c r="E281" s="204" t="s">
        <v>345</v>
      </c>
      <c r="F281" s="204" t="s">
        <v>243</v>
      </c>
      <c r="G281" s="204">
        <v>2262</v>
      </c>
      <c r="H281" s="204" t="s">
        <v>270</v>
      </c>
      <c r="I281" s="204">
        <v>45702</v>
      </c>
      <c r="J281" s="209">
        <v>42389</v>
      </c>
      <c r="K281" s="210">
        <v>0.32222222222222224</v>
      </c>
      <c r="L281" s="209">
        <v>42391</v>
      </c>
      <c r="M281" s="204" t="s">
        <v>853</v>
      </c>
      <c r="N281" s="204" t="s">
        <v>272</v>
      </c>
      <c r="O281" s="204" t="s">
        <v>273</v>
      </c>
      <c r="P281" s="204" t="s">
        <v>274</v>
      </c>
      <c r="Q281" s="204" t="s">
        <v>275</v>
      </c>
      <c r="R281" s="204" t="s">
        <v>276</v>
      </c>
      <c r="S281" s="204" t="s">
        <v>156</v>
      </c>
      <c r="T281" s="204" t="s">
        <v>277</v>
      </c>
      <c r="U281" s="204">
        <v>2262</v>
      </c>
      <c r="V281" s="204" t="s">
        <v>156</v>
      </c>
      <c r="W281" s="204" t="s">
        <v>335</v>
      </c>
      <c r="X281" s="204">
        <v>14.039</v>
      </c>
      <c r="Y281" s="211">
        <v>-0.42</v>
      </c>
      <c r="Z281" s="211">
        <v>2.12</v>
      </c>
      <c r="AA281" s="211">
        <v>29.75</v>
      </c>
      <c r="AB281" s="211">
        <v>-2.57</v>
      </c>
      <c r="AC281" s="211">
        <v>0</v>
      </c>
      <c r="AD281" s="211">
        <v>0</v>
      </c>
      <c r="AE281" s="211">
        <v>26.76</v>
      </c>
      <c r="AF281" s="211">
        <v>-3.37</v>
      </c>
      <c r="AG281" s="204" t="s">
        <v>279</v>
      </c>
      <c r="AH281" s="211">
        <v>0</v>
      </c>
      <c r="AI281" s="211">
        <v>29.75</v>
      </c>
      <c r="AJ281" s="211">
        <v>0</v>
      </c>
      <c r="AK281" s="204" t="str">
        <f t="shared" si="8"/>
        <v>1.00000000</v>
      </c>
      <c r="AL281" s="204">
        <v>26.8</v>
      </c>
    </row>
    <row r="282" spans="1:38" x14ac:dyDescent="0.2">
      <c r="A282" s="204" t="str">
        <f t="shared" si="9"/>
        <v>0496002595700</v>
      </c>
      <c r="B282" s="204">
        <v>6</v>
      </c>
      <c r="C282" s="204" t="s">
        <v>156</v>
      </c>
      <c r="D282" s="204" t="s">
        <v>344</v>
      </c>
      <c r="E282" s="204" t="s">
        <v>345</v>
      </c>
      <c r="F282" s="204" t="s">
        <v>243</v>
      </c>
      <c r="G282" s="204">
        <v>2262</v>
      </c>
      <c r="H282" s="204" t="s">
        <v>270</v>
      </c>
      <c r="I282" s="204">
        <v>46051</v>
      </c>
      <c r="J282" s="209">
        <v>42390</v>
      </c>
      <c r="K282" s="210">
        <v>0.44791666666666669</v>
      </c>
      <c r="L282" s="209">
        <v>42394</v>
      </c>
      <c r="M282" s="204" t="s">
        <v>853</v>
      </c>
      <c r="N282" s="204" t="s">
        <v>272</v>
      </c>
      <c r="O282" s="204" t="s">
        <v>273</v>
      </c>
      <c r="P282" s="204" t="s">
        <v>274</v>
      </c>
      <c r="Q282" s="204" t="s">
        <v>275</v>
      </c>
      <c r="R282" s="204" t="s">
        <v>276</v>
      </c>
      <c r="S282" s="204" t="s">
        <v>156</v>
      </c>
      <c r="T282" s="204" t="s">
        <v>277</v>
      </c>
      <c r="U282" s="204">
        <v>2262</v>
      </c>
      <c r="V282" s="204" t="s">
        <v>156</v>
      </c>
      <c r="W282" s="204" t="s">
        <v>335</v>
      </c>
      <c r="X282" s="204">
        <v>11.986000000000001</v>
      </c>
      <c r="Y282" s="211">
        <v>-0.36</v>
      </c>
      <c r="Z282" s="211">
        <v>2.12</v>
      </c>
      <c r="AA282" s="211">
        <v>25.4</v>
      </c>
      <c r="AB282" s="211">
        <v>-2.19</v>
      </c>
      <c r="AC282" s="211">
        <v>0</v>
      </c>
      <c r="AD282" s="211">
        <v>0</v>
      </c>
      <c r="AE282" s="211">
        <v>22.85</v>
      </c>
      <c r="AF282" s="211">
        <v>-2.88</v>
      </c>
      <c r="AG282" s="204" t="s">
        <v>279</v>
      </c>
      <c r="AH282" s="211">
        <v>0</v>
      </c>
      <c r="AI282" s="211">
        <v>25.4</v>
      </c>
      <c r="AJ282" s="211">
        <v>0</v>
      </c>
      <c r="AK282" s="204" t="str">
        <f t="shared" si="8"/>
        <v>1.00000000</v>
      </c>
      <c r="AL282" s="204">
        <v>29.1</v>
      </c>
    </row>
    <row r="283" spans="1:38" x14ac:dyDescent="0.2">
      <c r="A283" s="204" t="str">
        <f t="shared" si="9"/>
        <v>0496002595700</v>
      </c>
      <c r="B283" s="204">
        <v>6</v>
      </c>
      <c r="C283" s="204" t="s">
        <v>156</v>
      </c>
      <c r="D283" s="204" t="s">
        <v>344</v>
      </c>
      <c r="E283" s="204" t="s">
        <v>345</v>
      </c>
      <c r="F283" s="204" t="s">
        <v>243</v>
      </c>
      <c r="G283" s="204">
        <v>2262</v>
      </c>
      <c r="H283" s="204" t="s">
        <v>270</v>
      </c>
      <c r="I283" s="204">
        <v>46219</v>
      </c>
      <c r="J283" s="209">
        <v>42419</v>
      </c>
      <c r="K283" s="210">
        <v>0.44930555555555557</v>
      </c>
      <c r="L283" s="209">
        <v>42423</v>
      </c>
      <c r="M283" s="204" t="s">
        <v>606</v>
      </c>
      <c r="N283" s="204" t="s">
        <v>399</v>
      </c>
      <c r="O283" s="204" t="s">
        <v>400</v>
      </c>
      <c r="P283" s="204" t="s">
        <v>274</v>
      </c>
      <c r="Q283" s="204" t="s">
        <v>275</v>
      </c>
      <c r="R283" s="204" t="s">
        <v>401</v>
      </c>
      <c r="S283" s="204" t="s">
        <v>156</v>
      </c>
      <c r="T283" s="204" t="s">
        <v>277</v>
      </c>
      <c r="U283" s="204">
        <v>2262</v>
      </c>
      <c r="V283" s="204" t="s">
        <v>156</v>
      </c>
      <c r="W283" s="204" t="s">
        <v>335</v>
      </c>
      <c r="X283" s="204">
        <v>8.34</v>
      </c>
      <c r="Y283" s="211">
        <v>0</v>
      </c>
      <c r="Z283" s="211">
        <v>1.86</v>
      </c>
      <c r="AA283" s="211">
        <v>15.5</v>
      </c>
      <c r="AB283" s="211">
        <v>-1.53</v>
      </c>
      <c r="AC283" s="211">
        <v>0</v>
      </c>
      <c r="AD283" s="211">
        <v>0</v>
      </c>
      <c r="AE283" s="211">
        <v>13.97</v>
      </c>
      <c r="AF283" s="211">
        <v>-2</v>
      </c>
      <c r="AG283" s="204" t="s">
        <v>279</v>
      </c>
      <c r="AH283" s="211">
        <v>0</v>
      </c>
      <c r="AI283" s="211">
        <v>15.5</v>
      </c>
      <c r="AJ283" s="211">
        <v>0</v>
      </c>
      <c r="AK283" s="204" t="str">
        <f t="shared" si="8"/>
        <v>1.00000000</v>
      </c>
      <c r="AL283" s="204">
        <v>29.1</v>
      </c>
    </row>
    <row r="284" spans="1:38" x14ac:dyDescent="0.2">
      <c r="A284" s="204" t="str">
        <f t="shared" si="9"/>
        <v>0496002595700</v>
      </c>
      <c r="B284" s="204">
        <v>6</v>
      </c>
      <c r="C284" s="204" t="s">
        <v>156</v>
      </c>
      <c r="D284" s="204" t="s">
        <v>344</v>
      </c>
      <c r="E284" s="204" t="s">
        <v>345</v>
      </c>
      <c r="F284" s="204" t="s">
        <v>243</v>
      </c>
      <c r="G284" s="204">
        <v>2262</v>
      </c>
      <c r="H284" s="204" t="s">
        <v>270</v>
      </c>
      <c r="I284" s="204">
        <v>46611</v>
      </c>
      <c r="J284" s="209">
        <v>42420</v>
      </c>
      <c r="K284" s="210">
        <v>0.72222222222222221</v>
      </c>
      <c r="L284" s="209">
        <v>42423</v>
      </c>
      <c r="M284" s="204" t="s">
        <v>853</v>
      </c>
      <c r="N284" s="204" t="s">
        <v>281</v>
      </c>
      <c r="O284" s="204" t="s">
        <v>282</v>
      </c>
      <c r="P284" s="204" t="s">
        <v>283</v>
      </c>
      <c r="Q284" s="204" t="s">
        <v>275</v>
      </c>
      <c r="R284" s="204" t="s">
        <v>284</v>
      </c>
      <c r="S284" s="204" t="s">
        <v>156</v>
      </c>
      <c r="T284" s="204" t="s">
        <v>277</v>
      </c>
      <c r="U284" s="204">
        <v>2262</v>
      </c>
      <c r="V284" s="204" t="s">
        <v>156</v>
      </c>
      <c r="W284" s="204" t="s">
        <v>278</v>
      </c>
      <c r="X284" s="204">
        <v>12.173</v>
      </c>
      <c r="Y284" s="211">
        <v>-0.61</v>
      </c>
      <c r="Z284" s="211">
        <v>2.09</v>
      </c>
      <c r="AA284" s="211">
        <v>25.43</v>
      </c>
      <c r="AB284" s="211">
        <v>-2.23</v>
      </c>
      <c r="AC284" s="211">
        <v>0</v>
      </c>
      <c r="AD284" s="211">
        <v>0</v>
      </c>
      <c r="AE284" s="211">
        <v>22.59</v>
      </c>
      <c r="AF284" s="211">
        <v>-2.92</v>
      </c>
      <c r="AG284" s="204" t="s">
        <v>279</v>
      </c>
      <c r="AH284" s="211">
        <v>0</v>
      </c>
      <c r="AI284" s="211">
        <v>25.43</v>
      </c>
      <c r="AJ284" s="211">
        <v>0</v>
      </c>
      <c r="AK284" s="204" t="str">
        <f t="shared" si="8"/>
        <v>1.00000000</v>
      </c>
      <c r="AL284" s="204">
        <v>29.1</v>
      </c>
    </row>
    <row r="285" spans="1:38" x14ac:dyDescent="0.2">
      <c r="A285" s="204" t="str">
        <f t="shared" si="9"/>
        <v>0496002595700</v>
      </c>
      <c r="B285" s="204">
        <v>6</v>
      </c>
      <c r="C285" s="204" t="s">
        <v>156</v>
      </c>
      <c r="D285" s="204" t="s">
        <v>344</v>
      </c>
      <c r="E285" s="204" t="s">
        <v>345</v>
      </c>
      <c r="F285" s="204" t="s">
        <v>243</v>
      </c>
      <c r="G285" s="204">
        <v>2262</v>
      </c>
      <c r="H285" s="204" t="s">
        <v>270</v>
      </c>
      <c r="I285" s="204">
        <v>46952</v>
      </c>
      <c r="J285" s="209">
        <v>42423</v>
      </c>
      <c r="K285" s="210">
        <v>0.4236111111111111</v>
      </c>
      <c r="L285" s="209">
        <v>42425</v>
      </c>
      <c r="M285" s="204" t="s">
        <v>606</v>
      </c>
      <c r="N285" s="204" t="s">
        <v>399</v>
      </c>
      <c r="O285" s="204" t="s">
        <v>400</v>
      </c>
      <c r="P285" s="204" t="s">
        <v>274</v>
      </c>
      <c r="Q285" s="204" t="s">
        <v>275</v>
      </c>
      <c r="R285" s="204" t="s">
        <v>401</v>
      </c>
      <c r="S285" s="204" t="s">
        <v>156</v>
      </c>
      <c r="T285" s="204" t="s">
        <v>277</v>
      </c>
      <c r="U285" s="204">
        <v>2262</v>
      </c>
      <c r="V285" s="204" t="s">
        <v>156</v>
      </c>
      <c r="W285" s="204" t="s">
        <v>335</v>
      </c>
      <c r="X285" s="204">
        <v>11.117000000000001</v>
      </c>
      <c r="Y285" s="211">
        <v>0</v>
      </c>
      <c r="Z285" s="211">
        <v>1.86</v>
      </c>
      <c r="AA285" s="211">
        <v>20.67</v>
      </c>
      <c r="AB285" s="211">
        <v>-2.0299999999999998</v>
      </c>
      <c r="AC285" s="211">
        <v>0</v>
      </c>
      <c r="AD285" s="211">
        <v>0</v>
      </c>
      <c r="AE285" s="211">
        <v>18.64</v>
      </c>
      <c r="AF285" s="211">
        <v>-2.67</v>
      </c>
      <c r="AG285" s="204" t="s">
        <v>279</v>
      </c>
      <c r="AH285" s="211">
        <v>0</v>
      </c>
      <c r="AI285" s="211">
        <v>20.67</v>
      </c>
      <c r="AJ285" s="211">
        <v>0</v>
      </c>
      <c r="AK285" s="204" t="str">
        <f t="shared" si="8"/>
        <v>1.00000000</v>
      </c>
      <c r="AL285" s="204">
        <v>30.7</v>
      </c>
    </row>
    <row r="286" spans="1:38" x14ac:dyDescent="0.2">
      <c r="A286" s="204" t="str">
        <f t="shared" si="9"/>
        <v>0496002595700</v>
      </c>
      <c r="B286" s="204">
        <v>6</v>
      </c>
      <c r="C286" s="204" t="s">
        <v>156</v>
      </c>
      <c r="D286" s="204" t="s">
        <v>344</v>
      </c>
      <c r="E286" s="204" t="s">
        <v>345</v>
      </c>
      <c r="F286" s="204" t="s">
        <v>243</v>
      </c>
      <c r="G286" s="204">
        <v>2262</v>
      </c>
      <c r="H286" s="204" t="s">
        <v>270</v>
      </c>
      <c r="I286" s="204">
        <v>47136</v>
      </c>
      <c r="J286" s="209">
        <v>42426</v>
      </c>
      <c r="K286" s="210">
        <v>0.50208333333333333</v>
      </c>
      <c r="L286" s="209">
        <v>42430</v>
      </c>
      <c r="M286" s="204" t="s">
        <v>606</v>
      </c>
      <c r="N286" s="204" t="s">
        <v>399</v>
      </c>
      <c r="O286" s="204" t="s">
        <v>400</v>
      </c>
      <c r="P286" s="204" t="s">
        <v>274</v>
      </c>
      <c r="Q286" s="204" t="s">
        <v>275</v>
      </c>
      <c r="R286" s="204" t="s">
        <v>401</v>
      </c>
      <c r="S286" s="204" t="s">
        <v>156</v>
      </c>
      <c r="T286" s="204" t="s">
        <v>277</v>
      </c>
      <c r="U286" s="204">
        <v>2262</v>
      </c>
      <c r="V286" s="204" t="s">
        <v>156</v>
      </c>
      <c r="W286" s="204" t="s">
        <v>335</v>
      </c>
      <c r="X286" s="204">
        <v>7.0679999999999996</v>
      </c>
      <c r="Y286" s="211">
        <v>0</v>
      </c>
      <c r="Z286" s="211">
        <v>1.86</v>
      </c>
      <c r="AA286" s="211">
        <v>13.14</v>
      </c>
      <c r="AB286" s="211">
        <v>-1.29</v>
      </c>
      <c r="AC286" s="211">
        <v>0</v>
      </c>
      <c r="AD286" s="211">
        <v>0</v>
      </c>
      <c r="AE286" s="211">
        <v>11.85</v>
      </c>
      <c r="AF286" s="211">
        <v>-1.7</v>
      </c>
      <c r="AG286" s="204" t="s">
        <v>279</v>
      </c>
      <c r="AH286" s="211">
        <v>0</v>
      </c>
      <c r="AI286" s="211">
        <v>13.14</v>
      </c>
      <c r="AJ286" s="211">
        <v>0</v>
      </c>
      <c r="AK286" s="204" t="str">
        <f t="shared" si="8"/>
        <v>1.00000000</v>
      </c>
      <c r="AL286" s="204">
        <v>26</v>
      </c>
    </row>
    <row r="287" spans="1:38" x14ac:dyDescent="0.2">
      <c r="A287" s="204" t="str">
        <f t="shared" si="9"/>
        <v>0496002595700</v>
      </c>
      <c r="B287" s="204">
        <v>6</v>
      </c>
      <c r="C287" s="204" t="s">
        <v>156</v>
      </c>
      <c r="D287" s="204" t="s">
        <v>344</v>
      </c>
      <c r="E287" s="204" t="s">
        <v>345</v>
      </c>
      <c r="F287" s="204" t="s">
        <v>243</v>
      </c>
      <c r="G287" s="204">
        <v>2262</v>
      </c>
      <c r="H287" s="204" t="s">
        <v>270</v>
      </c>
      <c r="I287" s="204">
        <v>47290</v>
      </c>
      <c r="J287" s="209">
        <v>42431</v>
      </c>
      <c r="K287" s="210">
        <v>0.42222222222222222</v>
      </c>
      <c r="L287" s="209">
        <v>42433</v>
      </c>
      <c r="M287" s="204" t="s">
        <v>606</v>
      </c>
      <c r="N287" s="204" t="s">
        <v>399</v>
      </c>
      <c r="O287" s="204" t="s">
        <v>400</v>
      </c>
      <c r="P287" s="204" t="s">
        <v>274</v>
      </c>
      <c r="Q287" s="204" t="s">
        <v>275</v>
      </c>
      <c r="R287" s="204" t="s">
        <v>401</v>
      </c>
      <c r="S287" s="204" t="s">
        <v>156</v>
      </c>
      <c r="T287" s="204" t="s">
        <v>277</v>
      </c>
      <c r="U287" s="204">
        <v>2262</v>
      </c>
      <c r="V287" s="204" t="s">
        <v>156</v>
      </c>
      <c r="W287" s="204" t="s">
        <v>335</v>
      </c>
      <c r="X287" s="204">
        <v>6.4580000000000002</v>
      </c>
      <c r="Y287" s="211">
        <v>0</v>
      </c>
      <c r="Z287" s="211">
        <v>1.86</v>
      </c>
      <c r="AA287" s="211">
        <v>12.01</v>
      </c>
      <c r="AB287" s="211">
        <v>-1.18</v>
      </c>
      <c r="AC287" s="211">
        <v>0</v>
      </c>
      <c r="AD287" s="211">
        <v>0</v>
      </c>
      <c r="AE287" s="211">
        <v>10.83</v>
      </c>
      <c r="AF287" s="211">
        <v>-1.55</v>
      </c>
      <c r="AG287" s="204" t="s">
        <v>279</v>
      </c>
      <c r="AH287" s="211">
        <v>0</v>
      </c>
      <c r="AI287" s="211">
        <v>12.01</v>
      </c>
      <c r="AJ287" s="211">
        <v>0</v>
      </c>
      <c r="AK287" s="204" t="str">
        <f t="shared" si="8"/>
        <v>1.00000000</v>
      </c>
      <c r="AL287" s="204">
        <v>23.8</v>
      </c>
    </row>
    <row r="288" spans="1:38" x14ac:dyDescent="0.2">
      <c r="A288" s="204" t="str">
        <f t="shared" si="9"/>
        <v>0496002595700</v>
      </c>
      <c r="B288" s="204">
        <v>6</v>
      </c>
      <c r="C288" s="204" t="s">
        <v>156</v>
      </c>
      <c r="D288" s="204" t="s">
        <v>344</v>
      </c>
      <c r="E288" s="204" t="s">
        <v>345</v>
      </c>
      <c r="F288" s="204" t="s">
        <v>243</v>
      </c>
      <c r="G288" s="204">
        <v>2262</v>
      </c>
      <c r="H288" s="204" t="s">
        <v>270</v>
      </c>
      <c r="I288" s="204">
        <v>47460</v>
      </c>
      <c r="J288" s="209">
        <v>42458</v>
      </c>
      <c r="K288" s="210">
        <v>0.55625000000000002</v>
      </c>
      <c r="L288" s="209">
        <v>42460</v>
      </c>
      <c r="M288" s="204" t="s">
        <v>271</v>
      </c>
      <c r="N288" s="204" t="s">
        <v>272</v>
      </c>
      <c r="O288" s="204" t="s">
        <v>273</v>
      </c>
      <c r="P288" s="204" t="s">
        <v>274</v>
      </c>
      <c r="Q288" s="204" t="s">
        <v>275</v>
      </c>
      <c r="R288" s="204" t="s">
        <v>276</v>
      </c>
      <c r="S288" s="204" t="s">
        <v>156</v>
      </c>
      <c r="T288" s="204" t="s">
        <v>277</v>
      </c>
      <c r="U288" s="204">
        <v>2262</v>
      </c>
      <c r="V288" s="204" t="s">
        <v>156</v>
      </c>
      <c r="W288" s="204" t="s">
        <v>335</v>
      </c>
      <c r="X288" s="204">
        <v>7.702</v>
      </c>
      <c r="Y288" s="211">
        <v>-0.23</v>
      </c>
      <c r="Z288" s="211">
        <v>2.19</v>
      </c>
      <c r="AA288" s="211">
        <v>16.86</v>
      </c>
      <c r="AB288" s="211">
        <v>-1.41</v>
      </c>
      <c r="AC288" s="211">
        <v>0</v>
      </c>
      <c r="AD288" s="211">
        <v>0</v>
      </c>
      <c r="AE288" s="211">
        <v>15.22</v>
      </c>
      <c r="AF288" s="211">
        <v>-1.85</v>
      </c>
      <c r="AG288" s="204" t="s">
        <v>279</v>
      </c>
      <c r="AH288" s="211">
        <v>0</v>
      </c>
      <c r="AI288" s="211">
        <v>16.86</v>
      </c>
      <c r="AJ288" s="211">
        <v>0</v>
      </c>
      <c r="AK288" s="204" t="str">
        <f t="shared" si="8"/>
        <v>1.00000000</v>
      </c>
      <c r="AL288" s="204">
        <v>22.1</v>
      </c>
    </row>
    <row r="289" spans="1:38" x14ac:dyDescent="0.2">
      <c r="A289" s="204" t="str">
        <f t="shared" si="9"/>
        <v>0496002595700</v>
      </c>
      <c r="B289" s="204">
        <v>6</v>
      </c>
      <c r="C289" s="204" t="s">
        <v>156</v>
      </c>
      <c r="D289" s="204" t="s">
        <v>344</v>
      </c>
      <c r="E289" s="204" t="s">
        <v>345</v>
      </c>
      <c r="F289" s="204" t="s">
        <v>243</v>
      </c>
      <c r="G289" s="204">
        <v>2262</v>
      </c>
      <c r="H289" s="204" t="s">
        <v>270</v>
      </c>
      <c r="I289" s="204">
        <v>47674</v>
      </c>
      <c r="J289" s="209">
        <v>42466</v>
      </c>
      <c r="K289" s="210">
        <v>0.40625</v>
      </c>
      <c r="L289" s="209">
        <v>42468</v>
      </c>
      <c r="M289" s="204" t="s">
        <v>271</v>
      </c>
      <c r="N289" s="204" t="s">
        <v>272</v>
      </c>
      <c r="O289" s="204" t="s">
        <v>273</v>
      </c>
      <c r="P289" s="204" t="s">
        <v>274</v>
      </c>
      <c r="Q289" s="204" t="s">
        <v>275</v>
      </c>
      <c r="R289" s="204" t="s">
        <v>276</v>
      </c>
      <c r="S289" s="204" t="s">
        <v>156</v>
      </c>
      <c r="T289" s="204" t="s">
        <v>277</v>
      </c>
      <c r="U289" s="204">
        <v>2262</v>
      </c>
      <c r="V289" s="204" t="s">
        <v>156</v>
      </c>
      <c r="W289" s="204" t="s">
        <v>335</v>
      </c>
      <c r="X289" s="204">
        <v>8.0790000000000006</v>
      </c>
      <c r="Y289" s="211">
        <v>-0.24</v>
      </c>
      <c r="Z289" s="211">
        <v>2.23</v>
      </c>
      <c r="AA289" s="211">
        <v>18.010000000000002</v>
      </c>
      <c r="AB289" s="211">
        <v>-1.48</v>
      </c>
      <c r="AC289" s="211">
        <v>0</v>
      </c>
      <c r="AD289" s="211">
        <v>0</v>
      </c>
      <c r="AE289" s="211">
        <v>16.29</v>
      </c>
      <c r="AF289" s="211">
        <v>-1.94</v>
      </c>
      <c r="AG289" s="204" t="s">
        <v>279</v>
      </c>
      <c r="AH289" s="211">
        <v>0</v>
      </c>
      <c r="AI289" s="211">
        <v>18.010000000000002</v>
      </c>
      <c r="AJ289" s="211">
        <v>0</v>
      </c>
      <c r="AK289" s="204" t="str">
        <f t="shared" si="8"/>
        <v>1.00000000</v>
      </c>
      <c r="AL289" s="204">
        <v>26.5</v>
      </c>
    </row>
    <row r="290" spans="1:38" x14ac:dyDescent="0.2">
      <c r="A290" s="204" t="str">
        <f t="shared" si="9"/>
        <v>0496002595700</v>
      </c>
      <c r="B290" s="204">
        <v>6</v>
      </c>
      <c r="C290" s="204" t="s">
        <v>156</v>
      </c>
      <c r="D290" s="204" t="s">
        <v>344</v>
      </c>
      <c r="E290" s="204" t="s">
        <v>345</v>
      </c>
      <c r="F290" s="204" t="s">
        <v>243</v>
      </c>
      <c r="G290" s="204">
        <v>2262</v>
      </c>
      <c r="H290" s="204" t="s">
        <v>270</v>
      </c>
      <c r="I290" s="204">
        <v>48011</v>
      </c>
      <c r="J290" s="209">
        <v>42467</v>
      </c>
      <c r="K290" s="210">
        <v>0.42430555555555555</v>
      </c>
      <c r="L290" s="209">
        <v>42471</v>
      </c>
      <c r="M290" s="204" t="s">
        <v>271</v>
      </c>
      <c r="N290" s="204" t="s">
        <v>272</v>
      </c>
      <c r="O290" s="204" t="s">
        <v>273</v>
      </c>
      <c r="P290" s="204" t="s">
        <v>274</v>
      </c>
      <c r="Q290" s="204" t="s">
        <v>275</v>
      </c>
      <c r="R290" s="204" t="s">
        <v>276</v>
      </c>
      <c r="S290" s="204" t="s">
        <v>156</v>
      </c>
      <c r="T290" s="204" t="s">
        <v>277</v>
      </c>
      <c r="U290" s="204">
        <v>2262</v>
      </c>
      <c r="V290" s="204" t="s">
        <v>156</v>
      </c>
      <c r="W290" s="204" t="s">
        <v>335</v>
      </c>
      <c r="X290" s="204">
        <v>11.413</v>
      </c>
      <c r="Y290" s="211">
        <v>-0.34</v>
      </c>
      <c r="Z290" s="211">
        <v>2.23</v>
      </c>
      <c r="AA290" s="211">
        <v>25.44</v>
      </c>
      <c r="AB290" s="211">
        <v>-2.09</v>
      </c>
      <c r="AC290" s="211">
        <v>0</v>
      </c>
      <c r="AD290" s="211">
        <v>0</v>
      </c>
      <c r="AE290" s="211">
        <v>23.01</v>
      </c>
      <c r="AF290" s="211">
        <v>-2.74</v>
      </c>
      <c r="AG290" s="204" t="s">
        <v>279</v>
      </c>
      <c r="AH290" s="211">
        <v>0</v>
      </c>
      <c r="AI290" s="211">
        <v>25.44</v>
      </c>
      <c r="AJ290" s="211">
        <v>0</v>
      </c>
      <c r="AK290" s="204" t="str">
        <f t="shared" si="8"/>
        <v>1.00000000</v>
      </c>
      <c r="AL290" s="204">
        <v>29.5</v>
      </c>
    </row>
    <row r="291" spans="1:38" x14ac:dyDescent="0.2">
      <c r="A291" s="204" t="str">
        <f t="shared" si="9"/>
        <v>0496002595700</v>
      </c>
      <c r="B291" s="204">
        <v>6</v>
      </c>
      <c r="C291" s="204" t="s">
        <v>156</v>
      </c>
      <c r="D291" s="204" t="s">
        <v>344</v>
      </c>
      <c r="E291" s="204" t="s">
        <v>345</v>
      </c>
      <c r="F291" s="204" t="s">
        <v>243</v>
      </c>
      <c r="G291" s="204">
        <v>2262</v>
      </c>
      <c r="H291" s="204" t="s">
        <v>270</v>
      </c>
      <c r="I291" s="204">
        <v>48354</v>
      </c>
      <c r="J291" s="209">
        <v>42468</v>
      </c>
      <c r="K291" s="210">
        <v>0.59722222222222221</v>
      </c>
      <c r="L291" s="209">
        <v>42472</v>
      </c>
      <c r="M291" s="204" t="s">
        <v>271</v>
      </c>
      <c r="N291" s="204" t="s">
        <v>272</v>
      </c>
      <c r="O291" s="204" t="s">
        <v>273</v>
      </c>
      <c r="P291" s="204" t="s">
        <v>274</v>
      </c>
      <c r="Q291" s="204" t="s">
        <v>275</v>
      </c>
      <c r="R291" s="204" t="s">
        <v>276</v>
      </c>
      <c r="S291" s="204" t="s">
        <v>156</v>
      </c>
      <c r="T291" s="204" t="s">
        <v>277</v>
      </c>
      <c r="U291" s="204">
        <v>2262</v>
      </c>
      <c r="V291" s="204" t="s">
        <v>156</v>
      </c>
      <c r="W291" s="204" t="s">
        <v>335</v>
      </c>
      <c r="X291" s="204">
        <v>11.323</v>
      </c>
      <c r="Y291" s="211">
        <v>-0.34</v>
      </c>
      <c r="Z291" s="211">
        <v>2.23</v>
      </c>
      <c r="AA291" s="211">
        <v>25.24</v>
      </c>
      <c r="AB291" s="211">
        <v>-2.0699999999999998</v>
      </c>
      <c r="AC291" s="211">
        <v>0</v>
      </c>
      <c r="AD291" s="211">
        <v>0</v>
      </c>
      <c r="AE291" s="211">
        <v>22.83</v>
      </c>
      <c r="AF291" s="211">
        <v>-2.72</v>
      </c>
      <c r="AG291" s="204" t="s">
        <v>279</v>
      </c>
      <c r="AH291" s="211">
        <v>0</v>
      </c>
      <c r="AI291" s="211">
        <v>25.24</v>
      </c>
      <c r="AJ291" s="211">
        <v>0</v>
      </c>
      <c r="AK291" s="204" t="str">
        <f t="shared" si="8"/>
        <v>1.00000000</v>
      </c>
      <c r="AL291" s="204">
        <v>30.3</v>
      </c>
    </row>
    <row r="292" spans="1:38" x14ac:dyDescent="0.2">
      <c r="A292" s="204" t="str">
        <f t="shared" si="9"/>
        <v>0496002595700</v>
      </c>
      <c r="B292" s="204">
        <v>6</v>
      </c>
      <c r="C292" s="204" t="s">
        <v>156</v>
      </c>
      <c r="D292" s="204" t="s">
        <v>344</v>
      </c>
      <c r="E292" s="204" t="s">
        <v>345</v>
      </c>
      <c r="F292" s="204" t="s">
        <v>243</v>
      </c>
      <c r="G292" s="204">
        <v>2262</v>
      </c>
      <c r="H292" s="204" t="s">
        <v>270</v>
      </c>
      <c r="I292" s="204">
        <v>48598</v>
      </c>
      <c r="J292" s="209">
        <v>42480</v>
      </c>
      <c r="K292" s="210">
        <v>0.50069444444444444</v>
      </c>
      <c r="L292" s="209">
        <v>42482</v>
      </c>
      <c r="M292" s="204" t="s">
        <v>271</v>
      </c>
      <c r="N292" s="204" t="s">
        <v>272</v>
      </c>
      <c r="O292" s="204" t="s">
        <v>273</v>
      </c>
      <c r="P292" s="204" t="s">
        <v>274</v>
      </c>
      <c r="Q292" s="204" t="s">
        <v>275</v>
      </c>
      <c r="R292" s="204" t="s">
        <v>276</v>
      </c>
      <c r="S292" s="204" t="s">
        <v>156</v>
      </c>
      <c r="T292" s="204" t="s">
        <v>277</v>
      </c>
      <c r="U292" s="204">
        <v>2262</v>
      </c>
      <c r="V292" s="204" t="s">
        <v>156</v>
      </c>
      <c r="W292" s="204" t="s">
        <v>335</v>
      </c>
      <c r="X292" s="204">
        <v>9.3930000000000007</v>
      </c>
      <c r="Y292" s="211">
        <v>-0.28000000000000003</v>
      </c>
      <c r="Z292" s="211">
        <v>2.31</v>
      </c>
      <c r="AA292" s="211">
        <v>21.69</v>
      </c>
      <c r="AB292" s="211">
        <v>-1.72</v>
      </c>
      <c r="AC292" s="211">
        <v>0</v>
      </c>
      <c r="AD292" s="211">
        <v>0</v>
      </c>
      <c r="AE292" s="211">
        <v>19.690000000000001</v>
      </c>
      <c r="AF292" s="211">
        <v>-2.25</v>
      </c>
      <c r="AG292" s="204" t="s">
        <v>279</v>
      </c>
      <c r="AH292" s="211">
        <v>0</v>
      </c>
      <c r="AI292" s="211">
        <v>21.69</v>
      </c>
      <c r="AJ292" s="211">
        <v>0</v>
      </c>
      <c r="AK292" s="204" t="str">
        <f t="shared" si="8"/>
        <v>1.00000000</v>
      </c>
      <c r="AL292" s="204">
        <v>26</v>
      </c>
    </row>
    <row r="293" spans="1:38" x14ac:dyDescent="0.2">
      <c r="A293" s="204" t="str">
        <f t="shared" si="9"/>
        <v>0496002595700</v>
      </c>
      <c r="B293" s="204">
        <v>6</v>
      </c>
      <c r="C293" s="204" t="s">
        <v>156</v>
      </c>
      <c r="D293" s="204" t="s">
        <v>344</v>
      </c>
      <c r="E293" s="204" t="s">
        <v>345</v>
      </c>
      <c r="F293" s="204" t="s">
        <v>243</v>
      </c>
      <c r="G293" s="204">
        <v>2262</v>
      </c>
      <c r="H293" s="204" t="s">
        <v>270</v>
      </c>
      <c r="I293" s="204">
        <v>48985</v>
      </c>
      <c r="J293" s="209">
        <v>42487</v>
      </c>
      <c r="K293" s="210">
        <v>0.50624999999999998</v>
      </c>
      <c r="L293" s="209">
        <v>42489</v>
      </c>
      <c r="M293" s="204" t="s">
        <v>271</v>
      </c>
      <c r="N293" s="204" t="s">
        <v>272</v>
      </c>
      <c r="O293" s="204" t="s">
        <v>273</v>
      </c>
      <c r="P293" s="204" t="s">
        <v>274</v>
      </c>
      <c r="Q293" s="204" t="s">
        <v>275</v>
      </c>
      <c r="R293" s="204" t="s">
        <v>276</v>
      </c>
      <c r="S293" s="204" t="s">
        <v>156</v>
      </c>
      <c r="T293" s="204" t="s">
        <v>277</v>
      </c>
      <c r="U293" s="204">
        <v>2262</v>
      </c>
      <c r="V293" s="204" t="s">
        <v>156</v>
      </c>
      <c r="W293" s="204" t="s">
        <v>335</v>
      </c>
      <c r="X293" s="204">
        <v>13.696999999999999</v>
      </c>
      <c r="Y293" s="211">
        <v>-0.41</v>
      </c>
      <c r="Z293" s="211">
        <v>2.4</v>
      </c>
      <c r="AA293" s="211">
        <v>32.86</v>
      </c>
      <c r="AB293" s="211">
        <v>-2.5099999999999998</v>
      </c>
      <c r="AC293" s="211">
        <v>0</v>
      </c>
      <c r="AD293" s="211">
        <v>0</v>
      </c>
      <c r="AE293" s="211">
        <v>29.94</v>
      </c>
      <c r="AF293" s="211">
        <v>-3.29</v>
      </c>
      <c r="AG293" s="204" t="s">
        <v>279</v>
      </c>
      <c r="AH293" s="211">
        <v>0</v>
      </c>
      <c r="AI293" s="211">
        <v>32.86</v>
      </c>
      <c r="AJ293" s="211">
        <v>0</v>
      </c>
      <c r="AK293" s="204" t="str">
        <f t="shared" si="8"/>
        <v>1.00000000</v>
      </c>
      <c r="AL293" s="204">
        <v>28.2</v>
      </c>
    </row>
    <row r="294" spans="1:38" x14ac:dyDescent="0.2">
      <c r="A294" s="204" t="str">
        <f t="shared" si="9"/>
        <v>0496002595700</v>
      </c>
      <c r="B294" s="204">
        <v>6</v>
      </c>
      <c r="C294" s="204" t="s">
        <v>156</v>
      </c>
      <c r="D294" s="204" t="s">
        <v>344</v>
      </c>
      <c r="E294" s="204" t="s">
        <v>345</v>
      </c>
      <c r="F294" s="204" t="s">
        <v>243</v>
      </c>
      <c r="G294" s="204">
        <v>2262</v>
      </c>
      <c r="H294" s="204" t="s">
        <v>270</v>
      </c>
      <c r="I294" s="204">
        <v>49178</v>
      </c>
      <c r="J294" s="209">
        <v>42488</v>
      </c>
      <c r="K294" s="210">
        <v>0.54305555555555551</v>
      </c>
      <c r="L294" s="209">
        <v>42492</v>
      </c>
      <c r="M294" s="204" t="s">
        <v>271</v>
      </c>
      <c r="N294" s="204" t="s">
        <v>272</v>
      </c>
      <c r="O294" s="204" t="s">
        <v>273</v>
      </c>
      <c r="P294" s="204" t="s">
        <v>274</v>
      </c>
      <c r="Q294" s="204" t="s">
        <v>275</v>
      </c>
      <c r="R294" s="204" t="s">
        <v>276</v>
      </c>
      <c r="S294" s="204" t="s">
        <v>156</v>
      </c>
      <c r="T294" s="204" t="s">
        <v>277</v>
      </c>
      <c r="U294" s="204">
        <v>2262</v>
      </c>
      <c r="V294" s="204" t="s">
        <v>156</v>
      </c>
      <c r="W294" s="204" t="s">
        <v>335</v>
      </c>
      <c r="X294" s="204">
        <v>6.2709999999999999</v>
      </c>
      <c r="Y294" s="211">
        <v>-0.19</v>
      </c>
      <c r="Z294" s="211">
        <v>2.4</v>
      </c>
      <c r="AA294" s="211">
        <v>15.04</v>
      </c>
      <c r="AB294" s="211">
        <v>-1.1499999999999999</v>
      </c>
      <c r="AC294" s="211">
        <v>0</v>
      </c>
      <c r="AD294" s="211">
        <v>0</v>
      </c>
      <c r="AE294" s="211">
        <v>13.7</v>
      </c>
      <c r="AF294" s="211">
        <v>-1.51</v>
      </c>
      <c r="AG294" s="204" t="s">
        <v>279</v>
      </c>
      <c r="AH294" s="211">
        <v>0</v>
      </c>
      <c r="AI294" s="211">
        <v>15.04</v>
      </c>
      <c r="AJ294" s="211">
        <v>0</v>
      </c>
      <c r="AK294" s="204" t="str">
        <f t="shared" si="8"/>
        <v>1.00000000</v>
      </c>
      <c r="AL294" s="204">
        <v>30.8</v>
      </c>
    </row>
    <row r="295" spans="1:38" x14ac:dyDescent="0.2">
      <c r="A295" s="204" t="str">
        <f t="shared" si="9"/>
        <v>0496002595700</v>
      </c>
      <c r="B295" s="204">
        <v>6</v>
      </c>
      <c r="C295" s="204" t="s">
        <v>156</v>
      </c>
      <c r="D295" s="204" t="s">
        <v>344</v>
      </c>
      <c r="E295" s="204" t="s">
        <v>345</v>
      </c>
      <c r="F295" s="204" t="s">
        <v>243</v>
      </c>
      <c r="G295" s="204">
        <v>2262</v>
      </c>
      <c r="H295" s="204" t="s">
        <v>270</v>
      </c>
      <c r="I295" s="204">
        <v>49488</v>
      </c>
      <c r="J295" s="209">
        <v>42492</v>
      </c>
      <c r="K295" s="210">
        <v>0.62708333333333333</v>
      </c>
      <c r="L295" s="209">
        <v>42494</v>
      </c>
      <c r="M295" s="204" t="s">
        <v>271</v>
      </c>
      <c r="N295" s="204" t="s">
        <v>272</v>
      </c>
      <c r="O295" s="204" t="s">
        <v>273</v>
      </c>
      <c r="P295" s="204" t="s">
        <v>274</v>
      </c>
      <c r="Q295" s="204" t="s">
        <v>275</v>
      </c>
      <c r="R295" s="204" t="s">
        <v>276</v>
      </c>
      <c r="S295" s="204" t="s">
        <v>156</v>
      </c>
      <c r="T295" s="204" t="s">
        <v>277</v>
      </c>
      <c r="U295" s="204">
        <v>2262</v>
      </c>
      <c r="V295" s="204" t="s">
        <v>156</v>
      </c>
      <c r="W295" s="204" t="s">
        <v>335</v>
      </c>
      <c r="X295" s="204">
        <v>11.186999999999999</v>
      </c>
      <c r="Y295" s="211">
        <v>-0.34</v>
      </c>
      <c r="Z295" s="211">
        <v>2.4</v>
      </c>
      <c r="AA295" s="211">
        <v>26.84</v>
      </c>
      <c r="AB295" s="211">
        <v>-2.0499999999999998</v>
      </c>
      <c r="AC295" s="211">
        <v>0</v>
      </c>
      <c r="AD295" s="211">
        <v>0</v>
      </c>
      <c r="AE295" s="211">
        <v>24.45</v>
      </c>
      <c r="AF295" s="211">
        <v>-2.68</v>
      </c>
      <c r="AG295" s="204" t="s">
        <v>279</v>
      </c>
      <c r="AH295" s="211">
        <v>0</v>
      </c>
      <c r="AI295" s="211">
        <v>26.84</v>
      </c>
      <c r="AJ295" s="211">
        <v>0</v>
      </c>
      <c r="AK295" s="204" t="str">
        <f t="shared" si="8"/>
        <v>1.00000000</v>
      </c>
      <c r="AL295" s="204">
        <v>27.7</v>
      </c>
    </row>
    <row r="296" spans="1:38" x14ac:dyDescent="0.2">
      <c r="A296" s="204" t="str">
        <f t="shared" si="9"/>
        <v>0496002595700</v>
      </c>
      <c r="B296" s="204">
        <v>6</v>
      </c>
      <c r="C296" s="204" t="s">
        <v>156</v>
      </c>
      <c r="D296" s="204" t="s">
        <v>344</v>
      </c>
      <c r="E296" s="204" t="s">
        <v>345</v>
      </c>
      <c r="F296" s="204" t="s">
        <v>243</v>
      </c>
      <c r="G296" s="204">
        <v>2262</v>
      </c>
      <c r="H296" s="204" t="s">
        <v>270</v>
      </c>
      <c r="I296" s="204">
        <v>49807</v>
      </c>
      <c r="J296" s="209">
        <v>42522</v>
      </c>
      <c r="K296" s="210">
        <v>0.43402777777777773</v>
      </c>
      <c r="L296" s="209">
        <v>42524</v>
      </c>
      <c r="M296" s="204" t="s">
        <v>271</v>
      </c>
      <c r="N296" s="204" t="s">
        <v>272</v>
      </c>
      <c r="O296" s="204" t="s">
        <v>273</v>
      </c>
      <c r="P296" s="204" t="s">
        <v>274</v>
      </c>
      <c r="Q296" s="204" t="s">
        <v>275</v>
      </c>
      <c r="R296" s="204" t="s">
        <v>276</v>
      </c>
      <c r="S296" s="204" t="s">
        <v>156</v>
      </c>
      <c r="T296" s="204" t="s">
        <v>277</v>
      </c>
      <c r="U296" s="204">
        <v>2262</v>
      </c>
      <c r="V296" s="204" t="s">
        <v>156</v>
      </c>
      <c r="W296" s="204" t="s">
        <v>335</v>
      </c>
      <c r="X296" s="204">
        <v>11.705</v>
      </c>
      <c r="Y296" s="211">
        <v>-0.35</v>
      </c>
      <c r="Z296" s="211">
        <v>2.5099999999999998</v>
      </c>
      <c r="AA296" s="211">
        <v>29.37</v>
      </c>
      <c r="AB296" s="211">
        <v>-2.14</v>
      </c>
      <c r="AC296" s="211">
        <v>0</v>
      </c>
      <c r="AD296" s="211">
        <v>0</v>
      </c>
      <c r="AE296" s="211">
        <v>26.88</v>
      </c>
      <c r="AF296" s="211">
        <v>-2.81</v>
      </c>
      <c r="AG296" s="204" t="s">
        <v>279</v>
      </c>
      <c r="AH296" s="211">
        <v>0</v>
      </c>
      <c r="AI296" s="211">
        <v>29.37</v>
      </c>
      <c r="AJ296" s="211">
        <v>0</v>
      </c>
      <c r="AK296" s="204" t="str">
        <f t="shared" si="8"/>
        <v>1.00000000</v>
      </c>
      <c r="AL296" s="204">
        <v>27.2</v>
      </c>
    </row>
    <row r="297" spans="1:38" x14ac:dyDescent="0.2">
      <c r="A297" s="204" t="str">
        <f t="shared" si="9"/>
        <v>0496002595700</v>
      </c>
      <c r="B297" s="204">
        <v>6</v>
      </c>
      <c r="C297" s="204" t="s">
        <v>156</v>
      </c>
      <c r="D297" s="204" t="s">
        <v>344</v>
      </c>
      <c r="E297" s="204" t="s">
        <v>345</v>
      </c>
      <c r="F297" s="204" t="s">
        <v>243</v>
      </c>
      <c r="G297" s="204">
        <v>2262</v>
      </c>
      <c r="H297" s="204" t="s">
        <v>270</v>
      </c>
      <c r="I297" s="204">
        <v>50122</v>
      </c>
      <c r="J297" s="209">
        <v>42530</v>
      </c>
      <c r="K297" s="210">
        <v>0.44791666666666669</v>
      </c>
      <c r="L297" s="209">
        <v>42534</v>
      </c>
      <c r="M297" s="204" t="s">
        <v>271</v>
      </c>
      <c r="N297" s="204" t="s">
        <v>272</v>
      </c>
      <c r="O297" s="204" t="s">
        <v>273</v>
      </c>
      <c r="P297" s="204" t="s">
        <v>274</v>
      </c>
      <c r="Q297" s="204" t="s">
        <v>275</v>
      </c>
      <c r="R297" s="204" t="s">
        <v>276</v>
      </c>
      <c r="S297" s="204" t="s">
        <v>156</v>
      </c>
      <c r="T297" s="204" t="s">
        <v>277</v>
      </c>
      <c r="U297" s="204">
        <v>2262</v>
      </c>
      <c r="V297" s="204" t="s">
        <v>156</v>
      </c>
      <c r="W297" s="204" t="s">
        <v>335</v>
      </c>
      <c r="X297" s="204">
        <v>12.23</v>
      </c>
      <c r="Y297" s="211">
        <v>-0.37</v>
      </c>
      <c r="Z297" s="211">
        <v>2.5299999999999998</v>
      </c>
      <c r="AA297" s="211">
        <v>30.93</v>
      </c>
      <c r="AB297" s="211">
        <v>-2.2400000000000002</v>
      </c>
      <c r="AC297" s="211">
        <v>0</v>
      </c>
      <c r="AD297" s="211">
        <v>0</v>
      </c>
      <c r="AE297" s="211">
        <v>28.32</v>
      </c>
      <c r="AF297" s="211">
        <v>-2.94</v>
      </c>
      <c r="AG297" s="204" t="s">
        <v>279</v>
      </c>
      <c r="AH297" s="211">
        <v>0</v>
      </c>
      <c r="AI297" s="211">
        <v>30.93</v>
      </c>
      <c r="AJ297" s="211">
        <v>0</v>
      </c>
      <c r="AK297" s="204" t="str">
        <f t="shared" si="8"/>
        <v>1.00000000</v>
      </c>
      <c r="AL297" s="204">
        <v>25.8</v>
      </c>
    </row>
    <row r="298" spans="1:38" x14ac:dyDescent="0.2">
      <c r="A298" s="204" t="str">
        <f t="shared" si="9"/>
        <v>0496002595700</v>
      </c>
      <c r="B298" s="204">
        <v>6</v>
      </c>
      <c r="C298" s="204" t="s">
        <v>156</v>
      </c>
      <c r="D298" s="204" t="s">
        <v>344</v>
      </c>
      <c r="E298" s="204" t="s">
        <v>345</v>
      </c>
      <c r="F298" s="204" t="s">
        <v>243</v>
      </c>
      <c r="G298" s="204">
        <v>2262</v>
      </c>
      <c r="H298" s="204" t="s">
        <v>270</v>
      </c>
      <c r="I298" s="204">
        <v>50278</v>
      </c>
      <c r="J298" s="209">
        <v>42551</v>
      </c>
      <c r="K298" s="210">
        <v>0.54861111111111105</v>
      </c>
      <c r="L298" s="209">
        <v>42555</v>
      </c>
      <c r="M298" s="204" t="s">
        <v>271</v>
      </c>
      <c r="N298" s="204" t="s">
        <v>272</v>
      </c>
      <c r="O298" s="204" t="s">
        <v>273</v>
      </c>
      <c r="P298" s="204" t="s">
        <v>274</v>
      </c>
      <c r="Q298" s="204" t="s">
        <v>275</v>
      </c>
      <c r="R298" s="204" t="s">
        <v>276</v>
      </c>
      <c r="S298" s="204" t="s">
        <v>156</v>
      </c>
      <c r="T298" s="204" t="s">
        <v>277</v>
      </c>
      <c r="U298" s="204">
        <v>2262</v>
      </c>
      <c r="V298" s="204" t="s">
        <v>156</v>
      </c>
      <c r="W298" s="204" t="s">
        <v>335</v>
      </c>
      <c r="X298" s="204">
        <v>6.2220000000000004</v>
      </c>
      <c r="Y298" s="211">
        <v>-0.19</v>
      </c>
      <c r="Z298" s="211">
        <v>2.46</v>
      </c>
      <c r="AA298" s="211">
        <v>15.3</v>
      </c>
      <c r="AB298" s="211">
        <v>-1.1399999999999999</v>
      </c>
      <c r="AC298" s="211">
        <v>0</v>
      </c>
      <c r="AD298" s="211">
        <v>0</v>
      </c>
      <c r="AE298" s="211">
        <v>13.97</v>
      </c>
      <c r="AF298" s="211">
        <v>-1.49</v>
      </c>
      <c r="AG298" s="204" t="s">
        <v>279</v>
      </c>
      <c r="AH298" s="211">
        <v>0</v>
      </c>
      <c r="AI298" s="211">
        <v>15.3</v>
      </c>
      <c r="AJ298" s="211">
        <v>0</v>
      </c>
      <c r="AK298" s="204" t="str">
        <f t="shared" si="8"/>
        <v>1.00000000</v>
      </c>
      <c r="AL298" s="204">
        <v>25.1</v>
      </c>
    </row>
    <row r="299" spans="1:38" x14ac:dyDescent="0.2">
      <c r="A299" s="204" t="str">
        <f t="shared" si="9"/>
        <v>0496002595700</v>
      </c>
      <c r="B299" s="204">
        <v>7</v>
      </c>
      <c r="C299" s="204" t="s">
        <v>156</v>
      </c>
      <c r="D299" s="204" t="s">
        <v>371</v>
      </c>
      <c r="E299" s="204">
        <v>45</v>
      </c>
      <c r="F299" s="204" t="s">
        <v>243</v>
      </c>
      <c r="G299" s="204">
        <v>2262</v>
      </c>
      <c r="H299" s="204" t="s">
        <v>270</v>
      </c>
      <c r="I299" s="204">
        <v>9857</v>
      </c>
      <c r="J299" s="209">
        <v>42539</v>
      </c>
      <c r="K299" s="210">
        <v>0.39652777777777781</v>
      </c>
      <c r="L299" s="209">
        <v>42542</v>
      </c>
      <c r="M299" s="204" t="s">
        <v>271</v>
      </c>
      <c r="N299" s="204" t="s">
        <v>272</v>
      </c>
      <c r="O299" s="204" t="s">
        <v>273</v>
      </c>
      <c r="P299" s="204" t="s">
        <v>274</v>
      </c>
      <c r="Q299" s="204" t="s">
        <v>275</v>
      </c>
      <c r="R299" s="204" t="s">
        <v>276</v>
      </c>
      <c r="S299" s="204" t="s">
        <v>156</v>
      </c>
      <c r="T299" s="204" t="s">
        <v>277</v>
      </c>
      <c r="U299" s="204">
        <v>2262</v>
      </c>
      <c r="V299" s="204" t="s">
        <v>156</v>
      </c>
      <c r="W299" s="204" t="s">
        <v>280</v>
      </c>
      <c r="X299" s="204">
        <v>12.022</v>
      </c>
      <c r="Y299" s="211">
        <v>-0.36</v>
      </c>
      <c r="Z299" s="211">
        <v>2.33</v>
      </c>
      <c r="AA299" s="211">
        <v>28</v>
      </c>
      <c r="AB299" s="211">
        <v>-2.2000000000000002</v>
      </c>
      <c r="AC299" s="211">
        <v>0</v>
      </c>
      <c r="AD299" s="211">
        <v>0</v>
      </c>
      <c r="AE299" s="211">
        <v>25.44</v>
      </c>
      <c r="AF299" s="211">
        <v>-2.89</v>
      </c>
      <c r="AG299" s="204" t="s">
        <v>279</v>
      </c>
      <c r="AH299" s="211">
        <v>0</v>
      </c>
      <c r="AI299" s="211">
        <v>28</v>
      </c>
      <c r="AJ299" s="211">
        <v>0</v>
      </c>
      <c r="AK299" s="204" t="str">
        <f t="shared" si="8"/>
        <v>1.00000000</v>
      </c>
      <c r="AL299" s="204">
        <v>819.9</v>
      </c>
    </row>
    <row r="300" spans="1:38" x14ac:dyDescent="0.2">
      <c r="A300" s="204" t="str">
        <f t="shared" si="9"/>
        <v>0496002595700</v>
      </c>
      <c r="B300" s="204">
        <v>7</v>
      </c>
      <c r="C300" s="204" t="s">
        <v>156</v>
      </c>
      <c r="D300" s="204" t="s">
        <v>371</v>
      </c>
      <c r="E300" s="204">
        <v>45</v>
      </c>
      <c r="F300" s="204" t="s">
        <v>243</v>
      </c>
      <c r="G300" s="204">
        <v>2262</v>
      </c>
      <c r="H300" s="204" t="s">
        <v>270</v>
      </c>
      <c r="I300" s="204">
        <v>10174</v>
      </c>
      <c r="J300" s="209">
        <v>42541</v>
      </c>
      <c r="K300" s="210">
        <v>0.3888888888888889</v>
      </c>
      <c r="L300" s="209">
        <v>42543</v>
      </c>
      <c r="M300" s="204" t="s">
        <v>271</v>
      </c>
      <c r="N300" s="204" t="s">
        <v>272</v>
      </c>
      <c r="O300" s="204" t="s">
        <v>273</v>
      </c>
      <c r="P300" s="204" t="s">
        <v>274</v>
      </c>
      <c r="Q300" s="204" t="s">
        <v>275</v>
      </c>
      <c r="R300" s="204" t="s">
        <v>276</v>
      </c>
      <c r="S300" s="204" t="s">
        <v>156</v>
      </c>
      <c r="T300" s="204" t="s">
        <v>277</v>
      </c>
      <c r="U300" s="204">
        <v>2262</v>
      </c>
      <c r="V300" s="204" t="s">
        <v>156</v>
      </c>
      <c r="W300" s="204" t="s">
        <v>280</v>
      </c>
      <c r="X300" s="204">
        <v>12.901</v>
      </c>
      <c r="Y300" s="211">
        <v>-0.39</v>
      </c>
      <c r="Z300" s="211">
        <v>2.31</v>
      </c>
      <c r="AA300" s="211">
        <v>29.79</v>
      </c>
      <c r="AB300" s="211">
        <v>-2.36</v>
      </c>
      <c r="AC300" s="211">
        <v>0</v>
      </c>
      <c r="AD300" s="211">
        <v>0</v>
      </c>
      <c r="AE300" s="211">
        <v>27.04</v>
      </c>
      <c r="AF300" s="211">
        <v>-3.1</v>
      </c>
      <c r="AG300" s="204" t="s">
        <v>279</v>
      </c>
      <c r="AH300" s="211">
        <v>0</v>
      </c>
      <c r="AI300" s="211">
        <v>29.79</v>
      </c>
      <c r="AJ300" s="211">
        <v>0</v>
      </c>
      <c r="AK300" s="204" t="str">
        <f t="shared" si="8"/>
        <v>1.00000000</v>
      </c>
      <c r="AL300" s="204">
        <v>24.6</v>
      </c>
    </row>
    <row r="301" spans="1:38" x14ac:dyDescent="0.2">
      <c r="A301" s="204" t="str">
        <f t="shared" si="9"/>
        <v>0496002595700</v>
      </c>
      <c r="B301" s="204">
        <v>7</v>
      </c>
      <c r="C301" s="204" t="s">
        <v>156</v>
      </c>
      <c r="D301" s="204" t="s">
        <v>371</v>
      </c>
      <c r="E301" s="204">
        <v>45</v>
      </c>
      <c r="F301" s="204" t="s">
        <v>243</v>
      </c>
      <c r="G301" s="204">
        <v>2262</v>
      </c>
      <c r="H301" s="204" t="s">
        <v>270</v>
      </c>
      <c r="I301" s="204">
        <v>10469</v>
      </c>
      <c r="J301" s="209">
        <v>42543</v>
      </c>
      <c r="K301" s="210">
        <v>0.60277777777777775</v>
      </c>
      <c r="L301" s="209">
        <v>42545</v>
      </c>
      <c r="M301" s="204" t="s">
        <v>271</v>
      </c>
      <c r="N301" s="204" t="s">
        <v>272</v>
      </c>
      <c r="O301" s="204" t="s">
        <v>273</v>
      </c>
      <c r="P301" s="204" t="s">
        <v>274</v>
      </c>
      <c r="Q301" s="204" t="s">
        <v>275</v>
      </c>
      <c r="R301" s="204" t="s">
        <v>276</v>
      </c>
      <c r="S301" s="204" t="s">
        <v>156</v>
      </c>
      <c r="T301" s="204" t="s">
        <v>277</v>
      </c>
      <c r="U301" s="204">
        <v>2262</v>
      </c>
      <c r="V301" s="204" t="s">
        <v>156</v>
      </c>
      <c r="W301" s="204" t="s">
        <v>280</v>
      </c>
      <c r="X301" s="204">
        <v>12.022</v>
      </c>
      <c r="Y301" s="211">
        <v>-0.36</v>
      </c>
      <c r="Z301" s="211">
        <v>2.33</v>
      </c>
      <c r="AA301" s="211">
        <v>28</v>
      </c>
      <c r="AB301" s="211">
        <v>-2.2000000000000002</v>
      </c>
      <c r="AC301" s="211">
        <v>0</v>
      </c>
      <c r="AD301" s="211">
        <v>0</v>
      </c>
      <c r="AE301" s="211">
        <v>25.44</v>
      </c>
      <c r="AF301" s="211">
        <v>-2.89</v>
      </c>
      <c r="AG301" s="204" t="s">
        <v>279</v>
      </c>
      <c r="AH301" s="211">
        <v>0</v>
      </c>
      <c r="AI301" s="211">
        <v>28</v>
      </c>
      <c r="AJ301" s="211">
        <v>0</v>
      </c>
      <c r="AK301" s="204" t="str">
        <f t="shared" si="8"/>
        <v>1.00000000</v>
      </c>
      <c r="AL301" s="204">
        <v>24.5</v>
      </c>
    </row>
    <row r="302" spans="1:38" x14ac:dyDescent="0.2">
      <c r="A302" s="204" t="str">
        <f t="shared" si="9"/>
        <v>0496002595700</v>
      </c>
      <c r="B302" s="204">
        <v>7</v>
      </c>
      <c r="C302" s="204" t="s">
        <v>156</v>
      </c>
      <c r="D302" s="204" t="s">
        <v>371</v>
      </c>
      <c r="E302" s="204">
        <v>45</v>
      </c>
      <c r="F302" s="204" t="s">
        <v>243</v>
      </c>
      <c r="G302" s="204">
        <v>2262</v>
      </c>
      <c r="H302" s="204" t="s">
        <v>270</v>
      </c>
      <c r="I302" s="204">
        <v>11040</v>
      </c>
      <c r="J302" s="209">
        <v>42545</v>
      </c>
      <c r="K302" s="210">
        <v>0.72013888888888899</v>
      </c>
      <c r="L302" s="209">
        <v>42549</v>
      </c>
      <c r="M302" s="204" t="s">
        <v>271</v>
      </c>
      <c r="N302" s="204" t="s">
        <v>272</v>
      </c>
      <c r="O302" s="204" t="s">
        <v>273</v>
      </c>
      <c r="P302" s="204" t="s">
        <v>274</v>
      </c>
      <c r="Q302" s="204" t="s">
        <v>275</v>
      </c>
      <c r="R302" s="204" t="s">
        <v>276</v>
      </c>
      <c r="S302" s="204" t="s">
        <v>156</v>
      </c>
      <c r="T302" s="204" t="s">
        <v>277</v>
      </c>
      <c r="U302" s="204">
        <v>2262</v>
      </c>
      <c r="V302" s="204" t="s">
        <v>156</v>
      </c>
      <c r="W302" s="204" t="s">
        <v>280</v>
      </c>
      <c r="X302" s="204">
        <v>16.315999999999999</v>
      </c>
      <c r="Y302" s="211">
        <v>-0.49</v>
      </c>
      <c r="Z302" s="211">
        <v>2.33</v>
      </c>
      <c r="AA302" s="211">
        <v>38</v>
      </c>
      <c r="AB302" s="211">
        <v>-2.99</v>
      </c>
      <c r="AC302" s="211">
        <v>0</v>
      </c>
      <c r="AD302" s="211">
        <v>0</v>
      </c>
      <c r="AE302" s="211">
        <v>34.520000000000003</v>
      </c>
      <c r="AF302" s="211">
        <v>-3.92</v>
      </c>
      <c r="AG302" s="204" t="s">
        <v>279</v>
      </c>
      <c r="AH302" s="211">
        <v>0</v>
      </c>
      <c r="AI302" s="211">
        <v>38</v>
      </c>
      <c r="AJ302" s="211">
        <v>0</v>
      </c>
      <c r="AK302" s="204" t="str">
        <f t="shared" si="8"/>
        <v>1.00000000</v>
      </c>
      <c r="AL302" s="204">
        <v>35</v>
      </c>
    </row>
    <row r="303" spans="1:38" x14ac:dyDescent="0.2">
      <c r="A303" s="204" t="str">
        <f t="shared" si="9"/>
        <v>0496002595700</v>
      </c>
      <c r="B303" s="204">
        <v>7</v>
      </c>
      <c r="C303" s="204" t="s">
        <v>156</v>
      </c>
      <c r="D303" s="204" t="s">
        <v>371</v>
      </c>
      <c r="E303" s="204">
        <v>45</v>
      </c>
      <c r="F303" s="204" t="s">
        <v>243</v>
      </c>
      <c r="G303" s="204">
        <v>2262</v>
      </c>
      <c r="H303" s="204" t="s">
        <v>270</v>
      </c>
      <c r="I303" s="204">
        <v>11498</v>
      </c>
      <c r="J303" s="209">
        <v>42551</v>
      </c>
      <c r="K303" s="210">
        <v>0.66805555555555562</v>
      </c>
      <c r="L303" s="209">
        <v>42555</v>
      </c>
      <c r="M303" s="204" t="s">
        <v>271</v>
      </c>
      <c r="N303" s="204" t="s">
        <v>986</v>
      </c>
      <c r="O303" s="204" t="s">
        <v>987</v>
      </c>
      <c r="P303" s="204" t="s">
        <v>476</v>
      </c>
      <c r="Q303" s="204" t="s">
        <v>329</v>
      </c>
      <c r="R303" s="204" t="s">
        <v>988</v>
      </c>
      <c r="S303" s="204" t="s">
        <v>156</v>
      </c>
      <c r="T303" s="204" t="s">
        <v>277</v>
      </c>
      <c r="U303" s="204">
        <v>2262</v>
      </c>
      <c r="V303" s="204" t="s">
        <v>156</v>
      </c>
      <c r="W303" s="204" t="s">
        <v>280</v>
      </c>
      <c r="X303" s="204">
        <v>15.500999999999999</v>
      </c>
      <c r="Y303" s="211">
        <v>-0.31</v>
      </c>
      <c r="Z303" s="211">
        <v>2.86</v>
      </c>
      <c r="AA303" s="211">
        <v>44.32</v>
      </c>
      <c r="AB303" s="211">
        <v>-2.84</v>
      </c>
      <c r="AC303" s="211">
        <v>0</v>
      </c>
      <c r="AD303" s="211">
        <v>0</v>
      </c>
      <c r="AE303" s="211">
        <v>41.17</v>
      </c>
      <c r="AF303" s="211">
        <v>-7.03</v>
      </c>
      <c r="AG303" s="204" t="s">
        <v>279</v>
      </c>
      <c r="AH303" s="211">
        <v>0</v>
      </c>
      <c r="AI303" s="211">
        <v>44.32</v>
      </c>
      <c r="AJ303" s="211">
        <v>0</v>
      </c>
      <c r="AK303" s="204" t="str">
        <f t="shared" si="8"/>
        <v>1.00000000</v>
      </c>
      <c r="AL303" s="204">
        <v>29.6</v>
      </c>
    </row>
    <row r="304" spans="1:38" x14ac:dyDescent="0.2">
      <c r="A304" s="204" t="str">
        <f t="shared" si="9"/>
        <v>0496002595700</v>
      </c>
      <c r="B304" s="204">
        <v>8</v>
      </c>
      <c r="C304" s="204" t="s">
        <v>156</v>
      </c>
      <c r="D304" s="204" t="s">
        <v>414</v>
      </c>
      <c r="E304" s="204">
        <v>47</v>
      </c>
      <c r="F304" s="204" t="s">
        <v>243</v>
      </c>
      <c r="G304" s="204">
        <v>2262</v>
      </c>
      <c r="H304" s="204" t="s">
        <v>270</v>
      </c>
      <c r="I304" s="204">
        <v>13562</v>
      </c>
      <c r="J304" s="209">
        <v>42547</v>
      </c>
      <c r="K304" s="210">
        <v>0.51111111111111118</v>
      </c>
      <c r="L304" s="209">
        <v>42549</v>
      </c>
      <c r="M304" s="204" t="s">
        <v>302</v>
      </c>
      <c r="N304" s="204" t="s">
        <v>989</v>
      </c>
      <c r="O304" s="204" t="s">
        <v>990</v>
      </c>
      <c r="P304" s="204" t="s">
        <v>991</v>
      </c>
      <c r="Q304" s="204" t="s">
        <v>329</v>
      </c>
      <c r="R304" s="204" t="s">
        <v>992</v>
      </c>
      <c r="S304" s="204" t="s">
        <v>156</v>
      </c>
      <c r="T304" s="204" t="s">
        <v>277</v>
      </c>
      <c r="U304" s="204">
        <v>2262</v>
      </c>
      <c r="V304" s="204" t="s">
        <v>156</v>
      </c>
      <c r="W304" s="204" t="s">
        <v>280</v>
      </c>
      <c r="X304" s="204">
        <v>17.866</v>
      </c>
      <c r="Y304" s="211">
        <v>0</v>
      </c>
      <c r="Z304" s="211">
        <v>2.56</v>
      </c>
      <c r="AA304" s="211">
        <v>45.72</v>
      </c>
      <c r="AB304" s="211">
        <v>-3.27</v>
      </c>
      <c r="AC304" s="211">
        <v>0</v>
      </c>
      <c r="AD304" s="211">
        <v>0</v>
      </c>
      <c r="AE304" s="211">
        <v>42.45</v>
      </c>
      <c r="AF304" s="211">
        <v>-7.55</v>
      </c>
      <c r="AG304" s="204" t="s">
        <v>279</v>
      </c>
      <c r="AH304" s="211">
        <v>0</v>
      </c>
      <c r="AI304" s="211">
        <v>45.72</v>
      </c>
      <c r="AJ304" s="211">
        <v>0</v>
      </c>
      <c r="AK304" s="204" t="str">
        <f t="shared" si="8"/>
        <v>1.00000000</v>
      </c>
      <c r="AL304" s="204">
        <v>759.1</v>
      </c>
    </row>
    <row r="305" spans="1:38" x14ac:dyDescent="0.2">
      <c r="A305" s="204" t="str">
        <f t="shared" si="9"/>
        <v>0496002595700</v>
      </c>
      <c r="B305" s="204">
        <v>8</v>
      </c>
      <c r="C305" s="204" t="s">
        <v>156</v>
      </c>
      <c r="D305" s="204" t="s">
        <v>414</v>
      </c>
      <c r="E305" s="204">
        <v>47</v>
      </c>
      <c r="F305" s="204" t="s">
        <v>243</v>
      </c>
      <c r="G305" s="204">
        <v>2262</v>
      </c>
      <c r="H305" s="204" t="s">
        <v>270</v>
      </c>
      <c r="I305" s="204">
        <v>14099</v>
      </c>
      <c r="J305" s="209">
        <v>42548</v>
      </c>
      <c r="K305" s="210">
        <v>0.86111111111111116</v>
      </c>
      <c r="L305" s="209">
        <v>42551</v>
      </c>
      <c r="M305" s="204" t="s">
        <v>993</v>
      </c>
      <c r="N305" s="204" t="s">
        <v>994</v>
      </c>
      <c r="O305" s="204" t="s">
        <v>995</v>
      </c>
      <c r="P305" s="204" t="s">
        <v>996</v>
      </c>
      <c r="Q305" s="204" t="s">
        <v>289</v>
      </c>
      <c r="R305" s="204">
        <v>8540</v>
      </c>
      <c r="S305" s="204" t="s">
        <v>156</v>
      </c>
      <c r="T305" s="204" t="s">
        <v>277</v>
      </c>
      <c r="U305" s="204">
        <v>2262</v>
      </c>
      <c r="V305" s="204" t="s">
        <v>156</v>
      </c>
      <c r="W305" s="204" t="s">
        <v>280</v>
      </c>
      <c r="X305" s="204">
        <v>19.832999999999998</v>
      </c>
      <c r="Y305" s="211">
        <v>0</v>
      </c>
      <c r="Z305" s="211">
        <v>2.1</v>
      </c>
      <c r="AA305" s="211">
        <v>41.63</v>
      </c>
      <c r="AB305" s="211">
        <v>-3.63</v>
      </c>
      <c r="AC305" s="211">
        <v>0</v>
      </c>
      <c r="AD305" s="211">
        <v>0</v>
      </c>
      <c r="AE305" s="211">
        <v>38</v>
      </c>
      <c r="AF305" s="211">
        <v>-2.87</v>
      </c>
      <c r="AG305" s="204" t="s">
        <v>279</v>
      </c>
      <c r="AH305" s="211">
        <v>0</v>
      </c>
      <c r="AI305" s="211">
        <v>41.63</v>
      </c>
      <c r="AJ305" s="211">
        <v>0</v>
      </c>
      <c r="AK305" s="204" t="str">
        <f t="shared" si="8"/>
        <v>1.00000000</v>
      </c>
      <c r="AL305" s="204">
        <v>27.1</v>
      </c>
    </row>
    <row r="306" spans="1:38" x14ac:dyDescent="0.2">
      <c r="A306" s="204" t="str">
        <f t="shared" si="9"/>
        <v>0496002595700</v>
      </c>
      <c r="B306" s="204">
        <v>8</v>
      </c>
      <c r="C306" s="204" t="s">
        <v>156</v>
      </c>
      <c r="D306" s="204" t="s">
        <v>414</v>
      </c>
      <c r="E306" s="204">
        <v>47</v>
      </c>
      <c r="F306" s="204" t="s">
        <v>243</v>
      </c>
      <c r="G306" s="204">
        <v>2262</v>
      </c>
      <c r="H306" s="204" t="s">
        <v>270</v>
      </c>
      <c r="I306" s="204">
        <v>14313</v>
      </c>
      <c r="J306" s="209">
        <v>42550</v>
      </c>
      <c r="K306" s="210">
        <v>0.30763888888888891</v>
      </c>
      <c r="L306" s="209">
        <v>42552</v>
      </c>
      <c r="M306" s="204" t="s">
        <v>271</v>
      </c>
      <c r="N306" s="204" t="s">
        <v>272</v>
      </c>
      <c r="O306" s="204" t="s">
        <v>273</v>
      </c>
      <c r="P306" s="204" t="s">
        <v>274</v>
      </c>
      <c r="Q306" s="204" t="s">
        <v>275</v>
      </c>
      <c r="R306" s="204" t="s">
        <v>276</v>
      </c>
      <c r="S306" s="204" t="s">
        <v>156</v>
      </c>
      <c r="T306" s="204" t="s">
        <v>277</v>
      </c>
      <c r="U306" s="204">
        <v>2262</v>
      </c>
      <c r="V306" s="204" t="s">
        <v>156</v>
      </c>
      <c r="W306" s="204" t="s">
        <v>280</v>
      </c>
      <c r="X306" s="204">
        <v>7.6660000000000004</v>
      </c>
      <c r="Y306" s="211">
        <v>-0.23</v>
      </c>
      <c r="Z306" s="211">
        <v>2.25</v>
      </c>
      <c r="AA306" s="211">
        <v>17.25</v>
      </c>
      <c r="AB306" s="211">
        <v>-1.4</v>
      </c>
      <c r="AC306" s="211">
        <v>0</v>
      </c>
      <c r="AD306" s="211">
        <v>0</v>
      </c>
      <c r="AE306" s="211">
        <v>15.62</v>
      </c>
      <c r="AF306" s="211">
        <v>-1.84</v>
      </c>
      <c r="AG306" s="204" t="s">
        <v>279</v>
      </c>
      <c r="AH306" s="211">
        <v>0</v>
      </c>
      <c r="AI306" s="211">
        <v>17.25</v>
      </c>
      <c r="AJ306" s="211">
        <v>0</v>
      </c>
      <c r="AK306" s="204" t="str">
        <f t="shared" si="8"/>
        <v>1.00000000</v>
      </c>
      <c r="AL306" s="204">
        <v>27.9</v>
      </c>
    </row>
    <row r="307" spans="1:38" x14ac:dyDescent="0.2">
      <c r="A307" s="204" t="str">
        <f t="shared" ref="A307:A342" si="10">"0496002595718"</f>
        <v>0496002595718</v>
      </c>
      <c r="B307" s="204">
        <v>1</v>
      </c>
      <c r="C307" s="204" t="s">
        <v>859</v>
      </c>
      <c r="D307" s="204">
        <v>49</v>
      </c>
      <c r="E307" s="204">
        <v>49</v>
      </c>
      <c r="F307" s="204" t="s">
        <v>243</v>
      </c>
      <c r="G307" s="204">
        <v>2972</v>
      </c>
      <c r="H307" s="204" t="s">
        <v>270</v>
      </c>
      <c r="I307" s="204">
        <v>12942</v>
      </c>
      <c r="J307" s="209">
        <v>42412</v>
      </c>
      <c r="K307" s="210">
        <v>0.52569444444444446</v>
      </c>
      <c r="L307" s="209">
        <v>42416</v>
      </c>
      <c r="M307" s="204" t="s">
        <v>853</v>
      </c>
      <c r="N307" s="204" t="s">
        <v>272</v>
      </c>
      <c r="O307" s="204" t="s">
        <v>273</v>
      </c>
      <c r="P307" s="204" t="s">
        <v>274</v>
      </c>
      <c r="Q307" s="204" t="s">
        <v>275</v>
      </c>
      <c r="R307" s="204" t="s">
        <v>276</v>
      </c>
      <c r="S307" s="204" t="s">
        <v>436</v>
      </c>
      <c r="T307" s="204" t="s">
        <v>859</v>
      </c>
      <c r="U307" s="204">
        <v>2972</v>
      </c>
      <c r="V307" s="204" t="s">
        <v>859</v>
      </c>
      <c r="W307" s="204" t="s">
        <v>280</v>
      </c>
      <c r="X307" s="204">
        <v>17.548999999999999</v>
      </c>
      <c r="Y307" s="211">
        <v>-0.53</v>
      </c>
      <c r="Z307" s="211">
        <v>1.78</v>
      </c>
      <c r="AA307" s="211">
        <v>31.22</v>
      </c>
      <c r="AB307" s="211">
        <v>-3.21</v>
      </c>
      <c r="AC307" s="211">
        <v>0</v>
      </c>
      <c r="AD307" s="211">
        <v>0</v>
      </c>
      <c r="AE307" s="211">
        <v>27.48</v>
      </c>
      <c r="AF307" s="211">
        <v>-4.21</v>
      </c>
      <c r="AG307" s="204" t="s">
        <v>279</v>
      </c>
      <c r="AH307" s="211">
        <v>0</v>
      </c>
      <c r="AI307" s="211">
        <v>31.22</v>
      </c>
      <c r="AJ307" s="211">
        <v>0</v>
      </c>
      <c r="AK307" s="204" t="str">
        <f t="shared" si="8"/>
        <v>1.00000000</v>
      </c>
      <c r="AL307" s="204">
        <v>16.100000000000001</v>
      </c>
    </row>
    <row r="308" spans="1:38" x14ac:dyDescent="0.2">
      <c r="A308" s="204" t="str">
        <f t="shared" si="10"/>
        <v>0496002595718</v>
      </c>
      <c r="B308" s="204">
        <v>1</v>
      </c>
      <c r="C308" s="204" t="s">
        <v>859</v>
      </c>
      <c r="D308" s="204">
        <v>49</v>
      </c>
      <c r="E308" s="204">
        <v>49</v>
      </c>
      <c r="F308" s="204" t="s">
        <v>243</v>
      </c>
      <c r="G308" s="204">
        <v>2972</v>
      </c>
      <c r="H308" s="204" t="s">
        <v>270</v>
      </c>
      <c r="I308" s="204">
        <v>13230</v>
      </c>
      <c r="J308" s="209">
        <v>42454</v>
      </c>
      <c r="K308" s="210">
        <v>0.4381944444444445</v>
      </c>
      <c r="L308" s="209">
        <v>42458</v>
      </c>
      <c r="M308" s="204" t="s">
        <v>853</v>
      </c>
      <c r="N308" s="204" t="s">
        <v>272</v>
      </c>
      <c r="O308" s="204" t="s">
        <v>273</v>
      </c>
      <c r="P308" s="204" t="s">
        <v>274</v>
      </c>
      <c r="Q308" s="204" t="s">
        <v>275</v>
      </c>
      <c r="R308" s="204" t="s">
        <v>276</v>
      </c>
      <c r="S308" s="204" t="s">
        <v>436</v>
      </c>
      <c r="T308" s="204" t="s">
        <v>859</v>
      </c>
      <c r="U308" s="204">
        <v>2972</v>
      </c>
      <c r="V308" s="204" t="s">
        <v>859</v>
      </c>
      <c r="W308" s="204" t="s">
        <v>278</v>
      </c>
      <c r="X308" s="204">
        <v>2.59</v>
      </c>
      <c r="Y308" s="211">
        <v>-0.08</v>
      </c>
      <c r="Z308" s="211">
        <v>2.36</v>
      </c>
      <c r="AA308" s="211">
        <v>6.11</v>
      </c>
      <c r="AB308" s="211">
        <v>-0.47</v>
      </c>
      <c r="AC308" s="211">
        <v>0</v>
      </c>
      <c r="AD308" s="211">
        <v>0</v>
      </c>
      <c r="AE308" s="211">
        <v>5.56</v>
      </c>
      <c r="AF308" s="211">
        <v>-0.62</v>
      </c>
      <c r="AG308" s="204" t="s">
        <v>279</v>
      </c>
      <c r="AH308" s="211">
        <v>0</v>
      </c>
      <c r="AI308" s="211">
        <v>6.11</v>
      </c>
      <c r="AJ308" s="211">
        <v>0</v>
      </c>
      <c r="AK308" s="204" t="str">
        <f t="shared" si="8"/>
        <v>1.00000000</v>
      </c>
      <c r="AL308" s="204">
        <v>111.2</v>
      </c>
    </row>
    <row r="309" spans="1:38" x14ac:dyDescent="0.2">
      <c r="A309" s="204" t="str">
        <f t="shared" si="10"/>
        <v>0496002595718</v>
      </c>
      <c r="B309" s="204">
        <v>1</v>
      </c>
      <c r="C309" s="204" t="s">
        <v>859</v>
      </c>
      <c r="D309" s="204">
        <v>49</v>
      </c>
      <c r="E309" s="204">
        <v>49</v>
      </c>
      <c r="F309" s="204" t="s">
        <v>243</v>
      </c>
      <c r="G309" s="204">
        <v>2972</v>
      </c>
      <c r="H309" s="204" t="s">
        <v>270</v>
      </c>
      <c r="I309" s="204">
        <v>13230</v>
      </c>
      <c r="J309" s="209">
        <v>42454</v>
      </c>
      <c r="K309" s="210">
        <v>0.44097222222222227</v>
      </c>
      <c r="L309" s="209">
        <v>42458</v>
      </c>
      <c r="M309" s="204" t="s">
        <v>853</v>
      </c>
      <c r="N309" s="204" t="s">
        <v>272</v>
      </c>
      <c r="O309" s="204" t="s">
        <v>273</v>
      </c>
      <c r="P309" s="204" t="s">
        <v>274</v>
      </c>
      <c r="Q309" s="204" t="s">
        <v>275</v>
      </c>
      <c r="R309" s="204" t="s">
        <v>276</v>
      </c>
      <c r="S309" s="204" t="s">
        <v>436</v>
      </c>
      <c r="T309" s="204" t="s">
        <v>859</v>
      </c>
      <c r="U309" s="204">
        <v>2972</v>
      </c>
      <c r="V309" s="204" t="s">
        <v>859</v>
      </c>
      <c r="W309" s="204" t="s">
        <v>280</v>
      </c>
      <c r="X309" s="204">
        <v>12.756</v>
      </c>
      <c r="Y309" s="211">
        <v>-0.38</v>
      </c>
      <c r="Z309" s="211">
        <v>2.04</v>
      </c>
      <c r="AA309" s="211">
        <v>26.01</v>
      </c>
      <c r="AB309" s="211">
        <v>-2.33</v>
      </c>
      <c r="AC309" s="211">
        <v>0</v>
      </c>
      <c r="AD309" s="211">
        <v>0</v>
      </c>
      <c r="AE309" s="211">
        <v>23.3</v>
      </c>
      <c r="AF309" s="211">
        <v>-3.06</v>
      </c>
      <c r="AG309" s="204" t="s">
        <v>279</v>
      </c>
      <c r="AH309" s="211">
        <v>0</v>
      </c>
      <c r="AI309" s="211">
        <v>26.01</v>
      </c>
      <c r="AJ309" s="211">
        <v>0</v>
      </c>
      <c r="AK309" s="204" t="str">
        <f t="shared" si="8"/>
        <v>1.00000000</v>
      </c>
      <c r="AL309" s="204">
        <v>0</v>
      </c>
    </row>
    <row r="310" spans="1:38" x14ac:dyDescent="0.2">
      <c r="A310" s="204" t="str">
        <f t="shared" si="10"/>
        <v>0496002595718</v>
      </c>
      <c r="B310" s="204">
        <v>2</v>
      </c>
      <c r="C310" s="204" t="s">
        <v>859</v>
      </c>
      <c r="D310" s="204">
        <v>48</v>
      </c>
      <c r="E310" s="204">
        <v>48</v>
      </c>
      <c r="F310" s="204" t="s">
        <v>243</v>
      </c>
      <c r="G310" s="204">
        <v>2972</v>
      </c>
      <c r="H310" s="204" t="s">
        <v>270</v>
      </c>
      <c r="I310" s="204">
        <v>11669</v>
      </c>
      <c r="J310" s="209">
        <v>42389</v>
      </c>
      <c r="K310" s="210">
        <v>0.64861111111111114</v>
      </c>
      <c r="L310" s="209">
        <v>42391</v>
      </c>
      <c r="M310" s="204" t="s">
        <v>853</v>
      </c>
      <c r="N310" s="204" t="s">
        <v>272</v>
      </c>
      <c r="O310" s="204" t="s">
        <v>273</v>
      </c>
      <c r="P310" s="204" t="s">
        <v>274</v>
      </c>
      <c r="Q310" s="204" t="s">
        <v>275</v>
      </c>
      <c r="R310" s="204" t="s">
        <v>276</v>
      </c>
      <c r="S310" s="204" t="s">
        <v>436</v>
      </c>
      <c r="T310" s="204" t="s">
        <v>859</v>
      </c>
      <c r="U310" s="204">
        <v>2972</v>
      </c>
      <c r="V310" s="204" t="s">
        <v>859</v>
      </c>
      <c r="W310" s="204" t="s">
        <v>280</v>
      </c>
      <c r="X310" s="204">
        <v>15.817</v>
      </c>
      <c r="Y310" s="211">
        <v>-0.47</v>
      </c>
      <c r="Z310" s="211">
        <v>1.89</v>
      </c>
      <c r="AA310" s="211">
        <v>29.88</v>
      </c>
      <c r="AB310" s="211">
        <v>-2.89</v>
      </c>
      <c r="AC310" s="211">
        <v>0</v>
      </c>
      <c r="AD310" s="211">
        <v>0</v>
      </c>
      <c r="AE310" s="211">
        <v>26.52</v>
      </c>
      <c r="AF310" s="211">
        <v>-3.8</v>
      </c>
      <c r="AG310" s="204" t="s">
        <v>279</v>
      </c>
      <c r="AH310" s="211">
        <v>0</v>
      </c>
      <c r="AI310" s="211">
        <v>29.88</v>
      </c>
      <c r="AJ310" s="211">
        <v>0</v>
      </c>
      <c r="AK310" s="204" t="str">
        <f t="shared" si="8"/>
        <v>1.00000000</v>
      </c>
      <c r="AL310" s="204">
        <v>15.4</v>
      </c>
    </row>
    <row r="311" spans="1:38" x14ac:dyDescent="0.2">
      <c r="A311" s="204" t="str">
        <f t="shared" si="10"/>
        <v>0496002595718</v>
      </c>
      <c r="B311" s="204">
        <v>2</v>
      </c>
      <c r="C311" s="204" t="s">
        <v>859</v>
      </c>
      <c r="D311" s="204">
        <v>48</v>
      </c>
      <c r="E311" s="204">
        <v>48</v>
      </c>
      <c r="F311" s="204" t="s">
        <v>243</v>
      </c>
      <c r="G311" s="204">
        <v>2972</v>
      </c>
      <c r="H311" s="204" t="s">
        <v>270</v>
      </c>
      <c r="I311" s="204">
        <v>111111</v>
      </c>
      <c r="J311" s="209">
        <v>42430</v>
      </c>
      <c r="K311" s="210">
        <v>0.59280092592592593</v>
      </c>
      <c r="L311" s="209">
        <v>42432</v>
      </c>
      <c r="M311" s="204" t="s">
        <v>310</v>
      </c>
      <c r="N311" s="204" t="s">
        <v>331</v>
      </c>
      <c r="O311" s="204" t="s">
        <v>332</v>
      </c>
      <c r="P311" s="204" t="s">
        <v>274</v>
      </c>
      <c r="Q311" s="204" t="s">
        <v>275</v>
      </c>
      <c r="R311" s="204" t="s">
        <v>858</v>
      </c>
      <c r="S311" s="204" t="s">
        <v>436</v>
      </c>
      <c r="T311" s="204" t="s">
        <v>859</v>
      </c>
      <c r="U311" s="204">
        <v>2972</v>
      </c>
      <c r="V311" s="204" t="s">
        <v>859</v>
      </c>
      <c r="W311" s="204" t="s">
        <v>280</v>
      </c>
      <c r="X311" s="204">
        <v>19.594000000000001</v>
      </c>
      <c r="Y311" s="211">
        <v>0</v>
      </c>
      <c r="Z311" s="211">
        <v>1.8</v>
      </c>
      <c r="AA311" s="211">
        <v>35.25</v>
      </c>
      <c r="AB311" s="211">
        <v>-3.59</v>
      </c>
      <c r="AC311" s="211">
        <v>0</v>
      </c>
      <c r="AD311" s="211">
        <v>0</v>
      </c>
      <c r="AE311" s="211">
        <v>31.66</v>
      </c>
      <c r="AF311" s="211">
        <v>-4.7</v>
      </c>
      <c r="AG311" s="204" t="s">
        <v>279</v>
      </c>
      <c r="AH311" s="211">
        <v>0</v>
      </c>
      <c r="AI311" s="211">
        <v>35.25</v>
      </c>
      <c r="AJ311" s="211">
        <v>0</v>
      </c>
      <c r="AK311" s="204" t="str">
        <f t="shared" si="8"/>
        <v>1.00000000</v>
      </c>
      <c r="AL311" s="204">
        <v>5075.1000000000004</v>
      </c>
    </row>
    <row r="312" spans="1:38" x14ac:dyDescent="0.2">
      <c r="A312" s="204" t="str">
        <f t="shared" si="10"/>
        <v>0496002595718</v>
      </c>
      <c r="B312" s="204">
        <v>2</v>
      </c>
      <c r="C312" s="204" t="s">
        <v>859</v>
      </c>
      <c r="D312" s="204">
        <v>48</v>
      </c>
      <c r="E312" s="204">
        <v>48</v>
      </c>
      <c r="F312" s="204" t="s">
        <v>243</v>
      </c>
      <c r="G312" s="204">
        <v>2972</v>
      </c>
      <c r="H312" s="204" t="s">
        <v>270</v>
      </c>
      <c r="I312" s="204">
        <v>12216</v>
      </c>
      <c r="J312" s="209">
        <v>42461</v>
      </c>
      <c r="K312" s="210">
        <v>0.59513888888888888</v>
      </c>
      <c r="L312" s="209">
        <v>42465</v>
      </c>
      <c r="M312" s="204" t="s">
        <v>271</v>
      </c>
      <c r="N312" s="204" t="s">
        <v>272</v>
      </c>
      <c r="O312" s="204" t="s">
        <v>273</v>
      </c>
      <c r="P312" s="204" t="s">
        <v>274</v>
      </c>
      <c r="Q312" s="204" t="s">
        <v>275</v>
      </c>
      <c r="R312" s="204" t="s">
        <v>276</v>
      </c>
      <c r="S312" s="204" t="s">
        <v>436</v>
      </c>
      <c r="T312" s="204" t="s">
        <v>859</v>
      </c>
      <c r="U312" s="204">
        <v>2972</v>
      </c>
      <c r="V312" s="204" t="s">
        <v>859</v>
      </c>
      <c r="W312" s="204" t="s">
        <v>280</v>
      </c>
      <c r="X312" s="204">
        <v>17.875</v>
      </c>
      <c r="Y312" s="211">
        <v>-0.54</v>
      </c>
      <c r="Z312" s="211">
        <v>2.0299999999999998</v>
      </c>
      <c r="AA312" s="211">
        <v>36.270000000000003</v>
      </c>
      <c r="AB312" s="211">
        <v>-3.27</v>
      </c>
      <c r="AC312" s="211">
        <v>0</v>
      </c>
      <c r="AD312" s="211">
        <v>0</v>
      </c>
      <c r="AE312" s="211">
        <v>32.46</v>
      </c>
      <c r="AF312" s="211">
        <v>-4.29</v>
      </c>
      <c r="AG312" s="204" t="s">
        <v>279</v>
      </c>
      <c r="AH312" s="211">
        <v>0</v>
      </c>
      <c r="AI312" s="211">
        <v>36.270000000000003</v>
      </c>
      <c r="AJ312" s="211">
        <v>0</v>
      </c>
      <c r="AK312" s="204" t="str">
        <f t="shared" si="8"/>
        <v>1.00000000</v>
      </c>
      <c r="AL312" s="204">
        <v>0</v>
      </c>
    </row>
    <row r="313" spans="1:38" x14ac:dyDescent="0.2">
      <c r="A313" s="204" t="str">
        <f t="shared" si="10"/>
        <v>0496002595718</v>
      </c>
      <c r="B313" s="204">
        <v>2</v>
      </c>
      <c r="C313" s="204" t="s">
        <v>859</v>
      </c>
      <c r="D313" s="204">
        <v>48</v>
      </c>
      <c r="E313" s="204">
        <v>48</v>
      </c>
      <c r="F313" s="204" t="s">
        <v>243</v>
      </c>
      <c r="G313" s="204">
        <v>2972</v>
      </c>
      <c r="H313" s="204" t="s">
        <v>270</v>
      </c>
      <c r="I313" s="204">
        <v>12491</v>
      </c>
      <c r="J313" s="209">
        <v>42488</v>
      </c>
      <c r="K313" s="210">
        <v>0.4465277777777778</v>
      </c>
      <c r="L313" s="209">
        <v>42492</v>
      </c>
      <c r="M313" s="204" t="s">
        <v>271</v>
      </c>
      <c r="N313" s="204" t="s">
        <v>272</v>
      </c>
      <c r="O313" s="204" t="s">
        <v>273</v>
      </c>
      <c r="P313" s="204" t="s">
        <v>274</v>
      </c>
      <c r="Q313" s="204" t="s">
        <v>275</v>
      </c>
      <c r="R313" s="204" t="s">
        <v>276</v>
      </c>
      <c r="S313" s="204" t="s">
        <v>436</v>
      </c>
      <c r="T313" s="204" t="s">
        <v>859</v>
      </c>
      <c r="U313" s="204">
        <v>2972</v>
      </c>
      <c r="V313" s="204" t="s">
        <v>859</v>
      </c>
      <c r="W313" s="204" t="s">
        <v>280</v>
      </c>
      <c r="X313" s="204">
        <v>17.047999999999998</v>
      </c>
      <c r="Y313" s="211">
        <v>-0.51</v>
      </c>
      <c r="Z313" s="211">
        <v>2.2000000000000002</v>
      </c>
      <c r="AA313" s="211">
        <v>37.49</v>
      </c>
      <c r="AB313" s="211">
        <v>-3.12</v>
      </c>
      <c r="AC313" s="211">
        <v>0</v>
      </c>
      <c r="AD313" s="211">
        <v>0</v>
      </c>
      <c r="AE313" s="211">
        <v>33.86</v>
      </c>
      <c r="AF313" s="211">
        <v>-4.09</v>
      </c>
      <c r="AG313" s="204" t="s">
        <v>279</v>
      </c>
      <c r="AH313" s="211">
        <v>0</v>
      </c>
      <c r="AI313" s="211">
        <v>37.49</v>
      </c>
      <c r="AJ313" s="211">
        <v>0</v>
      </c>
      <c r="AK313" s="204" t="str">
        <f t="shared" si="8"/>
        <v>1.00000000</v>
      </c>
      <c r="AL313" s="204">
        <v>16.100000000000001</v>
      </c>
    </row>
    <row r="314" spans="1:38" x14ac:dyDescent="0.2">
      <c r="A314" s="204" t="str">
        <f t="shared" si="10"/>
        <v>0496002595718</v>
      </c>
      <c r="B314" s="204">
        <v>2</v>
      </c>
      <c r="C314" s="204" t="s">
        <v>859</v>
      </c>
      <c r="D314" s="204">
        <v>48</v>
      </c>
      <c r="E314" s="204">
        <v>48</v>
      </c>
      <c r="F314" s="204" t="s">
        <v>243</v>
      </c>
      <c r="G314" s="204">
        <v>2972</v>
      </c>
      <c r="H314" s="204" t="s">
        <v>270</v>
      </c>
      <c r="I314" s="204">
        <v>12693</v>
      </c>
      <c r="J314" s="209">
        <v>42515</v>
      </c>
      <c r="K314" s="210">
        <v>0.61805555555555558</v>
      </c>
      <c r="L314" s="209">
        <v>42517</v>
      </c>
      <c r="M314" s="204" t="s">
        <v>271</v>
      </c>
      <c r="N314" s="204" t="s">
        <v>272</v>
      </c>
      <c r="O314" s="204" t="s">
        <v>273</v>
      </c>
      <c r="P314" s="204" t="s">
        <v>274</v>
      </c>
      <c r="Q314" s="204" t="s">
        <v>275</v>
      </c>
      <c r="R314" s="204" t="s">
        <v>276</v>
      </c>
      <c r="S314" s="204" t="s">
        <v>436</v>
      </c>
      <c r="T314" s="204" t="s">
        <v>859</v>
      </c>
      <c r="U314" s="204">
        <v>2972</v>
      </c>
      <c r="V314" s="204" t="s">
        <v>859</v>
      </c>
      <c r="W314" s="204" t="s">
        <v>280</v>
      </c>
      <c r="X314" s="204">
        <v>11.773</v>
      </c>
      <c r="Y314" s="211">
        <v>-0.35</v>
      </c>
      <c r="Z314" s="211">
        <v>2.29</v>
      </c>
      <c r="AA314" s="211">
        <v>26.95</v>
      </c>
      <c r="AB314" s="211">
        <v>-2.15</v>
      </c>
      <c r="AC314" s="211">
        <v>0</v>
      </c>
      <c r="AD314" s="211">
        <v>0</v>
      </c>
      <c r="AE314" s="211">
        <v>24.45</v>
      </c>
      <c r="AF314" s="211">
        <v>-2.83</v>
      </c>
      <c r="AG314" s="204" t="s">
        <v>279</v>
      </c>
      <c r="AH314" s="211">
        <v>0</v>
      </c>
      <c r="AI314" s="211">
        <v>26.95</v>
      </c>
      <c r="AJ314" s="211">
        <v>0</v>
      </c>
      <c r="AK314" s="204" t="str">
        <f t="shared" si="8"/>
        <v>1.00000000</v>
      </c>
      <c r="AL314" s="204">
        <v>17.2</v>
      </c>
    </row>
    <row r="315" spans="1:38" x14ac:dyDescent="0.2">
      <c r="A315" s="204" t="str">
        <f t="shared" si="10"/>
        <v>0496002595718</v>
      </c>
      <c r="B315" s="204">
        <v>3</v>
      </c>
      <c r="C315" s="204" t="s">
        <v>859</v>
      </c>
      <c r="D315" s="204">
        <v>47</v>
      </c>
      <c r="E315" s="204">
        <v>47</v>
      </c>
      <c r="F315" s="204" t="s">
        <v>243</v>
      </c>
      <c r="G315" s="204">
        <v>2972</v>
      </c>
      <c r="H315" s="204" t="s">
        <v>270</v>
      </c>
      <c r="I315" s="204">
        <v>11204</v>
      </c>
      <c r="J315" s="209">
        <v>42382</v>
      </c>
      <c r="K315" s="210">
        <v>0.66249999999999998</v>
      </c>
      <c r="L315" s="209">
        <v>42384</v>
      </c>
      <c r="M315" s="204" t="s">
        <v>853</v>
      </c>
      <c r="N315" s="204" t="s">
        <v>272</v>
      </c>
      <c r="O315" s="204" t="s">
        <v>273</v>
      </c>
      <c r="P315" s="204" t="s">
        <v>274</v>
      </c>
      <c r="Q315" s="204" t="s">
        <v>275</v>
      </c>
      <c r="R315" s="204" t="s">
        <v>276</v>
      </c>
      <c r="S315" s="204" t="s">
        <v>436</v>
      </c>
      <c r="T315" s="204" t="s">
        <v>859</v>
      </c>
      <c r="U315" s="204">
        <v>2972</v>
      </c>
      <c r="V315" s="204" t="s">
        <v>859</v>
      </c>
      <c r="W315" s="204" t="s">
        <v>280</v>
      </c>
      <c r="X315" s="204">
        <v>11.792999999999999</v>
      </c>
      <c r="Y315" s="211">
        <v>-0.35</v>
      </c>
      <c r="Z315" s="211">
        <v>1.93</v>
      </c>
      <c r="AA315" s="211">
        <v>22.75</v>
      </c>
      <c r="AB315" s="211">
        <v>-2.16</v>
      </c>
      <c r="AC315" s="211">
        <v>0</v>
      </c>
      <c r="AD315" s="211">
        <v>0</v>
      </c>
      <c r="AE315" s="211">
        <v>20.239999999999998</v>
      </c>
      <c r="AF315" s="211">
        <v>-2.83</v>
      </c>
      <c r="AG315" s="204" t="s">
        <v>279</v>
      </c>
      <c r="AH315" s="211">
        <v>0</v>
      </c>
      <c r="AI315" s="211">
        <v>22.75</v>
      </c>
      <c r="AJ315" s="211">
        <v>0</v>
      </c>
      <c r="AK315" s="204" t="str">
        <f t="shared" si="8"/>
        <v>1.00000000</v>
      </c>
      <c r="AL315" s="204">
        <v>15.3</v>
      </c>
    </row>
    <row r="316" spans="1:38" x14ac:dyDescent="0.2">
      <c r="A316" s="204" t="str">
        <f t="shared" si="10"/>
        <v>0496002595718</v>
      </c>
      <c r="B316" s="204">
        <v>3</v>
      </c>
      <c r="C316" s="204" t="s">
        <v>859</v>
      </c>
      <c r="D316" s="204">
        <v>47</v>
      </c>
      <c r="E316" s="204">
        <v>47</v>
      </c>
      <c r="F316" s="204" t="s">
        <v>243</v>
      </c>
      <c r="G316" s="204">
        <v>2972</v>
      </c>
      <c r="H316" s="204" t="s">
        <v>270</v>
      </c>
      <c r="I316" s="204">
        <v>11527</v>
      </c>
      <c r="J316" s="209">
        <v>42396</v>
      </c>
      <c r="K316" s="210">
        <v>0.70347222222222217</v>
      </c>
      <c r="L316" s="209">
        <v>42398</v>
      </c>
      <c r="M316" s="204" t="s">
        <v>853</v>
      </c>
      <c r="N316" s="204" t="s">
        <v>272</v>
      </c>
      <c r="O316" s="204" t="s">
        <v>273</v>
      </c>
      <c r="P316" s="204" t="s">
        <v>274</v>
      </c>
      <c r="Q316" s="204" t="s">
        <v>275</v>
      </c>
      <c r="R316" s="204" t="s">
        <v>276</v>
      </c>
      <c r="S316" s="204" t="s">
        <v>436</v>
      </c>
      <c r="T316" s="204" t="s">
        <v>859</v>
      </c>
      <c r="U316" s="204">
        <v>2972</v>
      </c>
      <c r="V316" s="204" t="s">
        <v>859</v>
      </c>
      <c r="W316" s="204" t="s">
        <v>280</v>
      </c>
      <c r="X316" s="204">
        <v>16.463000000000001</v>
      </c>
      <c r="Y316" s="211">
        <v>-0.49</v>
      </c>
      <c r="Z316" s="211">
        <v>1.89</v>
      </c>
      <c r="AA316" s="211">
        <v>31.1</v>
      </c>
      <c r="AB316" s="211">
        <v>-3.01</v>
      </c>
      <c r="AC316" s="211">
        <v>0</v>
      </c>
      <c r="AD316" s="211">
        <v>0</v>
      </c>
      <c r="AE316" s="211">
        <v>27.6</v>
      </c>
      <c r="AF316" s="211">
        <v>-3.95</v>
      </c>
      <c r="AG316" s="204" t="s">
        <v>279</v>
      </c>
      <c r="AH316" s="211">
        <v>0</v>
      </c>
      <c r="AI316" s="211">
        <v>31.1</v>
      </c>
      <c r="AJ316" s="211">
        <v>0</v>
      </c>
      <c r="AK316" s="204" t="str">
        <f t="shared" si="8"/>
        <v>1.00000000</v>
      </c>
      <c r="AL316" s="204">
        <v>19.600000000000001</v>
      </c>
    </row>
    <row r="317" spans="1:38" x14ac:dyDescent="0.2">
      <c r="A317" s="204" t="str">
        <f t="shared" si="10"/>
        <v>0496002595718</v>
      </c>
      <c r="B317" s="204">
        <v>3</v>
      </c>
      <c r="C317" s="204" t="s">
        <v>859</v>
      </c>
      <c r="D317" s="204">
        <v>47</v>
      </c>
      <c r="E317" s="204">
        <v>47</v>
      </c>
      <c r="F317" s="204" t="s">
        <v>243</v>
      </c>
      <c r="G317" s="204">
        <v>2972</v>
      </c>
      <c r="H317" s="204" t="s">
        <v>270</v>
      </c>
      <c r="I317" s="204">
        <v>1970</v>
      </c>
      <c r="J317" s="209">
        <v>42436</v>
      </c>
      <c r="K317" s="210">
        <v>0.67222222222222217</v>
      </c>
      <c r="L317" s="209">
        <v>42438</v>
      </c>
      <c r="M317" s="204" t="s">
        <v>853</v>
      </c>
      <c r="N317" s="204" t="s">
        <v>588</v>
      </c>
      <c r="O317" s="204" t="s">
        <v>589</v>
      </c>
      <c r="P317" s="204" t="s">
        <v>590</v>
      </c>
      <c r="Q317" s="204" t="s">
        <v>275</v>
      </c>
      <c r="R317" s="204" t="s">
        <v>611</v>
      </c>
      <c r="S317" s="204" t="s">
        <v>436</v>
      </c>
      <c r="T317" s="204" t="s">
        <v>859</v>
      </c>
      <c r="U317" s="204">
        <v>2972</v>
      </c>
      <c r="V317" s="204" t="s">
        <v>859</v>
      </c>
      <c r="W317" s="204" t="s">
        <v>280</v>
      </c>
      <c r="X317" s="204">
        <v>18.170000000000002</v>
      </c>
      <c r="Y317" s="211">
        <v>-0.91</v>
      </c>
      <c r="Z317" s="211">
        <v>1.63</v>
      </c>
      <c r="AA317" s="211">
        <v>29.6</v>
      </c>
      <c r="AB317" s="211">
        <v>-3.33</v>
      </c>
      <c r="AC317" s="211">
        <v>0</v>
      </c>
      <c r="AD317" s="211">
        <v>0</v>
      </c>
      <c r="AE317" s="211">
        <v>25.36</v>
      </c>
      <c r="AF317" s="211">
        <v>-4.3600000000000003</v>
      </c>
      <c r="AG317" s="204" t="s">
        <v>279</v>
      </c>
      <c r="AH317" s="211">
        <v>0</v>
      </c>
      <c r="AI317" s="211">
        <v>29.6</v>
      </c>
      <c r="AJ317" s="211">
        <v>0</v>
      </c>
      <c r="AK317" s="204" t="str">
        <f t="shared" si="8"/>
        <v>1.00000000</v>
      </c>
      <c r="AL317" s="204">
        <v>0</v>
      </c>
    </row>
    <row r="318" spans="1:38" x14ac:dyDescent="0.2">
      <c r="A318" s="204" t="str">
        <f t="shared" si="10"/>
        <v>0496002595718</v>
      </c>
      <c r="B318" s="204">
        <v>3</v>
      </c>
      <c r="C318" s="204" t="s">
        <v>859</v>
      </c>
      <c r="D318" s="204">
        <v>47</v>
      </c>
      <c r="E318" s="204">
        <v>47</v>
      </c>
      <c r="F318" s="204" t="s">
        <v>243</v>
      </c>
      <c r="G318" s="204">
        <v>2972</v>
      </c>
      <c r="H318" s="204" t="s">
        <v>270</v>
      </c>
      <c r="I318" s="204">
        <v>12304</v>
      </c>
      <c r="J318" s="209">
        <v>42467</v>
      </c>
      <c r="K318" s="210">
        <v>0.71666666666666667</v>
      </c>
      <c r="L318" s="209">
        <v>42471</v>
      </c>
      <c r="M318" s="204" t="s">
        <v>271</v>
      </c>
      <c r="N318" s="204" t="s">
        <v>272</v>
      </c>
      <c r="O318" s="204" t="s">
        <v>273</v>
      </c>
      <c r="P318" s="204" t="s">
        <v>274</v>
      </c>
      <c r="Q318" s="204" t="s">
        <v>275</v>
      </c>
      <c r="R318" s="204" t="s">
        <v>276</v>
      </c>
      <c r="S318" s="204" t="s">
        <v>436</v>
      </c>
      <c r="T318" s="204" t="s">
        <v>859</v>
      </c>
      <c r="U318" s="204">
        <v>2972</v>
      </c>
      <c r="V318" s="204" t="s">
        <v>859</v>
      </c>
      <c r="W318" s="204" t="s">
        <v>280</v>
      </c>
      <c r="X318" s="204">
        <v>17.248999999999999</v>
      </c>
      <c r="Y318" s="211">
        <v>-0.52</v>
      </c>
      <c r="Z318" s="211">
        <v>2.0299999999999998</v>
      </c>
      <c r="AA318" s="211">
        <v>35</v>
      </c>
      <c r="AB318" s="211">
        <v>-3.16</v>
      </c>
      <c r="AC318" s="211">
        <v>0</v>
      </c>
      <c r="AD318" s="211">
        <v>0</v>
      </c>
      <c r="AE318" s="211">
        <v>31.32</v>
      </c>
      <c r="AF318" s="211">
        <v>-4.1399999999999997</v>
      </c>
      <c r="AG318" s="204" t="s">
        <v>279</v>
      </c>
      <c r="AH318" s="211">
        <v>0</v>
      </c>
      <c r="AI318" s="211">
        <v>35</v>
      </c>
      <c r="AJ318" s="211">
        <v>0</v>
      </c>
      <c r="AK318" s="204" t="str">
        <f t="shared" si="8"/>
        <v>1.00000000</v>
      </c>
      <c r="AL318" s="204">
        <v>599.1</v>
      </c>
    </row>
    <row r="319" spans="1:38" x14ac:dyDescent="0.2">
      <c r="A319" s="204" t="str">
        <f t="shared" si="10"/>
        <v>0496002595718</v>
      </c>
      <c r="B319" s="204">
        <v>3</v>
      </c>
      <c r="C319" s="204" t="s">
        <v>859</v>
      </c>
      <c r="D319" s="204">
        <v>47</v>
      </c>
      <c r="E319" s="204">
        <v>47</v>
      </c>
      <c r="F319" s="204" t="s">
        <v>243</v>
      </c>
      <c r="G319" s="204">
        <v>2972</v>
      </c>
      <c r="H319" s="204" t="s">
        <v>270</v>
      </c>
      <c r="I319" s="204">
        <v>12502</v>
      </c>
      <c r="J319" s="209">
        <v>42476</v>
      </c>
      <c r="K319" s="210">
        <v>0.6069444444444444</v>
      </c>
      <c r="L319" s="209">
        <v>42479</v>
      </c>
      <c r="M319" s="204" t="s">
        <v>271</v>
      </c>
      <c r="N319" s="204" t="s">
        <v>352</v>
      </c>
      <c r="O319" s="204" t="s">
        <v>353</v>
      </c>
      <c r="P319" s="204" t="s">
        <v>343</v>
      </c>
      <c r="Q319" s="204" t="s">
        <v>275</v>
      </c>
      <c r="R319" s="204" t="s">
        <v>602</v>
      </c>
      <c r="S319" s="204" t="s">
        <v>436</v>
      </c>
      <c r="T319" s="204" t="s">
        <v>859</v>
      </c>
      <c r="U319" s="204">
        <v>2972</v>
      </c>
      <c r="V319" s="204" t="s">
        <v>859</v>
      </c>
      <c r="W319" s="204" t="s">
        <v>280</v>
      </c>
      <c r="X319" s="204">
        <v>10.712999999999999</v>
      </c>
      <c r="Y319" s="211">
        <v>-0.32</v>
      </c>
      <c r="Z319" s="211">
        <v>2.09</v>
      </c>
      <c r="AA319" s="211">
        <v>22.38</v>
      </c>
      <c r="AB319" s="211">
        <v>-1.96</v>
      </c>
      <c r="AC319" s="211">
        <v>0</v>
      </c>
      <c r="AD319" s="211">
        <v>0</v>
      </c>
      <c r="AE319" s="211">
        <v>20.100000000000001</v>
      </c>
      <c r="AF319" s="211">
        <v>-2.57</v>
      </c>
      <c r="AG319" s="204" t="s">
        <v>279</v>
      </c>
      <c r="AH319" s="211">
        <v>0</v>
      </c>
      <c r="AI319" s="211">
        <v>22.38</v>
      </c>
      <c r="AJ319" s="211">
        <v>0</v>
      </c>
      <c r="AK319" s="204" t="str">
        <f t="shared" si="8"/>
        <v>1.00000000</v>
      </c>
      <c r="AL319" s="204">
        <v>18.5</v>
      </c>
    </row>
    <row r="320" spans="1:38" x14ac:dyDescent="0.2">
      <c r="A320" s="204" t="str">
        <f t="shared" si="10"/>
        <v>0496002595718</v>
      </c>
      <c r="B320" s="204">
        <v>3</v>
      </c>
      <c r="C320" s="204" t="s">
        <v>859</v>
      </c>
      <c r="D320" s="204">
        <v>47</v>
      </c>
      <c r="E320" s="204">
        <v>47</v>
      </c>
      <c r="F320" s="204" t="s">
        <v>243</v>
      </c>
      <c r="G320" s="204">
        <v>2972</v>
      </c>
      <c r="H320" s="204" t="s">
        <v>270</v>
      </c>
      <c r="I320" s="204">
        <v>12775</v>
      </c>
      <c r="J320" s="209">
        <v>42492</v>
      </c>
      <c r="K320" s="210">
        <v>0.66805555555555562</v>
      </c>
      <c r="L320" s="209">
        <v>42494</v>
      </c>
      <c r="M320" s="204" t="s">
        <v>271</v>
      </c>
      <c r="N320" s="204" t="s">
        <v>588</v>
      </c>
      <c r="O320" s="204" t="s">
        <v>589</v>
      </c>
      <c r="P320" s="204" t="s">
        <v>590</v>
      </c>
      <c r="Q320" s="204" t="s">
        <v>275</v>
      </c>
      <c r="R320" s="204" t="s">
        <v>611</v>
      </c>
      <c r="S320" s="204" t="s">
        <v>436</v>
      </c>
      <c r="T320" s="204" t="s">
        <v>859</v>
      </c>
      <c r="U320" s="204">
        <v>2972</v>
      </c>
      <c r="V320" s="204" t="s">
        <v>859</v>
      </c>
      <c r="W320" s="204" t="s">
        <v>280</v>
      </c>
      <c r="X320" s="204">
        <v>15.401</v>
      </c>
      <c r="Y320" s="211">
        <v>-0.77</v>
      </c>
      <c r="Z320" s="211">
        <v>2.13</v>
      </c>
      <c r="AA320" s="211">
        <v>32.79</v>
      </c>
      <c r="AB320" s="211">
        <v>-2.82</v>
      </c>
      <c r="AC320" s="211">
        <v>0</v>
      </c>
      <c r="AD320" s="211">
        <v>0</v>
      </c>
      <c r="AE320" s="211">
        <v>29.2</v>
      </c>
      <c r="AF320" s="211">
        <v>-3.7</v>
      </c>
      <c r="AG320" s="204" t="s">
        <v>279</v>
      </c>
      <c r="AH320" s="211">
        <v>0</v>
      </c>
      <c r="AI320" s="211">
        <v>32.79</v>
      </c>
      <c r="AJ320" s="211">
        <v>0</v>
      </c>
      <c r="AK320" s="204" t="str">
        <f t="shared" si="8"/>
        <v>1.00000000</v>
      </c>
      <c r="AL320" s="204">
        <v>17.7</v>
      </c>
    </row>
    <row r="321" spans="1:38" x14ac:dyDescent="0.2">
      <c r="A321" s="204" t="str">
        <f t="shared" si="10"/>
        <v>0496002595718</v>
      </c>
      <c r="B321" s="204">
        <v>3</v>
      </c>
      <c r="C321" s="204" t="s">
        <v>859</v>
      </c>
      <c r="D321" s="204">
        <v>47</v>
      </c>
      <c r="E321" s="204">
        <v>47</v>
      </c>
      <c r="F321" s="204" t="s">
        <v>243</v>
      </c>
      <c r="G321" s="204">
        <v>2972</v>
      </c>
      <c r="H321" s="204" t="s">
        <v>270</v>
      </c>
      <c r="I321" s="204">
        <v>13017</v>
      </c>
      <c r="J321" s="209">
        <v>42516</v>
      </c>
      <c r="K321" s="210">
        <v>0.35486111111111113</v>
      </c>
      <c r="L321" s="209">
        <v>42520</v>
      </c>
      <c r="M321" s="204" t="s">
        <v>271</v>
      </c>
      <c r="N321" s="204" t="s">
        <v>272</v>
      </c>
      <c r="O321" s="204" t="s">
        <v>273</v>
      </c>
      <c r="P321" s="204" t="s">
        <v>274</v>
      </c>
      <c r="Q321" s="204" t="s">
        <v>275</v>
      </c>
      <c r="R321" s="204" t="s">
        <v>276</v>
      </c>
      <c r="S321" s="204" t="s">
        <v>436</v>
      </c>
      <c r="T321" s="204" t="s">
        <v>859</v>
      </c>
      <c r="U321" s="204">
        <v>2972</v>
      </c>
      <c r="V321" s="204" t="s">
        <v>859</v>
      </c>
      <c r="W321" s="204" t="s">
        <v>280</v>
      </c>
      <c r="X321" s="204">
        <v>15.784000000000001</v>
      </c>
      <c r="Y321" s="211">
        <v>-0.47</v>
      </c>
      <c r="Z321" s="211">
        <v>2.29</v>
      </c>
      <c r="AA321" s="211">
        <v>36.130000000000003</v>
      </c>
      <c r="AB321" s="211">
        <v>-2.89</v>
      </c>
      <c r="AC321" s="211">
        <v>0</v>
      </c>
      <c r="AD321" s="211">
        <v>0</v>
      </c>
      <c r="AE321" s="211">
        <v>32.770000000000003</v>
      </c>
      <c r="AF321" s="211">
        <v>-3.79</v>
      </c>
      <c r="AG321" s="204" t="s">
        <v>279</v>
      </c>
      <c r="AH321" s="211">
        <v>0</v>
      </c>
      <c r="AI321" s="211">
        <v>36.130000000000003</v>
      </c>
      <c r="AJ321" s="211">
        <v>0</v>
      </c>
      <c r="AK321" s="204" t="str">
        <f t="shared" si="8"/>
        <v>1.00000000</v>
      </c>
      <c r="AL321" s="204">
        <v>15.3</v>
      </c>
    </row>
    <row r="322" spans="1:38" x14ac:dyDescent="0.2">
      <c r="A322" s="204" t="str">
        <f t="shared" si="10"/>
        <v>0496002595718</v>
      </c>
      <c r="B322" s="204">
        <v>3</v>
      </c>
      <c r="C322" s="204" t="s">
        <v>859</v>
      </c>
      <c r="D322" s="204">
        <v>47</v>
      </c>
      <c r="E322" s="204">
        <v>47</v>
      </c>
      <c r="F322" s="204" t="s">
        <v>243</v>
      </c>
      <c r="G322" s="204">
        <v>2972</v>
      </c>
      <c r="H322" s="204" t="s">
        <v>270</v>
      </c>
      <c r="I322" s="204">
        <v>13167</v>
      </c>
      <c r="J322" s="209">
        <v>42519</v>
      </c>
      <c r="K322" s="210">
        <v>0.4680555555555555</v>
      </c>
      <c r="L322" s="209">
        <v>42521</v>
      </c>
      <c r="M322" s="204" t="s">
        <v>271</v>
      </c>
      <c r="N322" s="204" t="s">
        <v>272</v>
      </c>
      <c r="O322" s="204" t="s">
        <v>273</v>
      </c>
      <c r="P322" s="204" t="s">
        <v>274</v>
      </c>
      <c r="Q322" s="204" t="s">
        <v>275</v>
      </c>
      <c r="R322" s="204" t="s">
        <v>276</v>
      </c>
      <c r="S322" s="204" t="s">
        <v>436</v>
      </c>
      <c r="T322" s="204" t="s">
        <v>859</v>
      </c>
      <c r="U322" s="204">
        <v>2972</v>
      </c>
      <c r="V322" s="204" t="s">
        <v>859</v>
      </c>
      <c r="W322" s="204" t="s">
        <v>278</v>
      </c>
      <c r="X322" s="204">
        <v>14.403</v>
      </c>
      <c r="Y322" s="211">
        <v>-0.43</v>
      </c>
      <c r="Z322" s="211">
        <v>2.66</v>
      </c>
      <c r="AA322" s="211">
        <v>38.299999999999997</v>
      </c>
      <c r="AB322" s="211">
        <v>-2.64</v>
      </c>
      <c r="AC322" s="211">
        <v>0</v>
      </c>
      <c r="AD322" s="211">
        <v>0</v>
      </c>
      <c r="AE322" s="211">
        <v>35.229999999999997</v>
      </c>
      <c r="AF322" s="211">
        <v>-3.46</v>
      </c>
      <c r="AG322" s="204" t="s">
        <v>279</v>
      </c>
      <c r="AH322" s="211">
        <v>0</v>
      </c>
      <c r="AI322" s="211">
        <v>38.299999999999997</v>
      </c>
      <c r="AJ322" s="211">
        <v>0</v>
      </c>
      <c r="AK322" s="204" t="str">
        <f t="shared" ref="AK322:AK385" si="11">"1.00000000"</f>
        <v>1.00000000</v>
      </c>
      <c r="AL322" s="204">
        <v>10.4</v>
      </c>
    </row>
    <row r="323" spans="1:38" x14ac:dyDescent="0.2">
      <c r="A323" s="204" t="str">
        <f t="shared" si="10"/>
        <v>0496002595718</v>
      </c>
      <c r="B323" s="204">
        <v>4</v>
      </c>
      <c r="C323" s="204" t="s">
        <v>859</v>
      </c>
      <c r="D323" s="204">
        <v>46</v>
      </c>
      <c r="E323" s="204">
        <v>46</v>
      </c>
      <c r="F323" s="204" t="s">
        <v>243</v>
      </c>
      <c r="G323" s="204">
        <v>2972</v>
      </c>
      <c r="H323" s="204" t="s">
        <v>270</v>
      </c>
      <c r="I323" s="204">
        <v>0</v>
      </c>
      <c r="J323" s="209">
        <v>42418</v>
      </c>
      <c r="K323" s="210">
        <v>0.76172453703703702</v>
      </c>
      <c r="L323" s="209">
        <v>42422</v>
      </c>
      <c r="M323" s="204" t="s">
        <v>310</v>
      </c>
      <c r="N323" s="204" t="s">
        <v>331</v>
      </c>
      <c r="O323" s="204" t="s">
        <v>332</v>
      </c>
      <c r="P323" s="204" t="s">
        <v>274</v>
      </c>
      <c r="Q323" s="204" t="s">
        <v>275</v>
      </c>
      <c r="R323" s="204" t="s">
        <v>858</v>
      </c>
      <c r="S323" s="204" t="s">
        <v>436</v>
      </c>
      <c r="T323" s="204" t="s">
        <v>859</v>
      </c>
      <c r="U323" s="204">
        <v>2972</v>
      </c>
      <c r="V323" s="204" t="s">
        <v>859</v>
      </c>
      <c r="W323" s="204" t="s">
        <v>280</v>
      </c>
      <c r="X323" s="204">
        <v>16.398</v>
      </c>
      <c r="Y323" s="211">
        <v>0</v>
      </c>
      <c r="Z323" s="211">
        <v>1.8</v>
      </c>
      <c r="AA323" s="211">
        <v>29.5</v>
      </c>
      <c r="AB323" s="211">
        <v>-3</v>
      </c>
      <c r="AC323" s="211">
        <v>0</v>
      </c>
      <c r="AD323" s="211">
        <v>0</v>
      </c>
      <c r="AE323" s="211">
        <v>26.5</v>
      </c>
      <c r="AF323" s="211">
        <v>-3.94</v>
      </c>
      <c r="AG323" s="204" t="s">
        <v>279</v>
      </c>
      <c r="AH323" s="211">
        <v>0</v>
      </c>
      <c r="AI323" s="211">
        <v>29.5</v>
      </c>
      <c r="AJ323" s="211">
        <v>0</v>
      </c>
      <c r="AK323" s="204" t="str">
        <f t="shared" si="11"/>
        <v>1.00000000</v>
      </c>
      <c r="AL323" s="204">
        <v>0</v>
      </c>
    </row>
    <row r="324" spans="1:38" x14ac:dyDescent="0.2">
      <c r="A324" s="204" t="str">
        <f t="shared" si="10"/>
        <v>0496002595718</v>
      </c>
      <c r="B324" s="204">
        <v>4</v>
      </c>
      <c r="C324" s="204" t="s">
        <v>859</v>
      </c>
      <c r="D324" s="204">
        <v>46</v>
      </c>
      <c r="E324" s="204">
        <v>46</v>
      </c>
      <c r="F324" s="204" t="s">
        <v>243</v>
      </c>
      <c r="G324" s="204">
        <v>2972</v>
      </c>
      <c r="H324" s="204" t="s">
        <v>270</v>
      </c>
      <c r="I324" s="204">
        <v>26400</v>
      </c>
      <c r="J324" s="209">
        <v>42433</v>
      </c>
      <c r="K324" s="210">
        <v>0.64444444444444449</v>
      </c>
      <c r="L324" s="209">
        <v>42437</v>
      </c>
      <c r="M324" s="204" t="s">
        <v>853</v>
      </c>
      <c r="N324" s="204" t="s">
        <v>877</v>
      </c>
      <c r="O324" s="204" t="s">
        <v>878</v>
      </c>
      <c r="P324" s="204" t="s">
        <v>590</v>
      </c>
      <c r="Q324" s="204" t="s">
        <v>275</v>
      </c>
      <c r="R324" s="204" t="s">
        <v>879</v>
      </c>
      <c r="S324" s="204" t="s">
        <v>436</v>
      </c>
      <c r="T324" s="204" t="s">
        <v>859</v>
      </c>
      <c r="U324" s="204">
        <v>2972</v>
      </c>
      <c r="V324" s="204" t="s">
        <v>859</v>
      </c>
      <c r="W324" s="204" t="s">
        <v>280</v>
      </c>
      <c r="X324" s="204">
        <v>16.198</v>
      </c>
      <c r="Y324" s="211">
        <v>-0.32</v>
      </c>
      <c r="Z324" s="211">
        <v>2.1</v>
      </c>
      <c r="AA324" s="211">
        <v>34</v>
      </c>
      <c r="AB324" s="211">
        <v>-2.96</v>
      </c>
      <c r="AC324" s="211">
        <v>0</v>
      </c>
      <c r="AD324" s="211">
        <v>0</v>
      </c>
      <c r="AE324" s="211">
        <v>30.72</v>
      </c>
      <c r="AF324" s="211">
        <v>-3.89</v>
      </c>
      <c r="AG324" s="204" t="s">
        <v>279</v>
      </c>
      <c r="AH324" s="211">
        <v>0</v>
      </c>
      <c r="AI324" s="211">
        <v>34</v>
      </c>
      <c r="AJ324" s="211">
        <v>0</v>
      </c>
      <c r="AK324" s="204" t="str">
        <f t="shared" si="11"/>
        <v>1.00000000</v>
      </c>
      <c r="AL324" s="204">
        <v>1629.8</v>
      </c>
    </row>
    <row r="325" spans="1:38" x14ac:dyDescent="0.2">
      <c r="A325" s="204" t="str">
        <f t="shared" si="10"/>
        <v>0496002595718</v>
      </c>
      <c r="B325" s="204">
        <v>4</v>
      </c>
      <c r="C325" s="204" t="s">
        <v>859</v>
      </c>
      <c r="D325" s="204">
        <v>46</v>
      </c>
      <c r="E325" s="204">
        <v>46</v>
      </c>
      <c r="F325" s="204" t="s">
        <v>243</v>
      </c>
      <c r="G325" s="204">
        <v>2972</v>
      </c>
      <c r="H325" s="204" t="s">
        <v>270</v>
      </c>
      <c r="I325" s="204">
        <v>87</v>
      </c>
      <c r="J325" s="209">
        <v>42453</v>
      </c>
      <c r="K325" s="210">
        <v>0.7597222222222223</v>
      </c>
      <c r="L325" s="209">
        <v>42457</v>
      </c>
      <c r="M325" s="204" t="s">
        <v>853</v>
      </c>
      <c r="N325" s="204" t="s">
        <v>272</v>
      </c>
      <c r="O325" s="204" t="s">
        <v>273</v>
      </c>
      <c r="P325" s="204" t="s">
        <v>274</v>
      </c>
      <c r="Q325" s="204" t="s">
        <v>275</v>
      </c>
      <c r="R325" s="204" t="s">
        <v>276</v>
      </c>
      <c r="S325" s="204" t="s">
        <v>436</v>
      </c>
      <c r="T325" s="204" t="s">
        <v>859</v>
      </c>
      <c r="U325" s="204">
        <v>2972</v>
      </c>
      <c r="V325" s="204" t="s">
        <v>859</v>
      </c>
      <c r="W325" s="204" t="s">
        <v>280</v>
      </c>
      <c r="X325" s="204">
        <v>12.507999999999999</v>
      </c>
      <c r="Y325" s="211">
        <v>-0.38</v>
      </c>
      <c r="Z325" s="211">
        <v>2.0099999999999998</v>
      </c>
      <c r="AA325" s="211">
        <v>25.13</v>
      </c>
      <c r="AB325" s="211">
        <v>-2.29</v>
      </c>
      <c r="AC325" s="211">
        <v>0</v>
      </c>
      <c r="AD325" s="211">
        <v>0</v>
      </c>
      <c r="AE325" s="211">
        <v>22.46</v>
      </c>
      <c r="AF325" s="211">
        <v>-3</v>
      </c>
      <c r="AG325" s="204" t="s">
        <v>279</v>
      </c>
      <c r="AH325" s="211">
        <v>0</v>
      </c>
      <c r="AI325" s="211">
        <v>25.13</v>
      </c>
      <c r="AJ325" s="211">
        <v>0</v>
      </c>
      <c r="AK325" s="204" t="str">
        <f t="shared" si="11"/>
        <v>1.00000000</v>
      </c>
      <c r="AL325" s="204">
        <v>0</v>
      </c>
    </row>
    <row r="326" spans="1:38" x14ac:dyDescent="0.2">
      <c r="A326" s="204" t="str">
        <f t="shared" si="10"/>
        <v>0496002595718</v>
      </c>
      <c r="B326" s="204">
        <v>4</v>
      </c>
      <c r="C326" s="204" t="s">
        <v>859</v>
      </c>
      <c r="D326" s="204">
        <v>46</v>
      </c>
      <c r="E326" s="204">
        <v>46</v>
      </c>
      <c r="F326" s="204" t="s">
        <v>243</v>
      </c>
      <c r="G326" s="204">
        <v>2972</v>
      </c>
      <c r="H326" s="204" t="s">
        <v>270</v>
      </c>
      <c r="I326" s="204">
        <v>26938</v>
      </c>
      <c r="J326" s="209">
        <v>42467</v>
      </c>
      <c r="K326" s="210">
        <v>0.56874999999999998</v>
      </c>
      <c r="L326" s="209">
        <v>42471</v>
      </c>
      <c r="M326" s="204" t="s">
        <v>271</v>
      </c>
      <c r="N326" s="204" t="s">
        <v>272</v>
      </c>
      <c r="O326" s="204" t="s">
        <v>273</v>
      </c>
      <c r="P326" s="204" t="s">
        <v>274</v>
      </c>
      <c r="Q326" s="204" t="s">
        <v>275</v>
      </c>
      <c r="R326" s="204" t="s">
        <v>276</v>
      </c>
      <c r="S326" s="204" t="s">
        <v>436</v>
      </c>
      <c r="T326" s="204" t="s">
        <v>859</v>
      </c>
      <c r="U326" s="204">
        <v>2972</v>
      </c>
      <c r="V326" s="204" t="s">
        <v>859</v>
      </c>
      <c r="W326" s="204" t="s">
        <v>280</v>
      </c>
      <c r="X326" s="204">
        <v>15.218999999999999</v>
      </c>
      <c r="Y326" s="211">
        <v>-0.46</v>
      </c>
      <c r="Z326" s="211">
        <v>2.0299999999999998</v>
      </c>
      <c r="AA326" s="211">
        <v>30.88</v>
      </c>
      <c r="AB326" s="211">
        <v>-2.79</v>
      </c>
      <c r="AC326" s="211">
        <v>0</v>
      </c>
      <c r="AD326" s="211">
        <v>0</v>
      </c>
      <c r="AE326" s="211">
        <v>27.63</v>
      </c>
      <c r="AF326" s="211">
        <v>-3.65</v>
      </c>
      <c r="AG326" s="204" t="s">
        <v>279</v>
      </c>
      <c r="AH326" s="211">
        <v>0</v>
      </c>
      <c r="AI326" s="211">
        <v>30.88</v>
      </c>
      <c r="AJ326" s="211">
        <v>0</v>
      </c>
      <c r="AK326" s="204" t="str">
        <f t="shared" si="11"/>
        <v>1.00000000</v>
      </c>
      <c r="AL326" s="204">
        <v>1764.3</v>
      </c>
    </row>
    <row r="327" spans="1:38" x14ac:dyDescent="0.2">
      <c r="A327" s="204" t="str">
        <f t="shared" si="10"/>
        <v>0496002595718</v>
      </c>
      <c r="B327" s="204">
        <v>4</v>
      </c>
      <c r="C327" s="204" t="s">
        <v>859</v>
      </c>
      <c r="D327" s="204">
        <v>46</v>
      </c>
      <c r="E327" s="204">
        <v>46</v>
      </c>
      <c r="F327" s="204" t="s">
        <v>243</v>
      </c>
      <c r="G327" s="204">
        <v>2972</v>
      </c>
      <c r="H327" s="204" t="s">
        <v>270</v>
      </c>
      <c r="I327" s="204">
        <v>27242</v>
      </c>
      <c r="J327" s="209">
        <v>42478</v>
      </c>
      <c r="K327" s="210">
        <v>0.75748842592592591</v>
      </c>
      <c r="L327" s="209">
        <v>42480</v>
      </c>
      <c r="M327" s="204" t="s">
        <v>314</v>
      </c>
      <c r="N327" s="204" t="s">
        <v>415</v>
      </c>
      <c r="O327" s="204" t="s">
        <v>416</v>
      </c>
      <c r="P327" s="204" t="s">
        <v>417</v>
      </c>
      <c r="Q327" s="204" t="s">
        <v>275</v>
      </c>
      <c r="R327" s="204" t="s">
        <v>418</v>
      </c>
      <c r="S327" s="204" t="s">
        <v>436</v>
      </c>
      <c r="T327" s="204" t="s">
        <v>859</v>
      </c>
      <c r="U327" s="204">
        <v>2972</v>
      </c>
      <c r="V327" s="204" t="s">
        <v>859</v>
      </c>
      <c r="W327" s="204" t="s">
        <v>280</v>
      </c>
      <c r="X327" s="204">
        <v>14.847</v>
      </c>
      <c r="Y327" s="211">
        <v>0</v>
      </c>
      <c r="Z327" s="211">
        <v>2.08</v>
      </c>
      <c r="AA327" s="211">
        <v>30.87</v>
      </c>
      <c r="AB327" s="211">
        <v>-2.72</v>
      </c>
      <c r="AC327" s="211">
        <v>0</v>
      </c>
      <c r="AD327" s="211">
        <v>0</v>
      </c>
      <c r="AE327" s="211">
        <v>28.15</v>
      </c>
      <c r="AF327" s="211">
        <v>-3.56</v>
      </c>
      <c r="AG327" s="204" t="s">
        <v>279</v>
      </c>
      <c r="AH327" s="211">
        <v>0</v>
      </c>
      <c r="AI327" s="211">
        <v>30.87</v>
      </c>
      <c r="AJ327" s="211">
        <v>0</v>
      </c>
      <c r="AK327" s="204" t="str">
        <f t="shared" si="11"/>
        <v>1.00000000</v>
      </c>
      <c r="AL327" s="204">
        <v>20.5</v>
      </c>
    </row>
    <row r="328" spans="1:38" x14ac:dyDescent="0.2">
      <c r="A328" s="204" t="str">
        <f t="shared" si="10"/>
        <v>0496002595718</v>
      </c>
      <c r="B328" s="204">
        <v>4</v>
      </c>
      <c r="C328" s="204" t="s">
        <v>859</v>
      </c>
      <c r="D328" s="204">
        <v>46</v>
      </c>
      <c r="E328" s="204">
        <v>46</v>
      </c>
      <c r="F328" s="204" t="s">
        <v>243</v>
      </c>
      <c r="G328" s="204">
        <v>2972</v>
      </c>
      <c r="H328" s="204" t="s">
        <v>270</v>
      </c>
      <c r="I328" s="204">
        <v>27520</v>
      </c>
      <c r="J328" s="209">
        <v>42489</v>
      </c>
      <c r="K328" s="210">
        <v>0.74583333333333324</v>
      </c>
      <c r="L328" s="209">
        <v>42493</v>
      </c>
      <c r="M328" s="204" t="s">
        <v>271</v>
      </c>
      <c r="N328" s="204" t="s">
        <v>588</v>
      </c>
      <c r="O328" s="204" t="s">
        <v>589</v>
      </c>
      <c r="P328" s="204" t="s">
        <v>590</v>
      </c>
      <c r="Q328" s="204" t="s">
        <v>275</v>
      </c>
      <c r="R328" s="204" t="s">
        <v>611</v>
      </c>
      <c r="S328" s="204" t="s">
        <v>436</v>
      </c>
      <c r="T328" s="204" t="s">
        <v>859</v>
      </c>
      <c r="U328" s="204">
        <v>2972</v>
      </c>
      <c r="V328" s="204" t="s">
        <v>859</v>
      </c>
      <c r="W328" s="204" t="s">
        <v>335</v>
      </c>
      <c r="X328" s="204">
        <v>14.292</v>
      </c>
      <c r="Y328" s="211">
        <v>-0.72</v>
      </c>
      <c r="Z328" s="211">
        <v>2.17</v>
      </c>
      <c r="AA328" s="211">
        <v>31</v>
      </c>
      <c r="AB328" s="211">
        <v>-2.62</v>
      </c>
      <c r="AC328" s="211">
        <v>0</v>
      </c>
      <c r="AD328" s="211">
        <v>0</v>
      </c>
      <c r="AE328" s="211">
        <v>27.66</v>
      </c>
      <c r="AF328" s="211">
        <v>-3.43</v>
      </c>
      <c r="AG328" s="204" t="s">
        <v>279</v>
      </c>
      <c r="AH328" s="211">
        <v>0</v>
      </c>
      <c r="AI328" s="211">
        <v>31</v>
      </c>
      <c r="AJ328" s="211">
        <v>0</v>
      </c>
      <c r="AK328" s="204" t="str">
        <f t="shared" si="11"/>
        <v>1.00000000</v>
      </c>
      <c r="AL328" s="204">
        <v>19.399999999999999</v>
      </c>
    </row>
    <row r="329" spans="1:38" x14ac:dyDescent="0.2">
      <c r="A329" s="204" t="str">
        <f t="shared" si="10"/>
        <v>0496002595718</v>
      </c>
      <c r="B329" s="204">
        <v>5</v>
      </c>
      <c r="C329" s="204" t="s">
        <v>859</v>
      </c>
      <c r="D329" s="204">
        <v>45</v>
      </c>
      <c r="E329" s="204">
        <v>45</v>
      </c>
      <c r="F329" s="204" t="s">
        <v>243</v>
      </c>
      <c r="G329" s="204">
        <v>2972</v>
      </c>
      <c r="H329" s="204" t="s">
        <v>270</v>
      </c>
      <c r="I329" s="204">
        <v>7814</v>
      </c>
      <c r="J329" s="209">
        <v>42381</v>
      </c>
      <c r="K329" s="210">
        <v>0.6875</v>
      </c>
      <c r="L329" s="209">
        <v>42383</v>
      </c>
      <c r="M329" s="204" t="s">
        <v>853</v>
      </c>
      <c r="N329" s="204" t="s">
        <v>272</v>
      </c>
      <c r="O329" s="204" t="s">
        <v>273</v>
      </c>
      <c r="P329" s="204" t="s">
        <v>274</v>
      </c>
      <c r="Q329" s="204" t="s">
        <v>275</v>
      </c>
      <c r="R329" s="204" t="s">
        <v>276</v>
      </c>
      <c r="S329" s="204" t="s">
        <v>436</v>
      </c>
      <c r="T329" s="204" t="s">
        <v>859</v>
      </c>
      <c r="U329" s="204">
        <v>2972</v>
      </c>
      <c r="V329" s="204" t="s">
        <v>859</v>
      </c>
      <c r="W329" s="204" t="s">
        <v>280</v>
      </c>
      <c r="X329" s="204">
        <v>11.85</v>
      </c>
      <c r="Y329" s="211">
        <v>-0.36</v>
      </c>
      <c r="Z329" s="211">
        <v>1.93</v>
      </c>
      <c r="AA329" s="211">
        <v>22.86</v>
      </c>
      <c r="AB329" s="211">
        <v>-2.17</v>
      </c>
      <c r="AC329" s="211">
        <v>0</v>
      </c>
      <c r="AD329" s="211">
        <v>0</v>
      </c>
      <c r="AE329" s="211">
        <v>20.329999999999998</v>
      </c>
      <c r="AF329" s="211">
        <v>-2.84</v>
      </c>
      <c r="AG329" s="204" t="s">
        <v>279</v>
      </c>
      <c r="AH329" s="211">
        <v>0</v>
      </c>
      <c r="AI329" s="211">
        <v>22.86</v>
      </c>
      <c r="AJ329" s="211">
        <v>0</v>
      </c>
      <c r="AK329" s="204" t="str">
        <f t="shared" si="11"/>
        <v>1.00000000</v>
      </c>
      <c r="AL329" s="204">
        <v>19.2</v>
      </c>
    </row>
    <row r="330" spans="1:38" x14ac:dyDescent="0.2">
      <c r="A330" s="204" t="str">
        <f t="shared" si="10"/>
        <v>0496002595718</v>
      </c>
      <c r="B330" s="204">
        <v>5</v>
      </c>
      <c r="C330" s="204" t="s">
        <v>859</v>
      </c>
      <c r="D330" s="204">
        <v>45</v>
      </c>
      <c r="E330" s="204">
        <v>45</v>
      </c>
      <c r="F330" s="204" t="s">
        <v>243</v>
      </c>
      <c r="G330" s="204">
        <v>2972</v>
      </c>
      <c r="H330" s="204" t="s">
        <v>270</v>
      </c>
      <c r="I330" s="204">
        <v>8164</v>
      </c>
      <c r="J330" s="209">
        <v>42436</v>
      </c>
      <c r="K330" s="210">
        <v>0.61319444444444449</v>
      </c>
      <c r="L330" s="209">
        <v>42438</v>
      </c>
      <c r="M330" s="204" t="s">
        <v>853</v>
      </c>
      <c r="N330" s="204" t="s">
        <v>588</v>
      </c>
      <c r="O330" s="204" t="s">
        <v>589</v>
      </c>
      <c r="P330" s="204" t="s">
        <v>590</v>
      </c>
      <c r="Q330" s="204" t="s">
        <v>275</v>
      </c>
      <c r="R330" s="204" t="s">
        <v>611</v>
      </c>
      <c r="S330" s="204" t="s">
        <v>436</v>
      </c>
      <c r="T330" s="204" t="s">
        <v>859</v>
      </c>
      <c r="U330" s="204">
        <v>2972</v>
      </c>
      <c r="V330" s="204" t="s">
        <v>859</v>
      </c>
      <c r="W330" s="204" t="s">
        <v>278</v>
      </c>
      <c r="X330" s="204">
        <v>19.129000000000001</v>
      </c>
      <c r="Y330" s="211">
        <v>-0.95</v>
      </c>
      <c r="Z330" s="211">
        <v>1.93</v>
      </c>
      <c r="AA330" s="211">
        <v>36.9</v>
      </c>
      <c r="AB330" s="211">
        <v>-3.5</v>
      </c>
      <c r="AC330" s="211">
        <v>0</v>
      </c>
      <c r="AD330" s="211">
        <v>0</v>
      </c>
      <c r="AE330" s="211">
        <v>32.450000000000003</v>
      </c>
      <c r="AF330" s="211">
        <v>-4.59</v>
      </c>
      <c r="AG330" s="204" t="s">
        <v>279</v>
      </c>
      <c r="AH330" s="211">
        <v>0</v>
      </c>
      <c r="AI330" s="211">
        <v>36.9</v>
      </c>
      <c r="AJ330" s="211">
        <v>0</v>
      </c>
      <c r="AK330" s="204" t="str">
        <f t="shared" si="11"/>
        <v>1.00000000</v>
      </c>
      <c r="AL330" s="204">
        <v>18.3</v>
      </c>
    </row>
    <row r="331" spans="1:38" x14ac:dyDescent="0.2">
      <c r="A331" s="204" t="str">
        <f t="shared" si="10"/>
        <v>0496002595718</v>
      </c>
      <c r="B331" s="204">
        <v>5</v>
      </c>
      <c r="C331" s="204" t="s">
        <v>859</v>
      </c>
      <c r="D331" s="204">
        <v>45</v>
      </c>
      <c r="E331" s="204">
        <v>45</v>
      </c>
      <c r="F331" s="204" t="s">
        <v>243</v>
      </c>
      <c r="G331" s="204">
        <v>2972</v>
      </c>
      <c r="H331" s="204" t="s">
        <v>270</v>
      </c>
      <c r="I331" s="204">
        <v>8489</v>
      </c>
      <c r="J331" s="209">
        <v>42470</v>
      </c>
      <c r="K331" s="210">
        <v>0.59375</v>
      </c>
      <c r="L331" s="209">
        <v>42472</v>
      </c>
      <c r="M331" s="204" t="s">
        <v>271</v>
      </c>
      <c r="N331" s="204" t="s">
        <v>352</v>
      </c>
      <c r="O331" s="204" t="s">
        <v>353</v>
      </c>
      <c r="P331" s="204" t="s">
        <v>343</v>
      </c>
      <c r="Q331" s="204" t="s">
        <v>275</v>
      </c>
      <c r="R331" s="204" t="s">
        <v>602</v>
      </c>
      <c r="S331" s="204" t="s">
        <v>436</v>
      </c>
      <c r="T331" s="204" t="s">
        <v>859</v>
      </c>
      <c r="U331" s="204">
        <v>2972</v>
      </c>
      <c r="V331" s="204" t="s">
        <v>859</v>
      </c>
      <c r="W331" s="204" t="s">
        <v>280</v>
      </c>
      <c r="X331" s="204">
        <v>17.152999999999999</v>
      </c>
      <c r="Y331" s="211">
        <v>-0.51</v>
      </c>
      <c r="Z331" s="211">
        <v>2</v>
      </c>
      <c r="AA331" s="211">
        <v>34.29</v>
      </c>
      <c r="AB331" s="211">
        <v>-3.14</v>
      </c>
      <c r="AC331" s="211">
        <v>0</v>
      </c>
      <c r="AD331" s="211">
        <v>0</v>
      </c>
      <c r="AE331" s="211">
        <v>30.64</v>
      </c>
      <c r="AF331" s="211">
        <v>-4.12</v>
      </c>
      <c r="AG331" s="204" t="s">
        <v>279</v>
      </c>
      <c r="AH331" s="211">
        <v>0</v>
      </c>
      <c r="AI331" s="211">
        <v>34.29</v>
      </c>
      <c r="AJ331" s="211">
        <v>0</v>
      </c>
      <c r="AK331" s="204" t="str">
        <f t="shared" si="11"/>
        <v>1.00000000</v>
      </c>
      <c r="AL331" s="204">
        <v>19</v>
      </c>
    </row>
    <row r="332" spans="1:38" x14ac:dyDescent="0.2">
      <c r="A332" s="204" t="str">
        <f t="shared" si="10"/>
        <v>0496002595718</v>
      </c>
      <c r="B332" s="204">
        <v>5</v>
      </c>
      <c r="C332" s="204" t="s">
        <v>859</v>
      </c>
      <c r="D332" s="204">
        <v>45</v>
      </c>
      <c r="E332" s="204">
        <v>45</v>
      </c>
      <c r="F332" s="204" t="s">
        <v>243</v>
      </c>
      <c r="G332" s="204">
        <v>2972</v>
      </c>
      <c r="H332" s="204" t="s">
        <v>270</v>
      </c>
      <c r="I332" s="204">
        <v>9149</v>
      </c>
      <c r="J332" s="209">
        <v>42490</v>
      </c>
      <c r="K332" s="210">
        <v>0.75694444444444453</v>
      </c>
      <c r="L332" s="209">
        <v>42493</v>
      </c>
      <c r="M332" s="204" t="s">
        <v>271</v>
      </c>
      <c r="N332" s="204" t="s">
        <v>272</v>
      </c>
      <c r="O332" s="204" t="s">
        <v>273</v>
      </c>
      <c r="P332" s="204" t="s">
        <v>274</v>
      </c>
      <c r="Q332" s="204" t="s">
        <v>275</v>
      </c>
      <c r="R332" s="204" t="s">
        <v>276</v>
      </c>
      <c r="S332" s="204" t="s">
        <v>436</v>
      </c>
      <c r="T332" s="204" t="s">
        <v>859</v>
      </c>
      <c r="U332" s="204">
        <v>2972</v>
      </c>
      <c r="V332" s="204" t="s">
        <v>859</v>
      </c>
      <c r="W332" s="204" t="s">
        <v>280</v>
      </c>
      <c r="X332" s="204">
        <v>11.864000000000001</v>
      </c>
      <c r="Y332" s="211">
        <v>-0.36</v>
      </c>
      <c r="Z332" s="211">
        <v>2.2000000000000002</v>
      </c>
      <c r="AA332" s="211">
        <v>26.09</v>
      </c>
      <c r="AB332" s="211">
        <v>-2.17</v>
      </c>
      <c r="AC332" s="211">
        <v>0</v>
      </c>
      <c r="AD332" s="211">
        <v>0</v>
      </c>
      <c r="AE332" s="211">
        <v>23.56</v>
      </c>
      <c r="AF332" s="211">
        <v>-2.85</v>
      </c>
      <c r="AG332" s="204" t="s">
        <v>279</v>
      </c>
      <c r="AH332" s="211">
        <v>0</v>
      </c>
      <c r="AI332" s="211">
        <v>26.09</v>
      </c>
      <c r="AJ332" s="211">
        <v>0</v>
      </c>
      <c r="AK332" s="204" t="str">
        <f t="shared" si="11"/>
        <v>1.00000000</v>
      </c>
      <c r="AL332" s="204">
        <v>55.6</v>
      </c>
    </row>
    <row r="333" spans="1:38" x14ac:dyDescent="0.2">
      <c r="A333" s="204" t="str">
        <f t="shared" si="10"/>
        <v>0496002595718</v>
      </c>
      <c r="B333" s="204">
        <v>5</v>
      </c>
      <c r="C333" s="204" t="s">
        <v>859</v>
      </c>
      <c r="D333" s="204">
        <v>45</v>
      </c>
      <c r="E333" s="204">
        <v>45</v>
      </c>
      <c r="F333" s="204" t="s">
        <v>243</v>
      </c>
      <c r="G333" s="204">
        <v>2972</v>
      </c>
      <c r="H333" s="204" t="s">
        <v>270</v>
      </c>
      <c r="I333" s="204">
        <v>9359</v>
      </c>
      <c r="J333" s="209">
        <v>42516</v>
      </c>
      <c r="K333" s="210">
        <v>0.60277777777777775</v>
      </c>
      <c r="L333" s="209">
        <v>42520</v>
      </c>
      <c r="M333" s="204" t="s">
        <v>271</v>
      </c>
      <c r="N333" s="204" t="s">
        <v>272</v>
      </c>
      <c r="O333" s="204" t="s">
        <v>273</v>
      </c>
      <c r="P333" s="204" t="s">
        <v>274</v>
      </c>
      <c r="Q333" s="204" t="s">
        <v>275</v>
      </c>
      <c r="R333" s="204" t="s">
        <v>276</v>
      </c>
      <c r="S333" s="204" t="s">
        <v>436</v>
      </c>
      <c r="T333" s="204" t="s">
        <v>859</v>
      </c>
      <c r="U333" s="204">
        <v>2972</v>
      </c>
      <c r="V333" s="204" t="s">
        <v>859</v>
      </c>
      <c r="W333" s="204" t="s">
        <v>278</v>
      </c>
      <c r="X333" s="204">
        <v>15.69</v>
      </c>
      <c r="Y333" s="211">
        <v>-0.47</v>
      </c>
      <c r="Z333" s="211">
        <v>2.66</v>
      </c>
      <c r="AA333" s="211">
        <v>41.72</v>
      </c>
      <c r="AB333" s="211">
        <v>-2.87</v>
      </c>
      <c r="AC333" s="211">
        <v>0</v>
      </c>
      <c r="AD333" s="211">
        <v>0</v>
      </c>
      <c r="AE333" s="211">
        <v>38.380000000000003</v>
      </c>
      <c r="AF333" s="211">
        <v>-3.77</v>
      </c>
      <c r="AG333" s="204" t="s">
        <v>279</v>
      </c>
      <c r="AH333" s="211">
        <v>0</v>
      </c>
      <c r="AI333" s="211">
        <v>41.72</v>
      </c>
      <c r="AJ333" s="211">
        <v>0</v>
      </c>
      <c r="AK333" s="204" t="str">
        <f t="shared" si="11"/>
        <v>1.00000000</v>
      </c>
      <c r="AL333" s="204">
        <v>13.4</v>
      </c>
    </row>
    <row r="334" spans="1:38" x14ac:dyDescent="0.2">
      <c r="A334" s="204" t="str">
        <f t="shared" si="10"/>
        <v>0496002595718</v>
      </c>
      <c r="B334" s="204">
        <v>5</v>
      </c>
      <c r="C334" s="204" t="s">
        <v>859</v>
      </c>
      <c r="D334" s="204">
        <v>45</v>
      </c>
      <c r="E334" s="204">
        <v>45</v>
      </c>
      <c r="F334" s="204" t="s">
        <v>243</v>
      </c>
      <c r="G334" s="204">
        <v>2972</v>
      </c>
      <c r="H334" s="204" t="s">
        <v>270</v>
      </c>
      <c r="I334" s="204">
        <v>9487</v>
      </c>
      <c r="J334" s="209">
        <v>42517</v>
      </c>
      <c r="K334" s="210">
        <v>0.76736111111111116</v>
      </c>
      <c r="L334" s="209">
        <v>42521</v>
      </c>
      <c r="M334" s="204" t="s">
        <v>271</v>
      </c>
      <c r="N334" s="204" t="s">
        <v>272</v>
      </c>
      <c r="O334" s="204" t="s">
        <v>273</v>
      </c>
      <c r="P334" s="204" t="s">
        <v>274</v>
      </c>
      <c r="Q334" s="204" t="s">
        <v>275</v>
      </c>
      <c r="R334" s="204" t="s">
        <v>276</v>
      </c>
      <c r="S334" s="204" t="s">
        <v>436</v>
      </c>
      <c r="T334" s="204" t="s">
        <v>859</v>
      </c>
      <c r="U334" s="204">
        <v>2972</v>
      </c>
      <c r="V334" s="204" t="s">
        <v>859</v>
      </c>
      <c r="W334" s="204" t="s">
        <v>280</v>
      </c>
      <c r="X334" s="204">
        <v>12.944000000000001</v>
      </c>
      <c r="Y334" s="211">
        <v>-0.39</v>
      </c>
      <c r="Z334" s="211">
        <v>2.29</v>
      </c>
      <c r="AA334" s="211">
        <v>29.63</v>
      </c>
      <c r="AB334" s="211">
        <v>-2.37</v>
      </c>
      <c r="AC334" s="211">
        <v>0</v>
      </c>
      <c r="AD334" s="211">
        <v>0</v>
      </c>
      <c r="AE334" s="211">
        <v>26.87</v>
      </c>
      <c r="AF334" s="211">
        <v>-3.11</v>
      </c>
      <c r="AG334" s="204" t="s">
        <v>279</v>
      </c>
      <c r="AH334" s="211">
        <v>0</v>
      </c>
      <c r="AI334" s="211">
        <v>29.63</v>
      </c>
      <c r="AJ334" s="211">
        <v>0</v>
      </c>
      <c r="AK334" s="204" t="str">
        <f t="shared" si="11"/>
        <v>1.00000000</v>
      </c>
      <c r="AL334" s="204">
        <v>9.9</v>
      </c>
    </row>
    <row r="335" spans="1:38" x14ac:dyDescent="0.2">
      <c r="A335" s="204" t="str">
        <f t="shared" si="10"/>
        <v>0496002595718</v>
      </c>
      <c r="B335" s="204">
        <v>5</v>
      </c>
      <c r="C335" s="204" t="s">
        <v>859</v>
      </c>
      <c r="D335" s="204">
        <v>45</v>
      </c>
      <c r="E335" s="204">
        <v>45</v>
      </c>
      <c r="F335" s="204" t="s">
        <v>243</v>
      </c>
      <c r="G335" s="204">
        <v>2972</v>
      </c>
      <c r="H335" s="204" t="s">
        <v>270</v>
      </c>
      <c r="I335" s="204">
        <v>9609</v>
      </c>
      <c r="J335" s="209">
        <v>42518</v>
      </c>
      <c r="K335" s="210">
        <v>0.90208333333333324</v>
      </c>
      <c r="L335" s="209">
        <v>42521</v>
      </c>
      <c r="M335" s="204" t="s">
        <v>271</v>
      </c>
      <c r="N335" s="204" t="s">
        <v>272</v>
      </c>
      <c r="O335" s="204" t="s">
        <v>273</v>
      </c>
      <c r="P335" s="204" t="s">
        <v>274</v>
      </c>
      <c r="Q335" s="204" t="s">
        <v>275</v>
      </c>
      <c r="R335" s="204" t="s">
        <v>276</v>
      </c>
      <c r="S335" s="204" t="s">
        <v>436</v>
      </c>
      <c r="T335" s="204" t="s">
        <v>859</v>
      </c>
      <c r="U335" s="204">
        <v>2972</v>
      </c>
      <c r="V335" s="204" t="s">
        <v>859</v>
      </c>
      <c r="W335" s="204" t="s">
        <v>280</v>
      </c>
      <c r="X335" s="204">
        <v>13.836</v>
      </c>
      <c r="Y335" s="211">
        <v>-0.42</v>
      </c>
      <c r="Z335" s="211">
        <v>2.2999999999999998</v>
      </c>
      <c r="AA335" s="211">
        <v>31.81</v>
      </c>
      <c r="AB335" s="211">
        <v>-2.5299999999999998</v>
      </c>
      <c r="AC335" s="211">
        <v>0</v>
      </c>
      <c r="AD335" s="211">
        <v>0</v>
      </c>
      <c r="AE335" s="211">
        <v>28.86</v>
      </c>
      <c r="AF335" s="211">
        <v>-3.32</v>
      </c>
      <c r="AG335" s="204" t="s">
        <v>279</v>
      </c>
      <c r="AH335" s="211">
        <v>0</v>
      </c>
      <c r="AI335" s="211">
        <v>31.81</v>
      </c>
      <c r="AJ335" s="211">
        <v>0</v>
      </c>
      <c r="AK335" s="204" t="str">
        <f t="shared" si="11"/>
        <v>1.00000000</v>
      </c>
      <c r="AL335" s="204">
        <v>8.8000000000000007</v>
      </c>
    </row>
    <row r="336" spans="1:38" x14ac:dyDescent="0.2">
      <c r="A336" s="204" t="str">
        <f t="shared" si="10"/>
        <v>0496002595718</v>
      </c>
      <c r="B336" s="204">
        <v>6</v>
      </c>
      <c r="C336" s="204" t="s">
        <v>859</v>
      </c>
      <c r="D336" s="204">
        <v>44</v>
      </c>
      <c r="E336" s="204">
        <v>44</v>
      </c>
      <c r="F336" s="204" t="s">
        <v>243</v>
      </c>
      <c r="G336" s="204">
        <v>2972</v>
      </c>
      <c r="H336" s="204" t="s">
        <v>270</v>
      </c>
      <c r="I336" s="204">
        <v>12191</v>
      </c>
      <c r="J336" s="209">
        <v>42391</v>
      </c>
      <c r="K336" s="210">
        <v>0.33055555555555555</v>
      </c>
      <c r="L336" s="209">
        <v>42395</v>
      </c>
      <c r="M336" s="204" t="s">
        <v>853</v>
      </c>
      <c r="N336" s="204" t="s">
        <v>588</v>
      </c>
      <c r="O336" s="204" t="s">
        <v>589</v>
      </c>
      <c r="P336" s="204" t="s">
        <v>590</v>
      </c>
      <c r="Q336" s="204" t="s">
        <v>275</v>
      </c>
      <c r="R336" s="204" t="s">
        <v>611</v>
      </c>
      <c r="S336" s="204" t="s">
        <v>436</v>
      </c>
      <c r="T336" s="204" t="s">
        <v>859</v>
      </c>
      <c r="U336" s="204">
        <v>2972</v>
      </c>
      <c r="V336" s="204" t="s">
        <v>859</v>
      </c>
      <c r="W336" s="204" t="s">
        <v>280</v>
      </c>
      <c r="X336" s="204">
        <v>9.4770000000000003</v>
      </c>
      <c r="Y336" s="211">
        <v>-0.47</v>
      </c>
      <c r="Z336" s="211">
        <v>1.84</v>
      </c>
      <c r="AA336" s="211">
        <v>17.43</v>
      </c>
      <c r="AB336" s="211">
        <v>-1.73</v>
      </c>
      <c r="AC336" s="211">
        <v>0</v>
      </c>
      <c r="AD336" s="211">
        <v>0</v>
      </c>
      <c r="AE336" s="211">
        <v>15.23</v>
      </c>
      <c r="AF336" s="211">
        <v>-2.27</v>
      </c>
      <c r="AG336" s="204" t="s">
        <v>279</v>
      </c>
      <c r="AH336" s="211">
        <v>0</v>
      </c>
      <c r="AI336" s="211">
        <v>17.43</v>
      </c>
      <c r="AJ336" s="211">
        <v>0</v>
      </c>
      <c r="AK336" s="204" t="str">
        <f t="shared" si="11"/>
        <v>1.00000000</v>
      </c>
      <c r="AL336" s="204">
        <v>1161.0999999999999</v>
      </c>
    </row>
    <row r="337" spans="1:38" x14ac:dyDescent="0.2">
      <c r="A337" s="204" t="str">
        <f t="shared" si="10"/>
        <v>0496002595718</v>
      </c>
      <c r="B337" s="204">
        <v>6</v>
      </c>
      <c r="C337" s="204" t="s">
        <v>859</v>
      </c>
      <c r="D337" s="204">
        <v>44</v>
      </c>
      <c r="E337" s="204">
        <v>44</v>
      </c>
      <c r="F337" s="204" t="s">
        <v>243</v>
      </c>
      <c r="G337" s="204">
        <v>2972</v>
      </c>
      <c r="H337" s="204" t="s">
        <v>270</v>
      </c>
      <c r="I337" s="204">
        <v>12545</v>
      </c>
      <c r="J337" s="209">
        <v>42411</v>
      </c>
      <c r="K337" s="210">
        <v>0.65138888888888891</v>
      </c>
      <c r="L337" s="209">
        <v>42415</v>
      </c>
      <c r="M337" s="204" t="s">
        <v>853</v>
      </c>
      <c r="N337" s="204" t="s">
        <v>272</v>
      </c>
      <c r="O337" s="204" t="s">
        <v>273</v>
      </c>
      <c r="P337" s="204" t="s">
        <v>274</v>
      </c>
      <c r="Q337" s="204" t="s">
        <v>275</v>
      </c>
      <c r="R337" s="204" t="s">
        <v>276</v>
      </c>
      <c r="S337" s="204" t="s">
        <v>436</v>
      </c>
      <c r="T337" s="204" t="s">
        <v>859</v>
      </c>
      <c r="U337" s="204">
        <v>2972</v>
      </c>
      <c r="V337" s="204" t="s">
        <v>859</v>
      </c>
      <c r="W337" s="204" t="s">
        <v>335</v>
      </c>
      <c r="X337" s="204">
        <v>9.0429999999999993</v>
      </c>
      <c r="Y337" s="211">
        <v>-0.27</v>
      </c>
      <c r="Z337" s="211">
        <v>2.04</v>
      </c>
      <c r="AA337" s="211">
        <v>18.440000000000001</v>
      </c>
      <c r="AB337" s="211">
        <v>-1.65</v>
      </c>
      <c r="AC337" s="211">
        <v>0</v>
      </c>
      <c r="AD337" s="211">
        <v>0</v>
      </c>
      <c r="AE337" s="211">
        <v>16.52</v>
      </c>
      <c r="AF337" s="211">
        <v>-2.17</v>
      </c>
      <c r="AG337" s="204" t="s">
        <v>279</v>
      </c>
      <c r="AH337" s="211">
        <v>0</v>
      </c>
      <c r="AI337" s="211">
        <v>18.440000000000001</v>
      </c>
      <c r="AJ337" s="211">
        <v>0</v>
      </c>
      <c r="AK337" s="204" t="str">
        <f t="shared" si="11"/>
        <v>1.00000000</v>
      </c>
      <c r="AL337" s="204">
        <v>39.200000000000003</v>
      </c>
    </row>
    <row r="338" spans="1:38" x14ac:dyDescent="0.2">
      <c r="A338" s="204" t="str">
        <f t="shared" si="10"/>
        <v>0496002595718</v>
      </c>
      <c r="B338" s="204">
        <v>6</v>
      </c>
      <c r="C338" s="204" t="s">
        <v>859</v>
      </c>
      <c r="D338" s="204">
        <v>44</v>
      </c>
      <c r="E338" s="204">
        <v>44</v>
      </c>
      <c r="F338" s="204" t="s">
        <v>243</v>
      </c>
      <c r="G338" s="204">
        <v>2972</v>
      </c>
      <c r="H338" s="204" t="s">
        <v>270</v>
      </c>
      <c r="I338" s="204">
        <v>12937</v>
      </c>
      <c r="J338" s="209">
        <v>42438</v>
      </c>
      <c r="K338" s="210">
        <v>0.37641203703703702</v>
      </c>
      <c r="L338" s="209">
        <v>42440</v>
      </c>
      <c r="M338" s="204" t="s">
        <v>310</v>
      </c>
      <c r="N338" s="204" t="s">
        <v>331</v>
      </c>
      <c r="O338" s="204" t="s">
        <v>332</v>
      </c>
      <c r="P338" s="204" t="s">
        <v>274</v>
      </c>
      <c r="Q338" s="204" t="s">
        <v>275</v>
      </c>
      <c r="R338" s="204" t="s">
        <v>858</v>
      </c>
      <c r="S338" s="204" t="s">
        <v>436</v>
      </c>
      <c r="T338" s="204" t="s">
        <v>859</v>
      </c>
      <c r="U338" s="204">
        <v>2972</v>
      </c>
      <c r="V338" s="204" t="s">
        <v>859</v>
      </c>
      <c r="W338" s="204" t="s">
        <v>280</v>
      </c>
      <c r="X338" s="204">
        <v>9.7889999999999997</v>
      </c>
      <c r="Y338" s="211">
        <v>0</v>
      </c>
      <c r="Z338" s="211">
        <v>1.8</v>
      </c>
      <c r="AA338" s="211">
        <v>17.61</v>
      </c>
      <c r="AB338" s="211">
        <v>-1.79</v>
      </c>
      <c r="AC338" s="211">
        <v>0</v>
      </c>
      <c r="AD338" s="211">
        <v>0</v>
      </c>
      <c r="AE338" s="211">
        <v>15.82</v>
      </c>
      <c r="AF338" s="211">
        <v>-2.35</v>
      </c>
      <c r="AG338" s="204" t="s">
        <v>279</v>
      </c>
      <c r="AH338" s="211">
        <v>0</v>
      </c>
      <c r="AI338" s="211">
        <v>17.61</v>
      </c>
      <c r="AJ338" s="211">
        <v>0</v>
      </c>
      <c r="AK338" s="204" t="str">
        <f t="shared" si="11"/>
        <v>1.00000000</v>
      </c>
      <c r="AL338" s="204">
        <v>40</v>
      </c>
    </row>
    <row r="339" spans="1:38" x14ac:dyDescent="0.2">
      <c r="A339" s="204" t="str">
        <f t="shared" si="10"/>
        <v>0496002595718</v>
      </c>
      <c r="B339" s="204">
        <v>6</v>
      </c>
      <c r="C339" s="204" t="s">
        <v>859</v>
      </c>
      <c r="D339" s="204">
        <v>44</v>
      </c>
      <c r="E339" s="204">
        <v>44</v>
      </c>
      <c r="F339" s="204" t="s">
        <v>243</v>
      </c>
      <c r="G339" s="204">
        <v>2972</v>
      </c>
      <c r="H339" s="204" t="s">
        <v>270</v>
      </c>
      <c r="I339" s="204">
        <v>189001</v>
      </c>
      <c r="J339" s="209">
        <v>42452</v>
      </c>
      <c r="K339" s="210">
        <v>0.36249999999999999</v>
      </c>
      <c r="L339" s="209">
        <v>42454</v>
      </c>
      <c r="M339" s="204" t="s">
        <v>853</v>
      </c>
      <c r="N339" s="204" t="s">
        <v>272</v>
      </c>
      <c r="O339" s="204" t="s">
        <v>273</v>
      </c>
      <c r="P339" s="204" t="s">
        <v>274</v>
      </c>
      <c r="Q339" s="204" t="s">
        <v>275</v>
      </c>
      <c r="R339" s="204" t="s">
        <v>276</v>
      </c>
      <c r="S339" s="204" t="s">
        <v>436</v>
      </c>
      <c r="T339" s="204" t="s">
        <v>859</v>
      </c>
      <c r="U339" s="204">
        <v>2972</v>
      </c>
      <c r="V339" s="204" t="s">
        <v>859</v>
      </c>
      <c r="W339" s="204" t="s">
        <v>280</v>
      </c>
      <c r="X339" s="204">
        <v>7.4550000000000001</v>
      </c>
      <c r="Y339" s="211">
        <v>-0.22</v>
      </c>
      <c r="Z339" s="211">
        <v>1.95</v>
      </c>
      <c r="AA339" s="211">
        <v>14.53</v>
      </c>
      <c r="AB339" s="211">
        <v>-1.36</v>
      </c>
      <c r="AC339" s="211">
        <v>0</v>
      </c>
      <c r="AD339" s="211">
        <v>0</v>
      </c>
      <c r="AE339" s="211">
        <v>12.95</v>
      </c>
      <c r="AF339" s="211">
        <v>-1.79</v>
      </c>
      <c r="AG339" s="204" t="s">
        <v>279</v>
      </c>
      <c r="AH339" s="211">
        <v>0</v>
      </c>
      <c r="AI339" s="211">
        <v>14.53</v>
      </c>
      <c r="AJ339" s="211">
        <v>0</v>
      </c>
      <c r="AK339" s="204" t="str">
        <f t="shared" si="11"/>
        <v>1.00000000</v>
      </c>
      <c r="AL339" s="204">
        <v>23616.9</v>
      </c>
    </row>
    <row r="340" spans="1:38" x14ac:dyDescent="0.2">
      <c r="A340" s="204" t="str">
        <f t="shared" si="10"/>
        <v>0496002595718</v>
      </c>
      <c r="B340" s="204">
        <v>6</v>
      </c>
      <c r="C340" s="204" t="s">
        <v>859</v>
      </c>
      <c r="D340" s="204">
        <v>44</v>
      </c>
      <c r="E340" s="204">
        <v>44</v>
      </c>
      <c r="F340" s="204" t="s">
        <v>243</v>
      </c>
      <c r="G340" s="204">
        <v>2972</v>
      </c>
      <c r="H340" s="204" t="s">
        <v>270</v>
      </c>
      <c r="I340" s="204">
        <v>13309</v>
      </c>
      <c r="J340" s="209">
        <v>42466</v>
      </c>
      <c r="K340" s="210">
        <v>0.51250000000000007</v>
      </c>
      <c r="L340" s="209">
        <v>42468</v>
      </c>
      <c r="M340" s="204" t="s">
        <v>271</v>
      </c>
      <c r="N340" s="204" t="s">
        <v>272</v>
      </c>
      <c r="O340" s="204" t="s">
        <v>273</v>
      </c>
      <c r="P340" s="204" t="s">
        <v>274</v>
      </c>
      <c r="Q340" s="204" t="s">
        <v>275</v>
      </c>
      <c r="R340" s="204" t="s">
        <v>276</v>
      </c>
      <c r="S340" s="204" t="s">
        <v>436</v>
      </c>
      <c r="T340" s="204" t="s">
        <v>859</v>
      </c>
      <c r="U340" s="204">
        <v>2972</v>
      </c>
      <c r="V340" s="204" t="s">
        <v>859</v>
      </c>
      <c r="W340" s="204" t="s">
        <v>280</v>
      </c>
      <c r="X340" s="204">
        <v>7.7560000000000002</v>
      </c>
      <c r="Y340" s="211">
        <v>-0.23</v>
      </c>
      <c r="Z340" s="211">
        <v>2.0299999999999998</v>
      </c>
      <c r="AA340" s="211">
        <v>15.73</v>
      </c>
      <c r="AB340" s="211">
        <v>-1.42</v>
      </c>
      <c r="AC340" s="211">
        <v>0</v>
      </c>
      <c r="AD340" s="211">
        <v>0</v>
      </c>
      <c r="AE340" s="211">
        <v>14.08</v>
      </c>
      <c r="AF340" s="211">
        <v>-1.86</v>
      </c>
      <c r="AG340" s="204" t="s">
        <v>279</v>
      </c>
      <c r="AH340" s="211">
        <v>0</v>
      </c>
      <c r="AI340" s="211">
        <v>15.73</v>
      </c>
      <c r="AJ340" s="211">
        <v>0</v>
      </c>
      <c r="AK340" s="204" t="str">
        <f t="shared" si="11"/>
        <v>1.00000000</v>
      </c>
      <c r="AL340" s="204">
        <v>0</v>
      </c>
    </row>
    <row r="341" spans="1:38" x14ac:dyDescent="0.2">
      <c r="A341" s="204" t="str">
        <f t="shared" si="10"/>
        <v>0496002595718</v>
      </c>
      <c r="B341" s="204">
        <v>6</v>
      </c>
      <c r="C341" s="204" t="s">
        <v>859</v>
      </c>
      <c r="D341" s="204">
        <v>44</v>
      </c>
      <c r="E341" s="204">
        <v>44</v>
      </c>
      <c r="F341" s="204" t="s">
        <v>243</v>
      </c>
      <c r="G341" s="204">
        <v>2972</v>
      </c>
      <c r="H341" s="204" t="s">
        <v>270</v>
      </c>
      <c r="I341" s="204">
        <v>13851</v>
      </c>
      <c r="J341" s="209">
        <v>42480</v>
      </c>
      <c r="K341" s="210">
        <v>0.7090277777777777</v>
      </c>
      <c r="L341" s="209">
        <v>42482</v>
      </c>
      <c r="M341" s="204" t="s">
        <v>271</v>
      </c>
      <c r="N341" s="204" t="s">
        <v>272</v>
      </c>
      <c r="O341" s="204" t="s">
        <v>273</v>
      </c>
      <c r="P341" s="204" t="s">
        <v>274</v>
      </c>
      <c r="Q341" s="204" t="s">
        <v>275</v>
      </c>
      <c r="R341" s="204" t="s">
        <v>276</v>
      </c>
      <c r="S341" s="204" t="s">
        <v>436</v>
      </c>
      <c r="T341" s="204" t="s">
        <v>859</v>
      </c>
      <c r="U341" s="204">
        <v>2972</v>
      </c>
      <c r="V341" s="204" t="s">
        <v>859</v>
      </c>
      <c r="W341" s="204" t="s">
        <v>280</v>
      </c>
      <c r="X341" s="204">
        <v>1.369</v>
      </c>
      <c r="Y341" s="211">
        <v>-0.04</v>
      </c>
      <c r="Z341" s="211">
        <v>2.09</v>
      </c>
      <c r="AA341" s="211">
        <v>2.86</v>
      </c>
      <c r="AB341" s="211">
        <v>-0.25</v>
      </c>
      <c r="AC341" s="211">
        <v>0</v>
      </c>
      <c r="AD341" s="211">
        <v>0</v>
      </c>
      <c r="AE341" s="211">
        <v>2.57</v>
      </c>
      <c r="AF341" s="211">
        <v>-0.33</v>
      </c>
      <c r="AG341" s="204" t="s">
        <v>279</v>
      </c>
      <c r="AH341" s="211">
        <v>0</v>
      </c>
      <c r="AI341" s="211">
        <v>2.86</v>
      </c>
      <c r="AJ341" s="211">
        <v>0</v>
      </c>
      <c r="AK341" s="204" t="str">
        <f t="shared" si="11"/>
        <v>1.00000000</v>
      </c>
      <c r="AL341" s="204">
        <v>395.9</v>
      </c>
    </row>
    <row r="342" spans="1:38" x14ac:dyDescent="0.2">
      <c r="A342" s="204" t="str">
        <f t="shared" si="10"/>
        <v>0496002595718</v>
      </c>
      <c r="B342" s="204">
        <v>6</v>
      </c>
      <c r="C342" s="204" t="s">
        <v>859</v>
      </c>
      <c r="D342" s="204">
        <v>44</v>
      </c>
      <c r="E342" s="204">
        <v>44</v>
      </c>
      <c r="F342" s="204" t="s">
        <v>243</v>
      </c>
      <c r="G342" s="204">
        <v>2972</v>
      </c>
      <c r="H342" s="204" t="s">
        <v>270</v>
      </c>
      <c r="I342" s="204">
        <v>14029</v>
      </c>
      <c r="J342" s="209">
        <v>42516</v>
      </c>
      <c r="K342" s="210">
        <v>0.70624999999999993</v>
      </c>
      <c r="L342" s="209">
        <v>42520</v>
      </c>
      <c r="M342" s="204" t="s">
        <v>271</v>
      </c>
      <c r="N342" s="204" t="s">
        <v>272</v>
      </c>
      <c r="O342" s="204" t="s">
        <v>273</v>
      </c>
      <c r="P342" s="204" t="s">
        <v>274</v>
      </c>
      <c r="Q342" s="204" t="s">
        <v>275</v>
      </c>
      <c r="R342" s="204" t="s">
        <v>276</v>
      </c>
      <c r="S342" s="204" t="s">
        <v>436</v>
      </c>
      <c r="T342" s="204" t="s">
        <v>859</v>
      </c>
      <c r="U342" s="204">
        <v>2972</v>
      </c>
      <c r="V342" s="204" t="s">
        <v>859</v>
      </c>
      <c r="W342" s="204" t="s">
        <v>280</v>
      </c>
      <c r="X342" s="204">
        <v>8.8330000000000002</v>
      </c>
      <c r="Y342" s="211">
        <v>-0.26</v>
      </c>
      <c r="Z342" s="211">
        <v>2.29</v>
      </c>
      <c r="AA342" s="211">
        <v>20.22</v>
      </c>
      <c r="AB342" s="211">
        <v>-1.62</v>
      </c>
      <c r="AC342" s="211">
        <v>0</v>
      </c>
      <c r="AD342" s="211">
        <v>0</v>
      </c>
      <c r="AE342" s="211">
        <v>18.34</v>
      </c>
      <c r="AF342" s="211">
        <v>-2.12</v>
      </c>
      <c r="AG342" s="204" t="s">
        <v>279</v>
      </c>
      <c r="AH342" s="211">
        <v>0</v>
      </c>
      <c r="AI342" s="211">
        <v>20.22</v>
      </c>
      <c r="AJ342" s="211">
        <v>0</v>
      </c>
      <c r="AK342" s="204" t="str">
        <f t="shared" si="11"/>
        <v>1.00000000</v>
      </c>
      <c r="AL342" s="204">
        <v>20.2</v>
      </c>
    </row>
    <row r="343" spans="1:38" x14ac:dyDescent="0.2">
      <c r="A343" s="204" t="str">
        <f t="shared" ref="A343:A406" si="12">"0496002595734"</f>
        <v>0496002595734</v>
      </c>
      <c r="B343" s="204">
        <v>1</v>
      </c>
      <c r="C343" s="204" t="s">
        <v>435</v>
      </c>
      <c r="D343" s="204">
        <v>81</v>
      </c>
      <c r="E343" s="204">
        <v>81</v>
      </c>
      <c r="F343" s="204" t="s">
        <v>243</v>
      </c>
      <c r="G343" s="204">
        <v>2086</v>
      </c>
      <c r="H343" s="204" t="s">
        <v>270</v>
      </c>
      <c r="I343" s="204">
        <v>40728</v>
      </c>
      <c r="J343" s="209">
        <v>42372</v>
      </c>
      <c r="K343" s="210">
        <v>0.7909722222222223</v>
      </c>
      <c r="L343" s="209">
        <v>42374</v>
      </c>
      <c r="M343" s="204" t="s">
        <v>853</v>
      </c>
      <c r="N343" s="204" t="s">
        <v>272</v>
      </c>
      <c r="O343" s="204" t="s">
        <v>273</v>
      </c>
      <c r="P343" s="204" t="s">
        <v>274</v>
      </c>
      <c r="Q343" s="204" t="s">
        <v>275</v>
      </c>
      <c r="R343" s="204" t="s">
        <v>276</v>
      </c>
      <c r="S343" s="204" t="s">
        <v>436</v>
      </c>
      <c r="T343" s="204" t="s">
        <v>435</v>
      </c>
      <c r="U343" s="204">
        <v>2086</v>
      </c>
      <c r="V343" s="204" t="s">
        <v>435</v>
      </c>
      <c r="W343" s="204" t="s">
        <v>335</v>
      </c>
      <c r="X343" s="204">
        <v>11.901</v>
      </c>
      <c r="Y343" s="211">
        <v>-0.36</v>
      </c>
      <c r="Z343" s="211">
        <v>2.2200000000000002</v>
      </c>
      <c r="AA343" s="211">
        <v>26.41</v>
      </c>
      <c r="AB343" s="211">
        <v>-2.1800000000000002</v>
      </c>
      <c r="AC343" s="211">
        <v>0</v>
      </c>
      <c r="AD343" s="211">
        <v>0</v>
      </c>
      <c r="AE343" s="211">
        <v>23.87</v>
      </c>
      <c r="AF343" s="211">
        <v>-2.86</v>
      </c>
      <c r="AG343" s="204" t="s">
        <v>279</v>
      </c>
      <c r="AH343" s="211">
        <v>0</v>
      </c>
      <c r="AI343" s="211">
        <v>26.41</v>
      </c>
      <c r="AJ343" s="211">
        <v>0</v>
      </c>
      <c r="AK343" s="204" t="str">
        <f t="shared" si="11"/>
        <v>1.00000000</v>
      </c>
      <c r="AL343" s="204">
        <v>16.8</v>
      </c>
    </row>
    <row r="344" spans="1:38" x14ac:dyDescent="0.2">
      <c r="A344" s="204" t="str">
        <f t="shared" si="12"/>
        <v>0496002595734</v>
      </c>
      <c r="B344" s="204">
        <v>1</v>
      </c>
      <c r="C344" s="204" t="s">
        <v>435</v>
      </c>
      <c r="D344" s="204">
        <v>81</v>
      </c>
      <c r="E344" s="204">
        <v>81</v>
      </c>
      <c r="F344" s="204" t="s">
        <v>243</v>
      </c>
      <c r="G344" s="204">
        <v>2086</v>
      </c>
      <c r="H344" s="204" t="s">
        <v>270</v>
      </c>
      <c r="I344" s="204">
        <v>41040</v>
      </c>
      <c r="J344" s="209">
        <v>42377</v>
      </c>
      <c r="K344" s="210">
        <v>0.79208333333333336</v>
      </c>
      <c r="L344" s="209">
        <v>42381</v>
      </c>
      <c r="M344" s="204" t="s">
        <v>310</v>
      </c>
      <c r="N344" s="204" t="s">
        <v>331</v>
      </c>
      <c r="O344" s="204" t="s">
        <v>332</v>
      </c>
      <c r="P344" s="204" t="s">
        <v>274</v>
      </c>
      <c r="Q344" s="204" t="s">
        <v>275</v>
      </c>
      <c r="R344" s="204" t="s">
        <v>858</v>
      </c>
      <c r="S344" s="204" t="s">
        <v>436</v>
      </c>
      <c r="T344" s="204" t="s">
        <v>435</v>
      </c>
      <c r="U344" s="204">
        <v>2086</v>
      </c>
      <c r="V344" s="204" t="s">
        <v>435</v>
      </c>
      <c r="W344" s="204" t="s">
        <v>280</v>
      </c>
      <c r="X344" s="204">
        <v>14.085000000000001</v>
      </c>
      <c r="Y344" s="211">
        <v>0</v>
      </c>
      <c r="Z344" s="211">
        <v>2.06</v>
      </c>
      <c r="AA344" s="211">
        <v>29</v>
      </c>
      <c r="AB344" s="211">
        <v>-2.58</v>
      </c>
      <c r="AC344" s="211">
        <v>0</v>
      </c>
      <c r="AD344" s="211">
        <v>0</v>
      </c>
      <c r="AE344" s="211">
        <v>26.42</v>
      </c>
      <c r="AF344" s="211">
        <v>-3.38</v>
      </c>
      <c r="AG344" s="204" t="s">
        <v>279</v>
      </c>
      <c r="AH344" s="211">
        <v>0</v>
      </c>
      <c r="AI344" s="211">
        <v>29</v>
      </c>
      <c r="AJ344" s="211">
        <v>0</v>
      </c>
      <c r="AK344" s="204" t="str">
        <f t="shared" si="11"/>
        <v>1.00000000</v>
      </c>
      <c r="AL344" s="204">
        <v>22.2</v>
      </c>
    </row>
    <row r="345" spans="1:38" x14ac:dyDescent="0.2">
      <c r="A345" s="204" t="str">
        <f t="shared" si="12"/>
        <v>0496002595734</v>
      </c>
      <c r="B345" s="204">
        <v>1</v>
      </c>
      <c r="C345" s="204" t="s">
        <v>435</v>
      </c>
      <c r="D345" s="204">
        <v>81</v>
      </c>
      <c r="E345" s="204">
        <v>81</v>
      </c>
      <c r="F345" s="204" t="s">
        <v>243</v>
      </c>
      <c r="G345" s="204">
        <v>2086</v>
      </c>
      <c r="H345" s="204" t="s">
        <v>270</v>
      </c>
      <c r="I345" s="204">
        <v>41276</v>
      </c>
      <c r="J345" s="209">
        <v>42382</v>
      </c>
      <c r="K345" s="210">
        <v>0.45</v>
      </c>
      <c r="L345" s="209">
        <v>42384</v>
      </c>
      <c r="M345" s="204" t="s">
        <v>853</v>
      </c>
      <c r="N345" s="204" t="s">
        <v>997</v>
      </c>
      <c r="O345" s="204" t="s">
        <v>998</v>
      </c>
      <c r="P345" s="204" t="s">
        <v>548</v>
      </c>
      <c r="Q345" s="204" t="s">
        <v>329</v>
      </c>
      <c r="R345" s="204" t="s">
        <v>999</v>
      </c>
      <c r="S345" s="204" t="s">
        <v>436</v>
      </c>
      <c r="T345" s="204" t="s">
        <v>435</v>
      </c>
      <c r="U345" s="204">
        <v>2086</v>
      </c>
      <c r="V345" s="204" t="s">
        <v>435</v>
      </c>
      <c r="W345" s="204" t="s">
        <v>280</v>
      </c>
      <c r="X345" s="204">
        <v>13.465999999999999</v>
      </c>
      <c r="Y345" s="211">
        <v>-0.27</v>
      </c>
      <c r="Z345" s="211">
        <v>2.6</v>
      </c>
      <c r="AA345" s="211">
        <v>35</v>
      </c>
      <c r="AB345" s="211">
        <v>-2.46</v>
      </c>
      <c r="AC345" s="211">
        <v>0</v>
      </c>
      <c r="AD345" s="211">
        <v>0</v>
      </c>
      <c r="AE345" s="211">
        <v>32.270000000000003</v>
      </c>
      <c r="AF345" s="211">
        <v>-5.88</v>
      </c>
      <c r="AG345" s="204" t="s">
        <v>279</v>
      </c>
      <c r="AH345" s="211">
        <v>0</v>
      </c>
      <c r="AI345" s="211">
        <v>35</v>
      </c>
      <c r="AJ345" s="211">
        <v>0</v>
      </c>
      <c r="AK345" s="204" t="str">
        <f t="shared" si="11"/>
        <v>1.00000000</v>
      </c>
      <c r="AL345" s="204">
        <v>17.5</v>
      </c>
    </row>
    <row r="346" spans="1:38" x14ac:dyDescent="0.2">
      <c r="A346" s="204" t="str">
        <f t="shared" si="12"/>
        <v>0496002595734</v>
      </c>
      <c r="B346" s="204">
        <v>1</v>
      </c>
      <c r="C346" s="204" t="s">
        <v>435</v>
      </c>
      <c r="D346" s="204">
        <v>81</v>
      </c>
      <c r="E346" s="204">
        <v>81</v>
      </c>
      <c r="F346" s="204" t="s">
        <v>243</v>
      </c>
      <c r="G346" s="204">
        <v>2086</v>
      </c>
      <c r="H346" s="204" t="s">
        <v>270</v>
      </c>
      <c r="I346" s="204">
        <v>41519</v>
      </c>
      <c r="J346" s="209">
        <v>42383</v>
      </c>
      <c r="K346" s="210">
        <v>0.67291666666666661</v>
      </c>
      <c r="L346" s="209">
        <v>42387</v>
      </c>
      <c r="M346" s="204" t="s">
        <v>853</v>
      </c>
      <c r="N346" s="204" t="s">
        <v>454</v>
      </c>
      <c r="O346" s="204" t="s">
        <v>455</v>
      </c>
      <c r="P346" s="204" t="s">
        <v>456</v>
      </c>
      <c r="Q346" s="204" t="s">
        <v>275</v>
      </c>
      <c r="R346" s="204" t="s">
        <v>706</v>
      </c>
      <c r="S346" s="204" t="s">
        <v>436</v>
      </c>
      <c r="T346" s="204" t="s">
        <v>435</v>
      </c>
      <c r="U346" s="204">
        <v>2086</v>
      </c>
      <c r="V346" s="204" t="s">
        <v>435</v>
      </c>
      <c r="W346" s="204" t="s">
        <v>280</v>
      </c>
      <c r="X346" s="204">
        <v>12.726000000000001</v>
      </c>
      <c r="Y346" s="211">
        <v>-0.38</v>
      </c>
      <c r="Z346" s="211">
        <v>1.93</v>
      </c>
      <c r="AA346" s="211">
        <v>24.55</v>
      </c>
      <c r="AB346" s="211">
        <v>-2.33</v>
      </c>
      <c r="AC346" s="211">
        <v>0</v>
      </c>
      <c r="AD346" s="211">
        <v>0</v>
      </c>
      <c r="AE346" s="211">
        <v>21.84</v>
      </c>
      <c r="AF346" s="211">
        <v>-3.05</v>
      </c>
      <c r="AG346" s="204" t="s">
        <v>279</v>
      </c>
      <c r="AH346" s="211">
        <v>0</v>
      </c>
      <c r="AI346" s="211">
        <v>24.55</v>
      </c>
      <c r="AJ346" s="211">
        <v>0</v>
      </c>
      <c r="AK346" s="204" t="str">
        <f t="shared" si="11"/>
        <v>1.00000000</v>
      </c>
      <c r="AL346" s="204">
        <v>19.100000000000001</v>
      </c>
    </row>
    <row r="347" spans="1:38" x14ac:dyDescent="0.2">
      <c r="A347" s="204" t="str">
        <f t="shared" si="12"/>
        <v>0496002595734</v>
      </c>
      <c r="B347" s="204">
        <v>1</v>
      </c>
      <c r="C347" s="204" t="s">
        <v>435</v>
      </c>
      <c r="D347" s="204">
        <v>81</v>
      </c>
      <c r="E347" s="204">
        <v>81</v>
      </c>
      <c r="F347" s="204" t="s">
        <v>243</v>
      </c>
      <c r="G347" s="204">
        <v>2086</v>
      </c>
      <c r="H347" s="204" t="s">
        <v>270</v>
      </c>
      <c r="I347" s="204">
        <v>41665</v>
      </c>
      <c r="J347" s="209">
        <v>42384</v>
      </c>
      <c r="K347" s="210">
        <v>0.67847222222222225</v>
      </c>
      <c r="L347" s="209">
        <v>42388</v>
      </c>
      <c r="M347" s="204" t="s">
        <v>853</v>
      </c>
      <c r="N347" s="204" t="s">
        <v>272</v>
      </c>
      <c r="O347" s="204" t="s">
        <v>273</v>
      </c>
      <c r="P347" s="204" t="s">
        <v>274</v>
      </c>
      <c r="Q347" s="204" t="s">
        <v>275</v>
      </c>
      <c r="R347" s="204" t="s">
        <v>276</v>
      </c>
      <c r="S347" s="204" t="s">
        <v>436</v>
      </c>
      <c r="T347" s="204" t="s">
        <v>435</v>
      </c>
      <c r="U347" s="204">
        <v>2086</v>
      </c>
      <c r="V347" s="204" t="s">
        <v>435</v>
      </c>
      <c r="W347" s="204" t="s">
        <v>280</v>
      </c>
      <c r="X347" s="204">
        <v>7.4960000000000004</v>
      </c>
      <c r="Y347" s="211">
        <v>-0.22</v>
      </c>
      <c r="Z347" s="211">
        <v>1.89</v>
      </c>
      <c r="AA347" s="211">
        <v>14.16</v>
      </c>
      <c r="AB347" s="211">
        <v>-1.37</v>
      </c>
      <c r="AC347" s="211">
        <v>0</v>
      </c>
      <c r="AD347" s="211">
        <v>0</v>
      </c>
      <c r="AE347" s="211">
        <v>12.57</v>
      </c>
      <c r="AF347" s="211">
        <v>-1.8</v>
      </c>
      <c r="AG347" s="204" t="s">
        <v>279</v>
      </c>
      <c r="AH347" s="211">
        <v>0</v>
      </c>
      <c r="AI347" s="211">
        <v>14.16</v>
      </c>
      <c r="AJ347" s="211">
        <v>0</v>
      </c>
      <c r="AK347" s="204" t="str">
        <f t="shared" si="11"/>
        <v>1.00000000</v>
      </c>
      <c r="AL347" s="204">
        <v>19.5</v>
      </c>
    </row>
    <row r="348" spans="1:38" x14ac:dyDescent="0.2">
      <c r="A348" s="204" t="str">
        <f t="shared" si="12"/>
        <v>0496002595734</v>
      </c>
      <c r="B348" s="204">
        <v>1</v>
      </c>
      <c r="C348" s="204" t="s">
        <v>435</v>
      </c>
      <c r="D348" s="204">
        <v>81</v>
      </c>
      <c r="E348" s="204">
        <v>81</v>
      </c>
      <c r="F348" s="204" t="s">
        <v>243</v>
      </c>
      <c r="G348" s="204">
        <v>2086</v>
      </c>
      <c r="H348" s="204" t="s">
        <v>270</v>
      </c>
      <c r="I348" s="204">
        <v>41854</v>
      </c>
      <c r="J348" s="209">
        <v>42385</v>
      </c>
      <c r="K348" s="210">
        <v>0.39305555555555555</v>
      </c>
      <c r="L348" s="209">
        <v>42388</v>
      </c>
      <c r="M348" s="204" t="s">
        <v>853</v>
      </c>
      <c r="N348" s="204" t="s">
        <v>272</v>
      </c>
      <c r="O348" s="204" t="s">
        <v>273</v>
      </c>
      <c r="P348" s="204" t="s">
        <v>274</v>
      </c>
      <c r="Q348" s="204" t="s">
        <v>275</v>
      </c>
      <c r="R348" s="204" t="s">
        <v>276</v>
      </c>
      <c r="S348" s="204" t="s">
        <v>436</v>
      </c>
      <c r="T348" s="204" t="s">
        <v>435</v>
      </c>
      <c r="U348" s="204">
        <v>2086</v>
      </c>
      <c r="V348" s="204" t="s">
        <v>435</v>
      </c>
      <c r="W348" s="204" t="s">
        <v>280</v>
      </c>
      <c r="X348" s="204">
        <v>10.682</v>
      </c>
      <c r="Y348" s="211">
        <v>-0.32</v>
      </c>
      <c r="Z348" s="211">
        <v>1.89</v>
      </c>
      <c r="AA348" s="211">
        <v>20.18</v>
      </c>
      <c r="AB348" s="211">
        <v>-1.95</v>
      </c>
      <c r="AC348" s="211">
        <v>0</v>
      </c>
      <c r="AD348" s="211">
        <v>0</v>
      </c>
      <c r="AE348" s="211">
        <v>17.91</v>
      </c>
      <c r="AF348" s="211">
        <v>-2.56</v>
      </c>
      <c r="AG348" s="204" t="s">
        <v>279</v>
      </c>
      <c r="AH348" s="211">
        <v>0</v>
      </c>
      <c r="AI348" s="211">
        <v>20.18</v>
      </c>
      <c r="AJ348" s="211">
        <v>0</v>
      </c>
      <c r="AK348" s="204" t="str">
        <f t="shared" si="11"/>
        <v>1.00000000</v>
      </c>
      <c r="AL348" s="204">
        <v>17.7</v>
      </c>
    </row>
    <row r="349" spans="1:38" x14ac:dyDescent="0.2">
      <c r="A349" s="204" t="str">
        <f t="shared" si="12"/>
        <v>0496002595734</v>
      </c>
      <c r="B349" s="204">
        <v>1</v>
      </c>
      <c r="C349" s="204" t="s">
        <v>435</v>
      </c>
      <c r="D349" s="204">
        <v>81</v>
      </c>
      <c r="E349" s="204">
        <v>81</v>
      </c>
      <c r="F349" s="204" t="s">
        <v>243</v>
      </c>
      <c r="G349" s="204">
        <v>2086</v>
      </c>
      <c r="H349" s="204" t="s">
        <v>270</v>
      </c>
      <c r="I349" s="204">
        <v>42155</v>
      </c>
      <c r="J349" s="209">
        <v>42386</v>
      </c>
      <c r="K349" s="210">
        <v>0.51041666666666663</v>
      </c>
      <c r="L349" s="209">
        <v>42388</v>
      </c>
      <c r="M349" s="204" t="s">
        <v>853</v>
      </c>
      <c r="N349" s="204" t="s">
        <v>272</v>
      </c>
      <c r="O349" s="204" t="s">
        <v>273</v>
      </c>
      <c r="P349" s="204" t="s">
        <v>274</v>
      </c>
      <c r="Q349" s="204" t="s">
        <v>275</v>
      </c>
      <c r="R349" s="204" t="s">
        <v>276</v>
      </c>
      <c r="S349" s="204" t="s">
        <v>436</v>
      </c>
      <c r="T349" s="204" t="s">
        <v>435</v>
      </c>
      <c r="U349" s="204">
        <v>2086</v>
      </c>
      <c r="V349" s="204" t="s">
        <v>435</v>
      </c>
      <c r="W349" s="204" t="s">
        <v>280</v>
      </c>
      <c r="X349" s="204">
        <v>15.023</v>
      </c>
      <c r="Y349" s="211">
        <v>-0.45</v>
      </c>
      <c r="Z349" s="211">
        <v>1.89</v>
      </c>
      <c r="AA349" s="211">
        <v>28.38</v>
      </c>
      <c r="AB349" s="211">
        <v>-2.75</v>
      </c>
      <c r="AC349" s="211">
        <v>0</v>
      </c>
      <c r="AD349" s="211">
        <v>0</v>
      </c>
      <c r="AE349" s="211">
        <v>25.18</v>
      </c>
      <c r="AF349" s="211">
        <v>-3.61</v>
      </c>
      <c r="AG349" s="204" t="s">
        <v>279</v>
      </c>
      <c r="AH349" s="211">
        <v>0</v>
      </c>
      <c r="AI349" s="211">
        <v>28.38</v>
      </c>
      <c r="AJ349" s="211">
        <v>0</v>
      </c>
      <c r="AK349" s="204" t="str">
        <f t="shared" si="11"/>
        <v>1.00000000</v>
      </c>
      <c r="AL349" s="204">
        <v>20</v>
      </c>
    </row>
    <row r="350" spans="1:38" x14ac:dyDescent="0.2">
      <c r="A350" s="204" t="str">
        <f t="shared" si="12"/>
        <v>0496002595734</v>
      </c>
      <c r="B350" s="204">
        <v>1</v>
      </c>
      <c r="C350" s="204" t="s">
        <v>435</v>
      </c>
      <c r="D350" s="204">
        <v>81</v>
      </c>
      <c r="E350" s="204">
        <v>81</v>
      </c>
      <c r="F350" s="204" t="s">
        <v>243</v>
      </c>
      <c r="G350" s="204">
        <v>2086</v>
      </c>
      <c r="H350" s="204" t="s">
        <v>270</v>
      </c>
      <c r="I350" s="204">
        <v>9</v>
      </c>
      <c r="J350" s="209">
        <v>42388</v>
      </c>
      <c r="K350" s="210">
        <v>0.35138888888888892</v>
      </c>
      <c r="L350" s="209">
        <v>42390</v>
      </c>
      <c r="M350" s="204" t="s">
        <v>853</v>
      </c>
      <c r="N350" s="204" t="s">
        <v>272</v>
      </c>
      <c r="O350" s="204" t="s">
        <v>273</v>
      </c>
      <c r="P350" s="204" t="s">
        <v>274</v>
      </c>
      <c r="Q350" s="204" t="s">
        <v>275</v>
      </c>
      <c r="R350" s="204" t="s">
        <v>276</v>
      </c>
      <c r="S350" s="204" t="s">
        <v>436</v>
      </c>
      <c r="T350" s="204" t="s">
        <v>435</v>
      </c>
      <c r="U350" s="204">
        <v>2086</v>
      </c>
      <c r="V350" s="204" t="s">
        <v>435</v>
      </c>
      <c r="W350" s="204" t="s">
        <v>280</v>
      </c>
      <c r="X350" s="204">
        <v>10.132</v>
      </c>
      <c r="Y350" s="211">
        <v>-0.3</v>
      </c>
      <c r="Z350" s="211">
        <v>1.89</v>
      </c>
      <c r="AA350" s="211">
        <v>19.14</v>
      </c>
      <c r="AB350" s="211">
        <v>-1.85</v>
      </c>
      <c r="AC350" s="211">
        <v>0</v>
      </c>
      <c r="AD350" s="211">
        <v>0</v>
      </c>
      <c r="AE350" s="211">
        <v>16.989999999999998</v>
      </c>
      <c r="AF350" s="211">
        <v>-2.4300000000000002</v>
      </c>
      <c r="AG350" s="204" t="s">
        <v>279</v>
      </c>
      <c r="AH350" s="211">
        <v>0</v>
      </c>
      <c r="AI350" s="211">
        <v>19.14</v>
      </c>
      <c r="AJ350" s="211">
        <v>0</v>
      </c>
      <c r="AK350" s="204" t="str">
        <f t="shared" si="11"/>
        <v>1.00000000</v>
      </c>
      <c r="AL350" s="204">
        <v>17.600000000000001</v>
      </c>
    </row>
    <row r="351" spans="1:38" x14ac:dyDescent="0.2">
      <c r="A351" s="204" t="str">
        <f t="shared" si="12"/>
        <v>0496002595734</v>
      </c>
      <c r="B351" s="204">
        <v>1</v>
      </c>
      <c r="C351" s="204" t="s">
        <v>435</v>
      </c>
      <c r="D351" s="204">
        <v>81</v>
      </c>
      <c r="E351" s="204">
        <v>81</v>
      </c>
      <c r="F351" s="204" t="s">
        <v>243</v>
      </c>
      <c r="G351" s="204">
        <v>2086</v>
      </c>
      <c r="H351" s="204" t="s">
        <v>270</v>
      </c>
      <c r="I351" s="204">
        <v>42620</v>
      </c>
      <c r="J351" s="209">
        <v>42388</v>
      </c>
      <c r="K351" s="210">
        <v>0.85138888888888886</v>
      </c>
      <c r="L351" s="209">
        <v>42390</v>
      </c>
      <c r="M351" s="204" t="s">
        <v>853</v>
      </c>
      <c r="N351" s="204" t="s">
        <v>272</v>
      </c>
      <c r="O351" s="204" t="s">
        <v>273</v>
      </c>
      <c r="P351" s="204" t="s">
        <v>274</v>
      </c>
      <c r="Q351" s="204" t="s">
        <v>275</v>
      </c>
      <c r="R351" s="204" t="s">
        <v>276</v>
      </c>
      <c r="S351" s="204" t="s">
        <v>436</v>
      </c>
      <c r="T351" s="204" t="s">
        <v>435</v>
      </c>
      <c r="U351" s="204">
        <v>2086</v>
      </c>
      <c r="V351" s="204" t="s">
        <v>435</v>
      </c>
      <c r="W351" s="204" t="s">
        <v>335</v>
      </c>
      <c r="X351" s="204">
        <v>12.557</v>
      </c>
      <c r="Y351" s="211">
        <v>-0.38</v>
      </c>
      <c r="Z351" s="211">
        <v>2.12</v>
      </c>
      <c r="AA351" s="211">
        <v>26.61</v>
      </c>
      <c r="AB351" s="211">
        <v>-2.2999999999999998</v>
      </c>
      <c r="AC351" s="211">
        <v>0</v>
      </c>
      <c r="AD351" s="211">
        <v>0</v>
      </c>
      <c r="AE351" s="211">
        <v>23.93</v>
      </c>
      <c r="AF351" s="211">
        <v>-3.01</v>
      </c>
      <c r="AG351" s="204" t="s">
        <v>279</v>
      </c>
      <c r="AH351" s="211">
        <v>0</v>
      </c>
      <c r="AI351" s="211">
        <v>26.61</v>
      </c>
      <c r="AJ351" s="211">
        <v>0</v>
      </c>
      <c r="AK351" s="204" t="str">
        <f t="shared" si="11"/>
        <v>1.00000000</v>
      </c>
      <c r="AL351" s="204">
        <v>17.600000000000001</v>
      </c>
    </row>
    <row r="352" spans="1:38" x14ac:dyDescent="0.2">
      <c r="A352" s="204" t="str">
        <f t="shared" si="12"/>
        <v>0496002595734</v>
      </c>
      <c r="B352" s="204">
        <v>1</v>
      </c>
      <c r="C352" s="204" t="s">
        <v>435</v>
      </c>
      <c r="D352" s="204">
        <v>81</v>
      </c>
      <c r="E352" s="204">
        <v>81</v>
      </c>
      <c r="F352" s="204" t="s">
        <v>243</v>
      </c>
      <c r="G352" s="204">
        <v>2086</v>
      </c>
      <c r="H352" s="204" t="s">
        <v>270</v>
      </c>
      <c r="I352" s="204">
        <v>24785</v>
      </c>
      <c r="J352" s="209">
        <v>42390</v>
      </c>
      <c r="K352" s="210">
        <v>0.67222222222222217</v>
      </c>
      <c r="L352" s="209">
        <v>42394</v>
      </c>
      <c r="M352" s="204" t="s">
        <v>853</v>
      </c>
      <c r="N352" s="204" t="s">
        <v>272</v>
      </c>
      <c r="O352" s="204" t="s">
        <v>273</v>
      </c>
      <c r="P352" s="204" t="s">
        <v>274</v>
      </c>
      <c r="Q352" s="204" t="s">
        <v>275</v>
      </c>
      <c r="R352" s="204" t="s">
        <v>276</v>
      </c>
      <c r="S352" s="204" t="s">
        <v>436</v>
      </c>
      <c r="T352" s="204" t="s">
        <v>435</v>
      </c>
      <c r="U352" s="204">
        <v>2086</v>
      </c>
      <c r="V352" s="204" t="s">
        <v>435</v>
      </c>
      <c r="W352" s="204" t="s">
        <v>280</v>
      </c>
      <c r="X352" s="204">
        <v>9.3640000000000008</v>
      </c>
      <c r="Y352" s="211">
        <v>-0.28000000000000003</v>
      </c>
      <c r="Z352" s="211">
        <v>1.89</v>
      </c>
      <c r="AA352" s="211">
        <v>17.690000000000001</v>
      </c>
      <c r="AB352" s="211">
        <v>-1.71</v>
      </c>
      <c r="AC352" s="211">
        <v>0</v>
      </c>
      <c r="AD352" s="211">
        <v>0</v>
      </c>
      <c r="AE352" s="211">
        <v>15.7</v>
      </c>
      <c r="AF352" s="211">
        <v>-2.25</v>
      </c>
      <c r="AG352" s="204" t="s">
        <v>279</v>
      </c>
      <c r="AH352" s="211">
        <v>0</v>
      </c>
      <c r="AI352" s="211">
        <v>17.690000000000001</v>
      </c>
      <c r="AJ352" s="211">
        <v>0</v>
      </c>
      <c r="AK352" s="204" t="str">
        <f t="shared" si="11"/>
        <v>1.00000000</v>
      </c>
      <c r="AL352" s="204">
        <v>17.600000000000001</v>
      </c>
    </row>
    <row r="353" spans="1:38" x14ac:dyDescent="0.2">
      <c r="A353" s="204" t="str">
        <f t="shared" si="12"/>
        <v>0496002595734</v>
      </c>
      <c r="B353" s="204">
        <v>1</v>
      </c>
      <c r="C353" s="204" t="s">
        <v>435</v>
      </c>
      <c r="D353" s="204">
        <v>81</v>
      </c>
      <c r="E353" s="204">
        <v>81</v>
      </c>
      <c r="F353" s="204" t="s">
        <v>243</v>
      </c>
      <c r="G353" s="204">
        <v>2086</v>
      </c>
      <c r="H353" s="204" t="s">
        <v>270</v>
      </c>
      <c r="I353" s="204">
        <v>43047</v>
      </c>
      <c r="J353" s="209">
        <v>42393</v>
      </c>
      <c r="K353" s="210">
        <v>0.40850694444444446</v>
      </c>
      <c r="L353" s="209">
        <v>42395</v>
      </c>
      <c r="M353" s="204" t="s">
        <v>319</v>
      </c>
      <c r="N353" s="204" t="s">
        <v>1000</v>
      </c>
      <c r="O353" s="204" t="s">
        <v>1001</v>
      </c>
      <c r="P353" s="204" t="s">
        <v>1002</v>
      </c>
      <c r="Q353" s="204" t="s">
        <v>466</v>
      </c>
      <c r="R353" s="204" t="s">
        <v>1003</v>
      </c>
      <c r="S353" s="204" t="s">
        <v>436</v>
      </c>
      <c r="T353" s="204" t="s">
        <v>435</v>
      </c>
      <c r="U353" s="204">
        <v>2086</v>
      </c>
      <c r="V353" s="204" t="s">
        <v>435</v>
      </c>
      <c r="W353" s="204" t="s">
        <v>280</v>
      </c>
      <c r="X353" s="204">
        <v>13.603</v>
      </c>
      <c r="Y353" s="211">
        <v>0</v>
      </c>
      <c r="Z353" s="211">
        <v>1.88</v>
      </c>
      <c r="AA353" s="211">
        <v>25.56</v>
      </c>
      <c r="AB353" s="211">
        <v>-2.4900000000000002</v>
      </c>
      <c r="AC353" s="211">
        <v>0</v>
      </c>
      <c r="AD353" s="211">
        <v>0</v>
      </c>
      <c r="AE353" s="211">
        <v>23.07</v>
      </c>
      <c r="AF353" s="211">
        <v>-3.02</v>
      </c>
      <c r="AG353" s="204" t="s">
        <v>279</v>
      </c>
      <c r="AH353" s="211">
        <v>0</v>
      </c>
      <c r="AI353" s="211">
        <v>25.56</v>
      </c>
      <c r="AJ353" s="211">
        <v>0</v>
      </c>
      <c r="AK353" s="204" t="str">
        <f t="shared" si="11"/>
        <v>1.00000000</v>
      </c>
      <c r="AL353" s="204">
        <v>17.600000000000001</v>
      </c>
    </row>
    <row r="354" spans="1:38" x14ac:dyDescent="0.2">
      <c r="A354" s="204" t="str">
        <f t="shared" si="12"/>
        <v>0496002595734</v>
      </c>
      <c r="B354" s="204">
        <v>1</v>
      </c>
      <c r="C354" s="204" t="s">
        <v>435</v>
      </c>
      <c r="D354" s="204">
        <v>81</v>
      </c>
      <c r="E354" s="204">
        <v>81</v>
      </c>
      <c r="F354" s="204" t="s">
        <v>243</v>
      </c>
      <c r="G354" s="204">
        <v>2086</v>
      </c>
      <c r="H354" s="204" t="s">
        <v>270</v>
      </c>
      <c r="I354" s="204">
        <v>43294</v>
      </c>
      <c r="J354" s="209">
        <v>42393</v>
      </c>
      <c r="K354" s="210">
        <v>0.91388888888888886</v>
      </c>
      <c r="L354" s="209">
        <v>42395</v>
      </c>
      <c r="M354" s="204" t="s">
        <v>853</v>
      </c>
      <c r="N354" s="204" t="s">
        <v>272</v>
      </c>
      <c r="O354" s="204" t="s">
        <v>273</v>
      </c>
      <c r="P354" s="204" t="s">
        <v>274</v>
      </c>
      <c r="Q354" s="204" t="s">
        <v>275</v>
      </c>
      <c r="R354" s="204" t="s">
        <v>276</v>
      </c>
      <c r="S354" s="204" t="s">
        <v>436</v>
      </c>
      <c r="T354" s="204" t="s">
        <v>435</v>
      </c>
      <c r="U354" s="204">
        <v>2086</v>
      </c>
      <c r="V354" s="204" t="s">
        <v>435</v>
      </c>
      <c r="W354" s="204" t="s">
        <v>280</v>
      </c>
      <c r="X354" s="204">
        <v>12.038</v>
      </c>
      <c r="Y354" s="211">
        <v>-0.36</v>
      </c>
      <c r="Z354" s="211">
        <v>1.89</v>
      </c>
      <c r="AA354" s="211">
        <v>22.74</v>
      </c>
      <c r="AB354" s="211">
        <v>-2.2000000000000002</v>
      </c>
      <c r="AC354" s="211">
        <v>0</v>
      </c>
      <c r="AD354" s="211">
        <v>0</v>
      </c>
      <c r="AE354" s="211">
        <v>20.18</v>
      </c>
      <c r="AF354" s="211">
        <v>-2.89</v>
      </c>
      <c r="AG354" s="204" t="s">
        <v>279</v>
      </c>
      <c r="AH354" s="211">
        <v>0</v>
      </c>
      <c r="AI354" s="211">
        <v>22.74</v>
      </c>
      <c r="AJ354" s="211">
        <v>0</v>
      </c>
      <c r="AK354" s="204" t="str">
        <f t="shared" si="11"/>
        <v>1.00000000</v>
      </c>
      <c r="AL354" s="204">
        <v>20.5</v>
      </c>
    </row>
    <row r="355" spans="1:38" x14ac:dyDescent="0.2">
      <c r="A355" s="204" t="str">
        <f t="shared" si="12"/>
        <v>0496002595734</v>
      </c>
      <c r="B355" s="204">
        <v>1</v>
      </c>
      <c r="C355" s="204" t="s">
        <v>435</v>
      </c>
      <c r="D355" s="204">
        <v>81</v>
      </c>
      <c r="E355" s="204">
        <v>81</v>
      </c>
      <c r="F355" s="204" t="s">
        <v>243</v>
      </c>
      <c r="G355" s="204">
        <v>2086</v>
      </c>
      <c r="H355" s="204" t="s">
        <v>270</v>
      </c>
      <c r="I355" s="204">
        <v>43409</v>
      </c>
      <c r="J355" s="209">
        <v>42397</v>
      </c>
      <c r="K355" s="210">
        <v>0.81597222222222221</v>
      </c>
      <c r="L355" s="209">
        <v>42401</v>
      </c>
      <c r="M355" s="204" t="s">
        <v>853</v>
      </c>
      <c r="N355" s="204" t="s">
        <v>272</v>
      </c>
      <c r="O355" s="204" t="s">
        <v>273</v>
      </c>
      <c r="P355" s="204" t="s">
        <v>274</v>
      </c>
      <c r="Q355" s="204" t="s">
        <v>275</v>
      </c>
      <c r="R355" s="204" t="s">
        <v>276</v>
      </c>
      <c r="S355" s="204" t="s">
        <v>436</v>
      </c>
      <c r="T355" s="204" t="s">
        <v>435</v>
      </c>
      <c r="U355" s="204">
        <v>2086</v>
      </c>
      <c r="V355" s="204" t="s">
        <v>435</v>
      </c>
      <c r="W355" s="204" t="s">
        <v>280</v>
      </c>
      <c r="X355" s="204">
        <v>7.6440000000000001</v>
      </c>
      <c r="Y355" s="211">
        <v>-0.23</v>
      </c>
      <c r="Z355" s="211">
        <v>1.89</v>
      </c>
      <c r="AA355" s="211">
        <v>14.44</v>
      </c>
      <c r="AB355" s="211">
        <v>-1.4</v>
      </c>
      <c r="AC355" s="211">
        <v>0</v>
      </c>
      <c r="AD355" s="211">
        <v>0</v>
      </c>
      <c r="AE355" s="211">
        <v>12.81</v>
      </c>
      <c r="AF355" s="211">
        <v>-1.83</v>
      </c>
      <c r="AG355" s="204" t="s">
        <v>279</v>
      </c>
      <c r="AH355" s="211">
        <v>0</v>
      </c>
      <c r="AI355" s="211">
        <v>14.44</v>
      </c>
      <c r="AJ355" s="211">
        <v>0</v>
      </c>
      <c r="AK355" s="204" t="str">
        <f t="shared" si="11"/>
        <v>1.00000000</v>
      </c>
      <c r="AL355" s="204">
        <v>20.5</v>
      </c>
    </row>
    <row r="356" spans="1:38" x14ac:dyDescent="0.2">
      <c r="A356" s="204" t="str">
        <f t="shared" si="12"/>
        <v>0496002595734</v>
      </c>
      <c r="B356" s="204">
        <v>1</v>
      </c>
      <c r="C356" s="204" t="s">
        <v>435</v>
      </c>
      <c r="D356" s="204">
        <v>81</v>
      </c>
      <c r="E356" s="204">
        <v>81</v>
      </c>
      <c r="F356" s="204" t="s">
        <v>243</v>
      </c>
      <c r="G356" s="204">
        <v>2086</v>
      </c>
      <c r="H356" s="204" t="s">
        <v>270</v>
      </c>
      <c r="I356" s="204">
        <v>43530</v>
      </c>
      <c r="J356" s="209">
        <v>42413</v>
      </c>
      <c r="K356" s="210">
        <v>0.4284722222222222</v>
      </c>
      <c r="L356" s="209">
        <v>42416</v>
      </c>
      <c r="M356" s="204" t="s">
        <v>853</v>
      </c>
      <c r="N356" s="204" t="s">
        <v>272</v>
      </c>
      <c r="O356" s="204" t="s">
        <v>273</v>
      </c>
      <c r="P356" s="204" t="s">
        <v>274</v>
      </c>
      <c r="Q356" s="204" t="s">
        <v>275</v>
      </c>
      <c r="R356" s="204" t="s">
        <v>276</v>
      </c>
      <c r="S356" s="204" t="s">
        <v>436</v>
      </c>
      <c r="T356" s="204" t="s">
        <v>435</v>
      </c>
      <c r="U356" s="204">
        <v>2086</v>
      </c>
      <c r="V356" s="204" t="s">
        <v>435</v>
      </c>
      <c r="W356" s="204" t="s">
        <v>280</v>
      </c>
      <c r="X356" s="204">
        <v>9.4710000000000001</v>
      </c>
      <c r="Y356" s="211">
        <v>-0.28000000000000003</v>
      </c>
      <c r="Z356" s="211">
        <v>1.78</v>
      </c>
      <c r="AA356" s="211">
        <v>16.850000000000001</v>
      </c>
      <c r="AB356" s="211">
        <v>-1.73</v>
      </c>
      <c r="AC356" s="211">
        <v>0</v>
      </c>
      <c r="AD356" s="211">
        <v>0</v>
      </c>
      <c r="AE356" s="211">
        <v>14.84</v>
      </c>
      <c r="AF356" s="211">
        <v>-2.27</v>
      </c>
      <c r="AG356" s="204" t="s">
        <v>279</v>
      </c>
      <c r="AH356" s="211">
        <v>0</v>
      </c>
      <c r="AI356" s="211">
        <v>16.850000000000001</v>
      </c>
      <c r="AJ356" s="211">
        <v>0</v>
      </c>
      <c r="AK356" s="204" t="str">
        <f t="shared" si="11"/>
        <v>1.00000000</v>
      </c>
      <c r="AL356" s="204">
        <v>12.8</v>
      </c>
    </row>
    <row r="357" spans="1:38" x14ac:dyDescent="0.2">
      <c r="A357" s="204" t="str">
        <f t="shared" si="12"/>
        <v>0496002595734</v>
      </c>
      <c r="B357" s="204">
        <v>1</v>
      </c>
      <c r="C357" s="204" t="s">
        <v>435</v>
      </c>
      <c r="D357" s="204">
        <v>81</v>
      </c>
      <c r="E357" s="204">
        <v>81</v>
      </c>
      <c r="F357" s="204" t="s">
        <v>243</v>
      </c>
      <c r="G357" s="204">
        <v>2086</v>
      </c>
      <c r="H357" s="204" t="s">
        <v>270</v>
      </c>
      <c r="I357" s="204">
        <v>43722</v>
      </c>
      <c r="J357" s="209">
        <v>42415</v>
      </c>
      <c r="K357" s="210">
        <v>0.78680555555555554</v>
      </c>
      <c r="L357" s="209">
        <v>42417</v>
      </c>
      <c r="M357" s="204" t="s">
        <v>853</v>
      </c>
      <c r="N357" s="204" t="s">
        <v>352</v>
      </c>
      <c r="O357" s="204" t="s">
        <v>353</v>
      </c>
      <c r="P357" s="204" t="s">
        <v>343</v>
      </c>
      <c r="Q357" s="204" t="s">
        <v>275</v>
      </c>
      <c r="R357" s="204" t="s">
        <v>602</v>
      </c>
      <c r="S357" s="204" t="s">
        <v>436</v>
      </c>
      <c r="T357" s="204" t="s">
        <v>435</v>
      </c>
      <c r="U357" s="204">
        <v>2086</v>
      </c>
      <c r="V357" s="204" t="s">
        <v>435</v>
      </c>
      <c r="W357" s="204" t="s">
        <v>280</v>
      </c>
      <c r="X357" s="204">
        <v>12.324999999999999</v>
      </c>
      <c r="Y357" s="211">
        <v>-0.37</v>
      </c>
      <c r="Z357" s="211">
        <v>1.73</v>
      </c>
      <c r="AA357" s="211">
        <v>21.31</v>
      </c>
      <c r="AB357" s="211">
        <v>-2.2599999999999998</v>
      </c>
      <c r="AC357" s="211">
        <v>0</v>
      </c>
      <c r="AD357" s="211">
        <v>0</v>
      </c>
      <c r="AE357" s="211">
        <v>18.68</v>
      </c>
      <c r="AF357" s="211">
        <v>-2.96</v>
      </c>
      <c r="AG357" s="204" t="s">
        <v>279</v>
      </c>
      <c r="AH357" s="211">
        <v>0</v>
      </c>
      <c r="AI357" s="211">
        <v>21.31</v>
      </c>
      <c r="AJ357" s="211">
        <v>0</v>
      </c>
      <c r="AK357" s="204" t="str">
        <f t="shared" si="11"/>
        <v>1.00000000</v>
      </c>
      <c r="AL357" s="204">
        <v>15.6</v>
      </c>
    </row>
    <row r="358" spans="1:38" x14ac:dyDescent="0.2">
      <c r="A358" s="204" t="str">
        <f t="shared" si="12"/>
        <v>0496002595734</v>
      </c>
      <c r="B358" s="204">
        <v>1</v>
      </c>
      <c r="C358" s="204" t="s">
        <v>435</v>
      </c>
      <c r="D358" s="204">
        <v>81</v>
      </c>
      <c r="E358" s="204">
        <v>81</v>
      </c>
      <c r="F358" s="204" t="s">
        <v>243</v>
      </c>
      <c r="G358" s="204">
        <v>2086</v>
      </c>
      <c r="H358" s="204" t="s">
        <v>270</v>
      </c>
      <c r="I358" s="204">
        <v>43970</v>
      </c>
      <c r="J358" s="209">
        <v>42416</v>
      </c>
      <c r="K358" s="210">
        <v>0.48055555555555557</v>
      </c>
      <c r="L358" s="209">
        <v>42418</v>
      </c>
      <c r="M358" s="204" t="s">
        <v>889</v>
      </c>
      <c r="N358" s="204" t="s">
        <v>1004</v>
      </c>
      <c r="O358" s="204" t="s">
        <v>1005</v>
      </c>
      <c r="P358" s="204" t="s">
        <v>1006</v>
      </c>
      <c r="Q358" s="204" t="s">
        <v>309</v>
      </c>
      <c r="R358" s="204">
        <v>6878</v>
      </c>
      <c r="S358" s="204" t="s">
        <v>436</v>
      </c>
      <c r="T358" s="204" t="s">
        <v>435</v>
      </c>
      <c r="U358" s="204">
        <v>2086</v>
      </c>
      <c r="V358" s="204" t="s">
        <v>435</v>
      </c>
      <c r="W358" s="204" t="s">
        <v>280</v>
      </c>
      <c r="X358" s="204">
        <v>11.977</v>
      </c>
      <c r="Y358" s="211">
        <v>0</v>
      </c>
      <c r="Z358" s="211">
        <v>2.13</v>
      </c>
      <c r="AA358" s="211">
        <v>25.5</v>
      </c>
      <c r="AB358" s="211">
        <v>-2.19</v>
      </c>
      <c r="AC358" s="211">
        <v>0</v>
      </c>
      <c r="AD358" s="211">
        <v>0</v>
      </c>
      <c r="AE358" s="211">
        <v>23.31</v>
      </c>
      <c r="AF358" s="211">
        <v>-2.99</v>
      </c>
      <c r="AG358" s="204" t="s">
        <v>279</v>
      </c>
      <c r="AH358" s="211">
        <v>0</v>
      </c>
      <c r="AI358" s="211">
        <v>25.5</v>
      </c>
      <c r="AJ358" s="211">
        <v>0</v>
      </c>
      <c r="AK358" s="204" t="str">
        <f t="shared" si="11"/>
        <v>1.00000000</v>
      </c>
      <c r="AL358" s="204">
        <v>15</v>
      </c>
    </row>
    <row r="359" spans="1:38" x14ac:dyDescent="0.2">
      <c r="A359" s="204" t="str">
        <f t="shared" si="12"/>
        <v>0496002595734</v>
      </c>
      <c r="B359" s="204">
        <v>1</v>
      </c>
      <c r="C359" s="204" t="s">
        <v>435</v>
      </c>
      <c r="D359" s="204">
        <v>81</v>
      </c>
      <c r="E359" s="204">
        <v>81</v>
      </c>
      <c r="F359" s="204" t="s">
        <v>243</v>
      </c>
      <c r="G359" s="204">
        <v>2086</v>
      </c>
      <c r="H359" s="204" t="s">
        <v>270</v>
      </c>
      <c r="I359" s="204">
        <v>44155</v>
      </c>
      <c r="J359" s="209">
        <v>42419</v>
      </c>
      <c r="K359" s="210">
        <v>0.7402777777777777</v>
      </c>
      <c r="L359" s="209">
        <v>42423</v>
      </c>
      <c r="M359" s="204" t="s">
        <v>853</v>
      </c>
      <c r="N359" s="204" t="s">
        <v>352</v>
      </c>
      <c r="O359" s="204" t="s">
        <v>353</v>
      </c>
      <c r="P359" s="204" t="s">
        <v>343</v>
      </c>
      <c r="Q359" s="204" t="s">
        <v>275</v>
      </c>
      <c r="R359" s="204" t="s">
        <v>602</v>
      </c>
      <c r="S359" s="204" t="s">
        <v>436</v>
      </c>
      <c r="T359" s="204" t="s">
        <v>435</v>
      </c>
      <c r="U359" s="204">
        <v>2086</v>
      </c>
      <c r="V359" s="204" t="s">
        <v>435</v>
      </c>
      <c r="W359" s="204" t="s">
        <v>280</v>
      </c>
      <c r="X359" s="204">
        <v>8.9060000000000006</v>
      </c>
      <c r="Y359" s="211">
        <v>-0.27</v>
      </c>
      <c r="Z359" s="211">
        <v>1.72</v>
      </c>
      <c r="AA359" s="211">
        <v>15.31</v>
      </c>
      <c r="AB359" s="211">
        <v>-1.63</v>
      </c>
      <c r="AC359" s="211">
        <v>0</v>
      </c>
      <c r="AD359" s="211">
        <v>0</v>
      </c>
      <c r="AE359" s="211">
        <v>13.41</v>
      </c>
      <c r="AF359" s="211">
        <v>-2.14</v>
      </c>
      <c r="AG359" s="204" t="s">
        <v>279</v>
      </c>
      <c r="AH359" s="211">
        <v>0</v>
      </c>
      <c r="AI359" s="211">
        <v>15.31</v>
      </c>
      <c r="AJ359" s="211">
        <v>0</v>
      </c>
      <c r="AK359" s="204" t="str">
        <f t="shared" si="11"/>
        <v>1.00000000</v>
      </c>
      <c r="AL359" s="204">
        <v>20.8</v>
      </c>
    </row>
    <row r="360" spans="1:38" x14ac:dyDescent="0.2">
      <c r="A360" s="204" t="str">
        <f t="shared" si="12"/>
        <v>0496002595734</v>
      </c>
      <c r="B360" s="204">
        <v>1</v>
      </c>
      <c r="C360" s="204" t="s">
        <v>435</v>
      </c>
      <c r="D360" s="204">
        <v>81</v>
      </c>
      <c r="E360" s="204">
        <v>81</v>
      </c>
      <c r="F360" s="204" t="s">
        <v>243</v>
      </c>
      <c r="G360" s="204">
        <v>2086</v>
      </c>
      <c r="H360" s="204" t="s">
        <v>270</v>
      </c>
      <c r="I360" s="204">
        <v>44440</v>
      </c>
      <c r="J360" s="209">
        <v>42420</v>
      </c>
      <c r="K360" s="210">
        <v>0.96944444444444444</v>
      </c>
      <c r="L360" s="209">
        <v>42423</v>
      </c>
      <c r="M360" s="204" t="s">
        <v>853</v>
      </c>
      <c r="N360" s="204" t="s">
        <v>538</v>
      </c>
      <c r="O360" s="204" t="s">
        <v>539</v>
      </c>
      <c r="P360" s="204" t="s">
        <v>540</v>
      </c>
      <c r="Q360" s="204" t="s">
        <v>309</v>
      </c>
      <c r="R360" s="204" t="s">
        <v>1007</v>
      </c>
      <c r="S360" s="204" t="s">
        <v>436</v>
      </c>
      <c r="T360" s="204" t="s">
        <v>435</v>
      </c>
      <c r="U360" s="204">
        <v>2086</v>
      </c>
      <c r="V360" s="204" t="s">
        <v>435</v>
      </c>
      <c r="W360" s="204" t="s">
        <v>280</v>
      </c>
      <c r="X360" s="204">
        <v>14.584</v>
      </c>
      <c r="Y360" s="211">
        <v>-0.28999999999999998</v>
      </c>
      <c r="Z360" s="211">
        <v>1.82</v>
      </c>
      <c r="AA360" s="211">
        <v>26.53</v>
      </c>
      <c r="AB360" s="211">
        <v>-2.67</v>
      </c>
      <c r="AC360" s="211">
        <v>0</v>
      </c>
      <c r="AD360" s="211">
        <v>0</v>
      </c>
      <c r="AE360" s="211">
        <v>23.57</v>
      </c>
      <c r="AF360" s="211">
        <v>-3.65</v>
      </c>
      <c r="AG360" s="204" t="s">
        <v>279</v>
      </c>
      <c r="AH360" s="211">
        <v>0</v>
      </c>
      <c r="AI360" s="211">
        <v>26.53</v>
      </c>
      <c r="AJ360" s="211">
        <v>0</v>
      </c>
      <c r="AK360" s="204" t="str">
        <f t="shared" si="11"/>
        <v>1.00000000</v>
      </c>
      <c r="AL360" s="204">
        <v>19.5</v>
      </c>
    </row>
    <row r="361" spans="1:38" x14ac:dyDescent="0.2">
      <c r="A361" s="204" t="str">
        <f t="shared" si="12"/>
        <v>0496002595734</v>
      </c>
      <c r="B361" s="204">
        <v>1</v>
      </c>
      <c r="C361" s="204" t="s">
        <v>435</v>
      </c>
      <c r="D361" s="204">
        <v>81</v>
      </c>
      <c r="E361" s="204">
        <v>81</v>
      </c>
      <c r="F361" s="204" t="s">
        <v>243</v>
      </c>
      <c r="G361" s="204">
        <v>2086</v>
      </c>
      <c r="H361" s="204" t="s">
        <v>270</v>
      </c>
      <c r="I361" s="204">
        <v>2086</v>
      </c>
      <c r="J361" s="209">
        <v>42425</v>
      </c>
      <c r="K361" s="210">
        <v>0.74557870370370372</v>
      </c>
      <c r="L361" s="209">
        <v>42429</v>
      </c>
      <c r="M361" s="204" t="s">
        <v>310</v>
      </c>
      <c r="N361" s="204" t="s">
        <v>331</v>
      </c>
      <c r="O361" s="204" t="s">
        <v>332</v>
      </c>
      <c r="P361" s="204" t="s">
        <v>274</v>
      </c>
      <c r="Q361" s="204" t="s">
        <v>275</v>
      </c>
      <c r="R361" s="204" t="s">
        <v>858</v>
      </c>
      <c r="S361" s="204" t="s">
        <v>436</v>
      </c>
      <c r="T361" s="204" t="s">
        <v>435</v>
      </c>
      <c r="U361" s="204">
        <v>2086</v>
      </c>
      <c r="V361" s="204" t="s">
        <v>435</v>
      </c>
      <c r="W361" s="204" t="s">
        <v>280</v>
      </c>
      <c r="X361" s="204">
        <v>17.788</v>
      </c>
      <c r="Y361" s="211">
        <v>0</v>
      </c>
      <c r="Z361" s="211">
        <v>1.8</v>
      </c>
      <c r="AA361" s="211">
        <v>32</v>
      </c>
      <c r="AB361" s="211">
        <v>-3.26</v>
      </c>
      <c r="AC361" s="211">
        <v>0</v>
      </c>
      <c r="AD361" s="211">
        <v>0</v>
      </c>
      <c r="AE361" s="211">
        <v>28.74</v>
      </c>
      <c r="AF361" s="211">
        <v>-4.2699999999999996</v>
      </c>
      <c r="AG361" s="204" t="s">
        <v>279</v>
      </c>
      <c r="AH361" s="211">
        <v>0</v>
      </c>
      <c r="AI361" s="211">
        <v>32</v>
      </c>
      <c r="AJ361" s="211">
        <v>0</v>
      </c>
      <c r="AK361" s="204" t="str">
        <f t="shared" si="11"/>
        <v>1.00000000</v>
      </c>
      <c r="AL361" s="204">
        <v>20.7</v>
      </c>
    </row>
    <row r="362" spans="1:38" x14ac:dyDescent="0.2">
      <c r="A362" s="204" t="str">
        <f t="shared" si="12"/>
        <v>0496002595734</v>
      </c>
      <c r="B362" s="204">
        <v>1</v>
      </c>
      <c r="C362" s="204" t="s">
        <v>435</v>
      </c>
      <c r="D362" s="204">
        <v>81</v>
      </c>
      <c r="E362" s="204">
        <v>81</v>
      </c>
      <c r="F362" s="204" t="s">
        <v>243</v>
      </c>
      <c r="G362" s="204">
        <v>2086</v>
      </c>
      <c r="H362" s="204" t="s">
        <v>270</v>
      </c>
      <c r="I362" s="204">
        <v>45065</v>
      </c>
      <c r="J362" s="209">
        <v>42427</v>
      </c>
      <c r="K362" s="210">
        <v>0.55277777777777781</v>
      </c>
      <c r="L362" s="209">
        <v>42430</v>
      </c>
      <c r="M362" s="204" t="s">
        <v>853</v>
      </c>
      <c r="N362" s="204" t="s">
        <v>1008</v>
      </c>
      <c r="O362" s="204" t="s">
        <v>1009</v>
      </c>
      <c r="P362" s="204" t="s">
        <v>1010</v>
      </c>
      <c r="Q362" s="204" t="s">
        <v>309</v>
      </c>
      <c r="R362" s="204" t="s">
        <v>1011</v>
      </c>
      <c r="S362" s="204" t="s">
        <v>436</v>
      </c>
      <c r="T362" s="204" t="s">
        <v>435</v>
      </c>
      <c r="U362" s="204">
        <v>2086</v>
      </c>
      <c r="V362" s="204" t="s">
        <v>435</v>
      </c>
      <c r="W362" s="204" t="s">
        <v>280</v>
      </c>
      <c r="X362" s="204">
        <v>15.692</v>
      </c>
      <c r="Y362" s="211">
        <v>-0.31</v>
      </c>
      <c r="Z362" s="211">
        <v>1.8</v>
      </c>
      <c r="AA362" s="211">
        <v>28.23</v>
      </c>
      <c r="AB362" s="211">
        <v>-2.87</v>
      </c>
      <c r="AC362" s="211">
        <v>0</v>
      </c>
      <c r="AD362" s="211">
        <v>0</v>
      </c>
      <c r="AE362" s="211">
        <v>25.05</v>
      </c>
      <c r="AF362" s="211">
        <v>-3.92</v>
      </c>
      <c r="AG362" s="204" t="s">
        <v>279</v>
      </c>
      <c r="AH362" s="211">
        <v>0</v>
      </c>
      <c r="AI362" s="211">
        <v>28.23</v>
      </c>
      <c r="AJ362" s="211">
        <v>0</v>
      </c>
      <c r="AK362" s="204" t="str">
        <f t="shared" si="11"/>
        <v>1.00000000</v>
      </c>
      <c r="AL362" s="204">
        <v>16.399999999999999</v>
      </c>
    </row>
    <row r="363" spans="1:38" x14ac:dyDescent="0.2">
      <c r="A363" s="204" t="str">
        <f t="shared" si="12"/>
        <v>0496002595734</v>
      </c>
      <c r="B363" s="204">
        <v>1</v>
      </c>
      <c r="C363" s="204" t="s">
        <v>435</v>
      </c>
      <c r="D363" s="204">
        <v>81</v>
      </c>
      <c r="E363" s="204">
        <v>81</v>
      </c>
      <c r="F363" s="204" t="s">
        <v>243</v>
      </c>
      <c r="G363" s="204">
        <v>2086</v>
      </c>
      <c r="H363" s="204" t="s">
        <v>270</v>
      </c>
      <c r="I363" s="204">
        <v>45284</v>
      </c>
      <c r="J363" s="209">
        <v>42429</v>
      </c>
      <c r="K363" s="210">
        <v>0.37361111111111112</v>
      </c>
      <c r="L363" s="209">
        <v>42431</v>
      </c>
      <c r="M363" s="204" t="s">
        <v>606</v>
      </c>
      <c r="N363" s="204" t="s">
        <v>399</v>
      </c>
      <c r="O363" s="204" t="s">
        <v>400</v>
      </c>
      <c r="P363" s="204" t="s">
        <v>274</v>
      </c>
      <c r="Q363" s="204" t="s">
        <v>275</v>
      </c>
      <c r="R363" s="204" t="s">
        <v>401</v>
      </c>
      <c r="S363" s="204" t="s">
        <v>436</v>
      </c>
      <c r="T363" s="204" t="s">
        <v>435</v>
      </c>
      <c r="U363" s="204">
        <v>2086</v>
      </c>
      <c r="V363" s="204" t="s">
        <v>435</v>
      </c>
      <c r="W363" s="204" t="s">
        <v>280</v>
      </c>
      <c r="X363" s="204">
        <v>7.7539999999999996</v>
      </c>
      <c r="Y363" s="211">
        <v>0</v>
      </c>
      <c r="Z363" s="211">
        <v>1.7</v>
      </c>
      <c r="AA363" s="211">
        <v>13.17</v>
      </c>
      <c r="AB363" s="211">
        <v>-1.42</v>
      </c>
      <c r="AC363" s="211">
        <v>0</v>
      </c>
      <c r="AD363" s="211">
        <v>0</v>
      </c>
      <c r="AE363" s="211">
        <v>11.75</v>
      </c>
      <c r="AF363" s="211">
        <v>-1.86</v>
      </c>
      <c r="AG363" s="204" t="s">
        <v>279</v>
      </c>
      <c r="AH363" s="211">
        <v>0</v>
      </c>
      <c r="AI363" s="211">
        <v>13.17</v>
      </c>
      <c r="AJ363" s="211">
        <v>0</v>
      </c>
      <c r="AK363" s="204" t="str">
        <f t="shared" si="11"/>
        <v>1.00000000</v>
      </c>
      <c r="AL363" s="204">
        <v>20.8</v>
      </c>
    </row>
    <row r="364" spans="1:38" x14ac:dyDescent="0.2">
      <c r="A364" s="204" t="str">
        <f t="shared" si="12"/>
        <v>0496002595734</v>
      </c>
      <c r="B364" s="204">
        <v>1</v>
      </c>
      <c r="C364" s="204" t="s">
        <v>435</v>
      </c>
      <c r="D364" s="204">
        <v>81</v>
      </c>
      <c r="E364" s="204">
        <v>81</v>
      </c>
      <c r="F364" s="204" t="s">
        <v>243</v>
      </c>
      <c r="G364" s="204">
        <v>2086</v>
      </c>
      <c r="H364" s="204" t="s">
        <v>270</v>
      </c>
      <c r="I364" s="204">
        <v>43582</v>
      </c>
      <c r="J364" s="209">
        <v>42431</v>
      </c>
      <c r="K364" s="210">
        <v>0.3286574074074074</v>
      </c>
      <c r="L364" s="209">
        <v>42433</v>
      </c>
      <c r="M364" s="204" t="s">
        <v>310</v>
      </c>
      <c r="N364" s="204" t="s">
        <v>331</v>
      </c>
      <c r="O364" s="204" t="s">
        <v>332</v>
      </c>
      <c r="P364" s="204" t="s">
        <v>274</v>
      </c>
      <c r="Q364" s="204" t="s">
        <v>275</v>
      </c>
      <c r="R364" s="204" t="s">
        <v>858</v>
      </c>
      <c r="S364" s="204" t="s">
        <v>436</v>
      </c>
      <c r="T364" s="204" t="s">
        <v>435</v>
      </c>
      <c r="U364" s="204">
        <v>2086</v>
      </c>
      <c r="V364" s="204" t="s">
        <v>435</v>
      </c>
      <c r="W364" s="204" t="s">
        <v>280</v>
      </c>
      <c r="X364" s="204">
        <v>14.324999999999999</v>
      </c>
      <c r="Y364" s="211">
        <v>0</v>
      </c>
      <c r="Z364" s="211">
        <v>1.8</v>
      </c>
      <c r="AA364" s="211">
        <v>25.77</v>
      </c>
      <c r="AB364" s="211">
        <v>-2.62</v>
      </c>
      <c r="AC364" s="211">
        <v>0</v>
      </c>
      <c r="AD364" s="211">
        <v>0</v>
      </c>
      <c r="AE364" s="211">
        <v>23.15</v>
      </c>
      <c r="AF364" s="211">
        <v>-3.44</v>
      </c>
      <c r="AG364" s="204" t="s">
        <v>279</v>
      </c>
      <c r="AH364" s="211">
        <v>0</v>
      </c>
      <c r="AI364" s="211">
        <v>25.77</v>
      </c>
      <c r="AJ364" s="211">
        <v>0</v>
      </c>
      <c r="AK364" s="204" t="str">
        <f t="shared" si="11"/>
        <v>1.00000000</v>
      </c>
      <c r="AL364" s="204">
        <v>28.3</v>
      </c>
    </row>
    <row r="365" spans="1:38" x14ac:dyDescent="0.2">
      <c r="A365" s="204" t="str">
        <f t="shared" si="12"/>
        <v>0496002595734</v>
      </c>
      <c r="B365" s="204">
        <v>1</v>
      </c>
      <c r="C365" s="204" t="s">
        <v>435</v>
      </c>
      <c r="D365" s="204">
        <v>81</v>
      </c>
      <c r="E365" s="204">
        <v>81</v>
      </c>
      <c r="F365" s="204" t="s">
        <v>243</v>
      </c>
      <c r="G365" s="204">
        <v>2086</v>
      </c>
      <c r="H365" s="204" t="s">
        <v>270</v>
      </c>
      <c r="I365" s="204">
        <v>2418</v>
      </c>
      <c r="J365" s="209">
        <v>42434</v>
      </c>
      <c r="K365" s="210">
        <v>0.64097222222222217</v>
      </c>
      <c r="L365" s="209">
        <v>42437</v>
      </c>
      <c r="M365" s="204" t="s">
        <v>775</v>
      </c>
      <c r="N365" s="204" t="s">
        <v>776</v>
      </c>
      <c r="O365" s="204" t="s">
        <v>777</v>
      </c>
      <c r="P365" s="204" t="s">
        <v>778</v>
      </c>
      <c r="Q365" s="204" t="s">
        <v>275</v>
      </c>
      <c r="R365" s="204" t="s">
        <v>897</v>
      </c>
      <c r="S365" s="204" t="s">
        <v>436</v>
      </c>
      <c r="T365" s="204" t="s">
        <v>435</v>
      </c>
      <c r="U365" s="204">
        <v>2086</v>
      </c>
      <c r="V365" s="204" t="s">
        <v>435</v>
      </c>
      <c r="W365" s="204" t="s">
        <v>280</v>
      </c>
      <c r="X365" s="204">
        <v>14.084</v>
      </c>
      <c r="Y365" s="211">
        <v>0</v>
      </c>
      <c r="Z365" s="211">
        <v>1.71</v>
      </c>
      <c r="AA365" s="211">
        <v>24.07</v>
      </c>
      <c r="AB365" s="211">
        <v>-2.58</v>
      </c>
      <c r="AC365" s="211">
        <v>0</v>
      </c>
      <c r="AD365" s="211">
        <v>0</v>
      </c>
      <c r="AE365" s="211">
        <v>21.49</v>
      </c>
      <c r="AF365" s="211">
        <v>-3.38</v>
      </c>
      <c r="AG365" s="204" t="s">
        <v>279</v>
      </c>
      <c r="AH365" s="211">
        <v>0</v>
      </c>
      <c r="AI365" s="211">
        <v>24.07</v>
      </c>
      <c r="AJ365" s="211">
        <v>0</v>
      </c>
      <c r="AK365" s="204" t="str">
        <f t="shared" si="11"/>
        <v>1.00000000</v>
      </c>
      <c r="AL365" s="204">
        <v>28.3</v>
      </c>
    </row>
    <row r="366" spans="1:38" x14ac:dyDescent="0.2">
      <c r="A366" s="204" t="str">
        <f t="shared" si="12"/>
        <v>0496002595734</v>
      </c>
      <c r="B366" s="204">
        <v>1</v>
      </c>
      <c r="C366" s="204" t="s">
        <v>435</v>
      </c>
      <c r="D366" s="204">
        <v>81</v>
      </c>
      <c r="E366" s="204">
        <v>81</v>
      </c>
      <c r="F366" s="204" t="s">
        <v>243</v>
      </c>
      <c r="G366" s="204">
        <v>2086</v>
      </c>
      <c r="H366" s="204" t="s">
        <v>270</v>
      </c>
      <c r="I366" s="204">
        <v>27105</v>
      </c>
      <c r="J366" s="209">
        <v>42438</v>
      </c>
      <c r="K366" s="210">
        <v>0.94374999999999998</v>
      </c>
      <c r="L366" s="209">
        <v>42440</v>
      </c>
      <c r="M366" s="204" t="s">
        <v>853</v>
      </c>
      <c r="N366" s="204" t="s">
        <v>272</v>
      </c>
      <c r="O366" s="204" t="s">
        <v>273</v>
      </c>
      <c r="P366" s="204" t="s">
        <v>274</v>
      </c>
      <c r="Q366" s="204" t="s">
        <v>275</v>
      </c>
      <c r="R366" s="204" t="s">
        <v>276</v>
      </c>
      <c r="S366" s="204" t="s">
        <v>436</v>
      </c>
      <c r="T366" s="204" t="s">
        <v>435</v>
      </c>
      <c r="U366" s="204">
        <v>2086</v>
      </c>
      <c r="V366" s="204" t="s">
        <v>435</v>
      </c>
      <c r="W366" s="204" t="s">
        <v>280</v>
      </c>
      <c r="X366" s="204">
        <v>15.632999999999999</v>
      </c>
      <c r="Y366" s="211">
        <v>-0.47</v>
      </c>
      <c r="Z366" s="211">
        <v>1.76</v>
      </c>
      <c r="AA366" s="211">
        <v>27.5</v>
      </c>
      <c r="AB366" s="211">
        <v>-2.86</v>
      </c>
      <c r="AC366" s="211">
        <v>0</v>
      </c>
      <c r="AD366" s="211">
        <v>0</v>
      </c>
      <c r="AE366" s="211">
        <v>24.17</v>
      </c>
      <c r="AF366" s="211">
        <v>-3.75</v>
      </c>
      <c r="AG366" s="204" t="s">
        <v>279</v>
      </c>
      <c r="AH366" s="211">
        <v>0</v>
      </c>
      <c r="AI366" s="211">
        <v>27.5</v>
      </c>
      <c r="AJ366" s="211">
        <v>0</v>
      </c>
      <c r="AK366" s="204" t="str">
        <f t="shared" si="11"/>
        <v>1.00000000</v>
      </c>
      <c r="AL366" s="204">
        <v>28.2</v>
      </c>
    </row>
    <row r="367" spans="1:38" x14ac:dyDescent="0.2">
      <c r="A367" s="204" t="str">
        <f t="shared" si="12"/>
        <v>0496002595734</v>
      </c>
      <c r="B367" s="204">
        <v>1</v>
      </c>
      <c r="C367" s="204" t="s">
        <v>435</v>
      </c>
      <c r="D367" s="204">
        <v>81</v>
      </c>
      <c r="E367" s="204">
        <v>81</v>
      </c>
      <c r="F367" s="204" t="s">
        <v>243</v>
      </c>
      <c r="G367" s="204">
        <v>2086</v>
      </c>
      <c r="H367" s="204" t="s">
        <v>270</v>
      </c>
      <c r="I367" s="204">
        <v>35211</v>
      </c>
      <c r="J367" s="209">
        <v>42443</v>
      </c>
      <c r="K367" s="210">
        <v>0.42222222222222222</v>
      </c>
      <c r="L367" s="209">
        <v>42445</v>
      </c>
      <c r="M367" s="204" t="s">
        <v>853</v>
      </c>
      <c r="N367" s="204" t="s">
        <v>352</v>
      </c>
      <c r="O367" s="204" t="s">
        <v>353</v>
      </c>
      <c r="P367" s="204" t="s">
        <v>343</v>
      </c>
      <c r="Q367" s="204" t="s">
        <v>275</v>
      </c>
      <c r="R367" s="204" t="s">
        <v>602</v>
      </c>
      <c r="S367" s="204" t="s">
        <v>436</v>
      </c>
      <c r="T367" s="204" t="s">
        <v>435</v>
      </c>
      <c r="U367" s="204">
        <v>2086</v>
      </c>
      <c r="V367" s="204" t="s">
        <v>435</v>
      </c>
      <c r="W367" s="204" t="s">
        <v>280</v>
      </c>
      <c r="X367" s="204">
        <v>15.339</v>
      </c>
      <c r="Y367" s="211">
        <v>-0.46</v>
      </c>
      <c r="Z367" s="211">
        <v>1.87</v>
      </c>
      <c r="AA367" s="211">
        <v>28.67</v>
      </c>
      <c r="AB367" s="211">
        <v>-2.81</v>
      </c>
      <c r="AC367" s="211">
        <v>0</v>
      </c>
      <c r="AD367" s="211">
        <v>0</v>
      </c>
      <c r="AE367" s="211">
        <v>25.4</v>
      </c>
      <c r="AF367" s="211">
        <v>-3.68</v>
      </c>
      <c r="AG367" s="204" t="s">
        <v>279</v>
      </c>
      <c r="AH367" s="211">
        <v>0</v>
      </c>
      <c r="AI367" s="211">
        <v>28.67</v>
      </c>
      <c r="AJ367" s="211">
        <v>0</v>
      </c>
      <c r="AK367" s="204" t="str">
        <f t="shared" si="11"/>
        <v>1.00000000</v>
      </c>
      <c r="AL367" s="204">
        <v>28.2</v>
      </c>
    </row>
    <row r="368" spans="1:38" x14ac:dyDescent="0.2">
      <c r="A368" s="204" t="str">
        <f t="shared" si="12"/>
        <v>0496002595734</v>
      </c>
      <c r="B368" s="204">
        <v>1</v>
      </c>
      <c r="C368" s="204" t="s">
        <v>435</v>
      </c>
      <c r="D368" s="204">
        <v>81</v>
      </c>
      <c r="E368" s="204">
        <v>81</v>
      </c>
      <c r="F368" s="204" t="s">
        <v>243</v>
      </c>
      <c r="G368" s="204">
        <v>2086</v>
      </c>
      <c r="H368" s="204" t="s">
        <v>270</v>
      </c>
      <c r="I368" s="204">
        <v>39363</v>
      </c>
      <c r="J368" s="209">
        <v>42445</v>
      </c>
      <c r="K368" s="210">
        <v>0.55138888888888882</v>
      </c>
      <c r="L368" s="209">
        <v>42447</v>
      </c>
      <c r="M368" s="204" t="s">
        <v>853</v>
      </c>
      <c r="N368" s="204" t="s">
        <v>352</v>
      </c>
      <c r="O368" s="204" t="s">
        <v>353</v>
      </c>
      <c r="P368" s="204" t="s">
        <v>343</v>
      </c>
      <c r="Q368" s="204" t="s">
        <v>275</v>
      </c>
      <c r="R368" s="204" t="s">
        <v>602</v>
      </c>
      <c r="S368" s="204" t="s">
        <v>436</v>
      </c>
      <c r="T368" s="204" t="s">
        <v>435</v>
      </c>
      <c r="U368" s="204">
        <v>2086</v>
      </c>
      <c r="V368" s="204" t="s">
        <v>435</v>
      </c>
      <c r="W368" s="204" t="s">
        <v>280</v>
      </c>
      <c r="X368" s="204">
        <v>11.494999999999999</v>
      </c>
      <c r="Y368" s="211">
        <v>-0.34</v>
      </c>
      <c r="Z368" s="211">
        <v>1.88</v>
      </c>
      <c r="AA368" s="211">
        <v>21.6</v>
      </c>
      <c r="AB368" s="211">
        <v>-2.1</v>
      </c>
      <c r="AC368" s="211">
        <v>0</v>
      </c>
      <c r="AD368" s="211">
        <v>0</v>
      </c>
      <c r="AE368" s="211">
        <v>19.16</v>
      </c>
      <c r="AF368" s="211">
        <v>-2.76</v>
      </c>
      <c r="AG368" s="204" t="s">
        <v>279</v>
      </c>
      <c r="AH368" s="211">
        <v>0</v>
      </c>
      <c r="AI368" s="211">
        <v>21.6</v>
      </c>
      <c r="AJ368" s="211">
        <v>0</v>
      </c>
      <c r="AK368" s="204" t="str">
        <f t="shared" si="11"/>
        <v>1.00000000</v>
      </c>
      <c r="AL368" s="204">
        <v>28.3</v>
      </c>
    </row>
    <row r="369" spans="1:38" x14ac:dyDescent="0.2">
      <c r="A369" s="204" t="str">
        <f t="shared" si="12"/>
        <v>0496002595734</v>
      </c>
      <c r="B369" s="204">
        <v>1</v>
      </c>
      <c r="C369" s="204" t="s">
        <v>435</v>
      </c>
      <c r="D369" s="204">
        <v>81</v>
      </c>
      <c r="E369" s="204">
        <v>81</v>
      </c>
      <c r="F369" s="204" t="s">
        <v>243</v>
      </c>
      <c r="G369" s="204">
        <v>2086</v>
      </c>
      <c r="H369" s="204" t="s">
        <v>270</v>
      </c>
      <c r="I369" s="204">
        <v>4220</v>
      </c>
      <c r="J369" s="209">
        <v>42447</v>
      </c>
      <c r="K369" s="210">
        <v>0.77013888888888893</v>
      </c>
      <c r="L369" s="209">
        <v>42451</v>
      </c>
      <c r="M369" s="204" t="s">
        <v>853</v>
      </c>
      <c r="N369" s="204" t="s">
        <v>272</v>
      </c>
      <c r="O369" s="204" t="s">
        <v>273</v>
      </c>
      <c r="P369" s="204" t="s">
        <v>274</v>
      </c>
      <c r="Q369" s="204" t="s">
        <v>275</v>
      </c>
      <c r="R369" s="204" t="s">
        <v>276</v>
      </c>
      <c r="S369" s="204" t="s">
        <v>436</v>
      </c>
      <c r="T369" s="204" t="s">
        <v>435</v>
      </c>
      <c r="U369" s="204">
        <v>2086</v>
      </c>
      <c r="V369" s="204" t="s">
        <v>435</v>
      </c>
      <c r="W369" s="204" t="s">
        <v>280</v>
      </c>
      <c r="X369" s="204">
        <v>15.486000000000001</v>
      </c>
      <c r="Y369" s="211">
        <v>-0.46</v>
      </c>
      <c r="Z369" s="211">
        <v>1.88</v>
      </c>
      <c r="AA369" s="211">
        <v>29.1</v>
      </c>
      <c r="AB369" s="211">
        <v>-2.83</v>
      </c>
      <c r="AC369" s="211">
        <v>0</v>
      </c>
      <c r="AD369" s="211">
        <v>0</v>
      </c>
      <c r="AE369" s="211">
        <v>25.81</v>
      </c>
      <c r="AF369" s="211">
        <v>-3.72</v>
      </c>
      <c r="AG369" s="204" t="s">
        <v>279</v>
      </c>
      <c r="AH369" s="211">
        <v>0</v>
      </c>
      <c r="AI369" s="211">
        <v>29.1</v>
      </c>
      <c r="AJ369" s="211">
        <v>0</v>
      </c>
      <c r="AK369" s="204" t="str">
        <f t="shared" si="11"/>
        <v>1.00000000</v>
      </c>
      <c r="AL369" s="204">
        <v>28.2</v>
      </c>
    </row>
    <row r="370" spans="1:38" x14ac:dyDescent="0.2">
      <c r="A370" s="204" t="str">
        <f t="shared" si="12"/>
        <v>0496002595734</v>
      </c>
      <c r="B370" s="204">
        <v>1</v>
      </c>
      <c r="C370" s="204" t="s">
        <v>435</v>
      </c>
      <c r="D370" s="204">
        <v>81</v>
      </c>
      <c r="E370" s="204">
        <v>81</v>
      </c>
      <c r="F370" s="204" t="s">
        <v>243</v>
      </c>
      <c r="G370" s="204">
        <v>2086</v>
      </c>
      <c r="H370" s="204" t="s">
        <v>270</v>
      </c>
      <c r="I370" s="204">
        <v>4461</v>
      </c>
      <c r="J370" s="209">
        <v>42449</v>
      </c>
      <c r="K370" s="210">
        <v>0.47649305555555554</v>
      </c>
      <c r="L370" s="209">
        <v>42451</v>
      </c>
      <c r="M370" s="204" t="s">
        <v>340</v>
      </c>
      <c r="N370" s="204" t="s">
        <v>341</v>
      </c>
      <c r="O370" s="204" t="s">
        <v>342</v>
      </c>
      <c r="P370" s="204" t="s">
        <v>343</v>
      </c>
      <c r="Q370" s="204" t="s">
        <v>275</v>
      </c>
      <c r="R370" s="204" t="s">
        <v>629</v>
      </c>
      <c r="S370" s="204" t="s">
        <v>436</v>
      </c>
      <c r="T370" s="204" t="s">
        <v>435</v>
      </c>
      <c r="U370" s="204">
        <v>2086</v>
      </c>
      <c r="V370" s="204" t="s">
        <v>435</v>
      </c>
      <c r="W370" s="204" t="s">
        <v>280</v>
      </c>
      <c r="X370" s="204">
        <v>12</v>
      </c>
      <c r="Y370" s="211">
        <v>0</v>
      </c>
      <c r="Z370" s="211">
        <v>1.9</v>
      </c>
      <c r="AA370" s="211">
        <v>22.79</v>
      </c>
      <c r="AB370" s="211">
        <v>-2.2000000000000002</v>
      </c>
      <c r="AC370" s="211">
        <v>0</v>
      </c>
      <c r="AD370" s="211">
        <v>0</v>
      </c>
      <c r="AE370" s="211">
        <v>20.59</v>
      </c>
      <c r="AF370" s="211">
        <v>-2.88</v>
      </c>
      <c r="AG370" s="204" t="s">
        <v>279</v>
      </c>
      <c r="AH370" s="211">
        <v>0</v>
      </c>
      <c r="AI370" s="211">
        <v>22.79</v>
      </c>
      <c r="AJ370" s="211">
        <v>0</v>
      </c>
      <c r="AK370" s="204" t="str">
        <f t="shared" si="11"/>
        <v>1.00000000</v>
      </c>
      <c r="AL370" s="204">
        <v>28.2</v>
      </c>
    </row>
    <row r="371" spans="1:38" x14ac:dyDescent="0.2">
      <c r="A371" s="204" t="str">
        <f t="shared" si="12"/>
        <v>0496002595734</v>
      </c>
      <c r="B371" s="204">
        <v>1</v>
      </c>
      <c r="C371" s="204" t="s">
        <v>435</v>
      </c>
      <c r="D371" s="204">
        <v>81</v>
      </c>
      <c r="E371" s="204">
        <v>81</v>
      </c>
      <c r="F371" s="204" t="s">
        <v>243</v>
      </c>
      <c r="G371" s="204">
        <v>2086</v>
      </c>
      <c r="H371" s="204" t="s">
        <v>270</v>
      </c>
      <c r="I371" s="204">
        <v>4651</v>
      </c>
      <c r="J371" s="209">
        <v>42451</v>
      </c>
      <c r="K371" s="210">
        <v>2.9166666666666664E-2</v>
      </c>
      <c r="L371" s="209">
        <v>42452</v>
      </c>
      <c r="M371" s="204" t="s">
        <v>853</v>
      </c>
      <c r="N371" s="204" t="s">
        <v>272</v>
      </c>
      <c r="O371" s="204" t="s">
        <v>273</v>
      </c>
      <c r="P371" s="204" t="s">
        <v>274</v>
      </c>
      <c r="Q371" s="204" t="s">
        <v>275</v>
      </c>
      <c r="R371" s="204" t="s">
        <v>276</v>
      </c>
      <c r="S371" s="204" t="s">
        <v>436</v>
      </c>
      <c r="T371" s="204" t="s">
        <v>435</v>
      </c>
      <c r="U371" s="204">
        <v>2086</v>
      </c>
      <c r="V371" s="204" t="s">
        <v>435</v>
      </c>
      <c r="W371" s="204" t="s">
        <v>335</v>
      </c>
      <c r="X371" s="204">
        <v>6.1950000000000003</v>
      </c>
      <c r="Y371" s="211">
        <v>-0.19</v>
      </c>
      <c r="Z371" s="211">
        <v>2.1</v>
      </c>
      <c r="AA371" s="211">
        <v>13.01</v>
      </c>
      <c r="AB371" s="211">
        <v>-1.1299999999999999</v>
      </c>
      <c r="AC371" s="211">
        <v>0</v>
      </c>
      <c r="AD371" s="211">
        <v>0</v>
      </c>
      <c r="AE371" s="211">
        <v>11.69</v>
      </c>
      <c r="AF371" s="211">
        <v>-1.49</v>
      </c>
      <c r="AG371" s="204" t="s">
        <v>279</v>
      </c>
      <c r="AH371" s="211">
        <v>0</v>
      </c>
      <c r="AI371" s="211">
        <v>13.01</v>
      </c>
      <c r="AJ371" s="211">
        <v>0</v>
      </c>
      <c r="AK371" s="204" t="str">
        <f t="shared" si="11"/>
        <v>1.00000000</v>
      </c>
      <c r="AL371" s="204">
        <v>14.8</v>
      </c>
    </row>
    <row r="372" spans="1:38" x14ac:dyDescent="0.2">
      <c r="A372" s="204" t="str">
        <f t="shared" si="12"/>
        <v>0496002595734</v>
      </c>
      <c r="B372" s="204">
        <v>1</v>
      </c>
      <c r="C372" s="204" t="s">
        <v>435</v>
      </c>
      <c r="D372" s="204">
        <v>81</v>
      </c>
      <c r="E372" s="204">
        <v>81</v>
      </c>
      <c r="F372" s="204" t="s">
        <v>243</v>
      </c>
      <c r="G372" s="204">
        <v>2086</v>
      </c>
      <c r="H372" s="204" t="s">
        <v>270</v>
      </c>
      <c r="I372" s="204">
        <v>48122</v>
      </c>
      <c r="J372" s="209">
        <v>42453</v>
      </c>
      <c r="K372" s="210">
        <v>0.32962962962962966</v>
      </c>
      <c r="L372" s="209">
        <v>42457</v>
      </c>
      <c r="M372" s="204" t="s">
        <v>310</v>
      </c>
      <c r="N372" s="204" t="s">
        <v>331</v>
      </c>
      <c r="O372" s="204" t="s">
        <v>332</v>
      </c>
      <c r="P372" s="204" t="s">
        <v>274</v>
      </c>
      <c r="Q372" s="204" t="s">
        <v>275</v>
      </c>
      <c r="R372" s="204" t="s">
        <v>858</v>
      </c>
      <c r="S372" s="204" t="s">
        <v>436</v>
      </c>
      <c r="T372" s="204" t="s">
        <v>435</v>
      </c>
      <c r="U372" s="204">
        <v>2086</v>
      </c>
      <c r="V372" s="204" t="s">
        <v>435</v>
      </c>
      <c r="W372" s="204" t="s">
        <v>280</v>
      </c>
      <c r="X372" s="204">
        <v>12.256</v>
      </c>
      <c r="Y372" s="211">
        <v>0</v>
      </c>
      <c r="Z372" s="211">
        <v>2</v>
      </c>
      <c r="AA372" s="211">
        <v>24.5</v>
      </c>
      <c r="AB372" s="211">
        <v>-2.2400000000000002</v>
      </c>
      <c r="AC372" s="211">
        <v>0</v>
      </c>
      <c r="AD372" s="211">
        <v>0</v>
      </c>
      <c r="AE372" s="211">
        <v>22.26</v>
      </c>
      <c r="AF372" s="211">
        <v>-2.94</v>
      </c>
      <c r="AG372" s="204" t="s">
        <v>279</v>
      </c>
      <c r="AH372" s="211">
        <v>0</v>
      </c>
      <c r="AI372" s="211">
        <v>24.5</v>
      </c>
      <c r="AJ372" s="211">
        <v>0</v>
      </c>
      <c r="AK372" s="204" t="str">
        <f t="shared" si="11"/>
        <v>1.00000000</v>
      </c>
      <c r="AL372" s="204">
        <v>20.100000000000001</v>
      </c>
    </row>
    <row r="373" spans="1:38" x14ac:dyDescent="0.2">
      <c r="A373" s="204" t="str">
        <f t="shared" si="12"/>
        <v>0496002595734</v>
      </c>
      <c r="B373" s="204">
        <v>1</v>
      </c>
      <c r="C373" s="204" t="s">
        <v>435</v>
      </c>
      <c r="D373" s="204">
        <v>81</v>
      </c>
      <c r="E373" s="204">
        <v>81</v>
      </c>
      <c r="F373" s="204" t="s">
        <v>243</v>
      </c>
      <c r="G373" s="204">
        <v>2086</v>
      </c>
      <c r="H373" s="204" t="s">
        <v>270</v>
      </c>
      <c r="I373" s="204">
        <v>48317</v>
      </c>
      <c r="J373" s="209">
        <v>42455</v>
      </c>
      <c r="K373" s="210">
        <v>2.4305555555555556E-2</v>
      </c>
      <c r="L373" s="209">
        <v>42458</v>
      </c>
      <c r="M373" s="204" t="s">
        <v>853</v>
      </c>
      <c r="N373" s="204" t="s">
        <v>272</v>
      </c>
      <c r="O373" s="204" t="s">
        <v>273</v>
      </c>
      <c r="P373" s="204" t="s">
        <v>274</v>
      </c>
      <c r="Q373" s="204" t="s">
        <v>275</v>
      </c>
      <c r="R373" s="204" t="s">
        <v>276</v>
      </c>
      <c r="S373" s="204" t="s">
        <v>436</v>
      </c>
      <c r="T373" s="204" t="s">
        <v>435</v>
      </c>
      <c r="U373" s="204">
        <v>2086</v>
      </c>
      <c r="V373" s="204" t="s">
        <v>435</v>
      </c>
      <c r="W373" s="204" t="s">
        <v>280</v>
      </c>
      <c r="X373" s="204">
        <v>9.9700000000000006</v>
      </c>
      <c r="Y373" s="211">
        <v>-0.3</v>
      </c>
      <c r="Z373" s="211">
        <v>2.04</v>
      </c>
      <c r="AA373" s="211">
        <v>20.329999999999998</v>
      </c>
      <c r="AB373" s="211">
        <v>-1.82</v>
      </c>
      <c r="AC373" s="211">
        <v>0</v>
      </c>
      <c r="AD373" s="211">
        <v>0</v>
      </c>
      <c r="AE373" s="211">
        <v>18.21</v>
      </c>
      <c r="AF373" s="211">
        <v>-2.39</v>
      </c>
      <c r="AG373" s="204" t="s">
        <v>279</v>
      </c>
      <c r="AH373" s="211">
        <v>0</v>
      </c>
      <c r="AI373" s="211">
        <v>20.329999999999998</v>
      </c>
      <c r="AJ373" s="211">
        <v>0</v>
      </c>
      <c r="AK373" s="204" t="str">
        <f t="shared" si="11"/>
        <v>1.00000000</v>
      </c>
      <c r="AL373" s="204">
        <v>19.600000000000001</v>
      </c>
    </row>
    <row r="374" spans="1:38" x14ac:dyDescent="0.2">
      <c r="A374" s="204" t="str">
        <f t="shared" si="12"/>
        <v>0496002595734</v>
      </c>
      <c r="B374" s="204">
        <v>1</v>
      </c>
      <c r="C374" s="204" t="s">
        <v>435</v>
      </c>
      <c r="D374" s="204">
        <v>81</v>
      </c>
      <c r="E374" s="204">
        <v>81</v>
      </c>
      <c r="F374" s="204" t="s">
        <v>243</v>
      </c>
      <c r="G374" s="204">
        <v>2086</v>
      </c>
      <c r="H374" s="204" t="s">
        <v>270</v>
      </c>
      <c r="I374" s="204">
        <v>48500</v>
      </c>
      <c r="J374" s="209">
        <v>42455</v>
      </c>
      <c r="K374" s="210">
        <v>0.32013888888888892</v>
      </c>
      <c r="L374" s="209">
        <v>42458</v>
      </c>
      <c r="M374" s="204" t="s">
        <v>853</v>
      </c>
      <c r="N374" s="204" t="s">
        <v>272</v>
      </c>
      <c r="O374" s="204" t="s">
        <v>273</v>
      </c>
      <c r="P374" s="204" t="s">
        <v>274</v>
      </c>
      <c r="Q374" s="204" t="s">
        <v>275</v>
      </c>
      <c r="R374" s="204" t="s">
        <v>276</v>
      </c>
      <c r="S374" s="204" t="s">
        <v>436</v>
      </c>
      <c r="T374" s="204" t="s">
        <v>435</v>
      </c>
      <c r="U374" s="204">
        <v>2086</v>
      </c>
      <c r="V374" s="204" t="s">
        <v>435</v>
      </c>
      <c r="W374" s="204" t="s">
        <v>280</v>
      </c>
      <c r="X374" s="204">
        <v>8.4689999999999994</v>
      </c>
      <c r="Y374" s="211">
        <v>-0.25</v>
      </c>
      <c r="Z374" s="211">
        <v>2.04</v>
      </c>
      <c r="AA374" s="211">
        <v>17.27</v>
      </c>
      <c r="AB374" s="211">
        <v>-1.55</v>
      </c>
      <c r="AC374" s="211">
        <v>0</v>
      </c>
      <c r="AD374" s="211">
        <v>0</v>
      </c>
      <c r="AE374" s="211">
        <v>15.47</v>
      </c>
      <c r="AF374" s="211">
        <v>-2.0299999999999998</v>
      </c>
      <c r="AG374" s="204" t="s">
        <v>279</v>
      </c>
      <c r="AH374" s="211">
        <v>0</v>
      </c>
      <c r="AI374" s="211">
        <v>17.27</v>
      </c>
      <c r="AJ374" s="211">
        <v>0</v>
      </c>
      <c r="AK374" s="204" t="str">
        <f t="shared" si="11"/>
        <v>1.00000000</v>
      </c>
      <c r="AL374" s="204">
        <v>21.6</v>
      </c>
    </row>
    <row r="375" spans="1:38" x14ac:dyDescent="0.2">
      <c r="A375" s="204" t="str">
        <f t="shared" si="12"/>
        <v>0496002595734</v>
      </c>
      <c r="B375" s="204">
        <v>1</v>
      </c>
      <c r="C375" s="204" t="s">
        <v>435</v>
      </c>
      <c r="D375" s="204">
        <v>81</v>
      </c>
      <c r="E375" s="204">
        <v>81</v>
      </c>
      <c r="F375" s="204" t="s">
        <v>243</v>
      </c>
      <c r="G375" s="204">
        <v>2086</v>
      </c>
      <c r="H375" s="204" t="s">
        <v>270</v>
      </c>
      <c r="I375" s="204">
        <v>48704</v>
      </c>
      <c r="J375" s="209">
        <v>42456</v>
      </c>
      <c r="K375" s="210">
        <v>0.80069444444444438</v>
      </c>
      <c r="L375" s="209">
        <v>42458</v>
      </c>
      <c r="M375" s="204" t="s">
        <v>853</v>
      </c>
      <c r="N375" s="204" t="s">
        <v>272</v>
      </c>
      <c r="O375" s="204" t="s">
        <v>273</v>
      </c>
      <c r="P375" s="204" t="s">
        <v>274</v>
      </c>
      <c r="Q375" s="204" t="s">
        <v>275</v>
      </c>
      <c r="R375" s="204" t="s">
        <v>276</v>
      </c>
      <c r="S375" s="204" t="s">
        <v>436</v>
      </c>
      <c r="T375" s="204" t="s">
        <v>435</v>
      </c>
      <c r="U375" s="204">
        <v>2086</v>
      </c>
      <c r="V375" s="204" t="s">
        <v>435</v>
      </c>
      <c r="W375" s="204" t="s">
        <v>280</v>
      </c>
      <c r="X375" s="204">
        <v>10.971</v>
      </c>
      <c r="Y375" s="211">
        <v>-0.33</v>
      </c>
      <c r="Z375" s="211">
        <v>2.04</v>
      </c>
      <c r="AA375" s="211">
        <v>22.37</v>
      </c>
      <c r="AB375" s="211">
        <v>-2.0099999999999998</v>
      </c>
      <c r="AC375" s="211">
        <v>0</v>
      </c>
      <c r="AD375" s="211">
        <v>0</v>
      </c>
      <c r="AE375" s="211">
        <v>20.03</v>
      </c>
      <c r="AF375" s="211">
        <v>-2.63</v>
      </c>
      <c r="AG375" s="204" t="s">
        <v>279</v>
      </c>
      <c r="AH375" s="211">
        <v>0</v>
      </c>
      <c r="AI375" s="211">
        <v>22.37</v>
      </c>
      <c r="AJ375" s="211">
        <v>0</v>
      </c>
      <c r="AK375" s="204" t="str">
        <f t="shared" si="11"/>
        <v>1.00000000</v>
      </c>
      <c r="AL375" s="204">
        <v>18.600000000000001</v>
      </c>
    </row>
    <row r="376" spans="1:38" x14ac:dyDescent="0.2">
      <c r="A376" s="204" t="str">
        <f t="shared" si="12"/>
        <v>0496002595734</v>
      </c>
      <c r="B376" s="204">
        <v>1</v>
      </c>
      <c r="C376" s="204" t="s">
        <v>435</v>
      </c>
      <c r="D376" s="204">
        <v>81</v>
      </c>
      <c r="E376" s="204">
        <v>81</v>
      </c>
      <c r="F376" s="204" t="s">
        <v>243</v>
      </c>
      <c r="G376" s="204">
        <v>2086</v>
      </c>
      <c r="H376" s="204" t="s">
        <v>270</v>
      </c>
      <c r="I376" s="204">
        <v>49040</v>
      </c>
      <c r="J376" s="209">
        <v>42465</v>
      </c>
      <c r="K376" s="210">
        <v>0.68125000000000002</v>
      </c>
      <c r="L376" s="209">
        <v>42467</v>
      </c>
      <c r="M376" s="204" t="s">
        <v>271</v>
      </c>
      <c r="N376" s="204" t="s">
        <v>272</v>
      </c>
      <c r="O376" s="204" t="s">
        <v>273</v>
      </c>
      <c r="P376" s="204" t="s">
        <v>274</v>
      </c>
      <c r="Q376" s="204" t="s">
        <v>275</v>
      </c>
      <c r="R376" s="204" t="s">
        <v>276</v>
      </c>
      <c r="S376" s="204" t="s">
        <v>436</v>
      </c>
      <c r="T376" s="204" t="s">
        <v>435</v>
      </c>
      <c r="U376" s="204">
        <v>2086</v>
      </c>
      <c r="V376" s="204" t="s">
        <v>435</v>
      </c>
      <c r="W376" s="204" t="s">
        <v>280</v>
      </c>
      <c r="X376" s="204">
        <v>14.593</v>
      </c>
      <c r="Y376" s="211">
        <v>-0.44</v>
      </c>
      <c r="Z376" s="211">
        <v>2.0299999999999998</v>
      </c>
      <c r="AA376" s="211">
        <v>29.61</v>
      </c>
      <c r="AB376" s="211">
        <v>-2.67</v>
      </c>
      <c r="AC376" s="211">
        <v>0</v>
      </c>
      <c r="AD376" s="211">
        <v>0</v>
      </c>
      <c r="AE376" s="211">
        <v>26.5</v>
      </c>
      <c r="AF376" s="211">
        <v>-3.5</v>
      </c>
      <c r="AG376" s="204" t="s">
        <v>279</v>
      </c>
      <c r="AH376" s="211">
        <v>0</v>
      </c>
      <c r="AI376" s="211">
        <v>29.61</v>
      </c>
      <c r="AJ376" s="211">
        <v>0</v>
      </c>
      <c r="AK376" s="204" t="str">
        <f t="shared" si="11"/>
        <v>1.00000000</v>
      </c>
      <c r="AL376" s="204">
        <v>23</v>
      </c>
    </row>
    <row r="377" spans="1:38" x14ac:dyDescent="0.2">
      <c r="A377" s="204" t="str">
        <f t="shared" si="12"/>
        <v>0496002595734</v>
      </c>
      <c r="B377" s="204">
        <v>1</v>
      </c>
      <c r="C377" s="204" t="s">
        <v>435</v>
      </c>
      <c r="D377" s="204">
        <v>81</v>
      </c>
      <c r="E377" s="204">
        <v>81</v>
      </c>
      <c r="F377" s="204" t="s">
        <v>243</v>
      </c>
      <c r="G377" s="204">
        <v>2086</v>
      </c>
      <c r="H377" s="204" t="s">
        <v>270</v>
      </c>
      <c r="I377" s="204">
        <v>49257</v>
      </c>
      <c r="J377" s="209">
        <v>42469</v>
      </c>
      <c r="K377" s="210">
        <v>8.8888888888888892E-2</v>
      </c>
      <c r="L377" s="209">
        <v>42472</v>
      </c>
      <c r="M377" s="204" t="s">
        <v>271</v>
      </c>
      <c r="N377" s="204" t="s">
        <v>422</v>
      </c>
      <c r="O377" s="204" t="s">
        <v>423</v>
      </c>
      <c r="P377" s="204" t="s">
        <v>424</v>
      </c>
      <c r="Q377" s="204" t="s">
        <v>275</v>
      </c>
      <c r="R377" s="204" t="s">
        <v>719</v>
      </c>
      <c r="S377" s="204" t="s">
        <v>436</v>
      </c>
      <c r="T377" s="204" t="s">
        <v>435</v>
      </c>
      <c r="U377" s="204">
        <v>2086</v>
      </c>
      <c r="V377" s="204" t="s">
        <v>435</v>
      </c>
      <c r="W377" s="204" t="s">
        <v>280</v>
      </c>
      <c r="X377" s="204">
        <v>11.967000000000001</v>
      </c>
      <c r="Y377" s="211">
        <v>-0.36</v>
      </c>
      <c r="Z377" s="211">
        <v>2.08</v>
      </c>
      <c r="AA377" s="211">
        <v>24.88</v>
      </c>
      <c r="AB377" s="211">
        <v>-2.19</v>
      </c>
      <c r="AC377" s="211">
        <v>0</v>
      </c>
      <c r="AD377" s="211">
        <v>0</v>
      </c>
      <c r="AE377" s="211">
        <v>22.33</v>
      </c>
      <c r="AF377" s="211">
        <v>-2.87</v>
      </c>
      <c r="AG377" s="204" t="s">
        <v>279</v>
      </c>
      <c r="AH377" s="211">
        <v>0</v>
      </c>
      <c r="AI377" s="211">
        <v>24.88</v>
      </c>
      <c r="AJ377" s="211">
        <v>0</v>
      </c>
      <c r="AK377" s="204" t="str">
        <f t="shared" si="11"/>
        <v>1.00000000</v>
      </c>
      <c r="AL377" s="204">
        <v>18.100000000000001</v>
      </c>
    </row>
    <row r="378" spans="1:38" x14ac:dyDescent="0.2">
      <c r="A378" s="204" t="str">
        <f t="shared" si="12"/>
        <v>0496002595734</v>
      </c>
      <c r="B378" s="204">
        <v>1</v>
      </c>
      <c r="C378" s="204" t="s">
        <v>435</v>
      </c>
      <c r="D378" s="204">
        <v>81</v>
      </c>
      <c r="E378" s="204">
        <v>81</v>
      </c>
      <c r="F378" s="204" t="s">
        <v>243</v>
      </c>
      <c r="G378" s="204">
        <v>2086</v>
      </c>
      <c r="H378" s="204" t="s">
        <v>270</v>
      </c>
      <c r="I378" s="204">
        <v>49529</v>
      </c>
      <c r="J378" s="209">
        <v>42470</v>
      </c>
      <c r="K378" s="210">
        <v>0.76388888888888884</v>
      </c>
      <c r="L378" s="209">
        <v>42472</v>
      </c>
      <c r="M378" s="204" t="s">
        <v>302</v>
      </c>
      <c r="N378" s="204" t="s">
        <v>1012</v>
      </c>
      <c r="O378" s="204" t="s">
        <v>1013</v>
      </c>
      <c r="P378" s="204" t="s">
        <v>1014</v>
      </c>
      <c r="Q378" s="204" t="s">
        <v>731</v>
      </c>
      <c r="R378" s="204" t="s">
        <v>1015</v>
      </c>
      <c r="S378" s="204" t="s">
        <v>436</v>
      </c>
      <c r="T378" s="204" t="s">
        <v>435</v>
      </c>
      <c r="U378" s="204">
        <v>2086</v>
      </c>
      <c r="V378" s="204" t="s">
        <v>435</v>
      </c>
      <c r="W378" s="204" t="s">
        <v>280</v>
      </c>
      <c r="X378" s="204">
        <v>15.007999999999999</v>
      </c>
      <c r="Y378" s="211">
        <v>0</v>
      </c>
      <c r="Z378" s="211">
        <v>2.09</v>
      </c>
      <c r="AA378" s="211">
        <v>31.35</v>
      </c>
      <c r="AB378" s="211">
        <v>-2.75</v>
      </c>
      <c r="AC378" s="211">
        <v>0</v>
      </c>
      <c r="AD378" s="211">
        <v>0</v>
      </c>
      <c r="AE378" s="211">
        <v>28.6</v>
      </c>
      <c r="AF378" s="211">
        <v>-5.0999999999999996</v>
      </c>
      <c r="AG378" s="204" t="s">
        <v>279</v>
      </c>
      <c r="AH378" s="211">
        <v>0</v>
      </c>
      <c r="AI378" s="211">
        <v>31.35</v>
      </c>
      <c r="AJ378" s="211">
        <v>0</v>
      </c>
      <c r="AK378" s="204" t="str">
        <f t="shared" si="11"/>
        <v>1.00000000</v>
      </c>
      <c r="AL378" s="204">
        <v>18.100000000000001</v>
      </c>
    </row>
    <row r="379" spans="1:38" x14ac:dyDescent="0.2">
      <c r="A379" s="204" t="str">
        <f t="shared" si="12"/>
        <v>0496002595734</v>
      </c>
      <c r="B379" s="204">
        <v>1</v>
      </c>
      <c r="C379" s="204" t="s">
        <v>435</v>
      </c>
      <c r="D379" s="204">
        <v>81</v>
      </c>
      <c r="E379" s="204">
        <v>81</v>
      </c>
      <c r="F379" s="204" t="s">
        <v>243</v>
      </c>
      <c r="G379" s="204">
        <v>2086</v>
      </c>
      <c r="H379" s="204" t="s">
        <v>270</v>
      </c>
      <c r="I379" s="204">
        <v>49800</v>
      </c>
      <c r="J379" s="209">
        <v>42471</v>
      </c>
      <c r="K379" s="210">
        <v>0.99791666666666667</v>
      </c>
      <c r="L379" s="209">
        <v>42473</v>
      </c>
      <c r="M379" s="204" t="s">
        <v>271</v>
      </c>
      <c r="N379" s="204" t="s">
        <v>272</v>
      </c>
      <c r="O379" s="204" t="s">
        <v>273</v>
      </c>
      <c r="P379" s="204" t="s">
        <v>274</v>
      </c>
      <c r="Q379" s="204" t="s">
        <v>275</v>
      </c>
      <c r="R379" s="204" t="s">
        <v>276</v>
      </c>
      <c r="S379" s="204" t="s">
        <v>436</v>
      </c>
      <c r="T379" s="204" t="s">
        <v>435</v>
      </c>
      <c r="U379" s="204">
        <v>2086</v>
      </c>
      <c r="V379" s="204" t="s">
        <v>435</v>
      </c>
      <c r="W379" s="204" t="s">
        <v>280</v>
      </c>
      <c r="X379" s="204">
        <v>14.539</v>
      </c>
      <c r="Y379" s="211">
        <v>-0.44</v>
      </c>
      <c r="Z379" s="211">
        <v>2.0299999999999998</v>
      </c>
      <c r="AA379" s="211">
        <v>29.5</v>
      </c>
      <c r="AB379" s="211">
        <v>-2.66</v>
      </c>
      <c r="AC379" s="211">
        <v>0</v>
      </c>
      <c r="AD379" s="211">
        <v>0</v>
      </c>
      <c r="AE379" s="211">
        <v>26.4</v>
      </c>
      <c r="AF379" s="211">
        <v>-3.49</v>
      </c>
      <c r="AG379" s="204" t="s">
        <v>279</v>
      </c>
      <c r="AH379" s="211">
        <v>0</v>
      </c>
      <c r="AI379" s="211">
        <v>29.5</v>
      </c>
      <c r="AJ379" s="211">
        <v>0</v>
      </c>
      <c r="AK379" s="204" t="str">
        <f t="shared" si="11"/>
        <v>1.00000000</v>
      </c>
      <c r="AL379" s="204">
        <v>18.600000000000001</v>
      </c>
    </row>
    <row r="380" spans="1:38" x14ac:dyDescent="0.2">
      <c r="A380" s="204" t="str">
        <f t="shared" si="12"/>
        <v>0496002595734</v>
      </c>
      <c r="B380" s="204">
        <v>1</v>
      </c>
      <c r="C380" s="204" t="s">
        <v>435</v>
      </c>
      <c r="D380" s="204">
        <v>81</v>
      </c>
      <c r="E380" s="204">
        <v>81</v>
      </c>
      <c r="F380" s="204" t="s">
        <v>243</v>
      </c>
      <c r="G380" s="204">
        <v>2086</v>
      </c>
      <c r="H380" s="204" t="s">
        <v>270</v>
      </c>
      <c r="I380" s="204">
        <v>50039</v>
      </c>
      <c r="J380" s="209">
        <v>42476</v>
      </c>
      <c r="K380" s="210">
        <v>0.32569444444444445</v>
      </c>
      <c r="L380" s="209">
        <v>42479</v>
      </c>
      <c r="M380" s="204" t="s">
        <v>271</v>
      </c>
      <c r="N380" s="204" t="s">
        <v>272</v>
      </c>
      <c r="O380" s="204" t="s">
        <v>273</v>
      </c>
      <c r="P380" s="204" t="s">
        <v>274</v>
      </c>
      <c r="Q380" s="204" t="s">
        <v>275</v>
      </c>
      <c r="R380" s="204" t="s">
        <v>276</v>
      </c>
      <c r="S380" s="204" t="s">
        <v>436</v>
      </c>
      <c r="T380" s="204" t="s">
        <v>435</v>
      </c>
      <c r="U380" s="204">
        <v>2086</v>
      </c>
      <c r="V380" s="204" t="s">
        <v>435</v>
      </c>
      <c r="W380" s="204" t="s">
        <v>280</v>
      </c>
      <c r="X380" s="204">
        <v>11.445</v>
      </c>
      <c r="Y380" s="211">
        <v>-0.34</v>
      </c>
      <c r="Z380" s="211">
        <v>2.09</v>
      </c>
      <c r="AA380" s="211">
        <v>23.91</v>
      </c>
      <c r="AB380" s="211">
        <v>-2.09</v>
      </c>
      <c r="AC380" s="211">
        <v>0</v>
      </c>
      <c r="AD380" s="211">
        <v>0</v>
      </c>
      <c r="AE380" s="211">
        <v>21.48</v>
      </c>
      <c r="AF380" s="211">
        <v>-2.75</v>
      </c>
      <c r="AG380" s="204" t="s">
        <v>279</v>
      </c>
      <c r="AH380" s="211">
        <v>0</v>
      </c>
      <c r="AI380" s="211">
        <v>23.91</v>
      </c>
      <c r="AJ380" s="211">
        <v>0</v>
      </c>
      <c r="AK380" s="204" t="str">
        <f t="shared" si="11"/>
        <v>1.00000000</v>
      </c>
      <c r="AL380" s="204">
        <v>20.9</v>
      </c>
    </row>
    <row r="381" spans="1:38" x14ac:dyDescent="0.2">
      <c r="A381" s="204" t="str">
        <f t="shared" si="12"/>
        <v>0496002595734</v>
      </c>
      <c r="B381" s="204">
        <v>1</v>
      </c>
      <c r="C381" s="204" t="s">
        <v>435</v>
      </c>
      <c r="D381" s="204">
        <v>81</v>
      </c>
      <c r="E381" s="204">
        <v>81</v>
      </c>
      <c r="F381" s="204" t="s">
        <v>243</v>
      </c>
      <c r="G381" s="204">
        <v>2086</v>
      </c>
      <c r="H381" s="204" t="s">
        <v>270</v>
      </c>
      <c r="I381" s="204">
        <v>10000</v>
      </c>
      <c r="J381" s="209">
        <v>42481</v>
      </c>
      <c r="K381" s="210">
        <v>0.65763888888888888</v>
      </c>
      <c r="L381" s="209">
        <v>42485</v>
      </c>
      <c r="M381" s="204" t="s">
        <v>271</v>
      </c>
      <c r="N381" s="204" t="s">
        <v>272</v>
      </c>
      <c r="O381" s="204" t="s">
        <v>273</v>
      </c>
      <c r="P381" s="204" t="s">
        <v>274</v>
      </c>
      <c r="Q381" s="204" t="s">
        <v>275</v>
      </c>
      <c r="R381" s="204" t="s">
        <v>276</v>
      </c>
      <c r="S381" s="204" t="s">
        <v>436</v>
      </c>
      <c r="T381" s="204" t="s">
        <v>435</v>
      </c>
      <c r="U381" s="204">
        <v>2086</v>
      </c>
      <c r="V381" s="204" t="s">
        <v>435</v>
      </c>
      <c r="W381" s="204" t="s">
        <v>280</v>
      </c>
      <c r="X381" s="204">
        <v>17.594000000000001</v>
      </c>
      <c r="Y381" s="211">
        <v>-0.53</v>
      </c>
      <c r="Z381" s="211">
        <v>2.1</v>
      </c>
      <c r="AA381" s="211">
        <v>36.93</v>
      </c>
      <c r="AB381" s="211">
        <v>-3.22</v>
      </c>
      <c r="AC381" s="211">
        <v>0</v>
      </c>
      <c r="AD381" s="211">
        <v>0</v>
      </c>
      <c r="AE381" s="211">
        <v>33.18</v>
      </c>
      <c r="AF381" s="211">
        <v>-4.22</v>
      </c>
      <c r="AG381" s="204" t="s">
        <v>279</v>
      </c>
      <c r="AH381" s="211">
        <v>0</v>
      </c>
      <c r="AI381" s="211">
        <v>36.93</v>
      </c>
      <c r="AJ381" s="211">
        <v>0</v>
      </c>
      <c r="AK381" s="204" t="str">
        <f t="shared" si="11"/>
        <v>1.00000000</v>
      </c>
      <c r="AL381" s="204">
        <v>20.100000000000001</v>
      </c>
    </row>
    <row r="382" spans="1:38" x14ac:dyDescent="0.2">
      <c r="A382" s="204" t="str">
        <f t="shared" si="12"/>
        <v>0496002595734</v>
      </c>
      <c r="B382" s="204">
        <v>1</v>
      </c>
      <c r="C382" s="204" t="s">
        <v>435</v>
      </c>
      <c r="D382" s="204">
        <v>81</v>
      </c>
      <c r="E382" s="204">
        <v>81</v>
      </c>
      <c r="F382" s="204" t="s">
        <v>243</v>
      </c>
      <c r="G382" s="204">
        <v>2086</v>
      </c>
      <c r="H382" s="204" t="s">
        <v>270</v>
      </c>
      <c r="I382" s="204">
        <v>50659</v>
      </c>
      <c r="J382" s="209">
        <v>42482</v>
      </c>
      <c r="K382" s="210">
        <v>0.64236111111111105</v>
      </c>
      <c r="L382" s="209">
        <v>42486</v>
      </c>
      <c r="M382" s="204" t="s">
        <v>606</v>
      </c>
      <c r="N382" s="204" t="s">
        <v>399</v>
      </c>
      <c r="O382" s="204" t="s">
        <v>400</v>
      </c>
      <c r="P382" s="204" t="s">
        <v>274</v>
      </c>
      <c r="Q382" s="204" t="s">
        <v>275</v>
      </c>
      <c r="R382" s="204" t="s">
        <v>401</v>
      </c>
      <c r="S382" s="204" t="s">
        <v>436</v>
      </c>
      <c r="T382" s="204" t="s">
        <v>435</v>
      </c>
      <c r="U382" s="204">
        <v>2086</v>
      </c>
      <c r="V382" s="204" t="s">
        <v>435</v>
      </c>
      <c r="W382" s="204" t="s">
        <v>280</v>
      </c>
      <c r="X382" s="204">
        <v>13.558999999999999</v>
      </c>
      <c r="Y382" s="211">
        <v>0</v>
      </c>
      <c r="Z382" s="211">
        <v>2.16</v>
      </c>
      <c r="AA382" s="211">
        <v>29.27</v>
      </c>
      <c r="AB382" s="211">
        <v>-2.48</v>
      </c>
      <c r="AC382" s="211">
        <v>0</v>
      </c>
      <c r="AD382" s="211">
        <v>0</v>
      </c>
      <c r="AE382" s="211">
        <v>26.79</v>
      </c>
      <c r="AF382" s="211">
        <v>-3.25</v>
      </c>
      <c r="AG382" s="204" t="s">
        <v>279</v>
      </c>
      <c r="AH382" s="211">
        <v>0</v>
      </c>
      <c r="AI382" s="211">
        <v>29.27</v>
      </c>
      <c r="AJ382" s="211">
        <v>0</v>
      </c>
      <c r="AK382" s="204" t="str">
        <f t="shared" si="11"/>
        <v>1.00000000</v>
      </c>
      <c r="AL382" s="204">
        <v>19.7</v>
      </c>
    </row>
    <row r="383" spans="1:38" x14ac:dyDescent="0.2">
      <c r="A383" s="204" t="str">
        <f t="shared" si="12"/>
        <v>0496002595734</v>
      </c>
      <c r="B383" s="204">
        <v>1</v>
      </c>
      <c r="C383" s="204" t="s">
        <v>435</v>
      </c>
      <c r="D383" s="204">
        <v>81</v>
      </c>
      <c r="E383" s="204">
        <v>81</v>
      </c>
      <c r="F383" s="204" t="s">
        <v>243</v>
      </c>
      <c r="G383" s="204">
        <v>2086</v>
      </c>
      <c r="H383" s="204" t="s">
        <v>270</v>
      </c>
      <c r="I383" s="204">
        <v>50877</v>
      </c>
      <c r="J383" s="209">
        <v>42484</v>
      </c>
      <c r="K383" s="210">
        <v>0.90763888888888899</v>
      </c>
      <c r="L383" s="209">
        <v>42486</v>
      </c>
      <c r="M383" s="204" t="s">
        <v>271</v>
      </c>
      <c r="N383" s="204" t="s">
        <v>272</v>
      </c>
      <c r="O383" s="204" t="s">
        <v>273</v>
      </c>
      <c r="P383" s="204" t="s">
        <v>274</v>
      </c>
      <c r="Q383" s="204" t="s">
        <v>275</v>
      </c>
      <c r="R383" s="204" t="s">
        <v>276</v>
      </c>
      <c r="S383" s="204" t="s">
        <v>436</v>
      </c>
      <c r="T383" s="204" t="s">
        <v>435</v>
      </c>
      <c r="U383" s="204">
        <v>2086</v>
      </c>
      <c r="V383" s="204" t="s">
        <v>435</v>
      </c>
      <c r="W383" s="204" t="s">
        <v>280</v>
      </c>
      <c r="X383" s="204">
        <v>3.9119999999999999</v>
      </c>
      <c r="Y383" s="211">
        <v>-0.12</v>
      </c>
      <c r="Z383" s="211">
        <v>2.12</v>
      </c>
      <c r="AA383" s="211">
        <v>8.2899999999999991</v>
      </c>
      <c r="AB383" s="211">
        <v>-0.72</v>
      </c>
      <c r="AC383" s="211">
        <v>0</v>
      </c>
      <c r="AD383" s="211">
        <v>0</v>
      </c>
      <c r="AE383" s="211">
        <v>7.45</v>
      </c>
      <c r="AF383" s="211">
        <v>-0.94</v>
      </c>
      <c r="AG383" s="204" t="s">
        <v>279</v>
      </c>
      <c r="AH383" s="211">
        <v>0</v>
      </c>
      <c r="AI383" s="211">
        <v>8.2899999999999991</v>
      </c>
      <c r="AJ383" s="211">
        <v>0</v>
      </c>
      <c r="AK383" s="204" t="str">
        <f t="shared" si="11"/>
        <v>1.00000000</v>
      </c>
      <c r="AL383" s="204">
        <v>20.2</v>
      </c>
    </row>
    <row r="384" spans="1:38" x14ac:dyDescent="0.2">
      <c r="A384" s="204" t="str">
        <f t="shared" si="12"/>
        <v>0496002595734</v>
      </c>
      <c r="B384" s="204">
        <v>1</v>
      </c>
      <c r="C384" s="204" t="s">
        <v>435</v>
      </c>
      <c r="D384" s="204">
        <v>81</v>
      </c>
      <c r="E384" s="204">
        <v>81</v>
      </c>
      <c r="F384" s="204" t="s">
        <v>243</v>
      </c>
      <c r="G384" s="204">
        <v>2086</v>
      </c>
      <c r="H384" s="204" t="s">
        <v>270</v>
      </c>
      <c r="I384" s="204">
        <v>5938</v>
      </c>
      <c r="J384" s="209">
        <v>42486</v>
      </c>
      <c r="K384" s="210">
        <v>0.59583333333333333</v>
      </c>
      <c r="L384" s="209">
        <v>42488</v>
      </c>
      <c r="M384" s="204" t="s">
        <v>271</v>
      </c>
      <c r="N384" s="204" t="s">
        <v>272</v>
      </c>
      <c r="O384" s="204" t="s">
        <v>273</v>
      </c>
      <c r="P384" s="204" t="s">
        <v>274</v>
      </c>
      <c r="Q384" s="204" t="s">
        <v>275</v>
      </c>
      <c r="R384" s="204" t="s">
        <v>276</v>
      </c>
      <c r="S384" s="204" t="s">
        <v>436</v>
      </c>
      <c r="T384" s="204" t="s">
        <v>435</v>
      </c>
      <c r="U384" s="204">
        <v>2086</v>
      </c>
      <c r="V384" s="204" t="s">
        <v>435</v>
      </c>
      <c r="W384" s="204" t="s">
        <v>280</v>
      </c>
      <c r="X384" s="204">
        <v>12.942</v>
      </c>
      <c r="Y384" s="211">
        <v>-0.39</v>
      </c>
      <c r="Z384" s="211">
        <v>2.2000000000000002</v>
      </c>
      <c r="AA384" s="211">
        <v>28.46</v>
      </c>
      <c r="AB384" s="211">
        <v>-2.37</v>
      </c>
      <c r="AC384" s="211">
        <v>0</v>
      </c>
      <c r="AD384" s="211">
        <v>0</v>
      </c>
      <c r="AE384" s="211">
        <v>25.7</v>
      </c>
      <c r="AF384" s="211">
        <v>-3.11</v>
      </c>
      <c r="AG384" s="204" t="s">
        <v>279</v>
      </c>
      <c r="AH384" s="211">
        <v>0</v>
      </c>
      <c r="AI384" s="211">
        <v>28.46</v>
      </c>
      <c r="AJ384" s="211">
        <v>0</v>
      </c>
      <c r="AK384" s="204" t="str">
        <f t="shared" si="11"/>
        <v>1.00000000</v>
      </c>
      <c r="AL384" s="204">
        <v>18</v>
      </c>
    </row>
    <row r="385" spans="1:38" x14ac:dyDescent="0.2">
      <c r="A385" s="204" t="str">
        <f t="shared" si="12"/>
        <v>0496002595734</v>
      </c>
      <c r="B385" s="204">
        <v>1</v>
      </c>
      <c r="C385" s="204" t="s">
        <v>435</v>
      </c>
      <c r="D385" s="204">
        <v>81</v>
      </c>
      <c r="E385" s="204">
        <v>81</v>
      </c>
      <c r="F385" s="204" t="s">
        <v>243</v>
      </c>
      <c r="G385" s="204">
        <v>2086</v>
      </c>
      <c r="H385" s="204" t="s">
        <v>270</v>
      </c>
      <c r="I385" s="204">
        <v>51202</v>
      </c>
      <c r="J385" s="209">
        <v>42490</v>
      </c>
      <c r="K385" s="210">
        <v>0.39652777777777781</v>
      </c>
      <c r="L385" s="209">
        <v>42493</v>
      </c>
      <c r="M385" s="204" t="s">
        <v>271</v>
      </c>
      <c r="N385" s="204" t="s">
        <v>272</v>
      </c>
      <c r="O385" s="204" t="s">
        <v>273</v>
      </c>
      <c r="P385" s="204" t="s">
        <v>274</v>
      </c>
      <c r="Q385" s="204" t="s">
        <v>275</v>
      </c>
      <c r="R385" s="204" t="s">
        <v>276</v>
      </c>
      <c r="S385" s="204" t="s">
        <v>436</v>
      </c>
      <c r="T385" s="204" t="s">
        <v>435</v>
      </c>
      <c r="U385" s="204">
        <v>2086</v>
      </c>
      <c r="V385" s="204" t="s">
        <v>435</v>
      </c>
      <c r="W385" s="204" t="s">
        <v>280</v>
      </c>
      <c r="X385" s="204">
        <v>13.483000000000001</v>
      </c>
      <c r="Y385" s="211">
        <v>-0.4</v>
      </c>
      <c r="Z385" s="211">
        <v>2.2000000000000002</v>
      </c>
      <c r="AA385" s="211">
        <v>29.65</v>
      </c>
      <c r="AB385" s="211">
        <v>-2.4700000000000002</v>
      </c>
      <c r="AC385" s="211">
        <v>0</v>
      </c>
      <c r="AD385" s="211">
        <v>0</v>
      </c>
      <c r="AE385" s="211">
        <v>26.78</v>
      </c>
      <c r="AF385" s="211">
        <v>-3.24</v>
      </c>
      <c r="AG385" s="204" t="s">
        <v>279</v>
      </c>
      <c r="AH385" s="211">
        <v>0</v>
      </c>
      <c r="AI385" s="211">
        <v>29.65</v>
      </c>
      <c r="AJ385" s="211">
        <v>0</v>
      </c>
      <c r="AK385" s="204" t="str">
        <f t="shared" si="11"/>
        <v>1.00000000</v>
      </c>
      <c r="AL385" s="204">
        <v>17.100000000000001</v>
      </c>
    </row>
    <row r="386" spans="1:38" x14ac:dyDescent="0.2">
      <c r="A386" s="204" t="str">
        <f t="shared" si="12"/>
        <v>0496002595734</v>
      </c>
      <c r="B386" s="204">
        <v>1</v>
      </c>
      <c r="C386" s="204" t="s">
        <v>435</v>
      </c>
      <c r="D386" s="204">
        <v>81</v>
      </c>
      <c r="E386" s="204">
        <v>81</v>
      </c>
      <c r="F386" s="204" t="s">
        <v>243</v>
      </c>
      <c r="G386" s="204">
        <v>2086</v>
      </c>
      <c r="H386" s="204" t="s">
        <v>270</v>
      </c>
      <c r="I386" s="204">
        <v>51363</v>
      </c>
      <c r="J386" s="209">
        <v>42491</v>
      </c>
      <c r="K386" s="210">
        <v>0.29583333333333334</v>
      </c>
      <c r="L386" s="209">
        <v>42493</v>
      </c>
      <c r="M386" s="204" t="s">
        <v>271</v>
      </c>
      <c r="N386" s="204" t="s">
        <v>272</v>
      </c>
      <c r="O386" s="204" t="s">
        <v>273</v>
      </c>
      <c r="P386" s="204" t="s">
        <v>274</v>
      </c>
      <c r="Q386" s="204" t="s">
        <v>275</v>
      </c>
      <c r="R386" s="204" t="s">
        <v>276</v>
      </c>
      <c r="S386" s="204" t="s">
        <v>436</v>
      </c>
      <c r="T386" s="204" t="s">
        <v>435</v>
      </c>
      <c r="U386" s="204">
        <v>2086</v>
      </c>
      <c r="V386" s="204" t="s">
        <v>435</v>
      </c>
      <c r="W386" s="204" t="s">
        <v>280</v>
      </c>
      <c r="X386" s="204">
        <v>7.13</v>
      </c>
      <c r="Y386" s="211">
        <v>-0.21</v>
      </c>
      <c r="Z386" s="211">
        <v>2.2000000000000002</v>
      </c>
      <c r="AA386" s="211">
        <v>15.68</v>
      </c>
      <c r="AB386" s="211">
        <v>-1.3</v>
      </c>
      <c r="AC386" s="211">
        <v>0</v>
      </c>
      <c r="AD386" s="211">
        <v>0</v>
      </c>
      <c r="AE386" s="211">
        <v>14.17</v>
      </c>
      <c r="AF386" s="211">
        <v>-1.71</v>
      </c>
      <c r="AG386" s="204" t="s">
        <v>279</v>
      </c>
      <c r="AH386" s="211">
        <v>0</v>
      </c>
      <c r="AI386" s="211">
        <v>15.68</v>
      </c>
      <c r="AJ386" s="211">
        <v>0</v>
      </c>
      <c r="AK386" s="204" t="str">
        <f t="shared" ref="AK386:AK449" si="13">"1.00000000"</f>
        <v>1.00000000</v>
      </c>
      <c r="AL386" s="204">
        <v>22.6</v>
      </c>
    </row>
    <row r="387" spans="1:38" x14ac:dyDescent="0.2">
      <c r="A387" s="204" t="str">
        <f t="shared" si="12"/>
        <v>0496002595734</v>
      </c>
      <c r="B387" s="204">
        <v>1</v>
      </c>
      <c r="C387" s="204" t="s">
        <v>435</v>
      </c>
      <c r="D387" s="204">
        <v>81</v>
      </c>
      <c r="E387" s="204">
        <v>81</v>
      </c>
      <c r="F387" s="204" t="s">
        <v>243</v>
      </c>
      <c r="G387" s="204">
        <v>2086</v>
      </c>
      <c r="H387" s="204" t="s">
        <v>270</v>
      </c>
      <c r="I387" s="204">
        <v>51560</v>
      </c>
      <c r="J387" s="209">
        <v>42493</v>
      </c>
      <c r="K387" s="210">
        <v>0.58124999999999993</v>
      </c>
      <c r="L387" s="209">
        <v>42495</v>
      </c>
      <c r="M387" s="204" t="s">
        <v>271</v>
      </c>
      <c r="N387" s="204" t="s">
        <v>272</v>
      </c>
      <c r="O387" s="204" t="s">
        <v>273</v>
      </c>
      <c r="P387" s="204" t="s">
        <v>274</v>
      </c>
      <c r="Q387" s="204" t="s">
        <v>275</v>
      </c>
      <c r="R387" s="204" t="s">
        <v>276</v>
      </c>
      <c r="S387" s="204" t="s">
        <v>436</v>
      </c>
      <c r="T387" s="204" t="s">
        <v>435</v>
      </c>
      <c r="U387" s="204">
        <v>2086</v>
      </c>
      <c r="V387" s="204" t="s">
        <v>435</v>
      </c>
      <c r="W387" s="204" t="s">
        <v>335</v>
      </c>
      <c r="X387" s="204">
        <v>9.5139999999999993</v>
      </c>
      <c r="Y387" s="211">
        <v>-0.28999999999999998</v>
      </c>
      <c r="Z387" s="211">
        <v>2.41</v>
      </c>
      <c r="AA387" s="211">
        <v>22.92</v>
      </c>
      <c r="AB387" s="211">
        <v>-1.74</v>
      </c>
      <c r="AC387" s="211">
        <v>0</v>
      </c>
      <c r="AD387" s="211">
        <v>0</v>
      </c>
      <c r="AE387" s="211">
        <v>20.89</v>
      </c>
      <c r="AF387" s="211">
        <v>-2.2799999999999998</v>
      </c>
      <c r="AG387" s="204" t="s">
        <v>279</v>
      </c>
      <c r="AH387" s="211">
        <v>0</v>
      </c>
      <c r="AI387" s="211">
        <v>22.92</v>
      </c>
      <c r="AJ387" s="211">
        <v>0</v>
      </c>
      <c r="AK387" s="204" t="str">
        <f t="shared" si="13"/>
        <v>1.00000000</v>
      </c>
      <c r="AL387" s="204">
        <v>20.7</v>
      </c>
    </row>
    <row r="388" spans="1:38" x14ac:dyDescent="0.2">
      <c r="A388" s="204" t="str">
        <f t="shared" si="12"/>
        <v>0496002595734</v>
      </c>
      <c r="B388" s="204">
        <v>1</v>
      </c>
      <c r="C388" s="204" t="s">
        <v>435</v>
      </c>
      <c r="D388" s="204">
        <v>81</v>
      </c>
      <c r="E388" s="204">
        <v>81</v>
      </c>
      <c r="F388" s="204" t="s">
        <v>243</v>
      </c>
      <c r="G388" s="204">
        <v>2086</v>
      </c>
      <c r="H388" s="204" t="s">
        <v>270</v>
      </c>
      <c r="I388" s="204">
        <v>51679</v>
      </c>
      <c r="J388" s="209">
        <v>42496</v>
      </c>
      <c r="K388" s="210">
        <v>0.35972222222222222</v>
      </c>
      <c r="L388" s="209">
        <v>42500</v>
      </c>
      <c r="M388" s="204" t="s">
        <v>271</v>
      </c>
      <c r="N388" s="204" t="s">
        <v>272</v>
      </c>
      <c r="O388" s="204" t="s">
        <v>273</v>
      </c>
      <c r="P388" s="204" t="s">
        <v>274</v>
      </c>
      <c r="Q388" s="204" t="s">
        <v>275</v>
      </c>
      <c r="R388" s="204" t="s">
        <v>276</v>
      </c>
      <c r="S388" s="204" t="s">
        <v>436</v>
      </c>
      <c r="T388" s="204" t="s">
        <v>435</v>
      </c>
      <c r="U388" s="204">
        <v>2086</v>
      </c>
      <c r="V388" s="204" t="s">
        <v>435</v>
      </c>
      <c r="W388" s="204" t="s">
        <v>280</v>
      </c>
      <c r="X388" s="204">
        <v>6.8609999999999998</v>
      </c>
      <c r="Y388" s="211">
        <v>-0.21</v>
      </c>
      <c r="Z388" s="211">
        <v>2.33</v>
      </c>
      <c r="AA388" s="211">
        <v>15.98</v>
      </c>
      <c r="AB388" s="211">
        <v>-1.26</v>
      </c>
      <c r="AC388" s="211">
        <v>0</v>
      </c>
      <c r="AD388" s="211">
        <v>0</v>
      </c>
      <c r="AE388" s="211">
        <v>14.51</v>
      </c>
      <c r="AF388" s="211">
        <v>-1.65</v>
      </c>
      <c r="AG388" s="204" t="s">
        <v>279</v>
      </c>
      <c r="AH388" s="211">
        <v>0</v>
      </c>
      <c r="AI388" s="211">
        <v>15.98</v>
      </c>
      <c r="AJ388" s="211">
        <v>0</v>
      </c>
      <c r="AK388" s="204" t="str">
        <f t="shared" si="13"/>
        <v>1.00000000</v>
      </c>
      <c r="AL388" s="204">
        <v>24</v>
      </c>
    </row>
    <row r="389" spans="1:38" x14ac:dyDescent="0.2">
      <c r="A389" s="204" t="str">
        <f t="shared" si="12"/>
        <v>0496002595734</v>
      </c>
      <c r="B389" s="204">
        <v>1</v>
      </c>
      <c r="C389" s="204" t="s">
        <v>435</v>
      </c>
      <c r="D389" s="204">
        <v>81</v>
      </c>
      <c r="E389" s="204">
        <v>81</v>
      </c>
      <c r="F389" s="204" t="s">
        <v>243</v>
      </c>
      <c r="G389" s="204">
        <v>2086</v>
      </c>
      <c r="H389" s="204" t="s">
        <v>270</v>
      </c>
      <c r="I389" s="204">
        <v>51883</v>
      </c>
      <c r="J389" s="209">
        <v>42502</v>
      </c>
      <c r="K389" s="210">
        <v>0.69652777777777775</v>
      </c>
      <c r="L389" s="209">
        <v>42506</v>
      </c>
      <c r="M389" s="204" t="s">
        <v>271</v>
      </c>
      <c r="N389" s="204" t="s">
        <v>272</v>
      </c>
      <c r="O389" s="204" t="s">
        <v>273</v>
      </c>
      <c r="P389" s="204" t="s">
        <v>274</v>
      </c>
      <c r="Q389" s="204" t="s">
        <v>275</v>
      </c>
      <c r="R389" s="204" t="s">
        <v>276</v>
      </c>
      <c r="S389" s="204" t="s">
        <v>436</v>
      </c>
      <c r="T389" s="204" t="s">
        <v>435</v>
      </c>
      <c r="U389" s="204">
        <v>2086</v>
      </c>
      <c r="V389" s="204" t="s">
        <v>435</v>
      </c>
      <c r="W389" s="204" t="s">
        <v>280</v>
      </c>
      <c r="X389" s="204">
        <v>12.319000000000001</v>
      </c>
      <c r="Y389" s="211">
        <v>-0.37</v>
      </c>
      <c r="Z389" s="211">
        <v>2.23</v>
      </c>
      <c r="AA389" s="211">
        <v>27.46</v>
      </c>
      <c r="AB389" s="211">
        <v>-2.25</v>
      </c>
      <c r="AC389" s="211">
        <v>0</v>
      </c>
      <c r="AD389" s="211">
        <v>0</v>
      </c>
      <c r="AE389" s="211">
        <v>24.84</v>
      </c>
      <c r="AF389" s="211">
        <v>-2.96</v>
      </c>
      <c r="AG389" s="204" t="s">
        <v>279</v>
      </c>
      <c r="AH389" s="211">
        <v>0</v>
      </c>
      <c r="AI389" s="211">
        <v>27.46</v>
      </c>
      <c r="AJ389" s="211">
        <v>0</v>
      </c>
      <c r="AK389" s="204" t="str">
        <f t="shared" si="13"/>
        <v>1.00000000</v>
      </c>
      <c r="AL389" s="204">
        <v>16.600000000000001</v>
      </c>
    </row>
    <row r="390" spans="1:38" x14ac:dyDescent="0.2">
      <c r="A390" s="204" t="str">
        <f t="shared" si="12"/>
        <v>0496002595734</v>
      </c>
      <c r="B390" s="204">
        <v>1</v>
      </c>
      <c r="C390" s="204" t="s">
        <v>435</v>
      </c>
      <c r="D390" s="204">
        <v>81</v>
      </c>
      <c r="E390" s="204">
        <v>81</v>
      </c>
      <c r="F390" s="204" t="s">
        <v>243</v>
      </c>
      <c r="G390" s="204">
        <v>2086</v>
      </c>
      <c r="H390" s="204" t="s">
        <v>270</v>
      </c>
      <c r="I390" s="204">
        <v>52200</v>
      </c>
      <c r="J390" s="209">
        <v>42504</v>
      </c>
      <c r="K390" s="210">
        <v>0.50416666666666665</v>
      </c>
      <c r="L390" s="209">
        <v>42507</v>
      </c>
      <c r="M390" s="204" t="s">
        <v>271</v>
      </c>
      <c r="N390" s="204" t="s">
        <v>272</v>
      </c>
      <c r="O390" s="204" t="s">
        <v>273</v>
      </c>
      <c r="P390" s="204" t="s">
        <v>274</v>
      </c>
      <c r="Q390" s="204" t="s">
        <v>275</v>
      </c>
      <c r="R390" s="204" t="s">
        <v>276</v>
      </c>
      <c r="S390" s="204" t="s">
        <v>436</v>
      </c>
      <c r="T390" s="204" t="s">
        <v>435</v>
      </c>
      <c r="U390" s="204">
        <v>2086</v>
      </c>
      <c r="V390" s="204" t="s">
        <v>435</v>
      </c>
      <c r="W390" s="204" t="s">
        <v>280</v>
      </c>
      <c r="X390" s="204">
        <v>15.446</v>
      </c>
      <c r="Y390" s="211">
        <v>-0.46</v>
      </c>
      <c r="Z390" s="211">
        <v>2.23</v>
      </c>
      <c r="AA390" s="211">
        <v>34.43</v>
      </c>
      <c r="AB390" s="211">
        <v>-2.83</v>
      </c>
      <c r="AC390" s="211">
        <v>0</v>
      </c>
      <c r="AD390" s="211">
        <v>0</v>
      </c>
      <c r="AE390" s="211">
        <v>31.14</v>
      </c>
      <c r="AF390" s="211">
        <v>-3.71</v>
      </c>
      <c r="AG390" s="204" t="s">
        <v>279</v>
      </c>
      <c r="AH390" s="211">
        <v>0</v>
      </c>
      <c r="AI390" s="211">
        <v>34.43</v>
      </c>
      <c r="AJ390" s="211">
        <v>0</v>
      </c>
      <c r="AK390" s="204" t="str">
        <f t="shared" si="13"/>
        <v>1.00000000</v>
      </c>
      <c r="AL390" s="204">
        <v>20.5</v>
      </c>
    </row>
    <row r="391" spans="1:38" x14ac:dyDescent="0.2">
      <c r="A391" s="204" t="str">
        <f t="shared" si="12"/>
        <v>0496002595734</v>
      </c>
      <c r="B391" s="204">
        <v>1</v>
      </c>
      <c r="C391" s="204" t="s">
        <v>435</v>
      </c>
      <c r="D391" s="204">
        <v>81</v>
      </c>
      <c r="E391" s="204">
        <v>81</v>
      </c>
      <c r="F391" s="204" t="s">
        <v>243</v>
      </c>
      <c r="G391" s="204">
        <v>2086</v>
      </c>
      <c r="H391" s="204" t="s">
        <v>270</v>
      </c>
      <c r="I391" s="204">
        <v>52310</v>
      </c>
      <c r="J391" s="209">
        <v>42505</v>
      </c>
      <c r="K391" s="210">
        <v>0.52361111111111114</v>
      </c>
      <c r="L391" s="209">
        <v>42507</v>
      </c>
      <c r="M391" s="204" t="s">
        <v>271</v>
      </c>
      <c r="N391" s="204" t="s">
        <v>272</v>
      </c>
      <c r="O391" s="204" t="s">
        <v>273</v>
      </c>
      <c r="P391" s="204" t="s">
        <v>274</v>
      </c>
      <c r="Q391" s="204" t="s">
        <v>275</v>
      </c>
      <c r="R391" s="204" t="s">
        <v>276</v>
      </c>
      <c r="S391" s="204" t="s">
        <v>436</v>
      </c>
      <c r="T391" s="204" t="s">
        <v>435</v>
      </c>
      <c r="U391" s="204">
        <v>2086</v>
      </c>
      <c r="V391" s="204" t="s">
        <v>435</v>
      </c>
      <c r="W391" s="204" t="s">
        <v>280</v>
      </c>
      <c r="X391" s="204">
        <v>6.0970000000000004</v>
      </c>
      <c r="Y391" s="211">
        <v>-0.18</v>
      </c>
      <c r="Z391" s="211">
        <v>2.2200000000000002</v>
      </c>
      <c r="AA391" s="211">
        <v>13.53</v>
      </c>
      <c r="AB391" s="211">
        <v>-1.1200000000000001</v>
      </c>
      <c r="AC391" s="211">
        <v>0</v>
      </c>
      <c r="AD391" s="211">
        <v>0</v>
      </c>
      <c r="AE391" s="211">
        <v>12.23</v>
      </c>
      <c r="AF391" s="211">
        <v>-1.46</v>
      </c>
      <c r="AG391" s="204" t="s">
        <v>279</v>
      </c>
      <c r="AH391" s="211">
        <v>0</v>
      </c>
      <c r="AI391" s="211">
        <v>13.53</v>
      </c>
      <c r="AJ391" s="211">
        <v>0</v>
      </c>
      <c r="AK391" s="204" t="str">
        <f t="shared" si="13"/>
        <v>1.00000000</v>
      </c>
      <c r="AL391" s="204">
        <v>18</v>
      </c>
    </row>
    <row r="392" spans="1:38" x14ac:dyDescent="0.2">
      <c r="A392" s="204" t="str">
        <f t="shared" si="12"/>
        <v>0496002595734</v>
      </c>
      <c r="B392" s="204">
        <v>1</v>
      </c>
      <c r="C392" s="204" t="s">
        <v>435</v>
      </c>
      <c r="D392" s="204">
        <v>81</v>
      </c>
      <c r="E392" s="204">
        <v>81</v>
      </c>
      <c r="F392" s="204" t="s">
        <v>243</v>
      </c>
      <c r="G392" s="204">
        <v>2086</v>
      </c>
      <c r="H392" s="204" t="s">
        <v>270</v>
      </c>
      <c r="I392" s="204">
        <v>52560</v>
      </c>
      <c r="J392" s="209">
        <v>42509</v>
      </c>
      <c r="K392" s="210">
        <v>9.3055555555555558E-2</v>
      </c>
      <c r="L392" s="209">
        <v>42510</v>
      </c>
      <c r="M392" s="204" t="s">
        <v>271</v>
      </c>
      <c r="N392" s="204" t="s">
        <v>272</v>
      </c>
      <c r="O392" s="204" t="s">
        <v>273</v>
      </c>
      <c r="P392" s="204" t="s">
        <v>274</v>
      </c>
      <c r="Q392" s="204" t="s">
        <v>275</v>
      </c>
      <c r="R392" s="204" t="s">
        <v>276</v>
      </c>
      <c r="S392" s="204" t="s">
        <v>436</v>
      </c>
      <c r="T392" s="204" t="s">
        <v>435</v>
      </c>
      <c r="U392" s="204">
        <v>2086</v>
      </c>
      <c r="V392" s="204" t="s">
        <v>435</v>
      </c>
      <c r="W392" s="204" t="s">
        <v>280</v>
      </c>
      <c r="X392" s="204">
        <v>11.57</v>
      </c>
      <c r="Y392" s="211">
        <v>-0.35</v>
      </c>
      <c r="Z392" s="211">
        <v>2.23</v>
      </c>
      <c r="AA392" s="211">
        <v>25.79</v>
      </c>
      <c r="AB392" s="211">
        <v>-2.12</v>
      </c>
      <c r="AC392" s="211">
        <v>0</v>
      </c>
      <c r="AD392" s="211">
        <v>0</v>
      </c>
      <c r="AE392" s="211">
        <v>23.32</v>
      </c>
      <c r="AF392" s="211">
        <v>-2.78</v>
      </c>
      <c r="AG392" s="204" t="s">
        <v>279</v>
      </c>
      <c r="AH392" s="211">
        <v>0</v>
      </c>
      <c r="AI392" s="211">
        <v>25.79</v>
      </c>
      <c r="AJ392" s="211">
        <v>0</v>
      </c>
      <c r="AK392" s="204" t="str">
        <f t="shared" si="13"/>
        <v>1.00000000</v>
      </c>
      <c r="AL392" s="204">
        <v>21.6</v>
      </c>
    </row>
    <row r="393" spans="1:38" x14ac:dyDescent="0.2">
      <c r="A393" s="204" t="str">
        <f t="shared" si="12"/>
        <v>0496002595734</v>
      </c>
      <c r="B393" s="204">
        <v>1</v>
      </c>
      <c r="C393" s="204" t="s">
        <v>435</v>
      </c>
      <c r="D393" s="204">
        <v>81</v>
      </c>
      <c r="E393" s="204">
        <v>81</v>
      </c>
      <c r="F393" s="204" t="s">
        <v>243</v>
      </c>
      <c r="G393" s="204">
        <v>2086</v>
      </c>
      <c r="H393" s="204" t="s">
        <v>270</v>
      </c>
      <c r="I393" s="204">
        <v>52827</v>
      </c>
      <c r="J393" s="209">
        <v>42512</v>
      </c>
      <c r="K393" s="210">
        <v>0.26041666666666669</v>
      </c>
      <c r="L393" s="209">
        <v>42514</v>
      </c>
      <c r="M393" s="204" t="s">
        <v>294</v>
      </c>
      <c r="N393" s="204" t="s">
        <v>379</v>
      </c>
      <c r="O393" s="204" t="s">
        <v>819</v>
      </c>
      <c r="P393" s="204" t="s">
        <v>820</v>
      </c>
      <c r="Q393" s="204" t="s">
        <v>309</v>
      </c>
      <c r="R393" s="204" t="s">
        <v>821</v>
      </c>
      <c r="S393" s="204" t="s">
        <v>436</v>
      </c>
      <c r="T393" s="204" t="s">
        <v>435</v>
      </c>
      <c r="U393" s="204">
        <v>2086</v>
      </c>
      <c r="V393" s="204" t="s">
        <v>435</v>
      </c>
      <c r="W393" s="204" t="s">
        <v>280</v>
      </c>
      <c r="X393" s="204">
        <v>13.95</v>
      </c>
      <c r="Y393" s="211">
        <v>0</v>
      </c>
      <c r="Z393" s="211">
        <v>2.5299999999999998</v>
      </c>
      <c r="AA393" s="211">
        <v>35.29</v>
      </c>
      <c r="AB393" s="211">
        <v>-2.5499999999999998</v>
      </c>
      <c r="AC393" s="211">
        <v>0</v>
      </c>
      <c r="AD393" s="211">
        <v>0</v>
      </c>
      <c r="AE393" s="211">
        <v>32.74</v>
      </c>
      <c r="AF393" s="211">
        <v>-3.49</v>
      </c>
      <c r="AG393" s="204" t="s">
        <v>279</v>
      </c>
      <c r="AH393" s="211">
        <v>0</v>
      </c>
      <c r="AI393" s="211">
        <v>35.29</v>
      </c>
      <c r="AJ393" s="211">
        <v>0</v>
      </c>
      <c r="AK393" s="204" t="str">
        <f t="shared" si="13"/>
        <v>1.00000000</v>
      </c>
      <c r="AL393" s="204">
        <v>19.100000000000001</v>
      </c>
    </row>
    <row r="394" spans="1:38" x14ac:dyDescent="0.2">
      <c r="A394" s="204" t="str">
        <f t="shared" si="12"/>
        <v>0496002595734</v>
      </c>
      <c r="B394" s="204">
        <v>1</v>
      </c>
      <c r="C394" s="204" t="s">
        <v>435</v>
      </c>
      <c r="D394" s="204">
        <v>81</v>
      </c>
      <c r="E394" s="204">
        <v>81</v>
      </c>
      <c r="F394" s="204" t="s">
        <v>243</v>
      </c>
      <c r="G394" s="204">
        <v>2086</v>
      </c>
      <c r="H394" s="204" t="s">
        <v>270</v>
      </c>
      <c r="I394" s="204">
        <v>56091</v>
      </c>
      <c r="J394" s="209">
        <v>42515</v>
      </c>
      <c r="K394" s="210">
        <v>0.89722222222222225</v>
      </c>
      <c r="L394" s="209">
        <v>42517</v>
      </c>
      <c r="M394" s="204" t="s">
        <v>271</v>
      </c>
      <c r="N394" s="204" t="s">
        <v>352</v>
      </c>
      <c r="O394" s="204" t="s">
        <v>353</v>
      </c>
      <c r="P394" s="204" t="s">
        <v>343</v>
      </c>
      <c r="Q394" s="204" t="s">
        <v>275</v>
      </c>
      <c r="R394" s="204" t="s">
        <v>602</v>
      </c>
      <c r="S394" s="204" t="s">
        <v>436</v>
      </c>
      <c r="T394" s="204" t="s">
        <v>435</v>
      </c>
      <c r="U394" s="204">
        <v>2086</v>
      </c>
      <c r="V394" s="204" t="s">
        <v>435</v>
      </c>
      <c r="W394" s="204" t="s">
        <v>280</v>
      </c>
      <c r="X394" s="204">
        <v>13.036</v>
      </c>
      <c r="Y394" s="211">
        <v>-0.39</v>
      </c>
      <c r="Z394" s="211">
        <v>2.2999999999999998</v>
      </c>
      <c r="AA394" s="211">
        <v>29.97</v>
      </c>
      <c r="AB394" s="211">
        <v>-2.39</v>
      </c>
      <c r="AC394" s="211">
        <v>0</v>
      </c>
      <c r="AD394" s="211">
        <v>0</v>
      </c>
      <c r="AE394" s="211">
        <v>27.19</v>
      </c>
      <c r="AF394" s="211">
        <v>-3.13</v>
      </c>
      <c r="AG394" s="204" t="s">
        <v>279</v>
      </c>
      <c r="AH394" s="211">
        <v>0</v>
      </c>
      <c r="AI394" s="211">
        <v>29.97</v>
      </c>
      <c r="AJ394" s="211">
        <v>0</v>
      </c>
      <c r="AK394" s="204" t="str">
        <f t="shared" si="13"/>
        <v>1.00000000</v>
      </c>
      <c r="AL394" s="204">
        <v>20.399999999999999</v>
      </c>
    </row>
    <row r="395" spans="1:38" x14ac:dyDescent="0.2">
      <c r="A395" s="204" t="str">
        <f t="shared" si="12"/>
        <v>0496002595734</v>
      </c>
      <c r="B395" s="204">
        <v>1</v>
      </c>
      <c r="C395" s="204" t="s">
        <v>435</v>
      </c>
      <c r="D395" s="204">
        <v>81</v>
      </c>
      <c r="E395" s="204">
        <v>81</v>
      </c>
      <c r="F395" s="204" t="s">
        <v>243</v>
      </c>
      <c r="G395" s="204">
        <v>2086</v>
      </c>
      <c r="H395" s="204" t="s">
        <v>270</v>
      </c>
      <c r="I395" s="204">
        <v>53211</v>
      </c>
      <c r="J395" s="209">
        <v>42518</v>
      </c>
      <c r="K395" s="210">
        <v>5.6250000000000001E-2</v>
      </c>
      <c r="L395" s="209">
        <v>42521</v>
      </c>
      <c r="M395" s="204" t="s">
        <v>271</v>
      </c>
      <c r="N395" s="204" t="s">
        <v>272</v>
      </c>
      <c r="O395" s="204" t="s">
        <v>273</v>
      </c>
      <c r="P395" s="204" t="s">
        <v>274</v>
      </c>
      <c r="Q395" s="204" t="s">
        <v>275</v>
      </c>
      <c r="R395" s="204" t="s">
        <v>276</v>
      </c>
      <c r="S395" s="204" t="s">
        <v>436</v>
      </c>
      <c r="T395" s="204" t="s">
        <v>435</v>
      </c>
      <c r="U395" s="204">
        <v>2086</v>
      </c>
      <c r="V395" s="204" t="s">
        <v>435</v>
      </c>
      <c r="W395" s="204" t="s">
        <v>280</v>
      </c>
      <c r="X395" s="204">
        <v>9.2260000000000009</v>
      </c>
      <c r="Y395" s="211">
        <v>-0.28000000000000003</v>
      </c>
      <c r="Z395" s="211">
        <v>2.29</v>
      </c>
      <c r="AA395" s="211">
        <v>21.12</v>
      </c>
      <c r="AB395" s="211">
        <v>-1.69</v>
      </c>
      <c r="AC395" s="211">
        <v>0</v>
      </c>
      <c r="AD395" s="211">
        <v>0</v>
      </c>
      <c r="AE395" s="211">
        <v>19.149999999999999</v>
      </c>
      <c r="AF395" s="211">
        <v>-2.21</v>
      </c>
      <c r="AG395" s="204" t="s">
        <v>279</v>
      </c>
      <c r="AH395" s="211">
        <v>0</v>
      </c>
      <c r="AI395" s="211">
        <v>21.12</v>
      </c>
      <c r="AJ395" s="211">
        <v>0</v>
      </c>
      <c r="AK395" s="204" t="str">
        <f t="shared" si="13"/>
        <v>1.00000000</v>
      </c>
      <c r="AL395" s="204">
        <v>20.399999999999999</v>
      </c>
    </row>
    <row r="396" spans="1:38" x14ac:dyDescent="0.2">
      <c r="A396" s="204" t="str">
        <f t="shared" si="12"/>
        <v>0496002595734</v>
      </c>
      <c r="B396" s="204">
        <v>1</v>
      </c>
      <c r="C396" s="204" t="s">
        <v>435</v>
      </c>
      <c r="D396" s="204">
        <v>81</v>
      </c>
      <c r="E396" s="204">
        <v>81</v>
      </c>
      <c r="F396" s="204" t="s">
        <v>243</v>
      </c>
      <c r="G396" s="204">
        <v>2086</v>
      </c>
      <c r="H396" s="204" t="s">
        <v>270</v>
      </c>
      <c r="I396" s="204">
        <v>53435</v>
      </c>
      <c r="J396" s="209">
        <v>42518</v>
      </c>
      <c r="K396" s="210">
        <v>0.66597222222222219</v>
      </c>
      <c r="L396" s="209">
        <v>42521</v>
      </c>
      <c r="M396" s="204" t="s">
        <v>271</v>
      </c>
      <c r="N396" s="204" t="s">
        <v>1016</v>
      </c>
      <c r="O396" s="204" t="s">
        <v>1017</v>
      </c>
      <c r="P396" s="204" t="s">
        <v>476</v>
      </c>
      <c r="Q396" s="204" t="s">
        <v>329</v>
      </c>
      <c r="R396" s="204" t="s">
        <v>1018</v>
      </c>
      <c r="S396" s="204" t="s">
        <v>436</v>
      </c>
      <c r="T396" s="204" t="s">
        <v>435</v>
      </c>
      <c r="U396" s="204">
        <v>2086</v>
      </c>
      <c r="V396" s="204" t="s">
        <v>435</v>
      </c>
      <c r="W396" s="204" t="s">
        <v>330</v>
      </c>
      <c r="X396" s="204">
        <v>10.914999999999999</v>
      </c>
      <c r="Y396" s="211">
        <v>-0.22</v>
      </c>
      <c r="Z396" s="211">
        <v>2.6</v>
      </c>
      <c r="AA396" s="211">
        <v>28.37</v>
      </c>
      <c r="AB396" s="211">
        <v>-2</v>
      </c>
      <c r="AC396" s="211">
        <v>0</v>
      </c>
      <c r="AD396" s="211">
        <v>0</v>
      </c>
      <c r="AE396" s="211">
        <v>26.15</v>
      </c>
      <c r="AF396" s="211">
        <v>-4.82</v>
      </c>
      <c r="AG396" s="204" t="s">
        <v>279</v>
      </c>
      <c r="AH396" s="211">
        <v>0</v>
      </c>
      <c r="AI396" s="211">
        <v>28.37</v>
      </c>
      <c r="AJ396" s="211">
        <v>0</v>
      </c>
      <c r="AK396" s="204" t="str">
        <f t="shared" si="13"/>
        <v>1.00000000</v>
      </c>
      <c r="AL396" s="204">
        <v>20.5</v>
      </c>
    </row>
    <row r="397" spans="1:38" x14ac:dyDescent="0.2">
      <c r="A397" s="204" t="str">
        <f t="shared" si="12"/>
        <v>0496002595734</v>
      </c>
      <c r="B397" s="204">
        <v>1</v>
      </c>
      <c r="C397" s="204" t="s">
        <v>435</v>
      </c>
      <c r="D397" s="204">
        <v>81</v>
      </c>
      <c r="E397" s="204">
        <v>81</v>
      </c>
      <c r="F397" s="204" t="s">
        <v>243</v>
      </c>
      <c r="G397" s="204">
        <v>2086</v>
      </c>
      <c r="H397" s="204" t="s">
        <v>270</v>
      </c>
      <c r="I397" s="204">
        <v>53906</v>
      </c>
      <c r="J397" s="209">
        <v>42521</v>
      </c>
      <c r="K397" s="210">
        <v>0.40347222222222223</v>
      </c>
      <c r="L397" s="209">
        <v>42523</v>
      </c>
      <c r="M397" s="204" t="s">
        <v>271</v>
      </c>
      <c r="N397" s="204" t="s">
        <v>272</v>
      </c>
      <c r="O397" s="204" t="s">
        <v>273</v>
      </c>
      <c r="P397" s="204" t="s">
        <v>274</v>
      </c>
      <c r="Q397" s="204" t="s">
        <v>275</v>
      </c>
      <c r="R397" s="204" t="s">
        <v>276</v>
      </c>
      <c r="S397" s="204" t="s">
        <v>436</v>
      </c>
      <c r="T397" s="204" t="s">
        <v>435</v>
      </c>
      <c r="U397" s="204">
        <v>2086</v>
      </c>
      <c r="V397" s="204" t="s">
        <v>435</v>
      </c>
      <c r="W397" s="204" t="s">
        <v>280</v>
      </c>
      <c r="X397" s="204">
        <v>15.391</v>
      </c>
      <c r="Y397" s="211">
        <v>-0.46</v>
      </c>
      <c r="Z397" s="211">
        <v>2.31</v>
      </c>
      <c r="AA397" s="211">
        <v>35.54</v>
      </c>
      <c r="AB397" s="211">
        <v>-2.82</v>
      </c>
      <c r="AC397" s="211">
        <v>0</v>
      </c>
      <c r="AD397" s="211">
        <v>0</v>
      </c>
      <c r="AE397" s="211">
        <v>32.26</v>
      </c>
      <c r="AF397" s="211">
        <v>-3.69</v>
      </c>
      <c r="AG397" s="204" t="s">
        <v>279</v>
      </c>
      <c r="AH397" s="211">
        <v>0</v>
      </c>
      <c r="AI397" s="211">
        <v>35.54</v>
      </c>
      <c r="AJ397" s="211">
        <v>0</v>
      </c>
      <c r="AK397" s="204" t="str">
        <f t="shared" si="13"/>
        <v>1.00000000</v>
      </c>
      <c r="AL397" s="204">
        <v>20.399999999999999</v>
      </c>
    </row>
    <row r="398" spans="1:38" x14ac:dyDescent="0.2">
      <c r="A398" s="204" t="str">
        <f t="shared" si="12"/>
        <v>0496002595734</v>
      </c>
      <c r="B398" s="204">
        <v>1</v>
      </c>
      <c r="C398" s="204" t="s">
        <v>435</v>
      </c>
      <c r="D398" s="204">
        <v>81</v>
      </c>
      <c r="E398" s="204">
        <v>81</v>
      </c>
      <c r="F398" s="204" t="s">
        <v>243</v>
      </c>
      <c r="G398" s="204">
        <v>2086</v>
      </c>
      <c r="H398" s="204" t="s">
        <v>270</v>
      </c>
      <c r="I398" s="204">
        <v>54062</v>
      </c>
      <c r="J398" s="209">
        <v>42526</v>
      </c>
      <c r="K398" s="210">
        <v>0.58402777777777781</v>
      </c>
      <c r="L398" s="209">
        <v>42528</v>
      </c>
      <c r="M398" s="204" t="s">
        <v>271</v>
      </c>
      <c r="N398" s="204" t="s">
        <v>272</v>
      </c>
      <c r="O398" s="204" t="s">
        <v>273</v>
      </c>
      <c r="P398" s="204" t="s">
        <v>274</v>
      </c>
      <c r="Q398" s="204" t="s">
        <v>275</v>
      </c>
      <c r="R398" s="204" t="s">
        <v>276</v>
      </c>
      <c r="S398" s="204" t="s">
        <v>436</v>
      </c>
      <c r="T398" s="204" t="s">
        <v>435</v>
      </c>
      <c r="U398" s="204">
        <v>2086</v>
      </c>
      <c r="V398" s="204" t="s">
        <v>435</v>
      </c>
      <c r="W398" s="204" t="s">
        <v>280</v>
      </c>
      <c r="X398" s="204">
        <v>9.8879999999999999</v>
      </c>
      <c r="Y398" s="211">
        <v>-0.3</v>
      </c>
      <c r="Z398" s="211">
        <v>2.33</v>
      </c>
      <c r="AA398" s="211">
        <v>23.03</v>
      </c>
      <c r="AB398" s="211">
        <v>-1.81</v>
      </c>
      <c r="AC398" s="211">
        <v>0</v>
      </c>
      <c r="AD398" s="211">
        <v>0</v>
      </c>
      <c r="AE398" s="211">
        <v>20.92</v>
      </c>
      <c r="AF398" s="211">
        <v>-2.37</v>
      </c>
      <c r="AG398" s="204" t="s">
        <v>279</v>
      </c>
      <c r="AH398" s="211">
        <v>0</v>
      </c>
      <c r="AI398" s="211">
        <v>23.03</v>
      </c>
      <c r="AJ398" s="211">
        <v>0</v>
      </c>
      <c r="AK398" s="204" t="str">
        <f t="shared" si="13"/>
        <v>1.00000000</v>
      </c>
      <c r="AL398" s="204">
        <v>15.8</v>
      </c>
    </row>
    <row r="399" spans="1:38" x14ac:dyDescent="0.2">
      <c r="A399" s="204" t="str">
        <f t="shared" si="12"/>
        <v>0496002595734</v>
      </c>
      <c r="B399" s="204">
        <v>1</v>
      </c>
      <c r="C399" s="204" t="s">
        <v>435</v>
      </c>
      <c r="D399" s="204">
        <v>81</v>
      </c>
      <c r="E399" s="204">
        <v>81</v>
      </c>
      <c r="F399" s="204" t="s">
        <v>243</v>
      </c>
      <c r="G399" s="204">
        <v>2086</v>
      </c>
      <c r="H399" s="204" t="s">
        <v>270</v>
      </c>
      <c r="I399" s="204">
        <v>54230</v>
      </c>
      <c r="J399" s="209">
        <v>42528</v>
      </c>
      <c r="K399" s="210">
        <v>0.43055555555555558</v>
      </c>
      <c r="L399" s="209">
        <v>42530</v>
      </c>
      <c r="M399" s="204" t="s">
        <v>271</v>
      </c>
      <c r="N399" s="204" t="s">
        <v>272</v>
      </c>
      <c r="O399" s="204" t="s">
        <v>273</v>
      </c>
      <c r="P399" s="204" t="s">
        <v>274</v>
      </c>
      <c r="Q399" s="204" t="s">
        <v>275</v>
      </c>
      <c r="R399" s="204" t="s">
        <v>276</v>
      </c>
      <c r="S399" s="204" t="s">
        <v>436</v>
      </c>
      <c r="T399" s="204" t="s">
        <v>435</v>
      </c>
      <c r="U399" s="204">
        <v>2086</v>
      </c>
      <c r="V399" s="204" t="s">
        <v>435</v>
      </c>
      <c r="W399" s="204" t="s">
        <v>280</v>
      </c>
      <c r="X399" s="204">
        <v>9.5399999999999991</v>
      </c>
      <c r="Y399" s="211">
        <v>-0.28999999999999998</v>
      </c>
      <c r="Z399" s="211">
        <v>2.33</v>
      </c>
      <c r="AA399" s="211">
        <v>22.22</v>
      </c>
      <c r="AB399" s="211">
        <v>-1.75</v>
      </c>
      <c r="AC399" s="211">
        <v>0</v>
      </c>
      <c r="AD399" s="211">
        <v>0</v>
      </c>
      <c r="AE399" s="211">
        <v>20.18</v>
      </c>
      <c r="AF399" s="211">
        <v>-2.29</v>
      </c>
      <c r="AG399" s="204" t="s">
        <v>279</v>
      </c>
      <c r="AH399" s="211">
        <v>0</v>
      </c>
      <c r="AI399" s="211">
        <v>22.22</v>
      </c>
      <c r="AJ399" s="211">
        <v>0</v>
      </c>
      <c r="AK399" s="204" t="str">
        <f t="shared" si="13"/>
        <v>1.00000000</v>
      </c>
      <c r="AL399" s="204">
        <v>17.600000000000001</v>
      </c>
    </row>
    <row r="400" spans="1:38" x14ac:dyDescent="0.2">
      <c r="A400" s="204" t="str">
        <f t="shared" si="12"/>
        <v>0496002595734</v>
      </c>
      <c r="B400" s="204">
        <v>1</v>
      </c>
      <c r="C400" s="204" t="s">
        <v>435</v>
      </c>
      <c r="D400" s="204">
        <v>81</v>
      </c>
      <c r="E400" s="204">
        <v>81</v>
      </c>
      <c r="F400" s="204" t="s">
        <v>243</v>
      </c>
      <c r="G400" s="204">
        <v>2086</v>
      </c>
      <c r="H400" s="204" t="s">
        <v>270</v>
      </c>
      <c r="I400" s="204">
        <v>14000</v>
      </c>
      <c r="J400" s="209">
        <v>42532</v>
      </c>
      <c r="K400" s="210">
        <v>0.70622685185185186</v>
      </c>
      <c r="L400" s="209">
        <v>42535</v>
      </c>
      <c r="M400" s="204" t="s">
        <v>781</v>
      </c>
      <c r="N400" s="204" t="s">
        <v>1019</v>
      </c>
      <c r="O400" s="204" t="s">
        <v>1020</v>
      </c>
      <c r="P400" s="204" t="s">
        <v>1021</v>
      </c>
      <c r="Q400" s="204" t="s">
        <v>275</v>
      </c>
      <c r="R400" s="204" t="s">
        <v>1022</v>
      </c>
      <c r="S400" s="204" t="s">
        <v>436</v>
      </c>
      <c r="T400" s="204" t="s">
        <v>435</v>
      </c>
      <c r="U400" s="204">
        <v>2086</v>
      </c>
      <c r="V400" s="204" t="s">
        <v>435</v>
      </c>
      <c r="W400" s="204" t="s">
        <v>280</v>
      </c>
      <c r="X400" s="204">
        <v>12.8</v>
      </c>
      <c r="Y400" s="211">
        <v>0</v>
      </c>
      <c r="Z400" s="211">
        <v>2.2999999999999998</v>
      </c>
      <c r="AA400" s="211">
        <v>29.43</v>
      </c>
      <c r="AB400" s="211">
        <v>-2.34</v>
      </c>
      <c r="AC400" s="211">
        <v>0</v>
      </c>
      <c r="AD400" s="211">
        <v>0</v>
      </c>
      <c r="AE400" s="211">
        <v>27.09</v>
      </c>
      <c r="AF400" s="211">
        <v>-3.07</v>
      </c>
      <c r="AG400" s="204" t="s">
        <v>279</v>
      </c>
      <c r="AH400" s="211">
        <v>0</v>
      </c>
      <c r="AI400" s="211">
        <v>29.43</v>
      </c>
      <c r="AJ400" s="211">
        <v>0</v>
      </c>
      <c r="AK400" s="204" t="str">
        <f t="shared" si="13"/>
        <v>1.00000000</v>
      </c>
      <c r="AL400" s="204">
        <v>15.8</v>
      </c>
    </row>
    <row r="401" spans="1:38" x14ac:dyDescent="0.2">
      <c r="A401" s="204" t="str">
        <f t="shared" si="12"/>
        <v>0496002595734</v>
      </c>
      <c r="B401" s="204">
        <v>1</v>
      </c>
      <c r="C401" s="204" t="s">
        <v>435</v>
      </c>
      <c r="D401" s="204">
        <v>81</v>
      </c>
      <c r="E401" s="204">
        <v>81</v>
      </c>
      <c r="F401" s="204" t="s">
        <v>243</v>
      </c>
      <c r="G401" s="204">
        <v>2086</v>
      </c>
      <c r="H401" s="204" t="s">
        <v>270</v>
      </c>
      <c r="I401" s="204">
        <v>54741</v>
      </c>
      <c r="J401" s="209">
        <v>42535</v>
      </c>
      <c r="K401" s="210">
        <v>7.6388888888888886E-3</v>
      </c>
      <c r="L401" s="209">
        <v>42536</v>
      </c>
      <c r="M401" s="204" t="s">
        <v>271</v>
      </c>
      <c r="N401" s="204" t="s">
        <v>272</v>
      </c>
      <c r="O401" s="204" t="s">
        <v>273</v>
      </c>
      <c r="P401" s="204" t="s">
        <v>274</v>
      </c>
      <c r="Q401" s="204" t="s">
        <v>275</v>
      </c>
      <c r="R401" s="204" t="s">
        <v>276</v>
      </c>
      <c r="S401" s="204" t="s">
        <v>436</v>
      </c>
      <c r="T401" s="204" t="s">
        <v>435</v>
      </c>
      <c r="U401" s="204">
        <v>2086</v>
      </c>
      <c r="V401" s="204" t="s">
        <v>435</v>
      </c>
      <c r="W401" s="204" t="s">
        <v>278</v>
      </c>
      <c r="X401" s="204">
        <v>15.5</v>
      </c>
      <c r="Y401" s="211">
        <v>-0.47</v>
      </c>
      <c r="Z401" s="211">
        <v>2.67</v>
      </c>
      <c r="AA401" s="211">
        <v>41.37</v>
      </c>
      <c r="AB401" s="211">
        <v>-2.84</v>
      </c>
      <c r="AC401" s="211">
        <v>0</v>
      </c>
      <c r="AD401" s="211">
        <v>0</v>
      </c>
      <c r="AE401" s="211">
        <v>38.06</v>
      </c>
      <c r="AF401" s="211">
        <v>-3.72</v>
      </c>
      <c r="AG401" s="204" t="s">
        <v>279</v>
      </c>
      <c r="AH401" s="211">
        <v>0</v>
      </c>
      <c r="AI401" s="211">
        <v>41.37</v>
      </c>
      <c r="AJ401" s="211">
        <v>0</v>
      </c>
      <c r="AK401" s="204" t="str">
        <f t="shared" si="13"/>
        <v>1.00000000</v>
      </c>
      <c r="AL401" s="204">
        <v>19.899999999999999</v>
      </c>
    </row>
    <row r="402" spans="1:38" x14ac:dyDescent="0.2">
      <c r="A402" s="204" t="str">
        <f t="shared" si="12"/>
        <v>0496002595734</v>
      </c>
      <c r="B402" s="204">
        <v>1</v>
      </c>
      <c r="C402" s="204" t="s">
        <v>435</v>
      </c>
      <c r="D402" s="204">
        <v>81</v>
      </c>
      <c r="E402" s="204">
        <v>81</v>
      </c>
      <c r="F402" s="204" t="s">
        <v>243</v>
      </c>
      <c r="G402" s="204">
        <v>2086</v>
      </c>
      <c r="H402" s="204" t="s">
        <v>270</v>
      </c>
      <c r="I402" s="204">
        <v>58959</v>
      </c>
      <c r="J402" s="209">
        <v>42538</v>
      </c>
      <c r="K402" s="210">
        <v>0.97152777777777777</v>
      </c>
      <c r="L402" s="209">
        <v>42542</v>
      </c>
      <c r="M402" s="204" t="s">
        <v>271</v>
      </c>
      <c r="N402" s="204" t="s">
        <v>272</v>
      </c>
      <c r="O402" s="204" t="s">
        <v>273</v>
      </c>
      <c r="P402" s="204" t="s">
        <v>274</v>
      </c>
      <c r="Q402" s="204" t="s">
        <v>275</v>
      </c>
      <c r="R402" s="204" t="s">
        <v>276</v>
      </c>
      <c r="S402" s="204" t="s">
        <v>436</v>
      </c>
      <c r="T402" s="204" t="s">
        <v>435</v>
      </c>
      <c r="U402" s="204">
        <v>2086</v>
      </c>
      <c r="V402" s="204" t="s">
        <v>435</v>
      </c>
      <c r="W402" s="204" t="s">
        <v>280</v>
      </c>
      <c r="X402" s="204">
        <v>5.9450000000000003</v>
      </c>
      <c r="Y402" s="211">
        <v>-0.18</v>
      </c>
      <c r="Z402" s="211">
        <v>2.33</v>
      </c>
      <c r="AA402" s="211">
        <v>13.84</v>
      </c>
      <c r="AB402" s="211">
        <v>-1.0900000000000001</v>
      </c>
      <c r="AC402" s="211">
        <v>0</v>
      </c>
      <c r="AD402" s="211">
        <v>0</v>
      </c>
      <c r="AE402" s="211">
        <v>12.57</v>
      </c>
      <c r="AF402" s="211">
        <v>-1.43</v>
      </c>
      <c r="AG402" s="204" t="s">
        <v>279</v>
      </c>
      <c r="AH402" s="211">
        <v>0</v>
      </c>
      <c r="AI402" s="211">
        <v>13.84</v>
      </c>
      <c r="AJ402" s="211">
        <v>0</v>
      </c>
      <c r="AK402" s="204" t="str">
        <f t="shared" si="13"/>
        <v>1.00000000</v>
      </c>
      <c r="AL402" s="204">
        <v>19.5</v>
      </c>
    </row>
    <row r="403" spans="1:38" x14ac:dyDescent="0.2">
      <c r="A403" s="204" t="str">
        <f t="shared" si="12"/>
        <v>0496002595734</v>
      </c>
      <c r="B403" s="204">
        <v>1</v>
      </c>
      <c r="C403" s="204" t="s">
        <v>435</v>
      </c>
      <c r="D403" s="204">
        <v>81</v>
      </c>
      <c r="E403" s="204">
        <v>81</v>
      </c>
      <c r="F403" s="204" t="s">
        <v>243</v>
      </c>
      <c r="G403" s="204">
        <v>2086</v>
      </c>
      <c r="H403" s="204" t="s">
        <v>270</v>
      </c>
      <c r="I403" s="204">
        <v>55042</v>
      </c>
      <c r="J403" s="209">
        <v>42540</v>
      </c>
      <c r="K403" s="210">
        <v>0.53611111111111109</v>
      </c>
      <c r="L403" s="209">
        <v>42542</v>
      </c>
      <c r="M403" s="204" t="s">
        <v>271</v>
      </c>
      <c r="N403" s="204" t="s">
        <v>272</v>
      </c>
      <c r="O403" s="204" t="s">
        <v>273</v>
      </c>
      <c r="P403" s="204" t="s">
        <v>274</v>
      </c>
      <c r="Q403" s="204" t="s">
        <v>275</v>
      </c>
      <c r="R403" s="204" t="s">
        <v>276</v>
      </c>
      <c r="S403" s="204" t="s">
        <v>436</v>
      </c>
      <c r="T403" s="204" t="s">
        <v>435</v>
      </c>
      <c r="U403" s="204">
        <v>2086</v>
      </c>
      <c r="V403" s="204" t="s">
        <v>435</v>
      </c>
      <c r="W403" s="204" t="s">
        <v>280</v>
      </c>
      <c r="X403" s="204">
        <v>11.365</v>
      </c>
      <c r="Y403" s="211">
        <v>-0.34</v>
      </c>
      <c r="Z403" s="211">
        <v>2.33</v>
      </c>
      <c r="AA403" s="211">
        <v>26.47</v>
      </c>
      <c r="AB403" s="211">
        <v>-2.08</v>
      </c>
      <c r="AC403" s="211">
        <v>0</v>
      </c>
      <c r="AD403" s="211">
        <v>0</v>
      </c>
      <c r="AE403" s="211">
        <v>24.05</v>
      </c>
      <c r="AF403" s="211">
        <v>-2.73</v>
      </c>
      <c r="AG403" s="204" t="s">
        <v>279</v>
      </c>
      <c r="AH403" s="211">
        <v>0</v>
      </c>
      <c r="AI403" s="211">
        <v>26.47</v>
      </c>
      <c r="AJ403" s="211">
        <v>0</v>
      </c>
      <c r="AK403" s="204" t="str">
        <f t="shared" si="13"/>
        <v>1.00000000</v>
      </c>
      <c r="AL403" s="204">
        <v>19.5</v>
      </c>
    </row>
    <row r="404" spans="1:38" x14ac:dyDescent="0.2">
      <c r="A404" s="204" t="str">
        <f t="shared" si="12"/>
        <v>0496002595734</v>
      </c>
      <c r="B404" s="204">
        <v>1</v>
      </c>
      <c r="C404" s="204" t="s">
        <v>435</v>
      </c>
      <c r="D404" s="204">
        <v>81</v>
      </c>
      <c r="E404" s="204">
        <v>81</v>
      </c>
      <c r="F404" s="204" t="s">
        <v>243</v>
      </c>
      <c r="G404" s="204">
        <v>2086</v>
      </c>
      <c r="H404" s="204" t="s">
        <v>270</v>
      </c>
      <c r="I404" s="204">
        <v>55281</v>
      </c>
      <c r="J404" s="209">
        <v>42546</v>
      </c>
      <c r="K404" s="210">
        <v>0.48402777777777778</v>
      </c>
      <c r="L404" s="209">
        <v>42549</v>
      </c>
      <c r="M404" s="204" t="s">
        <v>271</v>
      </c>
      <c r="N404" s="204" t="s">
        <v>272</v>
      </c>
      <c r="O404" s="204" t="s">
        <v>273</v>
      </c>
      <c r="P404" s="204" t="s">
        <v>274</v>
      </c>
      <c r="Q404" s="204" t="s">
        <v>275</v>
      </c>
      <c r="R404" s="204" t="s">
        <v>276</v>
      </c>
      <c r="S404" s="204" t="s">
        <v>436</v>
      </c>
      <c r="T404" s="204" t="s">
        <v>435</v>
      </c>
      <c r="U404" s="204">
        <v>2086</v>
      </c>
      <c r="V404" s="204" t="s">
        <v>435</v>
      </c>
      <c r="W404" s="204" t="s">
        <v>280</v>
      </c>
      <c r="X404" s="204">
        <v>13.837999999999999</v>
      </c>
      <c r="Y404" s="211">
        <v>-0.42</v>
      </c>
      <c r="Z404" s="211">
        <v>2.33</v>
      </c>
      <c r="AA404" s="211">
        <v>32.229999999999997</v>
      </c>
      <c r="AB404" s="211">
        <v>-2.5299999999999998</v>
      </c>
      <c r="AC404" s="211">
        <v>0</v>
      </c>
      <c r="AD404" s="211">
        <v>0</v>
      </c>
      <c r="AE404" s="211">
        <v>29.28</v>
      </c>
      <c r="AF404" s="211">
        <v>-3.32</v>
      </c>
      <c r="AG404" s="204" t="s">
        <v>279</v>
      </c>
      <c r="AH404" s="211">
        <v>0</v>
      </c>
      <c r="AI404" s="211">
        <v>32.229999999999997</v>
      </c>
      <c r="AJ404" s="211">
        <v>0</v>
      </c>
      <c r="AK404" s="204" t="str">
        <f t="shared" si="13"/>
        <v>1.00000000</v>
      </c>
      <c r="AL404" s="204">
        <v>17.3</v>
      </c>
    </row>
    <row r="405" spans="1:38" x14ac:dyDescent="0.2">
      <c r="A405" s="204" t="str">
        <f t="shared" si="12"/>
        <v>0496002595734</v>
      </c>
      <c r="B405" s="204">
        <v>1</v>
      </c>
      <c r="C405" s="204" t="s">
        <v>435</v>
      </c>
      <c r="D405" s="204">
        <v>81</v>
      </c>
      <c r="E405" s="204">
        <v>81</v>
      </c>
      <c r="F405" s="204" t="s">
        <v>243</v>
      </c>
      <c r="G405" s="204">
        <v>2086</v>
      </c>
      <c r="H405" s="204" t="s">
        <v>270</v>
      </c>
      <c r="I405" s="204">
        <v>14000</v>
      </c>
      <c r="J405" s="209">
        <v>42547</v>
      </c>
      <c r="K405" s="210">
        <v>0.38263888888888892</v>
      </c>
      <c r="L405" s="209">
        <v>42549</v>
      </c>
      <c r="M405" s="204" t="s">
        <v>271</v>
      </c>
      <c r="N405" s="204" t="s">
        <v>1023</v>
      </c>
      <c r="O405" s="204" t="s">
        <v>1024</v>
      </c>
      <c r="P405" s="204" t="s">
        <v>1025</v>
      </c>
      <c r="Q405" s="204" t="s">
        <v>329</v>
      </c>
      <c r="R405" s="204" t="s">
        <v>1026</v>
      </c>
      <c r="S405" s="204" t="s">
        <v>436</v>
      </c>
      <c r="T405" s="204" t="s">
        <v>435</v>
      </c>
      <c r="U405" s="204">
        <v>2086</v>
      </c>
      <c r="V405" s="204" t="s">
        <v>435</v>
      </c>
      <c r="W405" s="204" t="s">
        <v>280</v>
      </c>
      <c r="X405" s="204">
        <v>8.0459999999999994</v>
      </c>
      <c r="Y405" s="211">
        <v>-0.16</v>
      </c>
      <c r="Z405" s="211">
        <v>2.3199999999999998</v>
      </c>
      <c r="AA405" s="211">
        <v>18.66</v>
      </c>
      <c r="AB405" s="211">
        <v>-1.47</v>
      </c>
      <c r="AC405" s="211">
        <v>0</v>
      </c>
      <c r="AD405" s="211">
        <v>0</v>
      </c>
      <c r="AE405" s="211">
        <v>17.03</v>
      </c>
      <c r="AF405" s="211">
        <v>-3.32</v>
      </c>
      <c r="AG405" s="204" t="s">
        <v>279</v>
      </c>
      <c r="AH405" s="211">
        <v>0</v>
      </c>
      <c r="AI405" s="211">
        <v>18.66</v>
      </c>
      <c r="AJ405" s="211">
        <v>0</v>
      </c>
      <c r="AK405" s="204" t="str">
        <f t="shared" si="13"/>
        <v>1.00000000</v>
      </c>
      <c r="AL405" s="204">
        <v>19.5</v>
      </c>
    </row>
    <row r="406" spans="1:38" x14ac:dyDescent="0.2">
      <c r="A406" s="204" t="str">
        <f t="shared" si="12"/>
        <v>0496002595734</v>
      </c>
      <c r="B406" s="204">
        <v>1</v>
      </c>
      <c r="C406" s="204" t="s">
        <v>435</v>
      </c>
      <c r="D406" s="204">
        <v>81</v>
      </c>
      <c r="E406" s="204">
        <v>81</v>
      </c>
      <c r="F406" s="204" t="s">
        <v>243</v>
      </c>
      <c r="G406" s="204">
        <v>2086</v>
      </c>
      <c r="H406" s="204" t="s">
        <v>270</v>
      </c>
      <c r="I406" s="204">
        <v>5286</v>
      </c>
      <c r="J406" s="209">
        <v>42547</v>
      </c>
      <c r="K406" s="210">
        <v>0.63958333333333328</v>
      </c>
      <c r="L406" s="209">
        <v>42550</v>
      </c>
      <c r="M406" s="204" t="s">
        <v>325</v>
      </c>
      <c r="N406" s="204" t="s">
        <v>326</v>
      </c>
      <c r="O406" s="204" t="s">
        <v>404</v>
      </c>
      <c r="P406" s="204" t="s">
        <v>405</v>
      </c>
      <c r="Q406" s="204" t="s">
        <v>289</v>
      </c>
      <c r="R406" s="204">
        <v>8512</v>
      </c>
      <c r="S406" s="204" t="s">
        <v>436</v>
      </c>
      <c r="T406" s="204" t="s">
        <v>435</v>
      </c>
      <c r="U406" s="204">
        <v>2086</v>
      </c>
      <c r="V406" s="204" t="s">
        <v>435</v>
      </c>
      <c r="W406" s="204" t="s">
        <v>330</v>
      </c>
      <c r="X406" s="204">
        <v>14.723000000000001</v>
      </c>
      <c r="Y406" s="211">
        <v>0</v>
      </c>
      <c r="Z406" s="211">
        <v>2.15</v>
      </c>
      <c r="AA406" s="211">
        <v>31.64</v>
      </c>
      <c r="AB406" s="211">
        <v>-2.69</v>
      </c>
      <c r="AC406" s="211">
        <v>0</v>
      </c>
      <c r="AD406" s="211">
        <v>0</v>
      </c>
      <c r="AE406" s="211">
        <v>28.95</v>
      </c>
      <c r="AF406" s="211">
        <v>-2.14</v>
      </c>
      <c r="AG406" s="204" t="s">
        <v>279</v>
      </c>
      <c r="AH406" s="211">
        <v>0</v>
      </c>
      <c r="AI406" s="211">
        <v>31.64</v>
      </c>
      <c r="AJ406" s="211">
        <v>0</v>
      </c>
      <c r="AK406" s="204" t="str">
        <f t="shared" si="13"/>
        <v>1.00000000</v>
      </c>
      <c r="AL406" s="204">
        <v>39</v>
      </c>
    </row>
    <row r="407" spans="1:38" x14ac:dyDescent="0.2">
      <c r="A407" s="204" t="str">
        <f t="shared" ref="A407:A470" si="14">"0496002595734"</f>
        <v>0496002595734</v>
      </c>
      <c r="B407" s="204">
        <v>1</v>
      </c>
      <c r="C407" s="204" t="s">
        <v>435</v>
      </c>
      <c r="D407" s="204">
        <v>81</v>
      </c>
      <c r="E407" s="204">
        <v>81</v>
      </c>
      <c r="F407" s="204" t="s">
        <v>243</v>
      </c>
      <c r="G407" s="204">
        <v>2086</v>
      </c>
      <c r="H407" s="204" t="s">
        <v>270</v>
      </c>
      <c r="I407" s="204">
        <v>56014</v>
      </c>
      <c r="J407" s="209">
        <v>42548</v>
      </c>
      <c r="K407" s="210">
        <v>0.66241898148148148</v>
      </c>
      <c r="L407" s="209">
        <v>42550</v>
      </c>
      <c r="M407" s="204" t="s">
        <v>349</v>
      </c>
      <c r="N407" s="204" t="s">
        <v>350</v>
      </c>
      <c r="O407" s="204" t="s">
        <v>351</v>
      </c>
      <c r="P407" s="204" t="s">
        <v>343</v>
      </c>
      <c r="Q407" s="204" t="s">
        <v>275</v>
      </c>
      <c r="R407" s="204" t="s">
        <v>605</v>
      </c>
      <c r="S407" s="204" t="s">
        <v>436</v>
      </c>
      <c r="T407" s="204" t="s">
        <v>435</v>
      </c>
      <c r="U407" s="204">
        <v>2086</v>
      </c>
      <c r="V407" s="204" t="s">
        <v>435</v>
      </c>
      <c r="W407" s="204" t="s">
        <v>280</v>
      </c>
      <c r="X407" s="204">
        <v>16.190999999999999</v>
      </c>
      <c r="Y407" s="211">
        <v>0</v>
      </c>
      <c r="Z407" s="211">
        <v>2.2799999999999998</v>
      </c>
      <c r="AA407" s="211">
        <v>36.9</v>
      </c>
      <c r="AB407" s="211">
        <v>-2.96</v>
      </c>
      <c r="AC407" s="211">
        <v>0</v>
      </c>
      <c r="AD407" s="211">
        <v>0</v>
      </c>
      <c r="AE407" s="211">
        <v>33.94</v>
      </c>
      <c r="AF407" s="211">
        <v>-3.89</v>
      </c>
      <c r="AG407" s="204" t="s">
        <v>279</v>
      </c>
      <c r="AH407" s="211">
        <v>0</v>
      </c>
      <c r="AI407" s="211">
        <v>36.9</v>
      </c>
      <c r="AJ407" s="211">
        <v>0</v>
      </c>
      <c r="AK407" s="204" t="str">
        <f t="shared" si="13"/>
        <v>1.00000000</v>
      </c>
      <c r="AL407" s="204">
        <v>39</v>
      </c>
    </row>
    <row r="408" spans="1:38" x14ac:dyDescent="0.2">
      <c r="A408" s="204" t="str">
        <f t="shared" si="14"/>
        <v>0496002595734</v>
      </c>
      <c r="B408" s="204">
        <v>1</v>
      </c>
      <c r="C408" s="204" t="s">
        <v>435</v>
      </c>
      <c r="D408" s="204">
        <v>81</v>
      </c>
      <c r="E408" s="204">
        <v>81</v>
      </c>
      <c r="F408" s="204" t="s">
        <v>243</v>
      </c>
      <c r="G408" s="204">
        <v>2086</v>
      </c>
      <c r="H408" s="204" t="s">
        <v>270</v>
      </c>
      <c r="I408" s="204">
        <v>56088</v>
      </c>
      <c r="J408" s="209">
        <v>42549</v>
      </c>
      <c r="K408" s="210">
        <v>0.6479166666666667</v>
      </c>
      <c r="L408" s="209">
        <v>42551</v>
      </c>
      <c r="M408" s="204" t="s">
        <v>271</v>
      </c>
      <c r="N408" s="204" t="s">
        <v>272</v>
      </c>
      <c r="O408" s="204" t="s">
        <v>273</v>
      </c>
      <c r="P408" s="204" t="s">
        <v>274</v>
      </c>
      <c r="Q408" s="204" t="s">
        <v>275</v>
      </c>
      <c r="R408" s="204" t="s">
        <v>276</v>
      </c>
      <c r="S408" s="204" t="s">
        <v>436</v>
      </c>
      <c r="T408" s="204" t="s">
        <v>435</v>
      </c>
      <c r="U408" s="204">
        <v>2086</v>
      </c>
      <c r="V408" s="204" t="s">
        <v>435</v>
      </c>
      <c r="W408" s="204" t="s">
        <v>280</v>
      </c>
      <c r="X408" s="204">
        <v>3.6680000000000001</v>
      </c>
      <c r="Y408" s="211">
        <v>-0.11</v>
      </c>
      <c r="Z408" s="211">
        <v>2.25</v>
      </c>
      <c r="AA408" s="211">
        <v>8.25</v>
      </c>
      <c r="AB408" s="211">
        <v>-0.67</v>
      </c>
      <c r="AC408" s="211">
        <v>0</v>
      </c>
      <c r="AD408" s="211">
        <v>0</v>
      </c>
      <c r="AE408" s="211">
        <v>7.47</v>
      </c>
      <c r="AF408" s="211">
        <v>-0.88</v>
      </c>
      <c r="AG408" s="204" t="s">
        <v>279</v>
      </c>
      <c r="AH408" s="211">
        <v>0</v>
      </c>
      <c r="AI408" s="211">
        <v>8.25</v>
      </c>
      <c r="AJ408" s="211">
        <v>0</v>
      </c>
      <c r="AK408" s="204" t="str">
        <f t="shared" si="13"/>
        <v>1.00000000</v>
      </c>
      <c r="AL408" s="204">
        <v>39</v>
      </c>
    </row>
    <row r="409" spans="1:38" x14ac:dyDescent="0.2">
      <c r="A409" s="204" t="str">
        <f t="shared" si="14"/>
        <v>0496002595734</v>
      </c>
      <c r="B409" s="204">
        <v>1</v>
      </c>
      <c r="C409" s="204" t="s">
        <v>435</v>
      </c>
      <c r="D409" s="204">
        <v>81</v>
      </c>
      <c r="E409" s="204">
        <v>81</v>
      </c>
      <c r="F409" s="204" t="s">
        <v>243</v>
      </c>
      <c r="G409" s="204">
        <v>2086</v>
      </c>
      <c r="H409" s="204" t="s">
        <v>270</v>
      </c>
      <c r="I409" s="204">
        <v>56295</v>
      </c>
      <c r="J409" s="209">
        <v>42551</v>
      </c>
      <c r="K409" s="210">
        <v>7.4999999999999997E-2</v>
      </c>
      <c r="L409" s="209">
        <v>42552</v>
      </c>
      <c r="M409" s="204" t="s">
        <v>271</v>
      </c>
      <c r="N409" s="204" t="s">
        <v>272</v>
      </c>
      <c r="O409" s="204" t="s">
        <v>273</v>
      </c>
      <c r="P409" s="204" t="s">
        <v>274</v>
      </c>
      <c r="Q409" s="204" t="s">
        <v>275</v>
      </c>
      <c r="R409" s="204" t="s">
        <v>276</v>
      </c>
      <c r="S409" s="204" t="s">
        <v>436</v>
      </c>
      <c r="T409" s="204" t="s">
        <v>435</v>
      </c>
      <c r="U409" s="204">
        <v>2086</v>
      </c>
      <c r="V409" s="204" t="s">
        <v>435</v>
      </c>
      <c r="W409" s="204" t="s">
        <v>280</v>
      </c>
      <c r="X409" s="204">
        <v>9.1460000000000008</v>
      </c>
      <c r="Y409" s="211">
        <v>-0.27</v>
      </c>
      <c r="Z409" s="211">
        <v>2.25</v>
      </c>
      <c r="AA409" s="211">
        <v>20.57</v>
      </c>
      <c r="AB409" s="211">
        <v>-1.67</v>
      </c>
      <c r="AC409" s="211">
        <v>0</v>
      </c>
      <c r="AD409" s="211">
        <v>0</v>
      </c>
      <c r="AE409" s="211">
        <v>18.63</v>
      </c>
      <c r="AF409" s="211">
        <v>-2.2000000000000002</v>
      </c>
      <c r="AG409" s="204" t="s">
        <v>279</v>
      </c>
      <c r="AH409" s="211">
        <v>0</v>
      </c>
      <c r="AI409" s="211">
        <v>20.57</v>
      </c>
      <c r="AJ409" s="211">
        <v>0</v>
      </c>
      <c r="AK409" s="204" t="str">
        <f t="shared" si="13"/>
        <v>1.00000000</v>
      </c>
      <c r="AL409" s="204">
        <v>39</v>
      </c>
    </row>
    <row r="410" spans="1:38" x14ac:dyDescent="0.2">
      <c r="A410" s="204" t="str">
        <f t="shared" si="14"/>
        <v>0496002595734</v>
      </c>
      <c r="B410" s="204">
        <v>2</v>
      </c>
      <c r="C410" s="204" t="s">
        <v>435</v>
      </c>
      <c r="D410" s="204">
        <v>80</v>
      </c>
      <c r="E410" s="204">
        <v>80</v>
      </c>
      <c r="F410" s="204" t="s">
        <v>243</v>
      </c>
      <c r="G410" s="204">
        <v>2086</v>
      </c>
      <c r="H410" s="204" t="s">
        <v>270</v>
      </c>
      <c r="I410" s="204">
        <v>40924</v>
      </c>
      <c r="J410" s="209">
        <v>42373</v>
      </c>
      <c r="K410" s="210">
        <v>0.8618055555555556</v>
      </c>
      <c r="L410" s="209">
        <v>42375</v>
      </c>
      <c r="M410" s="204" t="s">
        <v>853</v>
      </c>
      <c r="N410" s="204" t="s">
        <v>272</v>
      </c>
      <c r="O410" s="204" t="s">
        <v>273</v>
      </c>
      <c r="P410" s="204" t="s">
        <v>274</v>
      </c>
      <c r="Q410" s="204" t="s">
        <v>275</v>
      </c>
      <c r="R410" s="204" t="s">
        <v>276</v>
      </c>
      <c r="S410" s="204" t="s">
        <v>436</v>
      </c>
      <c r="T410" s="204" t="s">
        <v>435</v>
      </c>
      <c r="U410" s="204">
        <v>2086</v>
      </c>
      <c r="V410" s="204" t="s">
        <v>435</v>
      </c>
      <c r="W410" s="204" t="s">
        <v>280</v>
      </c>
      <c r="X410" s="204">
        <v>11.347</v>
      </c>
      <c r="Y410" s="211">
        <v>-0.34</v>
      </c>
      <c r="Z410" s="211">
        <v>2.02</v>
      </c>
      <c r="AA410" s="211">
        <v>22.91</v>
      </c>
      <c r="AB410" s="211">
        <v>-2.08</v>
      </c>
      <c r="AC410" s="211">
        <v>0</v>
      </c>
      <c r="AD410" s="211">
        <v>0</v>
      </c>
      <c r="AE410" s="211">
        <v>20.49</v>
      </c>
      <c r="AF410" s="211">
        <v>-2.72</v>
      </c>
      <c r="AG410" s="204" t="s">
        <v>279</v>
      </c>
      <c r="AH410" s="211">
        <v>0</v>
      </c>
      <c r="AI410" s="211">
        <v>22.91</v>
      </c>
      <c r="AJ410" s="211">
        <v>0</v>
      </c>
      <c r="AK410" s="204" t="str">
        <f t="shared" si="13"/>
        <v>1.00000000</v>
      </c>
      <c r="AL410" s="204">
        <v>31.6</v>
      </c>
    </row>
    <row r="411" spans="1:38" x14ac:dyDescent="0.2">
      <c r="A411" s="204" t="str">
        <f t="shared" si="14"/>
        <v>0496002595734</v>
      </c>
      <c r="B411" s="204">
        <v>2</v>
      </c>
      <c r="C411" s="204" t="s">
        <v>435</v>
      </c>
      <c r="D411" s="204">
        <v>80</v>
      </c>
      <c r="E411" s="204">
        <v>80</v>
      </c>
      <c r="F411" s="204" t="s">
        <v>243</v>
      </c>
      <c r="G411" s="204">
        <v>2086</v>
      </c>
      <c r="H411" s="204" t="s">
        <v>270</v>
      </c>
      <c r="I411" s="204">
        <v>41271</v>
      </c>
      <c r="J411" s="209">
        <v>42375</v>
      </c>
      <c r="K411" s="210">
        <v>0.31319444444444444</v>
      </c>
      <c r="L411" s="209">
        <v>42377</v>
      </c>
      <c r="M411" s="204" t="s">
        <v>853</v>
      </c>
      <c r="N411" s="204" t="s">
        <v>1027</v>
      </c>
      <c r="O411" s="204" t="s">
        <v>1028</v>
      </c>
      <c r="P411" s="204" t="s">
        <v>1029</v>
      </c>
      <c r="Q411" s="204" t="s">
        <v>558</v>
      </c>
      <c r="R411" s="204" t="s">
        <v>1030</v>
      </c>
      <c r="S411" s="204" t="s">
        <v>436</v>
      </c>
      <c r="T411" s="204" t="s">
        <v>435</v>
      </c>
      <c r="U411" s="204">
        <v>2086</v>
      </c>
      <c r="V411" s="204" t="s">
        <v>435</v>
      </c>
      <c r="W411" s="204" t="s">
        <v>280</v>
      </c>
      <c r="X411" s="204">
        <v>11.146000000000001</v>
      </c>
      <c r="Y411" s="211">
        <v>-0.22</v>
      </c>
      <c r="Z411" s="211">
        <v>2.06</v>
      </c>
      <c r="AA411" s="211">
        <v>22.95</v>
      </c>
      <c r="AB411" s="211">
        <v>-2.04</v>
      </c>
      <c r="AC411" s="211">
        <v>0</v>
      </c>
      <c r="AD411" s="211">
        <v>0</v>
      </c>
      <c r="AE411" s="211">
        <v>20.69</v>
      </c>
      <c r="AF411" s="211">
        <v>-5.61</v>
      </c>
      <c r="AG411" s="204" t="s">
        <v>279</v>
      </c>
      <c r="AH411" s="211">
        <v>0</v>
      </c>
      <c r="AI411" s="211">
        <v>22.95</v>
      </c>
      <c r="AJ411" s="211">
        <v>0</v>
      </c>
      <c r="AK411" s="204" t="str">
        <f t="shared" si="13"/>
        <v>1.00000000</v>
      </c>
      <c r="AL411" s="204">
        <v>31.1</v>
      </c>
    </row>
    <row r="412" spans="1:38" x14ac:dyDescent="0.2">
      <c r="A412" s="204" t="str">
        <f t="shared" si="14"/>
        <v>0496002595734</v>
      </c>
      <c r="B412" s="204">
        <v>2</v>
      </c>
      <c r="C412" s="204" t="s">
        <v>435</v>
      </c>
      <c r="D412" s="204">
        <v>80</v>
      </c>
      <c r="E412" s="204">
        <v>80</v>
      </c>
      <c r="F412" s="204" t="s">
        <v>243</v>
      </c>
      <c r="G412" s="204">
        <v>2086</v>
      </c>
      <c r="H412" s="204" t="s">
        <v>270</v>
      </c>
      <c r="I412" s="204">
        <v>41517</v>
      </c>
      <c r="J412" s="209">
        <v>42375</v>
      </c>
      <c r="K412" s="210">
        <v>0.72152777777777777</v>
      </c>
      <c r="L412" s="209">
        <v>42377</v>
      </c>
      <c r="M412" s="204" t="s">
        <v>853</v>
      </c>
      <c r="N412" s="204" t="s">
        <v>272</v>
      </c>
      <c r="O412" s="204" t="s">
        <v>273</v>
      </c>
      <c r="P412" s="204" t="s">
        <v>274</v>
      </c>
      <c r="Q412" s="204" t="s">
        <v>275</v>
      </c>
      <c r="R412" s="204" t="s">
        <v>276</v>
      </c>
      <c r="S412" s="204" t="s">
        <v>436</v>
      </c>
      <c r="T412" s="204" t="s">
        <v>435</v>
      </c>
      <c r="U412" s="204">
        <v>2086</v>
      </c>
      <c r="V412" s="204" t="s">
        <v>435</v>
      </c>
      <c r="W412" s="204" t="s">
        <v>280</v>
      </c>
      <c r="X412" s="204">
        <v>8.5139999999999993</v>
      </c>
      <c r="Y412" s="211">
        <v>-0.26</v>
      </c>
      <c r="Z412" s="211">
        <v>2.02</v>
      </c>
      <c r="AA412" s="211">
        <v>17.190000000000001</v>
      </c>
      <c r="AB412" s="211">
        <v>-1.56</v>
      </c>
      <c r="AC412" s="211">
        <v>0</v>
      </c>
      <c r="AD412" s="211">
        <v>0</v>
      </c>
      <c r="AE412" s="211">
        <v>15.37</v>
      </c>
      <c r="AF412" s="211">
        <v>-2.04</v>
      </c>
      <c r="AG412" s="204" t="s">
        <v>279</v>
      </c>
      <c r="AH412" s="211">
        <v>0</v>
      </c>
      <c r="AI412" s="211">
        <v>17.190000000000001</v>
      </c>
      <c r="AJ412" s="211">
        <v>0</v>
      </c>
      <c r="AK412" s="204" t="str">
        <f t="shared" si="13"/>
        <v>1.00000000</v>
      </c>
      <c r="AL412" s="204">
        <v>28.9</v>
      </c>
    </row>
    <row r="413" spans="1:38" x14ac:dyDescent="0.2">
      <c r="A413" s="204" t="str">
        <f t="shared" si="14"/>
        <v>0496002595734</v>
      </c>
      <c r="B413" s="204">
        <v>2</v>
      </c>
      <c r="C413" s="204" t="s">
        <v>435</v>
      </c>
      <c r="D413" s="204">
        <v>80</v>
      </c>
      <c r="E413" s="204">
        <v>80</v>
      </c>
      <c r="F413" s="204" t="s">
        <v>243</v>
      </c>
      <c r="G413" s="204">
        <v>2086</v>
      </c>
      <c r="H413" s="204" t="s">
        <v>270</v>
      </c>
      <c r="I413" s="204">
        <v>41709</v>
      </c>
      <c r="J413" s="209">
        <v>42376</v>
      </c>
      <c r="K413" s="210">
        <v>0.83888888888888891</v>
      </c>
      <c r="L413" s="209">
        <v>42380</v>
      </c>
      <c r="M413" s="204" t="s">
        <v>853</v>
      </c>
      <c r="N413" s="204" t="s">
        <v>272</v>
      </c>
      <c r="O413" s="204" t="s">
        <v>273</v>
      </c>
      <c r="P413" s="204" t="s">
        <v>274</v>
      </c>
      <c r="Q413" s="204" t="s">
        <v>275</v>
      </c>
      <c r="R413" s="204" t="s">
        <v>276</v>
      </c>
      <c r="S413" s="204" t="s">
        <v>436</v>
      </c>
      <c r="T413" s="204" t="s">
        <v>435</v>
      </c>
      <c r="U413" s="204">
        <v>2086</v>
      </c>
      <c r="V413" s="204" t="s">
        <v>435</v>
      </c>
      <c r="W413" s="204" t="s">
        <v>280</v>
      </c>
      <c r="X413" s="204">
        <v>5.7380000000000004</v>
      </c>
      <c r="Y413" s="211">
        <v>-0.17</v>
      </c>
      <c r="Z413" s="211">
        <v>1.98</v>
      </c>
      <c r="AA413" s="211">
        <v>11.35</v>
      </c>
      <c r="AB413" s="211">
        <v>-1.05</v>
      </c>
      <c r="AC413" s="211">
        <v>0</v>
      </c>
      <c r="AD413" s="211">
        <v>0</v>
      </c>
      <c r="AE413" s="211">
        <v>10.130000000000001</v>
      </c>
      <c r="AF413" s="211">
        <v>-1.38</v>
      </c>
      <c r="AG413" s="204" t="s">
        <v>279</v>
      </c>
      <c r="AH413" s="211">
        <v>0</v>
      </c>
      <c r="AI413" s="211">
        <v>11.35</v>
      </c>
      <c r="AJ413" s="211">
        <v>0</v>
      </c>
      <c r="AK413" s="204" t="str">
        <f t="shared" si="13"/>
        <v>1.00000000</v>
      </c>
      <c r="AL413" s="204">
        <v>33.5</v>
      </c>
    </row>
    <row r="414" spans="1:38" x14ac:dyDescent="0.2">
      <c r="A414" s="204" t="str">
        <f t="shared" si="14"/>
        <v>0496002595734</v>
      </c>
      <c r="B414" s="204">
        <v>2</v>
      </c>
      <c r="C414" s="204" t="s">
        <v>435</v>
      </c>
      <c r="D414" s="204">
        <v>80</v>
      </c>
      <c r="E414" s="204">
        <v>80</v>
      </c>
      <c r="F414" s="204" t="s">
        <v>243</v>
      </c>
      <c r="G414" s="204">
        <v>2086</v>
      </c>
      <c r="H414" s="204" t="s">
        <v>270</v>
      </c>
      <c r="I414" s="204">
        <v>41980</v>
      </c>
      <c r="J414" s="209">
        <v>42378</v>
      </c>
      <c r="K414" s="210">
        <v>0.38125000000000003</v>
      </c>
      <c r="L414" s="209">
        <v>42381</v>
      </c>
      <c r="M414" s="204" t="s">
        <v>853</v>
      </c>
      <c r="N414" s="204" t="s">
        <v>272</v>
      </c>
      <c r="O414" s="204" t="s">
        <v>273</v>
      </c>
      <c r="P414" s="204" t="s">
        <v>274</v>
      </c>
      <c r="Q414" s="204" t="s">
        <v>275</v>
      </c>
      <c r="R414" s="204" t="s">
        <v>276</v>
      </c>
      <c r="S414" s="204" t="s">
        <v>436</v>
      </c>
      <c r="T414" s="204" t="s">
        <v>435</v>
      </c>
      <c r="U414" s="204">
        <v>2086</v>
      </c>
      <c r="V414" s="204" t="s">
        <v>435</v>
      </c>
      <c r="W414" s="204" t="s">
        <v>280</v>
      </c>
      <c r="X414" s="204">
        <v>8.1059999999999999</v>
      </c>
      <c r="Y414" s="211">
        <v>-0.24</v>
      </c>
      <c r="Z414" s="211">
        <v>1.96</v>
      </c>
      <c r="AA414" s="211">
        <v>15.88</v>
      </c>
      <c r="AB414" s="211">
        <v>-1.48</v>
      </c>
      <c r="AC414" s="211">
        <v>0</v>
      </c>
      <c r="AD414" s="211">
        <v>0</v>
      </c>
      <c r="AE414" s="211">
        <v>14.16</v>
      </c>
      <c r="AF414" s="211">
        <v>-1.95</v>
      </c>
      <c r="AG414" s="204" t="s">
        <v>279</v>
      </c>
      <c r="AH414" s="211">
        <v>0</v>
      </c>
      <c r="AI414" s="211">
        <v>15.88</v>
      </c>
      <c r="AJ414" s="211">
        <v>0</v>
      </c>
      <c r="AK414" s="204" t="str">
        <f t="shared" si="13"/>
        <v>1.00000000</v>
      </c>
      <c r="AL414" s="204">
        <v>33.4</v>
      </c>
    </row>
    <row r="415" spans="1:38" x14ac:dyDescent="0.2">
      <c r="A415" s="204" t="str">
        <f t="shared" si="14"/>
        <v>0496002595734</v>
      </c>
      <c r="B415" s="204">
        <v>2</v>
      </c>
      <c r="C415" s="204" t="s">
        <v>435</v>
      </c>
      <c r="D415" s="204">
        <v>80</v>
      </c>
      <c r="E415" s="204">
        <v>80</v>
      </c>
      <c r="F415" s="204" t="s">
        <v>243</v>
      </c>
      <c r="G415" s="204">
        <v>2086</v>
      </c>
      <c r="H415" s="204" t="s">
        <v>270</v>
      </c>
      <c r="I415" s="204">
        <v>42210</v>
      </c>
      <c r="J415" s="209">
        <v>42380</v>
      </c>
      <c r="K415" s="210">
        <v>0.75416666666666676</v>
      </c>
      <c r="L415" s="209">
        <v>42382</v>
      </c>
      <c r="M415" s="204" t="s">
        <v>606</v>
      </c>
      <c r="N415" s="204" t="s">
        <v>399</v>
      </c>
      <c r="O415" s="204" t="s">
        <v>400</v>
      </c>
      <c r="P415" s="204" t="s">
        <v>274</v>
      </c>
      <c r="Q415" s="204" t="s">
        <v>275</v>
      </c>
      <c r="R415" s="204" t="s">
        <v>401</v>
      </c>
      <c r="S415" s="204" t="s">
        <v>436</v>
      </c>
      <c r="T415" s="204" t="s">
        <v>435</v>
      </c>
      <c r="U415" s="204">
        <v>2086</v>
      </c>
      <c r="V415" s="204" t="s">
        <v>435</v>
      </c>
      <c r="W415" s="204" t="s">
        <v>280</v>
      </c>
      <c r="X415" s="204">
        <v>6.6849999999999996</v>
      </c>
      <c r="Y415" s="211">
        <v>0</v>
      </c>
      <c r="Z415" s="211">
        <v>1.92</v>
      </c>
      <c r="AA415" s="211">
        <v>12.83</v>
      </c>
      <c r="AB415" s="211">
        <v>-1.22</v>
      </c>
      <c r="AC415" s="211">
        <v>0</v>
      </c>
      <c r="AD415" s="211">
        <v>0</v>
      </c>
      <c r="AE415" s="211">
        <v>11.61</v>
      </c>
      <c r="AF415" s="211">
        <v>-1.6</v>
      </c>
      <c r="AG415" s="204" t="s">
        <v>279</v>
      </c>
      <c r="AH415" s="211">
        <v>0</v>
      </c>
      <c r="AI415" s="211">
        <v>12.83</v>
      </c>
      <c r="AJ415" s="211">
        <v>0</v>
      </c>
      <c r="AK415" s="204" t="str">
        <f t="shared" si="13"/>
        <v>1.00000000</v>
      </c>
      <c r="AL415" s="204">
        <v>34.4</v>
      </c>
    </row>
    <row r="416" spans="1:38" x14ac:dyDescent="0.2">
      <c r="A416" s="204" t="str">
        <f t="shared" si="14"/>
        <v>0496002595734</v>
      </c>
      <c r="B416" s="204">
        <v>2</v>
      </c>
      <c r="C416" s="204" t="s">
        <v>435</v>
      </c>
      <c r="D416" s="204">
        <v>80</v>
      </c>
      <c r="E416" s="204">
        <v>80</v>
      </c>
      <c r="F416" s="204" t="s">
        <v>243</v>
      </c>
      <c r="G416" s="204">
        <v>2086</v>
      </c>
      <c r="H416" s="204" t="s">
        <v>270</v>
      </c>
      <c r="I416" s="204">
        <v>42464</v>
      </c>
      <c r="J416" s="209">
        <v>42381</v>
      </c>
      <c r="K416" s="210">
        <v>0.41388888888888892</v>
      </c>
      <c r="L416" s="209">
        <v>42383</v>
      </c>
      <c r="M416" s="204" t="s">
        <v>294</v>
      </c>
      <c r="N416" s="204" t="s">
        <v>498</v>
      </c>
      <c r="O416" s="204" t="s">
        <v>958</v>
      </c>
      <c r="P416" s="204" t="s">
        <v>959</v>
      </c>
      <c r="Q416" s="204" t="s">
        <v>377</v>
      </c>
      <c r="R416" s="204" t="s">
        <v>960</v>
      </c>
      <c r="S416" s="204" t="s">
        <v>436</v>
      </c>
      <c r="T416" s="204" t="s">
        <v>435</v>
      </c>
      <c r="U416" s="204">
        <v>2086</v>
      </c>
      <c r="V416" s="204" t="s">
        <v>435</v>
      </c>
      <c r="W416" s="204" t="s">
        <v>280</v>
      </c>
      <c r="X416" s="204">
        <v>8.8000000000000007</v>
      </c>
      <c r="Y416" s="211">
        <v>0</v>
      </c>
      <c r="Z416" s="211">
        <v>2.1</v>
      </c>
      <c r="AA416" s="211">
        <v>18.489999999999998</v>
      </c>
      <c r="AB416" s="211">
        <v>-1.61</v>
      </c>
      <c r="AC416" s="211">
        <v>0</v>
      </c>
      <c r="AD416" s="211">
        <v>0</v>
      </c>
      <c r="AE416" s="211">
        <v>16.88</v>
      </c>
      <c r="AF416" s="211">
        <v>-2.11</v>
      </c>
      <c r="AG416" s="204" t="s">
        <v>279</v>
      </c>
      <c r="AH416" s="211">
        <v>0</v>
      </c>
      <c r="AI416" s="211">
        <v>18.489999999999998</v>
      </c>
      <c r="AJ416" s="211">
        <v>0</v>
      </c>
      <c r="AK416" s="204" t="str">
        <f t="shared" si="13"/>
        <v>1.00000000</v>
      </c>
      <c r="AL416" s="204">
        <v>33.4</v>
      </c>
    </row>
    <row r="417" spans="1:38" x14ac:dyDescent="0.2">
      <c r="A417" s="204" t="str">
        <f t="shared" si="14"/>
        <v>0496002595734</v>
      </c>
      <c r="B417" s="204">
        <v>2</v>
      </c>
      <c r="C417" s="204" t="s">
        <v>435</v>
      </c>
      <c r="D417" s="204">
        <v>80</v>
      </c>
      <c r="E417" s="204">
        <v>80</v>
      </c>
      <c r="F417" s="204" t="s">
        <v>243</v>
      </c>
      <c r="G417" s="204">
        <v>2086</v>
      </c>
      <c r="H417" s="204" t="s">
        <v>270</v>
      </c>
      <c r="I417" s="204">
        <v>42830</v>
      </c>
      <c r="J417" s="209">
        <v>42387</v>
      </c>
      <c r="K417" s="210">
        <v>0.85625000000000007</v>
      </c>
      <c r="L417" s="209">
        <v>42389</v>
      </c>
      <c r="M417" s="204" t="s">
        <v>294</v>
      </c>
      <c r="N417" s="204" t="s">
        <v>299</v>
      </c>
      <c r="O417" s="204" t="s">
        <v>866</v>
      </c>
      <c r="P417" s="204" t="s">
        <v>343</v>
      </c>
      <c r="Q417" s="204" t="s">
        <v>275</v>
      </c>
      <c r="R417" s="204" t="s">
        <v>387</v>
      </c>
      <c r="S417" s="204" t="s">
        <v>436</v>
      </c>
      <c r="T417" s="204" t="s">
        <v>435</v>
      </c>
      <c r="U417" s="204">
        <v>2086</v>
      </c>
      <c r="V417" s="204" t="s">
        <v>435</v>
      </c>
      <c r="W417" s="204" t="s">
        <v>330</v>
      </c>
      <c r="X417" s="204">
        <v>12.32</v>
      </c>
      <c r="Y417" s="211">
        <v>0</v>
      </c>
      <c r="Z417" s="211">
        <v>1.9</v>
      </c>
      <c r="AA417" s="211">
        <v>23.4</v>
      </c>
      <c r="AB417" s="211">
        <v>-2.25</v>
      </c>
      <c r="AC417" s="211">
        <v>0</v>
      </c>
      <c r="AD417" s="211">
        <v>0</v>
      </c>
      <c r="AE417" s="211">
        <v>21.15</v>
      </c>
      <c r="AF417" s="211">
        <v>-2.96</v>
      </c>
      <c r="AG417" s="204" t="s">
        <v>279</v>
      </c>
      <c r="AH417" s="211">
        <v>0</v>
      </c>
      <c r="AI417" s="211">
        <v>23.4</v>
      </c>
      <c r="AJ417" s="211">
        <v>0</v>
      </c>
      <c r="AK417" s="204" t="str">
        <f t="shared" si="13"/>
        <v>1.00000000</v>
      </c>
      <c r="AL417" s="204">
        <v>33.4</v>
      </c>
    </row>
    <row r="418" spans="1:38" x14ac:dyDescent="0.2">
      <c r="A418" s="204" t="str">
        <f t="shared" si="14"/>
        <v>0496002595734</v>
      </c>
      <c r="B418" s="204">
        <v>2</v>
      </c>
      <c r="C418" s="204" t="s">
        <v>435</v>
      </c>
      <c r="D418" s="204">
        <v>80</v>
      </c>
      <c r="E418" s="204">
        <v>80</v>
      </c>
      <c r="F418" s="204" t="s">
        <v>243</v>
      </c>
      <c r="G418" s="204">
        <v>2086</v>
      </c>
      <c r="H418" s="204" t="s">
        <v>270</v>
      </c>
      <c r="I418" s="204">
        <v>43103</v>
      </c>
      <c r="J418" s="209">
        <v>42389</v>
      </c>
      <c r="K418" s="210">
        <v>0.7944444444444444</v>
      </c>
      <c r="L418" s="209">
        <v>42391</v>
      </c>
      <c r="M418" s="204" t="s">
        <v>853</v>
      </c>
      <c r="N418" s="204" t="s">
        <v>352</v>
      </c>
      <c r="O418" s="204" t="s">
        <v>353</v>
      </c>
      <c r="P418" s="204" t="s">
        <v>343</v>
      </c>
      <c r="Q418" s="204" t="s">
        <v>275</v>
      </c>
      <c r="R418" s="204" t="s">
        <v>602</v>
      </c>
      <c r="S418" s="204" t="s">
        <v>436</v>
      </c>
      <c r="T418" s="204" t="s">
        <v>435</v>
      </c>
      <c r="U418" s="204">
        <v>2086</v>
      </c>
      <c r="V418" s="204" t="s">
        <v>435</v>
      </c>
      <c r="W418" s="204" t="s">
        <v>280</v>
      </c>
      <c r="X418" s="204">
        <v>10.053000000000001</v>
      </c>
      <c r="Y418" s="211">
        <v>-0.3</v>
      </c>
      <c r="Z418" s="211">
        <v>1.88</v>
      </c>
      <c r="AA418" s="211">
        <v>18.89</v>
      </c>
      <c r="AB418" s="211">
        <v>-1.84</v>
      </c>
      <c r="AC418" s="211">
        <v>0</v>
      </c>
      <c r="AD418" s="211">
        <v>0</v>
      </c>
      <c r="AE418" s="211">
        <v>16.75</v>
      </c>
      <c r="AF418" s="211">
        <v>-2.41</v>
      </c>
      <c r="AG418" s="204" t="s">
        <v>279</v>
      </c>
      <c r="AH418" s="211">
        <v>0</v>
      </c>
      <c r="AI418" s="211">
        <v>18.89</v>
      </c>
      <c r="AJ418" s="211">
        <v>0</v>
      </c>
      <c r="AK418" s="204" t="str">
        <f t="shared" si="13"/>
        <v>1.00000000</v>
      </c>
      <c r="AL418" s="204">
        <v>33.4</v>
      </c>
    </row>
    <row r="419" spans="1:38" x14ac:dyDescent="0.2">
      <c r="A419" s="204" t="str">
        <f t="shared" si="14"/>
        <v>0496002595734</v>
      </c>
      <c r="B419" s="204">
        <v>2</v>
      </c>
      <c r="C419" s="204" t="s">
        <v>435</v>
      </c>
      <c r="D419" s="204">
        <v>80</v>
      </c>
      <c r="E419" s="204">
        <v>80</v>
      </c>
      <c r="F419" s="204" t="s">
        <v>243</v>
      </c>
      <c r="G419" s="204">
        <v>2086</v>
      </c>
      <c r="H419" s="204" t="s">
        <v>270</v>
      </c>
      <c r="I419" s="204">
        <v>43150</v>
      </c>
      <c r="J419" s="209">
        <v>42390</v>
      </c>
      <c r="K419" s="210">
        <v>0.56527777777777777</v>
      </c>
      <c r="L419" s="209">
        <v>42394</v>
      </c>
      <c r="M419" s="204" t="s">
        <v>853</v>
      </c>
      <c r="N419" s="204" t="s">
        <v>272</v>
      </c>
      <c r="O419" s="204" t="s">
        <v>273</v>
      </c>
      <c r="P419" s="204" t="s">
        <v>274</v>
      </c>
      <c r="Q419" s="204" t="s">
        <v>275</v>
      </c>
      <c r="R419" s="204" t="s">
        <v>276</v>
      </c>
      <c r="S419" s="204" t="s">
        <v>436</v>
      </c>
      <c r="T419" s="204" t="s">
        <v>435</v>
      </c>
      <c r="U419" s="204">
        <v>2086</v>
      </c>
      <c r="V419" s="204" t="s">
        <v>435</v>
      </c>
      <c r="W419" s="204" t="s">
        <v>280</v>
      </c>
      <c r="X419" s="204">
        <v>1.8220000000000001</v>
      </c>
      <c r="Y419" s="211">
        <v>-0.05</v>
      </c>
      <c r="Z419" s="211">
        <v>1.89</v>
      </c>
      <c r="AA419" s="211">
        <v>3.44</v>
      </c>
      <c r="AB419" s="211">
        <v>-0.33</v>
      </c>
      <c r="AC419" s="211">
        <v>0</v>
      </c>
      <c r="AD419" s="211">
        <v>0</v>
      </c>
      <c r="AE419" s="211">
        <v>3.06</v>
      </c>
      <c r="AF419" s="211">
        <v>-0.44</v>
      </c>
      <c r="AG419" s="204" t="s">
        <v>279</v>
      </c>
      <c r="AH419" s="211">
        <v>0</v>
      </c>
      <c r="AI419" s="211">
        <v>3.44</v>
      </c>
      <c r="AJ419" s="211">
        <v>0</v>
      </c>
      <c r="AK419" s="204" t="str">
        <f t="shared" si="13"/>
        <v>1.00000000</v>
      </c>
      <c r="AL419" s="204">
        <v>25.8</v>
      </c>
    </row>
    <row r="420" spans="1:38" x14ac:dyDescent="0.2">
      <c r="A420" s="204" t="str">
        <f t="shared" si="14"/>
        <v>0496002595734</v>
      </c>
      <c r="B420" s="204">
        <v>2</v>
      </c>
      <c r="C420" s="204" t="s">
        <v>435</v>
      </c>
      <c r="D420" s="204">
        <v>80</v>
      </c>
      <c r="E420" s="204">
        <v>80</v>
      </c>
      <c r="F420" s="204" t="s">
        <v>243</v>
      </c>
      <c r="G420" s="204">
        <v>2086</v>
      </c>
      <c r="H420" s="204" t="s">
        <v>270</v>
      </c>
      <c r="I420" s="204">
        <v>43380</v>
      </c>
      <c r="J420" s="209">
        <v>42391</v>
      </c>
      <c r="K420" s="210">
        <v>0.90555555555555556</v>
      </c>
      <c r="L420" s="209">
        <v>42395</v>
      </c>
      <c r="M420" s="204" t="s">
        <v>853</v>
      </c>
      <c r="N420" s="204" t="s">
        <v>272</v>
      </c>
      <c r="O420" s="204" t="s">
        <v>273</v>
      </c>
      <c r="P420" s="204" t="s">
        <v>274</v>
      </c>
      <c r="Q420" s="204" t="s">
        <v>275</v>
      </c>
      <c r="R420" s="204" t="s">
        <v>276</v>
      </c>
      <c r="S420" s="204" t="s">
        <v>436</v>
      </c>
      <c r="T420" s="204" t="s">
        <v>435</v>
      </c>
      <c r="U420" s="204">
        <v>2086</v>
      </c>
      <c r="V420" s="204" t="s">
        <v>435</v>
      </c>
      <c r="W420" s="204" t="s">
        <v>280</v>
      </c>
      <c r="X420" s="204">
        <v>6.0890000000000004</v>
      </c>
      <c r="Y420" s="211">
        <v>-0.18</v>
      </c>
      <c r="Z420" s="211">
        <v>1.89</v>
      </c>
      <c r="AA420" s="211">
        <v>11.51</v>
      </c>
      <c r="AB420" s="211">
        <v>-1.1100000000000001</v>
      </c>
      <c r="AC420" s="211">
        <v>0</v>
      </c>
      <c r="AD420" s="211">
        <v>0</v>
      </c>
      <c r="AE420" s="211">
        <v>10.220000000000001</v>
      </c>
      <c r="AF420" s="211">
        <v>-1.46</v>
      </c>
      <c r="AG420" s="204" t="s">
        <v>279</v>
      </c>
      <c r="AH420" s="211">
        <v>0</v>
      </c>
      <c r="AI420" s="211">
        <v>11.51</v>
      </c>
      <c r="AJ420" s="211">
        <v>0</v>
      </c>
      <c r="AK420" s="204" t="str">
        <f t="shared" si="13"/>
        <v>1.00000000</v>
      </c>
      <c r="AL420" s="204">
        <v>27.1</v>
      </c>
    </row>
    <row r="421" spans="1:38" x14ac:dyDescent="0.2">
      <c r="A421" s="204" t="str">
        <f t="shared" si="14"/>
        <v>0496002595734</v>
      </c>
      <c r="B421" s="204">
        <v>2</v>
      </c>
      <c r="C421" s="204" t="s">
        <v>435</v>
      </c>
      <c r="D421" s="204">
        <v>80</v>
      </c>
      <c r="E421" s="204">
        <v>80</v>
      </c>
      <c r="F421" s="204" t="s">
        <v>243</v>
      </c>
      <c r="G421" s="204">
        <v>2086</v>
      </c>
      <c r="H421" s="204" t="s">
        <v>270</v>
      </c>
      <c r="I421" s="204">
        <v>43633</v>
      </c>
      <c r="J421" s="209">
        <v>42393</v>
      </c>
      <c r="K421" s="210">
        <v>0.66805555555555562</v>
      </c>
      <c r="L421" s="209">
        <v>42395</v>
      </c>
      <c r="M421" s="204" t="s">
        <v>853</v>
      </c>
      <c r="N421" s="204" t="s">
        <v>272</v>
      </c>
      <c r="O421" s="204" t="s">
        <v>273</v>
      </c>
      <c r="P421" s="204" t="s">
        <v>274</v>
      </c>
      <c r="Q421" s="204" t="s">
        <v>275</v>
      </c>
      <c r="R421" s="204" t="s">
        <v>276</v>
      </c>
      <c r="S421" s="204" t="s">
        <v>436</v>
      </c>
      <c r="T421" s="204" t="s">
        <v>435</v>
      </c>
      <c r="U421" s="204">
        <v>2086</v>
      </c>
      <c r="V421" s="204" t="s">
        <v>435</v>
      </c>
      <c r="W421" s="204" t="s">
        <v>280</v>
      </c>
      <c r="X421" s="204">
        <v>7.5590000000000002</v>
      </c>
      <c r="Y421" s="211">
        <v>-0.23</v>
      </c>
      <c r="Z421" s="211">
        <v>1.89</v>
      </c>
      <c r="AA421" s="211">
        <v>14.28</v>
      </c>
      <c r="AB421" s="211">
        <v>-1.38</v>
      </c>
      <c r="AC421" s="211">
        <v>0</v>
      </c>
      <c r="AD421" s="211">
        <v>0</v>
      </c>
      <c r="AE421" s="211">
        <v>12.67</v>
      </c>
      <c r="AF421" s="211">
        <v>-1.81</v>
      </c>
      <c r="AG421" s="204" t="s">
        <v>279</v>
      </c>
      <c r="AH421" s="211">
        <v>0</v>
      </c>
      <c r="AI421" s="211">
        <v>14.28</v>
      </c>
      <c r="AJ421" s="211">
        <v>0</v>
      </c>
      <c r="AK421" s="204" t="str">
        <f t="shared" si="13"/>
        <v>1.00000000</v>
      </c>
      <c r="AL421" s="204">
        <v>27.1</v>
      </c>
    </row>
    <row r="422" spans="1:38" x14ac:dyDescent="0.2">
      <c r="A422" s="204" t="str">
        <f t="shared" si="14"/>
        <v>0496002595734</v>
      </c>
      <c r="B422" s="204">
        <v>2</v>
      </c>
      <c r="C422" s="204" t="s">
        <v>435</v>
      </c>
      <c r="D422" s="204">
        <v>80</v>
      </c>
      <c r="E422" s="204">
        <v>80</v>
      </c>
      <c r="F422" s="204" t="s">
        <v>243</v>
      </c>
      <c r="G422" s="204">
        <v>2086</v>
      </c>
      <c r="H422" s="204" t="s">
        <v>270</v>
      </c>
      <c r="I422" s="204">
        <v>43886</v>
      </c>
      <c r="J422" s="209">
        <v>42397</v>
      </c>
      <c r="K422" s="210">
        <v>0.66041666666666665</v>
      </c>
      <c r="L422" s="209">
        <v>42401</v>
      </c>
      <c r="M422" s="204" t="s">
        <v>853</v>
      </c>
      <c r="N422" s="204" t="s">
        <v>272</v>
      </c>
      <c r="O422" s="204" t="s">
        <v>273</v>
      </c>
      <c r="P422" s="204" t="s">
        <v>274</v>
      </c>
      <c r="Q422" s="204" t="s">
        <v>275</v>
      </c>
      <c r="R422" s="204" t="s">
        <v>276</v>
      </c>
      <c r="S422" s="204" t="s">
        <v>436</v>
      </c>
      <c r="T422" s="204" t="s">
        <v>435</v>
      </c>
      <c r="U422" s="204">
        <v>2086</v>
      </c>
      <c r="V422" s="204" t="s">
        <v>435</v>
      </c>
      <c r="W422" s="204" t="s">
        <v>280</v>
      </c>
      <c r="X422" s="204">
        <v>8.0830000000000002</v>
      </c>
      <c r="Y422" s="211">
        <v>-0.24</v>
      </c>
      <c r="Z422" s="211">
        <v>1.89</v>
      </c>
      <c r="AA422" s="211">
        <v>15.27</v>
      </c>
      <c r="AB422" s="211">
        <v>-1.48</v>
      </c>
      <c r="AC422" s="211">
        <v>0</v>
      </c>
      <c r="AD422" s="211">
        <v>0</v>
      </c>
      <c r="AE422" s="211">
        <v>13.55</v>
      </c>
      <c r="AF422" s="211">
        <v>-1.94</v>
      </c>
      <c r="AG422" s="204" t="s">
        <v>279</v>
      </c>
      <c r="AH422" s="211">
        <v>0</v>
      </c>
      <c r="AI422" s="211">
        <v>15.27</v>
      </c>
      <c r="AJ422" s="211">
        <v>0</v>
      </c>
      <c r="AK422" s="204" t="str">
        <f t="shared" si="13"/>
        <v>1.00000000</v>
      </c>
      <c r="AL422" s="204">
        <v>37.200000000000003</v>
      </c>
    </row>
    <row r="423" spans="1:38" x14ac:dyDescent="0.2">
      <c r="A423" s="204" t="str">
        <f t="shared" si="14"/>
        <v>0496002595734</v>
      </c>
      <c r="B423" s="204">
        <v>2</v>
      </c>
      <c r="C423" s="204" t="s">
        <v>435</v>
      </c>
      <c r="D423" s="204">
        <v>80</v>
      </c>
      <c r="E423" s="204">
        <v>80</v>
      </c>
      <c r="F423" s="204" t="s">
        <v>243</v>
      </c>
      <c r="G423" s="204">
        <v>2086</v>
      </c>
      <c r="H423" s="204" t="s">
        <v>270</v>
      </c>
      <c r="I423" s="204">
        <v>44000</v>
      </c>
      <c r="J423" s="209">
        <v>42423</v>
      </c>
      <c r="K423" s="210">
        <v>0.74974537037037037</v>
      </c>
      <c r="L423" s="209">
        <v>42425</v>
      </c>
      <c r="M423" s="204" t="s">
        <v>310</v>
      </c>
      <c r="N423" s="204" t="s">
        <v>331</v>
      </c>
      <c r="O423" s="204" t="s">
        <v>332</v>
      </c>
      <c r="P423" s="204" t="s">
        <v>274</v>
      </c>
      <c r="Q423" s="204" t="s">
        <v>275</v>
      </c>
      <c r="R423" s="204" t="s">
        <v>858</v>
      </c>
      <c r="S423" s="204" t="s">
        <v>436</v>
      </c>
      <c r="T423" s="204" t="s">
        <v>435</v>
      </c>
      <c r="U423" s="204">
        <v>2086</v>
      </c>
      <c r="V423" s="204" t="s">
        <v>435</v>
      </c>
      <c r="W423" s="204" t="s">
        <v>280</v>
      </c>
      <c r="X423" s="204">
        <v>8.3379999999999992</v>
      </c>
      <c r="Y423" s="211">
        <v>0</v>
      </c>
      <c r="Z423" s="211">
        <v>1.8</v>
      </c>
      <c r="AA423" s="211">
        <v>15</v>
      </c>
      <c r="AB423" s="211">
        <v>-1.53</v>
      </c>
      <c r="AC423" s="211">
        <v>0</v>
      </c>
      <c r="AD423" s="211">
        <v>0</v>
      </c>
      <c r="AE423" s="211">
        <v>13.47</v>
      </c>
      <c r="AF423" s="211">
        <v>-2</v>
      </c>
      <c r="AG423" s="204" t="s">
        <v>279</v>
      </c>
      <c r="AH423" s="211">
        <v>0</v>
      </c>
      <c r="AI423" s="211">
        <v>15</v>
      </c>
      <c r="AJ423" s="211">
        <v>0</v>
      </c>
      <c r="AK423" s="204" t="str">
        <f t="shared" si="13"/>
        <v>1.00000000</v>
      </c>
      <c r="AL423" s="204">
        <v>31.3</v>
      </c>
    </row>
    <row r="424" spans="1:38" x14ac:dyDescent="0.2">
      <c r="A424" s="204" t="str">
        <f t="shared" si="14"/>
        <v>0496002595734</v>
      </c>
      <c r="B424" s="204">
        <v>2</v>
      </c>
      <c r="C424" s="204" t="s">
        <v>435</v>
      </c>
      <c r="D424" s="204">
        <v>80</v>
      </c>
      <c r="E424" s="204">
        <v>80</v>
      </c>
      <c r="F424" s="204" t="s">
        <v>243</v>
      </c>
      <c r="G424" s="204">
        <v>2086</v>
      </c>
      <c r="H424" s="204" t="s">
        <v>270</v>
      </c>
      <c r="I424" s="204">
        <v>2086</v>
      </c>
      <c r="J424" s="209">
        <v>42428</v>
      </c>
      <c r="K424" s="210">
        <v>0.66584490740740743</v>
      </c>
      <c r="L424" s="209">
        <v>42430</v>
      </c>
      <c r="M424" s="204" t="s">
        <v>310</v>
      </c>
      <c r="N424" s="204" t="s">
        <v>331</v>
      </c>
      <c r="O424" s="204" t="s">
        <v>332</v>
      </c>
      <c r="P424" s="204" t="s">
        <v>274</v>
      </c>
      <c r="Q424" s="204" t="s">
        <v>275</v>
      </c>
      <c r="R424" s="204" t="s">
        <v>858</v>
      </c>
      <c r="S424" s="204" t="s">
        <v>436</v>
      </c>
      <c r="T424" s="204" t="s">
        <v>435</v>
      </c>
      <c r="U424" s="204">
        <v>2086</v>
      </c>
      <c r="V424" s="204" t="s">
        <v>435</v>
      </c>
      <c r="W424" s="204" t="s">
        <v>280</v>
      </c>
      <c r="X424" s="204">
        <v>11.117000000000001</v>
      </c>
      <c r="Y424" s="211">
        <v>0</v>
      </c>
      <c r="Z424" s="211">
        <v>1.8</v>
      </c>
      <c r="AA424" s="211">
        <v>20</v>
      </c>
      <c r="AB424" s="211">
        <v>-2.0299999999999998</v>
      </c>
      <c r="AC424" s="211">
        <v>0</v>
      </c>
      <c r="AD424" s="211">
        <v>0</v>
      </c>
      <c r="AE424" s="211">
        <v>17.97</v>
      </c>
      <c r="AF424" s="211">
        <v>-2.67</v>
      </c>
      <c r="AG424" s="204" t="s">
        <v>279</v>
      </c>
      <c r="AH424" s="211">
        <v>0</v>
      </c>
      <c r="AI424" s="211">
        <v>20</v>
      </c>
      <c r="AJ424" s="211">
        <v>0</v>
      </c>
      <c r="AK424" s="204" t="str">
        <f t="shared" si="13"/>
        <v>1.00000000</v>
      </c>
      <c r="AL424" s="204">
        <v>38.700000000000003</v>
      </c>
    </row>
    <row r="425" spans="1:38" x14ac:dyDescent="0.2">
      <c r="A425" s="204" t="str">
        <f t="shared" si="14"/>
        <v>0496002595734</v>
      </c>
      <c r="B425" s="204">
        <v>2</v>
      </c>
      <c r="C425" s="204" t="s">
        <v>435</v>
      </c>
      <c r="D425" s="204">
        <v>80</v>
      </c>
      <c r="E425" s="204">
        <v>80</v>
      </c>
      <c r="F425" s="204" t="s">
        <v>243</v>
      </c>
      <c r="G425" s="204">
        <v>2086</v>
      </c>
      <c r="H425" s="204" t="s">
        <v>270</v>
      </c>
      <c r="I425" s="204">
        <v>44847</v>
      </c>
      <c r="J425" s="209">
        <v>42430</v>
      </c>
      <c r="K425" s="210">
        <v>0.45694444444444443</v>
      </c>
      <c r="L425" s="209">
        <v>42432</v>
      </c>
      <c r="M425" s="204" t="s">
        <v>853</v>
      </c>
      <c r="N425" s="204" t="s">
        <v>352</v>
      </c>
      <c r="O425" s="204" t="s">
        <v>353</v>
      </c>
      <c r="P425" s="204" t="s">
        <v>343</v>
      </c>
      <c r="Q425" s="204" t="s">
        <v>275</v>
      </c>
      <c r="R425" s="204" t="s">
        <v>602</v>
      </c>
      <c r="S425" s="204" t="s">
        <v>436</v>
      </c>
      <c r="T425" s="204" t="s">
        <v>435</v>
      </c>
      <c r="U425" s="204">
        <v>2086</v>
      </c>
      <c r="V425" s="204" t="s">
        <v>435</v>
      </c>
      <c r="W425" s="204" t="s">
        <v>280</v>
      </c>
      <c r="X425" s="204">
        <v>11.747999999999999</v>
      </c>
      <c r="Y425" s="211">
        <v>-0.35</v>
      </c>
      <c r="Z425" s="211">
        <v>1.7</v>
      </c>
      <c r="AA425" s="211">
        <v>19.96</v>
      </c>
      <c r="AB425" s="211">
        <v>-2.15</v>
      </c>
      <c r="AC425" s="211">
        <v>0</v>
      </c>
      <c r="AD425" s="211">
        <v>0</v>
      </c>
      <c r="AE425" s="211">
        <v>17.46</v>
      </c>
      <c r="AF425" s="211">
        <v>-2.82</v>
      </c>
      <c r="AG425" s="204" t="s">
        <v>279</v>
      </c>
      <c r="AH425" s="211">
        <v>0</v>
      </c>
      <c r="AI425" s="211">
        <v>19.96</v>
      </c>
      <c r="AJ425" s="211">
        <v>0</v>
      </c>
      <c r="AK425" s="204" t="str">
        <f t="shared" si="13"/>
        <v>1.00000000</v>
      </c>
      <c r="AL425" s="204">
        <v>38.6</v>
      </c>
    </row>
    <row r="426" spans="1:38" x14ac:dyDescent="0.2">
      <c r="A426" s="204" t="str">
        <f t="shared" si="14"/>
        <v>0496002595734</v>
      </c>
      <c r="B426" s="204">
        <v>2</v>
      </c>
      <c r="C426" s="204" t="s">
        <v>435</v>
      </c>
      <c r="D426" s="204">
        <v>80</v>
      </c>
      <c r="E426" s="204">
        <v>80</v>
      </c>
      <c r="F426" s="204" t="s">
        <v>243</v>
      </c>
      <c r="G426" s="204">
        <v>2086</v>
      </c>
      <c r="H426" s="204" t="s">
        <v>270</v>
      </c>
      <c r="I426" s="204">
        <v>45149</v>
      </c>
      <c r="J426" s="209">
        <v>42435</v>
      </c>
      <c r="K426" s="210">
        <v>0.75902777777777775</v>
      </c>
      <c r="L426" s="209">
        <v>42437</v>
      </c>
      <c r="M426" s="204" t="s">
        <v>853</v>
      </c>
      <c r="N426" s="204" t="s">
        <v>1031</v>
      </c>
      <c r="O426" s="204" t="s">
        <v>1032</v>
      </c>
      <c r="P426" s="204" t="s">
        <v>835</v>
      </c>
      <c r="Q426" s="204" t="s">
        <v>309</v>
      </c>
      <c r="R426" s="204" t="s">
        <v>1033</v>
      </c>
      <c r="S426" s="204" t="s">
        <v>436</v>
      </c>
      <c r="T426" s="204" t="s">
        <v>435</v>
      </c>
      <c r="U426" s="204">
        <v>2086</v>
      </c>
      <c r="V426" s="204" t="s">
        <v>435</v>
      </c>
      <c r="W426" s="204" t="s">
        <v>280</v>
      </c>
      <c r="X426" s="204">
        <v>9.3840000000000003</v>
      </c>
      <c r="Y426" s="211">
        <v>-0.19</v>
      </c>
      <c r="Z426" s="211">
        <v>2.34</v>
      </c>
      <c r="AA426" s="211">
        <v>21.95</v>
      </c>
      <c r="AB426" s="211">
        <v>-1.72</v>
      </c>
      <c r="AC426" s="211">
        <v>0</v>
      </c>
      <c r="AD426" s="211">
        <v>0</v>
      </c>
      <c r="AE426" s="211">
        <v>20.04</v>
      </c>
      <c r="AF426" s="211">
        <v>-2.35</v>
      </c>
      <c r="AG426" s="204" t="s">
        <v>279</v>
      </c>
      <c r="AH426" s="211">
        <v>0</v>
      </c>
      <c r="AI426" s="211">
        <v>21.95</v>
      </c>
      <c r="AJ426" s="211">
        <v>0</v>
      </c>
      <c r="AK426" s="204" t="str">
        <f t="shared" si="13"/>
        <v>1.00000000</v>
      </c>
      <c r="AL426" s="204">
        <v>38.700000000000003</v>
      </c>
    </row>
    <row r="427" spans="1:38" x14ac:dyDescent="0.2">
      <c r="A427" s="204" t="str">
        <f t="shared" si="14"/>
        <v>0496002595734</v>
      </c>
      <c r="B427" s="204">
        <v>2</v>
      </c>
      <c r="C427" s="204" t="s">
        <v>435</v>
      </c>
      <c r="D427" s="204">
        <v>80</v>
      </c>
      <c r="E427" s="204">
        <v>80</v>
      </c>
      <c r="F427" s="204" t="s">
        <v>243</v>
      </c>
      <c r="G427" s="204">
        <v>2086</v>
      </c>
      <c r="H427" s="204" t="s">
        <v>270</v>
      </c>
      <c r="I427" s="204">
        <v>45526</v>
      </c>
      <c r="J427" s="209">
        <v>42438</v>
      </c>
      <c r="K427" s="210">
        <v>0.56458333333333333</v>
      </c>
      <c r="L427" s="209">
        <v>42440</v>
      </c>
      <c r="M427" s="204" t="s">
        <v>853</v>
      </c>
      <c r="N427" s="204" t="s">
        <v>272</v>
      </c>
      <c r="O427" s="204" t="s">
        <v>273</v>
      </c>
      <c r="P427" s="204" t="s">
        <v>274</v>
      </c>
      <c r="Q427" s="204" t="s">
        <v>275</v>
      </c>
      <c r="R427" s="204" t="s">
        <v>276</v>
      </c>
      <c r="S427" s="204" t="s">
        <v>436</v>
      </c>
      <c r="T427" s="204" t="s">
        <v>435</v>
      </c>
      <c r="U427" s="204">
        <v>2086</v>
      </c>
      <c r="V427" s="204" t="s">
        <v>435</v>
      </c>
      <c r="W427" s="204" t="s">
        <v>280</v>
      </c>
      <c r="X427" s="204">
        <v>10.176</v>
      </c>
      <c r="Y427" s="211">
        <v>-0.31</v>
      </c>
      <c r="Z427" s="211">
        <v>1.76</v>
      </c>
      <c r="AA427" s="211">
        <v>17.899999999999999</v>
      </c>
      <c r="AB427" s="211">
        <v>-1.86</v>
      </c>
      <c r="AC427" s="211">
        <v>0</v>
      </c>
      <c r="AD427" s="211">
        <v>0</v>
      </c>
      <c r="AE427" s="211">
        <v>15.73</v>
      </c>
      <c r="AF427" s="211">
        <v>-2.44</v>
      </c>
      <c r="AG427" s="204" t="s">
        <v>279</v>
      </c>
      <c r="AH427" s="211">
        <v>0</v>
      </c>
      <c r="AI427" s="211">
        <v>17.899999999999999</v>
      </c>
      <c r="AJ427" s="211">
        <v>0</v>
      </c>
      <c r="AK427" s="204" t="str">
        <f t="shared" si="13"/>
        <v>1.00000000</v>
      </c>
      <c r="AL427" s="204">
        <v>37</v>
      </c>
    </row>
    <row r="428" spans="1:38" x14ac:dyDescent="0.2">
      <c r="A428" s="204" t="str">
        <f t="shared" si="14"/>
        <v>0496002595734</v>
      </c>
      <c r="B428" s="204">
        <v>2</v>
      </c>
      <c r="C428" s="204" t="s">
        <v>435</v>
      </c>
      <c r="D428" s="204">
        <v>80</v>
      </c>
      <c r="E428" s="204">
        <v>80</v>
      </c>
      <c r="F428" s="204" t="s">
        <v>243</v>
      </c>
      <c r="G428" s="204">
        <v>2086</v>
      </c>
      <c r="H428" s="204" t="s">
        <v>270</v>
      </c>
      <c r="I428" s="204">
        <v>46987</v>
      </c>
      <c r="J428" s="209">
        <v>42444</v>
      </c>
      <c r="K428" s="210">
        <v>0.38611111111111113</v>
      </c>
      <c r="L428" s="209">
        <v>42446</v>
      </c>
      <c r="M428" s="204" t="s">
        <v>853</v>
      </c>
      <c r="N428" s="204" t="s">
        <v>272</v>
      </c>
      <c r="O428" s="204" t="s">
        <v>273</v>
      </c>
      <c r="P428" s="204" t="s">
        <v>274</v>
      </c>
      <c r="Q428" s="204" t="s">
        <v>275</v>
      </c>
      <c r="R428" s="204" t="s">
        <v>276</v>
      </c>
      <c r="S428" s="204" t="s">
        <v>436</v>
      </c>
      <c r="T428" s="204" t="s">
        <v>435</v>
      </c>
      <c r="U428" s="204">
        <v>2086</v>
      </c>
      <c r="V428" s="204" t="s">
        <v>435</v>
      </c>
      <c r="W428" s="204" t="s">
        <v>280</v>
      </c>
      <c r="X428" s="204">
        <v>6.42</v>
      </c>
      <c r="Y428" s="211">
        <v>-0.19</v>
      </c>
      <c r="Z428" s="211">
        <v>1.87</v>
      </c>
      <c r="AA428" s="211">
        <v>12</v>
      </c>
      <c r="AB428" s="211">
        <v>-1.17</v>
      </c>
      <c r="AC428" s="211">
        <v>0</v>
      </c>
      <c r="AD428" s="211">
        <v>0</v>
      </c>
      <c r="AE428" s="211">
        <v>10.64</v>
      </c>
      <c r="AF428" s="211">
        <v>-1.54</v>
      </c>
      <c r="AG428" s="204" t="s">
        <v>279</v>
      </c>
      <c r="AH428" s="211">
        <v>0</v>
      </c>
      <c r="AI428" s="211">
        <v>12</v>
      </c>
      <c r="AJ428" s="211">
        <v>0</v>
      </c>
      <c r="AK428" s="204" t="str">
        <f t="shared" si="13"/>
        <v>1.00000000</v>
      </c>
      <c r="AL428" s="204">
        <v>38.6</v>
      </c>
    </row>
    <row r="429" spans="1:38" x14ac:dyDescent="0.2">
      <c r="A429" s="204" t="str">
        <f t="shared" si="14"/>
        <v>0496002595734</v>
      </c>
      <c r="B429" s="204">
        <v>2</v>
      </c>
      <c r="C429" s="204" t="s">
        <v>435</v>
      </c>
      <c r="D429" s="204">
        <v>80</v>
      </c>
      <c r="E429" s="204">
        <v>80</v>
      </c>
      <c r="F429" s="204" t="s">
        <v>243</v>
      </c>
      <c r="G429" s="204">
        <v>2086</v>
      </c>
      <c r="H429" s="204" t="s">
        <v>270</v>
      </c>
      <c r="I429" s="204">
        <v>47309</v>
      </c>
      <c r="J429" s="209">
        <v>42446</v>
      </c>
      <c r="K429" s="210">
        <v>0.46388888888888885</v>
      </c>
      <c r="L429" s="209">
        <v>42450</v>
      </c>
      <c r="M429" s="204" t="s">
        <v>853</v>
      </c>
      <c r="N429" s="204" t="s">
        <v>272</v>
      </c>
      <c r="O429" s="204" t="s">
        <v>273</v>
      </c>
      <c r="P429" s="204" t="s">
        <v>274</v>
      </c>
      <c r="Q429" s="204" t="s">
        <v>275</v>
      </c>
      <c r="R429" s="204" t="s">
        <v>276</v>
      </c>
      <c r="S429" s="204" t="s">
        <v>436</v>
      </c>
      <c r="T429" s="204" t="s">
        <v>435</v>
      </c>
      <c r="U429" s="204">
        <v>2086</v>
      </c>
      <c r="V429" s="204" t="s">
        <v>435</v>
      </c>
      <c r="W429" s="204" t="s">
        <v>280</v>
      </c>
      <c r="X429" s="204">
        <v>9.593</v>
      </c>
      <c r="Y429" s="211">
        <v>-0.28999999999999998</v>
      </c>
      <c r="Z429" s="211">
        <v>1.87</v>
      </c>
      <c r="AA429" s="211">
        <v>17.93</v>
      </c>
      <c r="AB429" s="211">
        <v>-1.76</v>
      </c>
      <c r="AC429" s="211">
        <v>0</v>
      </c>
      <c r="AD429" s="211">
        <v>0</v>
      </c>
      <c r="AE429" s="211">
        <v>15.88</v>
      </c>
      <c r="AF429" s="211">
        <v>-2.2999999999999998</v>
      </c>
      <c r="AG429" s="204" t="s">
        <v>279</v>
      </c>
      <c r="AH429" s="211">
        <v>0</v>
      </c>
      <c r="AI429" s="211">
        <v>17.93</v>
      </c>
      <c r="AJ429" s="211">
        <v>0</v>
      </c>
      <c r="AK429" s="204" t="str">
        <f t="shared" si="13"/>
        <v>1.00000000</v>
      </c>
      <c r="AL429" s="204">
        <v>38.700000000000003</v>
      </c>
    </row>
    <row r="430" spans="1:38" x14ac:dyDescent="0.2">
      <c r="A430" s="204" t="str">
        <f t="shared" si="14"/>
        <v>0496002595734</v>
      </c>
      <c r="B430" s="204">
        <v>2</v>
      </c>
      <c r="C430" s="204" t="s">
        <v>435</v>
      </c>
      <c r="D430" s="204">
        <v>80</v>
      </c>
      <c r="E430" s="204">
        <v>80</v>
      </c>
      <c r="F430" s="204" t="s">
        <v>243</v>
      </c>
      <c r="G430" s="204">
        <v>2086</v>
      </c>
      <c r="H430" s="204" t="s">
        <v>270</v>
      </c>
      <c r="I430" s="204">
        <v>47657</v>
      </c>
      <c r="J430" s="209">
        <v>42447</v>
      </c>
      <c r="K430" s="210">
        <v>0.5756944444444444</v>
      </c>
      <c r="L430" s="209">
        <v>42451</v>
      </c>
      <c r="M430" s="204" t="s">
        <v>853</v>
      </c>
      <c r="N430" s="204" t="s">
        <v>272</v>
      </c>
      <c r="O430" s="204" t="s">
        <v>273</v>
      </c>
      <c r="P430" s="204" t="s">
        <v>274</v>
      </c>
      <c r="Q430" s="204" t="s">
        <v>275</v>
      </c>
      <c r="R430" s="204" t="s">
        <v>276</v>
      </c>
      <c r="S430" s="204" t="s">
        <v>436</v>
      </c>
      <c r="T430" s="204" t="s">
        <v>435</v>
      </c>
      <c r="U430" s="204">
        <v>2086</v>
      </c>
      <c r="V430" s="204" t="s">
        <v>435</v>
      </c>
      <c r="W430" s="204" t="s">
        <v>280</v>
      </c>
      <c r="X430" s="204">
        <v>8.8450000000000006</v>
      </c>
      <c r="Y430" s="211">
        <v>-0.27</v>
      </c>
      <c r="Z430" s="211">
        <v>1.88</v>
      </c>
      <c r="AA430" s="211">
        <v>16.62</v>
      </c>
      <c r="AB430" s="211">
        <v>-1.62</v>
      </c>
      <c r="AC430" s="211">
        <v>0</v>
      </c>
      <c r="AD430" s="211">
        <v>0</v>
      </c>
      <c r="AE430" s="211">
        <v>14.73</v>
      </c>
      <c r="AF430" s="211">
        <v>-2.12</v>
      </c>
      <c r="AG430" s="204" t="s">
        <v>279</v>
      </c>
      <c r="AH430" s="211">
        <v>0</v>
      </c>
      <c r="AI430" s="211">
        <v>16.62</v>
      </c>
      <c r="AJ430" s="211">
        <v>0</v>
      </c>
      <c r="AK430" s="204" t="str">
        <f t="shared" si="13"/>
        <v>1.00000000</v>
      </c>
      <c r="AL430" s="204">
        <v>39.299999999999997</v>
      </c>
    </row>
    <row r="431" spans="1:38" x14ac:dyDescent="0.2">
      <c r="A431" s="204" t="str">
        <f t="shared" si="14"/>
        <v>0496002595734</v>
      </c>
      <c r="B431" s="204">
        <v>2</v>
      </c>
      <c r="C431" s="204" t="s">
        <v>435</v>
      </c>
      <c r="D431" s="204">
        <v>80</v>
      </c>
      <c r="E431" s="204">
        <v>80</v>
      </c>
      <c r="F431" s="204" t="s">
        <v>243</v>
      </c>
      <c r="G431" s="204">
        <v>2086</v>
      </c>
      <c r="H431" s="204" t="s">
        <v>270</v>
      </c>
      <c r="I431" s="204">
        <v>47884</v>
      </c>
      <c r="J431" s="209">
        <v>42448</v>
      </c>
      <c r="K431" s="210">
        <v>0.375</v>
      </c>
      <c r="L431" s="209">
        <v>42451</v>
      </c>
      <c r="M431" s="204" t="s">
        <v>853</v>
      </c>
      <c r="N431" s="204" t="s">
        <v>272</v>
      </c>
      <c r="O431" s="204" t="s">
        <v>273</v>
      </c>
      <c r="P431" s="204" t="s">
        <v>274</v>
      </c>
      <c r="Q431" s="204" t="s">
        <v>275</v>
      </c>
      <c r="R431" s="204" t="s">
        <v>276</v>
      </c>
      <c r="S431" s="204" t="s">
        <v>436</v>
      </c>
      <c r="T431" s="204" t="s">
        <v>435</v>
      </c>
      <c r="U431" s="204">
        <v>2086</v>
      </c>
      <c r="V431" s="204" t="s">
        <v>435</v>
      </c>
      <c r="W431" s="204" t="s">
        <v>280</v>
      </c>
      <c r="X431" s="204">
        <v>6.6470000000000002</v>
      </c>
      <c r="Y431" s="211">
        <v>-0.2</v>
      </c>
      <c r="Z431" s="211">
        <v>1.88</v>
      </c>
      <c r="AA431" s="211">
        <v>12.49</v>
      </c>
      <c r="AB431" s="211">
        <v>-1.22</v>
      </c>
      <c r="AC431" s="211">
        <v>0</v>
      </c>
      <c r="AD431" s="211">
        <v>0</v>
      </c>
      <c r="AE431" s="211">
        <v>11.07</v>
      </c>
      <c r="AF431" s="211">
        <v>-1.6</v>
      </c>
      <c r="AG431" s="204" t="s">
        <v>279</v>
      </c>
      <c r="AH431" s="211">
        <v>0</v>
      </c>
      <c r="AI431" s="211">
        <v>12.49</v>
      </c>
      <c r="AJ431" s="211">
        <v>0</v>
      </c>
      <c r="AK431" s="204" t="str">
        <f t="shared" si="13"/>
        <v>1.00000000</v>
      </c>
      <c r="AL431" s="204">
        <v>34.200000000000003</v>
      </c>
    </row>
    <row r="432" spans="1:38" x14ac:dyDescent="0.2">
      <c r="A432" s="204" t="str">
        <f t="shared" si="14"/>
        <v>0496002595734</v>
      </c>
      <c r="B432" s="204">
        <v>2</v>
      </c>
      <c r="C432" s="204" t="s">
        <v>435</v>
      </c>
      <c r="D432" s="204">
        <v>80</v>
      </c>
      <c r="E432" s="204">
        <v>80</v>
      </c>
      <c r="F432" s="204" t="s">
        <v>243</v>
      </c>
      <c r="G432" s="204">
        <v>2086</v>
      </c>
      <c r="H432" s="204" t="s">
        <v>270</v>
      </c>
      <c r="I432" s="204">
        <v>48196</v>
      </c>
      <c r="J432" s="209">
        <v>42450</v>
      </c>
      <c r="K432" s="210">
        <v>0.90347222222222223</v>
      </c>
      <c r="L432" s="209">
        <v>42452</v>
      </c>
      <c r="M432" s="204" t="s">
        <v>853</v>
      </c>
      <c r="N432" s="204" t="s">
        <v>1034</v>
      </c>
      <c r="O432" s="204" t="s">
        <v>1035</v>
      </c>
      <c r="P432" s="204" t="s">
        <v>373</v>
      </c>
      <c r="Q432" s="204" t="s">
        <v>275</v>
      </c>
      <c r="R432" s="204" t="s">
        <v>1036</v>
      </c>
      <c r="S432" s="204" t="s">
        <v>436</v>
      </c>
      <c r="T432" s="204" t="s">
        <v>435</v>
      </c>
      <c r="U432" s="204">
        <v>2086</v>
      </c>
      <c r="V432" s="204" t="s">
        <v>435</v>
      </c>
      <c r="W432" s="204" t="s">
        <v>278</v>
      </c>
      <c r="X432" s="204">
        <v>9.5030000000000001</v>
      </c>
      <c r="Y432" s="211">
        <v>-0.19</v>
      </c>
      <c r="Z432" s="211">
        <v>2.4</v>
      </c>
      <c r="AA432" s="211">
        <v>22.8</v>
      </c>
      <c r="AB432" s="211">
        <v>-1.74</v>
      </c>
      <c r="AC432" s="211">
        <v>0</v>
      </c>
      <c r="AD432" s="211">
        <v>0</v>
      </c>
      <c r="AE432" s="211">
        <v>20.87</v>
      </c>
      <c r="AF432" s="211">
        <v>-2.2799999999999998</v>
      </c>
      <c r="AG432" s="204" t="s">
        <v>279</v>
      </c>
      <c r="AH432" s="211">
        <v>0</v>
      </c>
      <c r="AI432" s="211">
        <v>22.8</v>
      </c>
      <c r="AJ432" s="211">
        <v>0</v>
      </c>
      <c r="AK432" s="204" t="str">
        <f t="shared" si="13"/>
        <v>1.00000000</v>
      </c>
      <c r="AL432" s="204">
        <v>38.6</v>
      </c>
    </row>
    <row r="433" spans="1:38" x14ac:dyDescent="0.2">
      <c r="A433" s="204" t="str">
        <f t="shared" si="14"/>
        <v>0496002595734</v>
      </c>
      <c r="B433" s="204">
        <v>2</v>
      </c>
      <c r="C433" s="204" t="s">
        <v>435</v>
      </c>
      <c r="D433" s="204">
        <v>80</v>
      </c>
      <c r="E433" s="204">
        <v>80</v>
      </c>
      <c r="F433" s="204" t="s">
        <v>243</v>
      </c>
      <c r="G433" s="204">
        <v>2086</v>
      </c>
      <c r="H433" s="204" t="s">
        <v>270</v>
      </c>
      <c r="I433" s="204">
        <v>48486</v>
      </c>
      <c r="J433" s="209">
        <v>42453</v>
      </c>
      <c r="K433" s="210">
        <v>0.80347222222222225</v>
      </c>
      <c r="L433" s="209">
        <v>42457</v>
      </c>
      <c r="M433" s="204" t="s">
        <v>853</v>
      </c>
      <c r="N433" s="204" t="s">
        <v>272</v>
      </c>
      <c r="O433" s="204" t="s">
        <v>273</v>
      </c>
      <c r="P433" s="204" t="s">
        <v>274</v>
      </c>
      <c r="Q433" s="204" t="s">
        <v>275</v>
      </c>
      <c r="R433" s="204" t="s">
        <v>276</v>
      </c>
      <c r="S433" s="204" t="s">
        <v>436</v>
      </c>
      <c r="T433" s="204" t="s">
        <v>435</v>
      </c>
      <c r="U433" s="204">
        <v>2086</v>
      </c>
      <c r="V433" s="204" t="s">
        <v>435</v>
      </c>
      <c r="W433" s="204" t="s">
        <v>280</v>
      </c>
      <c r="X433" s="204">
        <v>8.9890000000000008</v>
      </c>
      <c r="Y433" s="211">
        <v>-0.27</v>
      </c>
      <c r="Z433" s="211">
        <v>2.0099999999999998</v>
      </c>
      <c r="AA433" s="211">
        <v>18.059999999999999</v>
      </c>
      <c r="AB433" s="211">
        <v>-1.64</v>
      </c>
      <c r="AC433" s="211">
        <v>0</v>
      </c>
      <c r="AD433" s="211">
        <v>0</v>
      </c>
      <c r="AE433" s="211">
        <v>16.149999999999999</v>
      </c>
      <c r="AF433" s="211">
        <v>-2.16</v>
      </c>
      <c r="AG433" s="204" t="s">
        <v>279</v>
      </c>
      <c r="AH433" s="211">
        <v>0</v>
      </c>
      <c r="AI433" s="211">
        <v>18.059999999999999</v>
      </c>
      <c r="AJ433" s="211">
        <v>0</v>
      </c>
      <c r="AK433" s="204" t="str">
        <f t="shared" si="13"/>
        <v>1.00000000</v>
      </c>
      <c r="AL433" s="204">
        <v>32.299999999999997</v>
      </c>
    </row>
    <row r="434" spans="1:38" x14ac:dyDescent="0.2">
      <c r="A434" s="204" t="str">
        <f t="shared" si="14"/>
        <v>0496002595734</v>
      </c>
      <c r="B434" s="204">
        <v>2</v>
      </c>
      <c r="C434" s="204" t="s">
        <v>435</v>
      </c>
      <c r="D434" s="204">
        <v>80</v>
      </c>
      <c r="E434" s="204">
        <v>80</v>
      </c>
      <c r="F434" s="204" t="s">
        <v>243</v>
      </c>
      <c r="G434" s="204">
        <v>2086</v>
      </c>
      <c r="H434" s="204" t="s">
        <v>270</v>
      </c>
      <c r="I434" s="204">
        <v>180000</v>
      </c>
      <c r="J434" s="209">
        <v>42455</v>
      </c>
      <c r="K434" s="210">
        <v>0.6</v>
      </c>
      <c r="L434" s="209">
        <v>42458</v>
      </c>
      <c r="M434" s="204" t="s">
        <v>606</v>
      </c>
      <c r="N434" s="204" t="s">
        <v>399</v>
      </c>
      <c r="O434" s="204" t="s">
        <v>400</v>
      </c>
      <c r="P434" s="204" t="s">
        <v>274</v>
      </c>
      <c r="Q434" s="204" t="s">
        <v>275</v>
      </c>
      <c r="R434" s="204" t="s">
        <v>401</v>
      </c>
      <c r="S434" s="204" t="s">
        <v>436</v>
      </c>
      <c r="T434" s="204" t="s">
        <v>435</v>
      </c>
      <c r="U434" s="204">
        <v>2086</v>
      </c>
      <c r="V434" s="204" t="s">
        <v>435</v>
      </c>
      <c r="W434" s="204" t="s">
        <v>280</v>
      </c>
      <c r="X434" s="204">
        <v>14.712999999999999</v>
      </c>
      <c r="Y434" s="211">
        <v>0</v>
      </c>
      <c r="Z434" s="211">
        <v>2.04</v>
      </c>
      <c r="AA434" s="211">
        <v>30</v>
      </c>
      <c r="AB434" s="211">
        <v>-2.69</v>
      </c>
      <c r="AC434" s="211">
        <v>0</v>
      </c>
      <c r="AD434" s="211">
        <v>0</v>
      </c>
      <c r="AE434" s="211">
        <v>27.31</v>
      </c>
      <c r="AF434" s="211">
        <v>-3.53</v>
      </c>
      <c r="AG434" s="204" t="s">
        <v>279</v>
      </c>
      <c r="AH434" s="211">
        <v>0</v>
      </c>
      <c r="AI434" s="211">
        <v>30</v>
      </c>
      <c r="AJ434" s="211">
        <v>0</v>
      </c>
      <c r="AK434" s="204" t="str">
        <f t="shared" si="13"/>
        <v>1.00000000</v>
      </c>
      <c r="AL434" s="204">
        <v>32.799999999999997</v>
      </c>
    </row>
    <row r="435" spans="1:38" x14ac:dyDescent="0.2">
      <c r="A435" s="204" t="str">
        <f t="shared" si="14"/>
        <v>0496002595734</v>
      </c>
      <c r="B435" s="204">
        <v>2</v>
      </c>
      <c r="C435" s="204" t="s">
        <v>435</v>
      </c>
      <c r="D435" s="204">
        <v>80</v>
      </c>
      <c r="E435" s="204">
        <v>80</v>
      </c>
      <c r="F435" s="204" t="s">
        <v>243</v>
      </c>
      <c r="G435" s="204">
        <v>2086</v>
      </c>
      <c r="H435" s="204" t="s">
        <v>270</v>
      </c>
      <c r="I435" s="204">
        <v>180000</v>
      </c>
      <c r="J435" s="209">
        <v>42455</v>
      </c>
      <c r="K435" s="210">
        <v>0.60138888888888886</v>
      </c>
      <c r="L435" s="209">
        <v>42458</v>
      </c>
      <c r="M435" s="204" t="s">
        <v>606</v>
      </c>
      <c r="N435" s="204" t="s">
        <v>399</v>
      </c>
      <c r="O435" s="204" t="s">
        <v>400</v>
      </c>
      <c r="P435" s="204" t="s">
        <v>274</v>
      </c>
      <c r="Q435" s="204" t="s">
        <v>275</v>
      </c>
      <c r="R435" s="204" t="s">
        <v>401</v>
      </c>
      <c r="S435" s="204" t="s">
        <v>436</v>
      </c>
      <c r="T435" s="204" t="s">
        <v>435</v>
      </c>
      <c r="U435" s="204">
        <v>2086</v>
      </c>
      <c r="V435" s="204" t="s">
        <v>435</v>
      </c>
      <c r="W435" s="204" t="s">
        <v>280</v>
      </c>
      <c r="X435" s="204">
        <v>-9.2739999999999991</v>
      </c>
      <c r="Y435" s="211">
        <v>0</v>
      </c>
      <c r="Z435" s="211">
        <v>-2.04</v>
      </c>
      <c r="AA435" s="211">
        <v>-18.91</v>
      </c>
      <c r="AB435" s="211">
        <v>0</v>
      </c>
      <c r="AC435" s="211">
        <v>0</v>
      </c>
      <c r="AD435" s="211">
        <v>0</v>
      </c>
      <c r="AE435" s="211">
        <v>-18.91</v>
      </c>
      <c r="AF435" s="211">
        <v>0</v>
      </c>
      <c r="AG435" s="204" t="s">
        <v>279</v>
      </c>
      <c r="AH435" s="211">
        <v>0</v>
      </c>
      <c r="AI435" s="211">
        <v>-18.91</v>
      </c>
      <c r="AJ435" s="211">
        <v>0</v>
      </c>
      <c r="AK435" s="204" t="str">
        <f t="shared" si="13"/>
        <v>1.00000000</v>
      </c>
      <c r="AL435" s="204">
        <v>0</v>
      </c>
    </row>
    <row r="436" spans="1:38" x14ac:dyDescent="0.2">
      <c r="A436" s="204" t="str">
        <f t="shared" si="14"/>
        <v>0496002595734</v>
      </c>
      <c r="B436" s="204">
        <v>2</v>
      </c>
      <c r="C436" s="204" t="s">
        <v>435</v>
      </c>
      <c r="D436" s="204">
        <v>80</v>
      </c>
      <c r="E436" s="204">
        <v>80</v>
      </c>
      <c r="F436" s="204" t="s">
        <v>243</v>
      </c>
      <c r="G436" s="204">
        <v>2086</v>
      </c>
      <c r="H436" s="204" t="s">
        <v>270</v>
      </c>
      <c r="I436" s="204">
        <v>48934</v>
      </c>
      <c r="J436" s="209">
        <v>42456</v>
      </c>
      <c r="K436" s="210">
        <v>0.38118055555555558</v>
      </c>
      <c r="L436" s="209">
        <v>42458</v>
      </c>
      <c r="M436" s="204" t="s">
        <v>310</v>
      </c>
      <c r="N436" s="204" t="s">
        <v>331</v>
      </c>
      <c r="O436" s="204" t="s">
        <v>332</v>
      </c>
      <c r="P436" s="204" t="s">
        <v>274</v>
      </c>
      <c r="Q436" s="204" t="s">
        <v>275</v>
      </c>
      <c r="R436" s="204" t="s">
        <v>858</v>
      </c>
      <c r="S436" s="204" t="s">
        <v>436</v>
      </c>
      <c r="T436" s="204" t="s">
        <v>435</v>
      </c>
      <c r="U436" s="204">
        <v>2086</v>
      </c>
      <c r="V436" s="204" t="s">
        <v>435</v>
      </c>
      <c r="W436" s="204" t="s">
        <v>280</v>
      </c>
      <c r="X436" s="204">
        <v>8.6289999999999996</v>
      </c>
      <c r="Y436" s="211">
        <v>0</v>
      </c>
      <c r="Z436" s="211">
        <v>2</v>
      </c>
      <c r="AA436" s="211">
        <v>17.25</v>
      </c>
      <c r="AB436" s="211">
        <v>-1.58</v>
      </c>
      <c r="AC436" s="211">
        <v>0</v>
      </c>
      <c r="AD436" s="211">
        <v>0</v>
      </c>
      <c r="AE436" s="211">
        <v>15.67</v>
      </c>
      <c r="AF436" s="211">
        <v>-2.0699999999999998</v>
      </c>
      <c r="AG436" s="204" t="s">
        <v>279</v>
      </c>
      <c r="AH436" s="211">
        <v>0</v>
      </c>
      <c r="AI436" s="211">
        <v>17.25</v>
      </c>
      <c r="AJ436" s="211">
        <v>0</v>
      </c>
      <c r="AK436" s="204" t="str">
        <f t="shared" si="13"/>
        <v>1.00000000</v>
      </c>
      <c r="AL436" s="204">
        <v>32.799999999999997</v>
      </c>
    </row>
    <row r="437" spans="1:38" x14ac:dyDescent="0.2">
      <c r="A437" s="204" t="str">
        <f t="shared" si="14"/>
        <v>0496002595734</v>
      </c>
      <c r="B437" s="204">
        <v>2</v>
      </c>
      <c r="C437" s="204" t="s">
        <v>435</v>
      </c>
      <c r="D437" s="204">
        <v>80</v>
      </c>
      <c r="E437" s="204">
        <v>80</v>
      </c>
      <c r="F437" s="204" t="s">
        <v>243</v>
      </c>
      <c r="G437" s="204">
        <v>2086</v>
      </c>
      <c r="H437" s="204" t="s">
        <v>270</v>
      </c>
      <c r="I437" s="204">
        <v>49194</v>
      </c>
      <c r="J437" s="209">
        <v>42456</v>
      </c>
      <c r="K437" s="210">
        <v>0.94930555555555562</v>
      </c>
      <c r="L437" s="209">
        <v>42458</v>
      </c>
      <c r="M437" s="204" t="s">
        <v>853</v>
      </c>
      <c r="N437" s="204" t="s">
        <v>588</v>
      </c>
      <c r="O437" s="204" t="s">
        <v>589</v>
      </c>
      <c r="P437" s="204" t="s">
        <v>590</v>
      </c>
      <c r="Q437" s="204" t="s">
        <v>275</v>
      </c>
      <c r="R437" s="204" t="s">
        <v>611</v>
      </c>
      <c r="S437" s="204" t="s">
        <v>436</v>
      </c>
      <c r="T437" s="204" t="s">
        <v>435</v>
      </c>
      <c r="U437" s="204">
        <v>2086</v>
      </c>
      <c r="V437" s="204" t="s">
        <v>435</v>
      </c>
      <c r="W437" s="204" t="s">
        <v>280</v>
      </c>
      <c r="X437" s="204">
        <v>7.8620000000000001</v>
      </c>
      <c r="Y437" s="211">
        <v>-0.4</v>
      </c>
      <c r="Z437" s="211">
        <v>1.91</v>
      </c>
      <c r="AA437" s="211">
        <v>15.01</v>
      </c>
      <c r="AB437" s="211">
        <v>-1.44</v>
      </c>
      <c r="AC437" s="211">
        <v>0</v>
      </c>
      <c r="AD437" s="211">
        <v>0</v>
      </c>
      <c r="AE437" s="211">
        <v>13.17</v>
      </c>
      <c r="AF437" s="211">
        <v>-1.89</v>
      </c>
      <c r="AG437" s="204" t="s">
        <v>279</v>
      </c>
      <c r="AH437" s="211">
        <v>0</v>
      </c>
      <c r="AI437" s="211">
        <v>15.01</v>
      </c>
      <c r="AJ437" s="211">
        <v>0</v>
      </c>
      <c r="AK437" s="204" t="str">
        <f t="shared" si="13"/>
        <v>1.00000000</v>
      </c>
      <c r="AL437" s="204">
        <v>33.1</v>
      </c>
    </row>
    <row r="438" spans="1:38" x14ac:dyDescent="0.2">
      <c r="A438" s="204" t="str">
        <f t="shared" si="14"/>
        <v>0496002595734</v>
      </c>
      <c r="B438" s="204">
        <v>2</v>
      </c>
      <c r="C438" s="204" t="s">
        <v>435</v>
      </c>
      <c r="D438" s="204">
        <v>80</v>
      </c>
      <c r="E438" s="204">
        <v>80</v>
      </c>
      <c r="F438" s="204" t="s">
        <v>243</v>
      </c>
      <c r="G438" s="204">
        <v>2086</v>
      </c>
      <c r="H438" s="204" t="s">
        <v>270</v>
      </c>
      <c r="I438" s="204">
        <v>49444</v>
      </c>
      <c r="J438" s="209">
        <v>42459</v>
      </c>
      <c r="K438" s="210">
        <v>0.63263888888888886</v>
      </c>
      <c r="L438" s="209">
        <v>42461</v>
      </c>
      <c r="M438" s="204" t="s">
        <v>271</v>
      </c>
      <c r="N438" s="204" t="s">
        <v>272</v>
      </c>
      <c r="O438" s="204" t="s">
        <v>273</v>
      </c>
      <c r="P438" s="204" t="s">
        <v>274</v>
      </c>
      <c r="Q438" s="204" t="s">
        <v>275</v>
      </c>
      <c r="R438" s="204" t="s">
        <v>276</v>
      </c>
      <c r="S438" s="204" t="s">
        <v>436</v>
      </c>
      <c r="T438" s="204" t="s">
        <v>435</v>
      </c>
      <c r="U438" s="204">
        <v>2086</v>
      </c>
      <c r="V438" s="204" t="s">
        <v>435</v>
      </c>
      <c r="W438" s="204" t="s">
        <v>280</v>
      </c>
      <c r="X438" s="204">
        <v>7.6669999999999998</v>
      </c>
      <c r="Y438" s="211">
        <v>-0.23</v>
      </c>
      <c r="Z438" s="211">
        <v>2.0299999999999998</v>
      </c>
      <c r="AA438" s="211">
        <v>15.55</v>
      </c>
      <c r="AB438" s="211">
        <v>-1.4</v>
      </c>
      <c r="AC438" s="211">
        <v>0</v>
      </c>
      <c r="AD438" s="211">
        <v>0</v>
      </c>
      <c r="AE438" s="211">
        <v>13.92</v>
      </c>
      <c r="AF438" s="211">
        <v>-1.84</v>
      </c>
      <c r="AG438" s="204" t="s">
        <v>279</v>
      </c>
      <c r="AH438" s="211">
        <v>0</v>
      </c>
      <c r="AI438" s="211">
        <v>15.55</v>
      </c>
      <c r="AJ438" s="211">
        <v>0</v>
      </c>
      <c r="AK438" s="204" t="str">
        <f t="shared" si="13"/>
        <v>1.00000000</v>
      </c>
      <c r="AL438" s="204">
        <v>32.6</v>
      </c>
    </row>
    <row r="439" spans="1:38" x14ac:dyDescent="0.2">
      <c r="A439" s="204" t="str">
        <f t="shared" si="14"/>
        <v>0496002595734</v>
      </c>
      <c r="B439" s="204">
        <v>2</v>
      </c>
      <c r="C439" s="204" t="s">
        <v>435</v>
      </c>
      <c r="D439" s="204">
        <v>80</v>
      </c>
      <c r="E439" s="204">
        <v>80</v>
      </c>
      <c r="F439" s="204" t="s">
        <v>243</v>
      </c>
      <c r="G439" s="204">
        <v>2086</v>
      </c>
      <c r="H439" s="204" t="s">
        <v>270</v>
      </c>
      <c r="I439" s="204">
        <v>49748</v>
      </c>
      <c r="J439" s="209">
        <v>42467</v>
      </c>
      <c r="K439" s="210">
        <v>0.34097222222222223</v>
      </c>
      <c r="L439" s="209">
        <v>42471</v>
      </c>
      <c r="M439" s="204" t="s">
        <v>271</v>
      </c>
      <c r="N439" s="204" t="s">
        <v>352</v>
      </c>
      <c r="O439" s="204" t="s">
        <v>353</v>
      </c>
      <c r="P439" s="204" t="s">
        <v>343</v>
      </c>
      <c r="Q439" s="204" t="s">
        <v>275</v>
      </c>
      <c r="R439" s="204" t="s">
        <v>602</v>
      </c>
      <c r="S439" s="204" t="s">
        <v>436</v>
      </c>
      <c r="T439" s="204" t="s">
        <v>435</v>
      </c>
      <c r="U439" s="204">
        <v>2086</v>
      </c>
      <c r="V439" s="204" t="s">
        <v>435</v>
      </c>
      <c r="W439" s="204" t="s">
        <v>280</v>
      </c>
      <c r="X439" s="204">
        <v>9.3539999999999992</v>
      </c>
      <c r="Y439" s="211">
        <v>-0.28000000000000003</v>
      </c>
      <c r="Z439" s="211">
        <v>2</v>
      </c>
      <c r="AA439" s="211">
        <v>18.7</v>
      </c>
      <c r="AB439" s="211">
        <v>-1.71</v>
      </c>
      <c r="AC439" s="211">
        <v>0</v>
      </c>
      <c r="AD439" s="211">
        <v>0</v>
      </c>
      <c r="AE439" s="211">
        <v>16.71</v>
      </c>
      <c r="AF439" s="211">
        <v>-2.2400000000000002</v>
      </c>
      <c r="AG439" s="204" t="s">
        <v>279</v>
      </c>
      <c r="AH439" s="211">
        <v>0</v>
      </c>
      <c r="AI439" s="211">
        <v>18.7</v>
      </c>
      <c r="AJ439" s="211">
        <v>0</v>
      </c>
      <c r="AK439" s="204" t="str">
        <f t="shared" si="13"/>
        <v>1.00000000</v>
      </c>
      <c r="AL439" s="204">
        <v>32.5</v>
      </c>
    </row>
    <row r="440" spans="1:38" x14ac:dyDescent="0.2">
      <c r="A440" s="204" t="str">
        <f t="shared" si="14"/>
        <v>0496002595734</v>
      </c>
      <c r="B440" s="204">
        <v>2</v>
      </c>
      <c r="C440" s="204" t="s">
        <v>435</v>
      </c>
      <c r="D440" s="204">
        <v>80</v>
      </c>
      <c r="E440" s="204">
        <v>80</v>
      </c>
      <c r="F440" s="204" t="s">
        <v>243</v>
      </c>
      <c r="G440" s="204">
        <v>2086</v>
      </c>
      <c r="H440" s="204" t="s">
        <v>270</v>
      </c>
      <c r="I440" s="204">
        <v>50070</v>
      </c>
      <c r="J440" s="209">
        <v>42469</v>
      </c>
      <c r="K440" s="210">
        <v>0.46527777777777773</v>
      </c>
      <c r="L440" s="209">
        <v>42472</v>
      </c>
      <c r="M440" s="204" t="s">
        <v>294</v>
      </c>
      <c r="N440" s="204" t="s">
        <v>299</v>
      </c>
      <c r="O440" s="204" t="s">
        <v>542</v>
      </c>
      <c r="P440" s="204" t="s">
        <v>543</v>
      </c>
      <c r="Q440" s="204" t="s">
        <v>275</v>
      </c>
      <c r="R440" s="204" t="s">
        <v>544</v>
      </c>
      <c r="S440" s="204" t="s">
        <v>436</v>
      </c>
      <c r="T440" s="204" t="s">
        <v>435</v>
      </c>
      <c r="U440" s="204">
        <v>2086</v>
      </c>
      <c r="V440" s="204" t="s">
        <v>435</v>
      </c>
      <c r="W440" s="204" t="s">
        <v>330</v>
      </c>
      <c r="X440" s="204">
        <v>8.69</v>
      </c>
      <c r="Y440" s="211">
        <v>0</v>
      </c>
      <c r="Z440" s="211">
        <v>2.2999999999999998</v>
      </c>
      <c r="AA440" s="211">
        <v>20</v>
      </c>
      <c r="AB440" s="211">
        <v>-1.59</v>
      </c>
      <c r="AC440" s="211">
        <v>0</v>
      </c>
      <c r="AD440" s="211">
        <v>0</v>
      </c>
      <c r="AE440" s="211">
        <v>18.41</v>
      </c>
      <c r="AF440" s="211">
        <v>-2.09</v>
      </c>
      <c r="AG440" s="204" t="s">
        <v>279</v>
      </c>
      <c r="AH440" s="211">
        <v>0</v>
      </c>
      <c r="AI440" s="211">
        <v>20</v>
      </c>
      <c r="AJ440" s="211">
        <v>0</v>
      </c>
      <c r="AK440" s="204" t="str">
        <f t="shared" si="13"/>
        <v>1.00000000</v>
      </c>
      <c r="AL440" s="204">
        <v>37</v>
      </c>
    </row>
    <row r="441" spans="1:38" x14ac:dyDescent="0.2">
      <c r="A441" s="204" t="str">
        <f t="shared" si="14"/>
        <v>0496002595734</v>
      </c>
      <c r="B441" s="204">
        <v>2</v>
      </c>
      <c r="C441" s="204" t="s">
        <v>435</v>
      </c>
      <c r="D441" s="204">
        <v>80</v>
      </c>
      <c r="E441" s="204">
        <v>80</v>
      </c>
      <c r="F441" s="204" t="s">
        <v>243</v>
      </c>
      <c r="G441" s="204">
        <v>2086</v>
      </c>
      <c r="H441" s="204" t="s">
        <v>270</v>
      </c>
      <c r="I441" s="204">
        <v>50241</v>
      </c>
      <c r="J441" s="209">
        <v>42470</v>
      </c>
      <c r="K441" s="210">
        <v>0.96250000000000002</v>
      </c>
      <c r="L441" s="209">
        <v>42472</v>
      </c>
      <c r="M441" s="204" t="s">
        <v>271</v>
      </c>
      <c r="N441" s="204" t="s">
        <v>352</v>
      </c>
      <c r="O441" s="204" t="s">
        <v>353</v>
      </c>
      <c r="P441" s="204" t="s">
        <v>343</v>
      </c>
      <c r="Q441" s="204" t="s">
        <v>275</v>
      </c>
      <c r="R441" s="204" t="s">
        <v>602</v>
      </c>
      <c r="S441" s="204" t="s">
        <v>436</v>
      </c>
      <c r="T441" s="204" t="s">
        <v>435</v>
      </c>
      <c r="U441" s="204">
        <v>2086</v>
      </c>
      <c r="V441" s="204" t="s">
        <v>435</v>
      </c>
      <c r="W441" s="204" t="s">
        <v>280</v>
      </c>
      <c r="X441" s="204">
        <v>6.258</v>
      </c>
      <c r="Y441" s="211">
        <v>-0.19</v>
      </c>
      <c r="Z441" s="211">
        <v>2</v>
      </c>
      <c r="AA441" s="211">
        <v>12.51</v>
      </c>
      <c r="AB441" s="211">
        <v>-1.1499999999999999</v>
      </c>
      <c r="AC441" s="211">
        <v>0</v>
      </c>
      <c r="AD441" s="211">
        <v>0</v>
      </c>
      <c r="AE441" s="211">
        <v>11.17</v>
      </c>
      <c r="AF441" s="211">
        <v>-1.5</v>
      </c>
      <c r="AG441" s="204" t="s">
        <v>279</v>
      </c>
      <c r="AH441" s="211">
        <v>0</v>
      </c>
      <c r="AI441" s="211">
        <v>12.51</v>
      </c>
      <c r="AJ441" s="211">
        <v>0</v>
      </c>
      <c r="AK441" s="204" t="str">
        <f t="shared" si="13"/>
        <v>1.00000000</v>
      </c>
      <c r="AL441" s="204">
        <v>32.799999999999997</v>
      </c>
    </row>
    <row r="442" spans="1:38" x14ac:dyDescent="0.2">
      <c r="A442" s="204" t="str">
        <f t="shared" si="14"/>
        <v>0496002595734</v>
      </c>
      <c r="B442" s="204">
        <v>2</v>
      </c>
      <c r="C442" s="204" t="s">
        <v>435</v>
      </c>
      <c r="D442" s="204">
        <v>80</v>
      </c>
      <c r="E442" s="204">
        <v>80</v>
      </c>
      <c r="F442" s="204" t="s">
        <v>243</v>
      </c>
      <c r="G442" s="204">
        <v>2086</v>
      </c>
      <c r="H442" s="204" t="s">
        <v>270</v>
      </c>
      <c r="I442" s="204">
        <v>50570</v>
      </c>
      <c r="J442" s="209">
        <v>42474</v>
      </c>
      <c r="K442" s="210">
        <v>0.72083333333333333</v>
      </c>
      <c r="L442" s="209">
        <v>42478</v>
      </c>
      <c r="M442" s="204" t="s">
        <v>271</v>
      </c>
      <c r="N442" s="204" t="s">
        <v>272</v>
      </c>
      <c r="O442" s="204" t="s">
        <v>273</v>
      </c>
      <c r="P442" s="204" t="s">
        <v>274</v>
      </c>
      <c r="Q442" s="204" t="s">
        <v>275</v>
      </c>
      <c r="R442" s="204" t="s">
        <v>276</v>
      </c>
      <c r="S442" s="204" t="s">
        <v>436</v>
      </c>
      <c r="T442" s="204" t="s">
        <v>435</v>
      </c>
      <c r="U442" s="204">
        <v>2086</v>
      </c>
      <c r="V442" s="204" t="s">
        <v>435</v>
      </c>
      <c r="W442" s="204" t="s">
        <v>280</v>
      </c>
      <c r="X442" s="204">
        <v>7.7450000000000001</v>
      </c>
      <c r="Y442" s="211">
        <v>-0.23</v>
      </c>
      <c r="Z442" s="211">
        <v>2.09</v>
      </c>
      <c r="AA442" s="211">
        <v>16.18</v>
      </c>
      <c r="AB442" s="211">
        <v>-1.42</v>
      </c>
      <c r="AC442" s="211">
        <v>0</v>
      </c>
      <c r="AD442" s="211">
        <v>0</v>
      </c>
      <c r="AE442" s="211">
        <v>14.53</v>
      </c>
      <c r="AF442" s="211">
        <v>-1.86</v>
      </c>
      <c r="AG442" s="204" t="s">
        <v>279</v>
      </c>
      <c r="AH442" s="211">
        <v>0</v>
      </c>
      <c r="AI442" s="211">
        <v>16.18</v>
      </c>
      <c r="AJ442" s="211">
        <v>0</v>
      </c>
      <c r="AK442" s="204" t="str">
        <f t="shared" si="13"/>
        <v>1.00000000</v>
      </c>
      <c r="AL442" s="204">
        <v>32.799999999999997</v>
      </c>
    </row>
    <row r="443" spans="1:38" x14ac:dyDescent="0.2">
      <c r="A443" s="204" t="str">
        <f t="shared" si="14"/>
        <v>0496002595734</v>
      </c>
      <c r="B443" s="204">
        <v>2</v>
      </c>
      <c r="C443" s="204" t="s">
        <v>435</v>
      </c>
      <c r="D443" s="204">
        <v>80</v>
      </c>
      <c r="E443" s="204">
        <v>80</v>
      </c>
      <c r="F443" s="204" t="s">
        <v>243</v>
      </c>
      <c r="G443" s="204">
        <v>2086</v>
      </c>
      <c r="H443" s="204" t="s">
        <v>270</v>
      </c>
      <c r="I443" s="204">
        <v>50625</v>
      </c>
      <c r="J443" s="209">
        <v>42476</v>
      </c>
      <c r="K443" s="210">
        <v>0.3125</v>
      </c>
      <c r="L443" s="209">
        <v>42479</v>
      </c>
      <c r="M443" s="204" t="s">
        <v>271</v>
      </c>
      <c r="N443" s="204" t="s">
        <v>272</v>
      </c>
      <c r="O443" s="204" t="s">
        <v>273</v>
      </c>
      <c r="P443" s="204" t="s">
        <v>274</v>
      </c>
      <c r="Q443" s="204" t="s">
        <v>275</v>
      </c>
      <c r="R443" s="204" t="s">
        <v>276</v>
      </c>
      <c r="S443" s="204" t="s">
        <v>436</v>
      </c>
      <c r="T443" s="204" t="s">
        <v>435</v>
      </c>
      <c r="U443" s="204">
        <v>2086</v>
      </c>
      <c r="V443" s="204" t="s">
        <v>435</v>
      </c>
      <c r="W443" s="204" t="s">
        <v>280</v>
      </c>
      <c r="X443" s="204">
        <v>3.1429999999999998</v>
      </c>
      <c r="Y443" s="211">
        <v>-0.09</v>
      </c>
      <c r="Z443" s="211">
        <v>2.09</v>
      </c>
      <c r="AA443" s="211">
        <v>6.57</v>
      </c>
      <c r="AB443" s="211">
        <v>-0.57999999999999996</v>
      </c>
      <c r="AC443" s="211">
        <v>0</v>
      </c>
      <c r="AD443" s="211">
        <v>0</v>
      </c>
      <c r="AE443" s="211">
        <v>5.9</v>
      </c>
      <c r="AF443" s="211">
        <v>-0.75</v>
      </c>
      <c r="AG443" s="204" t="s">
        <v>279</v>
      </c>
      <c r="AH443" s="211">
        <v>0</v>
      </c>
      <c r="AI443" s="211">
        <v>6.57</v>
      </c>
      <c r="AJ443" s="211">
        <v>0</v>
      </c>
      <c r="AK443" s="204" t="str">
        <f t="shared" si="13"/>
        <v>1.00000000</v>
      </c>
      <c r="AL443" s="204">
        <v>42.6</v>
      </c>
    </row>
    <row r="444" spans="1:38" x14ac:dyDescent="0.2">
      <c r="A444" s="204" t="str">
        <f t="shared" si="14"/>
        <v>0496002595734</v>
      </c>
      <c r="B444" s="204">
        <v>2</v>
      </c>
      <c r="C444" s="204" t="s">
        <v>435</v>
      </c>
      <c r="D444" s="204">
        <v>80</v>
      </c>
      <c r="E444" s="204">
        <v>80</v>
      </c>
      <c r="F444" s="204" t="s">
        <v>243</v>
      </c>
      <c r="G444" s="204">
        <v>2086</v>
      </c>
      <c r="H444" s="204" t="s">
        <v>270</v>
      </c>
      <c r="I444" s="204">
        <v>50821</v>
      </c>
      <c r="J444" s="209">
        <v>42477</v>
      </c>
      <c r="K444" s="210">
        <v>0.66527777777777775</v>
      </c>
      <c r="L444" s="209">
        <v>42479</v>
      </c>
      <c r="M444" s="204" t="s">
        <v>271</v>
      </c>
      <c r="N444" s="204" t="s">
        <v>272</v>
      </c>
      <c r="O444" s="204" t="s">
        <v>273</v>
      </c>
      <c r="P444" s="204" t="s">
        <v>274</v>
      </c>
      <c r="Q444" s="204" t="s">
        <v>275</v>
      </c>
      <c r="R444" s="204" t="s">
        <v>276</v>
      </c>
      <c r="S444" s="204" t="s">
        <v>436</v>
      </c>
      <c r="T444" s="204" t="s">
        <v>435</v>
      </c>
      <c r="U444" s="204">
        <v>2086</v>
      </c>
      <c r="V444" s="204" t="s">
        <v>435</v>
      </c>
      <c r="W444" s="204" t="s">
        <v>280</v>
      </c>
      <c r="X444" s="204">
        <v>5.6390000000000002</v>
      </c>
      <c r="Y444" s="211">
        <v>-0.17</v>
      </c>
      <c r="Z444" s="211">
        <v>2.09</v>
      </c>
      <c r="AA444" s="211">
        <v>11.78</v>
      </c>
      <c r="AB444" s="211">
        <v>-1.03</v>
      </c>
      <c r="AC444" s="211">
        <v>0</v>
      </c>
      <c r="AD444" s="211">
        <v>0</v>
      </c>
      <c r="AE444" s="211">
        <v>10.58</v>
      </c>
      <c r="AF444" s="211">
        <v>-1.35</v>
      </c>
      <c r="AG444" s="204" t="s">
        <v>279</v>
      </c>
      <c r="AH444" s="211">
        <v>0</v>
      </c>
      <c r="AI444" s="211">
        <v>11.78</v>
      </c>
      <c r="AJ444" s="211">
        <v>0</v>
      </c>
      <c r="AK444" s="204" t="str">
        <f t="shared" si="13"/>
        <v>1.00000000</v>
      </c>
      <c r="AL444" s="204">
        <v>42.6</v>
      </c>
    </row>
    <row r="445" spans="1:38" x14ac:dyDescent="0.2">
      <c r="A445" s="204" t="str">
        <f t="shared" si="14"/>
        <v>0496002595734</v>
      </c>
      <c r="B445" s="204">
        <v>2</v>
      </c>
      <c r="C445" s="204" t="s">
        <v>435</v>
      </c>
      <c r="D445" s="204">
        <v>80</v>
      </c>
      <c r="E445" s="204">
        <v>80</v>
      </c>
      <c r="F445" s="204" t="s">
        <v>243</v>
      </c>
      <c r="G445" s="204">
        <v>2086</v>
      </c>
      <c r="H445" s="204" t="s">
        <v>270</v>
      </c>
      <c r="I445" s="204">
        <v>51130</v>
      </c>
      <c r="J445" s="209">
        <v>42483</v>
      </c>
      <c r="K445" s="210">
        <v>0.73611111111111116</v>
      </c>
      <c r="L445" s="209">
        <v>42486</v>
      </c>
      <c r="M445" s="204" t="s">
        <v>271</v>
      </c>
      <c r="N445" s="204" t="s">
        <v>272</v>
      </c>
      <c r="O445" s="204" t="s">
        <v>273</v>
      </c>
      <c r="P445" s="204" t="s">
        <v>274</v>
      </c>
      <c r="Q445" s="204" t="s">
        <v>275</v>
      </c>
      <c r="R445" s="204" t="s">
        <v>276</v>
      </c>
      <c r="S445" s="204" t="s">
        <v>436</v>
      </c>
      <c r="T445" s="204" t="s">
        <v>435</v>
      </c>
      <c r="U445" s="204">
        <v>2086</v>
      </c>
      <c r="V445" s="204" t="s">
        <v>435</v>
      </c>
      <c r="W445" s="204" t="s">
        <v>280</v>
      </c>
      <c r="X445" s="204">
        <v>7.8239999999999998</v>
      </c>
      <c r="Y445" s="211">
        <v>-0.23</v>
      </c>
      <c r="Z445" s="211">
        <v>2.12</v>
      </c>
      <c r="AA445" s="211">
        <v>16.579999999999998</v>
      </c>
      <c r="AB445" s="211">
        <v>-1.43</v>
      </c>
      <c r="AC445" s="211">
        <v>0</v>
      </c>
      <c r="AD445" s="211">
        <v>0</v>
      </c>
      <c r="AE445" s="211">
        <v>14.92</v>
      </c>
      <c r="AF445" s="211">
        <v>-1.88</v>
      </c>
      <c r="AG445" s="204" t="s">
        <v>279</v>
      </c>
      <c r="AH445" s="211">
        <v>0</v>
      </c>
      <c r="AI445" s="211">
        <v>16.579999999999998</v>
      </c>
      <c r="AJ445" s="211">
        <v>0</v>
      </c>
      <c r="AK445" s="204" t="str">
        <f t="shared" si="13"/>
        <v>1.00000000</v>
      </c>
      <c r="AL445" s="204">
        <v>39.5</v>
      </c>
    </row>
    <row r="446" spans="1:38" x14ac:dyDescent="0.2">
      <c r="A446" s="204" t="str">
        <f t="shared" si="14"/>
        <v>0496002595734</v>
      </c>
      <c r="B446" s="204">
        <v>2</v>
      </c>
      <c r="C446" s="204" t="s">
        <v>435</v>
      </c>
      <c r="D446" s="204">
        <v>80</v>
      </c>
      <c r="E446" s="204">
        <v>80</v>
      </c>
      <c r="F446" s="204" t="s">
        <v>243</v>
      </c>
      <c r="G446" s="204">
        <v>2086</v>
      </c>
      <c r="H446" s="204" t="s">
        <v>270</v>
      </c>
      <c r="I446" s="204">
        <v>51424</v>
      </c>
      <c r="J446" s="209">
        <v>42489</v>
      </c>
      <c r="K446" s="210">
        <v>0.44305555555555554</v>
      </c>
      <c r="L446" s="209">
        <v>42493</v>
      </c>
      <c r="M446" s="204" t="s">
        <v>271</v>
      </c>
      <c r="N446" s="204" t="s">
        <v>272</v>
      </c>
      <c r="O446" s="204" t="s">
        <v>273</v>
      </c>
      <c r="P446" s="204" t="s">
        <v>274</v>
      </c>
      <c r="Q446" s="204" t="s">
        <v>275</v>
      </c>
      <c r="R446" s="204" t="s">
        <v>276</v>
      </c>
      <c r="S446" s="204" t="s">
        <v>436</v>
      </c>
      <c r="T446" s="204" t="s">
        <v>435</v>
      </c>
      <c r="U446" s="204">
        <v>2086</v>
      </c>
      <c r="V446" s="204" t="s">
        <v>435</v>
      </c>
      <c r="W446" s="204" t="s">
        <v>280</v>
      </c>
      <c r="X446" s="204">
        <v>8.5990000000000002</v>
      </c>
      <c r="Y446" s="211">
        <v>-0.26</v>
      </c>
      <c r="Z446" s="211">
        <v>2.2000000000000002</v>
      </c>
      <c r="AA446" s="211">
        <v>18.91</v>
      </c>
      <c r="AB446" s="211">
        <v>-1.57</v>
      </c>
      <c r="AC446" s="211">
        <v>0</v>
      </c>
      <c r="AD446" s="211">
        <v>0</v>
      </c>
      <c r="AE446" s="211">
        <v>17.079999999999998</v>
      </c>
      <c r="AF446" s="211">
        <v>-2.06</v>
      </c>
      <c r="AG446" s="204" t="s">
        <v>279</v>
      </c>
      <c r="AH446" s="211">
        <v>0</v>
      </c>
      <c r="AI446" s="211">
        <v>18.91</v>
      </c>
      <c r="AJ446" s="211">
        <v>0</v>
      </c>
      <c r="AK446" s="204" t="str">
        <f t="shared" si="13"/>
        <v>1.00000000</v>
      </c>
      <c r="AL446" s="204">
        <v>42.4</v>
      </c>
    </row>
    <row r="447" spans="1:38" x14ac:dyDescent="0.2">
      <c r="A447" s="204" t="str">
        <f t="shared" si="14"/>
        <v>0496002595734</v>
      </c>
      <c r="B447" s="204">
        <v>2</v>
      </c>
      <c r="C447" s="204" t="s">
        <v>435</v>
      </c>
      <c r="D447" s="204">
        <v>80</v>
      </c>
      <c r="E447" s="204">
        <v>80</v>
      </c>
      <c r="F447" s="204" t="s">
        <v>243</v>
      </c>
      <c r="G447" s="204">
        <v>2086</v>
      </c>
      <c r="H447" s="204" t="s">
        <v>270</v>
      </c>
      <c r="I447" s="204">
        <v>51758</v>
      </c>
      <c r="J447" s="209">
        <v>42491</v>
      </c>
      <c r="K447" s="210">
        <v>0.74583333333333324</v>
      </c>
      <c r="L447" s="209">
        <v>42493</v>
      </c>
      <c r="M447" s="204" t="s">
        <v>271</v>
      </c>
      <c r="N447" s="204" t="s">
        <v>352</v>
      </c>
      <c r="O447" s="204" t="s">
        <v>353</v>
      </c>
      <c r="P447" s="204" t="s">
        <v>343</v>
      </c>
      <c r="Q447" s="204" t="s">
        <v>275</v>
      </c>
      <c r="R447" s="204" t="s">
        <v>602</v>
      </c>
      <c r="S447" s="204" t="s">
        <v>436</v>
      </c>
      <c r="T447" s="204" t="s">
        <v>435</v>
      </c>
      <c r="U447" s="204">
        <v>2086</v>
      </c>
      <c r="V447" s="204" t="s">
        <v>435</v>
      </c>
      <c r="W447" s="204" t="s">
        <v>280</v>
      </c>
      <c r="X447" s="204">
        <v>8.7490000000000006</v>
      </c>
      <c r="Y447" s="211">
        <v>-0.26</v>
      </c>
      <c r="Z447" s="211">
        <v>2.2000000000000002</v>
      </c>
      <c r="AA447" s="211">
        <v>19.239999999999998</v>
      </c>
      <c r="AB447" s="211">
        <v>-1.6</v>
      </c>
      <c r="AC447" s="211">
        <v>0</v>
      </c>
      <c r="AD447" s="211">
        <v>0</v>
      </c>
      <c r="AE447" s="211">
        <v>17.38</v>
      </c>
      <c r="AF447" s="211">
        <v>-2.1</v>
      </c>
      <c r="AG447" s="204" t="s">
        <v>279</v>
      </c>
      <c r="AH447" s="211">
        <v>0</v>
      </c>
      <c r="AI447" s="211">
        <v>19.239999999999998</v>
      </c>
      <c r="AJ447" s="211">
        <v>0</v>
      </c>
      <c r="AK447" s="204" t="str">
        <f t="shared" si="13"/>
        <v>1.00000000</v>
      </c>
      <c r="AL447" s="204">
        <v>38.200000000000003</v>
      </c>
    </row>
    <row r="448" spans="1:38" x14ac:dyDescent="0.2">
      <c r="A448" s="204" t="str">
        <f t="shared" si="14"/>
        <v>0496002595734</v>
      </c>
      <c r="B448" s="204">
        <v>2</v>
      </c>
      <c r="C448" s="204" t="s">
        <v>435</v>
      </c>
      <c r="D448" s="204">
        <v>80</v>
      </c>
      <c r="E448" s="204">
        <v>80</v>
      </c>
      <c r="F448" s="204" t="s">
        <v>243</v>
      </c>
      <c r="G448" s="204">
        <v>2086</v>
      </c>
      <c r="H448" s="204" t="s">
        <v>270</v>
      </c>
      <c r="I448" s="204">
        <v>14000</v>
      </c>
      <c r="J448" s="209">
        <v>42497</v>
      </c>
      <c r="K448" s="210">
        <v>0.51180555555555551</v>
      </c>
      <c r="L448" s="209">
        <v>42500</v>
      </c>
      <c r="M448" s="204" t="s">
        <v>271</v>
      </c>
      <c r="N448" s="204" t="s">
        <v>272</v>
      </c>
      <c r="O448" s="204" t="s">
        <v>273</v>
      </c>
      <c r="P448" s="204" t="s">
        <v>274</v>
      </c>
      <c r="Q448" s="204" t="s">
        <v>275</v>
      </c>
      <c r="R448" s="204" t="s">
        <v>276</v>
      </c>
      <c r="S448" s="204" t="s">
        <v>436</v>
      </c>
      <c r="T448" s="204" t="s">
        <v>435</v>
      </c>
      <c r="U448" s="204">
        <v>2086</v>
      </c>
      <c r="V448" s="204" t="s">
        <v>435</v>
      </c>
      <c r="W448" s="204" t="s">
        <v>280</v>
      </c>
      <c r="X448" s="204">
        <v>10.115</v>
      </c>
      <c r="Y448" s="211">
        <v>-0.3</v>
      </c>
      <c r="Z448" s="211">
        <v>2.33</v>
      </c>
      <c r="AA448" s="211">
        <v>23.56</v>
      </c>
      <c r="AB448" s="211">
        <v>-1.85</v>
      </c>
      <c r="AC448" s="211">
        <v>0</v>
      </c>
      <c r="AD448" s="211">
        <v>0</v>
      </c>
      <c r="AE448" s="211">
        <v>21.41</v>
      </c>
      <c r="AF448" s="211">
        <v>-2.4300000000000002</v>
      </c>
      <c r="AG448" s="204" t="s">
        <v>279</v>
      </c>
      <c r="AH448" s="211">
        <v>0</v>
      </c>
      <c r="AI448" s="211">
        <v>23.56</v>
      </c>
      <c r="AJ448" s="211">
        <v>0</v>
      </c>
      <c r="AK448" s="204" t="str">
        <f t="shared" si="13"/>
        <v>1.00000000</v>
      </c>
      <c r="AL448" s="204">
        <v>42.5</v>
      </c>
    </row>
    <row r="449" spans="1:38" x14ac:dyDescent="0.2">
      <c r="A449" s="204" t="str">
        <f t="shared" si="14"/>
        <v>0496002595734</v>
      </c>
      <c r="B449" s="204">
        <v>2</v>
      </c>
      <c r="C449" s="204" t="s">
        <v>435</v>
      </c>
      <c r="D449" s="204">
        <v>80</v>
      </c>
      <c r="E449" s="204">
        <v>80</v>
      </c>
      <c r="F449" s="204" t="s">
        <v>243</v>
      </c>
      <c r="G449" s="204">
        <v>2086</v>
      </c>
      <c r="H449" s="204" t="s">
        <v>270</v>
      </c>
      <c r="I449" s="204">
        <v>52400</v>
      </c>
      <c r="J449" s="209">
        <v>42500</v>
      </c>
      <c r="K449" s="210">
        <v>0.17777777777777778</v>
      </c>
      <c r="L449" s="209">
        <v>42502</v>
      </c>
      <c r="M449" s="204" t="s">
        <v>271</v>
      </c>
      <c r="N449" s="204" t="s">
        <v>352</v>
      </c>
      <c r="O449" s="204" t="s">
        <v>353</v>
      </c>
      <c r="P449" s="204" t="s">
        <v>343</v>
      </c>
      <c r="Q449" s="204" t="s">
        <v>275</v>
      </c>
      <c r="R449" s="204" t="s">
        <v>602</v>
      </c>
      <c r="S449" s="204" t="s">
        <v>436</v>
      </c>
      <c r="T449" s="204" t="s">
        <v>435</v>
      </c>
      <c r="U449" s="204">
        <v>2086</v>
      </c>
      <c r="V449" s="204" t="s">
        <v>435</v>
      </c>
      <c r="W449" s="204" t="s">
        <v>280</v>
      </c>
      <c r="X449" s="204">
        <v>8.4529999999999994</v>
      </c>
      <c r="Y449" s="211">
        <v>-0.25</v>
      </c>
      <c r="Z449" s="211">
        <v>2.2000000000000002</v>
      </c>
      <c r="AA449" s="211">
        <v>18.59</v>
      </c>
      <c r="AB449" s="211">
        <v>-1.55</v>
      </c>
      <c r="AC449" s="211">
        <v>0</v>
      </c>
      <c r="AD449" s="211">
        <v>0</v>
      </c>
      <c r="AE449" s="211">
        <v>16.79</v>
      </c>
      <c r="AF449" s="211">
        <v>-2.0299999999999998</v>
      </c>
      <c r="AG449" s="204" t="s">
        <v>279</v>
      </c>
      <c r="AH449" s="211">
        <v>0</v>
      </c>
      <c r="AI449" s="211">
        <v>18.59</v>
      </c>
      <c r="AJ449" s="211">
        <v>0</v>
      </c>
      <c r="AK449" s="204" t="str">
        <f t="shared" si="13"/>
        <v>1.00000000</v>
      </c>
      <c r="AL449" s="204">
        <v>42.5</v>
      </c>
    </row>
    <row r="450" spans="1:38" x14ac:dyDescent="0.2">
      <c r="A450" s="204" t="str">
        <f t="shared" si="14"/>
        <v>0496002595734</v>
      </c>
      <c r="B450" s="204">
        <v>2</v>
      </c>
      <c r="C450" s="204" t="s">
        <v>435</v>
      </c>
      <c r="D450" s="204">
        <v>80</v>
      </c>
      <c r="E450" s="204">
        <v>80</v>
      </c>
      <c r="F450" s="204" t="s">
        <v>243</v>
      </c>
      <c r="G450" s="204">
        <v>2086</v>
      </c>
      <c r="H450" s="204" t="s">
        <v>270</v>
      </c>
      <c r="I450" s="204">
        <v>2086</v>
      </c>
      <c r="J450" s="209">
        <v>42501</v>
      </c>
      <c r="K450" s="210">
        <v>0.35972222222222222</v>
      </c>
      <c r="L450" s="209">
        <v>42503</v>
      </c>
      <c r="M450" s="204" t="s">
        <v>302</v>
      </c>
      <c r="N450" s="204" t="s">
        <v>1037</v>
      </c>
      <c r="O450" s="204" t="s">
        <v>1038</v>
      </c>
      <c r="P450" s="204" t="s">
        <v>1039</v>
      </c>
      <c r="Q450" s="204" t="s">
        <v>377</v>
      </c>
      <c r="R450" s="204">
        <v>5033</v>
      </c>
      <c r="S450" s="204" t="s">
        <v>436</v>
      </c>
      <c r="T450" s="204" t="s">
        <v>435</v>
      </c>
      <c r="U450" s="204">
        <v>2086</v>
      </c>
      <c r="V450" s="204" t="s">
        <v>435</v>
      </c>
      <c r="W450" s="204" t="s">
        <v>280</v>
      </c>
      <c r="X450" s="204">
        <v>7.91</v>
      </c>
      <c r="Y450" s="211">
        <v>0</v>
      </c>
      <c r="Z450" s="211">
        <v>2.3199999999999998</v>
      </c>
      <c r="AA450" s="211">
        <v>18.34</v>
      </c>
      <c r="AB450" s="211">
        <v>-1.45</v>
      </c>
      <c r="AC450" s="211">
        <v>0</v>
      </c>
      <c r="AD450" s="211">
        <v>0</v>
      </c>
      <c r="AE450" s="211">
        <v>16.89</v>
      </c>
      <c r="AF450" s="211">
        <v>-1.89</v>
      </c>
      <c r="AG450" s="204" t="s">
        <v>279</v>
      </c>
      <c r="AH450" s="211">
        <v>0</v>
      </c>
      <c r="AI450" s="211">
        <v>18.34</v>
      </c>
      <c r="AJ450" s="211">
        <v>0</v>
      </c>
      <c r="AK450" s="204" t="str">
        <f t="shared" ref="AK450:AK513" si="15">"1.00000000"</f>
        <v>1.00000000</v>
      </c>
      <c r="AL450" s="204">
        <v>42.5</v>
      </c>
    </row>
    <row r="451" spans="1:38" x14ac:dyDescent="0.2">
      <c r="A451" s="204" t="str">
        <f t="shared" si="14"/>
        <v>0496002595734</v>
      </c>
      <c r="B451" s="204">
        <v>2</v>
      </c>
      <c r="C451" s="204" t="s">
        <v>435</v>
      </c>
      <c r="D451" s="204">
        <v>80</v>
      </c>
      <c r="E451" s="204">
        <v>80</v>
      </c>
      <c r="F451" s="204" t="s">
        <v>243</v>
      </c>
      <c r="G451" s="204">
        <v>2086</v>
      </c>
      <c r="H451" s="204" t="s">
        <v>270</v>
      </c>
      <c r="I451" s="204">
        <v>53027</v>
      </c>
      <c r="J451" s="209">
        <v>42502</v>
      </c>
      <c r="K451" s="210">
        <v>0.51111111111111118</v>
      </c>
      <c r="L451" s="209">
        <v>42506</v>
      </c>
      <c r="M451" s="204" t="s">
        <v>271</v>
      </c>
      <c r="N451" s="204" t="s">
        <v>272</v>
      </c>
      <c r="O451" s="204" t="s">
        <v>273</v>
      </c>
      <c r="P451" s="204" t="s">
        <v>274</v>
      </c>
      <c r="Q451" s="204" t="s">
        <v>275</v>
      </c>
      <c r="R451" s="204" t="s">
        <v>276</v>
      </c>
      <c r="S451" s="204" t="s">
        <v>436</v>
      </c>
      <c r="T451" s="204" t="s">
        <v>435</v>
      </c>
      <c r="U451" s="204">
        <v>2086</v>
      </c>
      <c r="V451" s="204" t="s">
        <v>435</v>
      </c>
      <c r="W451" s="204" t="s">
        <v>280</v>
      </c>
      <c r="X451" s="204">
        <v>8.2050000000000001</v>
      </c>
      <c r="Y451" s="211">
        <v>-0.25</v>
      </c>
      <c r="Z451" s="211">
        <v>2.23</v>
      </c>
      <c r="AA451" s="211">
        <v>18.29</v>
      </c>
      <c r="AB451" s="211">
        <v>-1.5</v>
      </c>
      <c r="AC451" s="211">
        <v>0</v>
      </c>
      <c r="AD451" s="211">
        <v>0</v>
      </c>
      <c r="AE451" s="211">
        <v>16.54</v>
      </c>
      <c r="AF451" s="211">
        <v>-1.97</v>
      </c>
      <c r="AG451" s="204" t="s">
        <v>279</v>
      </c>
      <c r="AH451" s="211">
        <v>0</v>
      </c>
      <c r="AI451" s="211">
        <v>18.29</v>
      </c>
      <c r="AJ451" s="211">
        <v>0</v>
      </c>
      <c r="AK451" s="204" t="str">
        <f t="shared" si="15"/>
        <v>1.00000000</v>
      </c>
      <c r="AL451" s="204">
        <v>42.5</v>
      </c>
    </row>
    <row r="452" spans="1:38" x14ac:dyDescent="0.2">
      <c r="A452" s="204" t="str">
        <f t="shared" si="14"/>
        <v>0496002595734</v>
      </c>
      <c r="B452" s="204">
        <v>2</v>
      </c>
      <c r="C452" s="204" t="s">
        <v>435</v>
      </c>
      <c r="D452" s="204">
        <v>80</v>
      </c>
      <c r="E452" s="204">
        <v>80</v>
      </c>
      <c r="F452" s="204" t="s">
        <v>243</v>
      </c>
      <c r="G452" s="204">
        <v>2086</v>
      </c>
      <c r="H452" s="204" t="s">
        <v>270</v>
      </c>
      <c r="I452" s="204">
        <v>53304</v>
      </c>
      <c r="J452" s="209">
        <v>42504</v>
      </c>
      <c r="K452" s="210">
        <v>0.53819444444444442</v>
      </c>
      <c r="L452" s="209">
        <v>42507</v>
      </c>
      <c r="M452" s="204" t="s">
        <v>271</v>
      </c>
      <c r="N452" s="204" t="s">
        <v>272</v>
      </c>
      <c r="O452" s="204" t="s">
        <v>273</v>
      </c>
      <c r="P452" s="204" t="s">
        <v>274</v>
      </c>
      <c r="Q452" s="204" t="s">
        <v>275</v>
      </c>
      <c r="R452" s="204" t="s">
        <v>276</v>
      </c>
      <c r="S452" s="204" t="s">
        <v>436</v>
      </c>
      <c r="T452" s="204" t="s">
        <v>435</v>
      </c>
      <c r="U452" s="204">
        <v>2086</v>
      </c>
      <c r="V452" s="204" t="s">
        <v>435</v>
      </c>
      <c r="W452" s="204" t="s">
        <v>280</v>
      </c>
      <c r="X452" s="204">
        <v>7.8360000000000003</v>
      </c>
      <c r="Y452" s="211">
        <v>-0.24</v>
      </c>
      <c r="Z452" s="211">
        <v>2.23</v>
      </c>
      <c r="AA452" s="211">
        <v>17.46</v>
      </c>
      <c r="AB452" s="211">
        <v>-1.43</v>
      </c>
      <c r="AC452" s="211">
        <v>0</v>
      </c>
      <c r="AD452" s="211">
        <v>0</v>
      </c>
      <c r="AE452" s="211">
        <v>15.79</v>
      </c>
      <c r="AF452" s="211">
        <v>-1.88</v>
      </c>
      <c r="AG452" s="204" t="s">
        <v>279</v>
      </c>
      <c r="AH452" s="211">
        <v>0</v>
      </c>
      <c r="AI452" s="211">
        <v>17.46</v>
      </c>
      <c r="AJ452" s="211">
        <v>0</v>
      </c>
      <c r="AK452" s="204" t="str">
        <f t="shared" si="15"/>
        <v>1.00000000</v>
      </c>
      <c r="AL452" s="204">
        <v>42.5</v>
      </c>
    </row>
    <row r="453" spans="1:38" x14ac:dyDescent="0.2">
      <c r="A453" s="204" t="str">
        <f t="shared" si="14"/>
        <v>0496002595734</v>
      </c>
      <c r="B453" s="204">
        <v>2</v>
      </c>
      <c r="C453" s="204" t="s">
        <v>435</v>
      </c>
      <c r="D453" s="204">
        <v>80</v>
      </c>
      <c r="E453" s="204">
        <v>80</v>
      </c>
      <c r="F453" s="204" t="s">
        <v>243</v>
      </c>
      <c r="G453" s="204">
        <v>2086</v>
      </c>
      <c r="H453" s="204" t="s">
        <v>270</v>
      </c>
      <c r="I453" s="204">
        <v>1627</v>
      </c>
      <c r="J453" s="209">
        <v>42505</v>
      </c>
      <c r="K453" s="210">
        <v>0.6645833333333333</v>
      </c>
      <c r="L453" s="209">
        <v>42507</v>
      </c>
      <c r="M453" s="204" t="s">
        <v>271</v>
      </c>
      <c r="N453" s="204" t="s">
        <v>272</v>
      </c>
      <c r="O453" s="204" t="s">
        <v>273</v>
      </c>
      <c r="P453" s="204" t="s">
        <v>274</v>
      </c>
      <c r="Q453" s="204" t="s">
        <v>275</v>
      </c>
      <c r="R453" s="204" t="s">
        <v>276</v>
      </c>
      <c r="S453" s="204" t="s">
        <v>436</v>
      </c>
      <c r="T453" s="204" t="s">
        <v>435</v>
      </c>
      <c r="U453" s="204">
        <v>2086</v>
      </c>
      <c r="V453" s="204" t="s">
        <v>435</v>
      </c>
      <c r="W453" s="204" t="s">
        <v>280</v>
      </c>
      <c r="X453" s="204">
        <v>5.95</v>
      </c>
      <c r="Y453" s="211">
        <v>-0.18</v>
      </c>
      <c r="Z453" s="211">
        <v>2.2200000000000002</v>
      </c>
      <c r="AA453" s="211">
        <v>13.21</v>
      </c>
      <c r="AB453" s="211">
        <v>-1.0900000000000001</v>
      </c>
      <c r="AC453" s="211">
        <v>0</v>
      </c>
      <c r="AD453" s="211">
        <v>0</v>
      </c>
      <c r="AE453" s="211">
        <v>11.94</v>
      </c>
      <c r="AF453" s="211">
        <v>-1.43</v>
      </c>
      <c r="AG453" s="204" t="s">
        <v>279</v>
      </c>
      <c r="AH453" s="211">
        <v>0</v>
      </c>
      <c r="AI453" s="211">
        <v>13.21</v>
      </c>
      <c r="AJ453" s="211">
        <v>0</v>
      </c>
      <c r="AK453" s="204" t="str">
        <f t="shared" si="15"/>
        <v>1.00000000</v>
      </c>
      <c r="AL453" s="204">
        <v>42.5</v>
      </c>
    </row>
    <row r="454" spans="1:38" x14ac:dyDescent="0.2">
      <c r="A454" s="204" t="str">
        <f t="shared" si="14"/>
        <v>0496002595734</v>
      </c>
      <c r="B454" s="204">
        <v>2</v>
      </c>
      <c r="C454" s="204" t="s">
        <v>435</v>
      </c>
      <c r="D454" s="204">
        <v>80</v>
      </c>
      <c r="E454" s="204">
        <v>80</v>
      </c>
      <c r="F454" s="204" t="s">
        <v>243</v>
      </c>
      <c r="G454" s="204">
        <v>2086</v>
      </c>
      <c r="H454" s="204" t="s">
        <v>270</v>
      </c>
      <c r="I454" s="204">
        <v>53734</v>
      </c>
      <c r="J454" s="209">
        <v>42506</v>
      </c>
      <c r="K454" s="210">
        <v>0.54375000000000007</v>
      </c>
      <c r="L454" s="209">
        <v>42508</v>
      </c>
      <c r="M454" s="204" t="s">
        <v>271</v>
      </c>
      <c r="N454" s="204" t="s">
        <v>272</v>
      </c>
      <c r="O454" s="204" t="s">
        <v>273</v>
      </c>
      <c r="P454" s="204" t="s">
        <v>274</v>
      </c>
      <c r="Q454" s="204" t="s">
        <v>275</v>
      </c>
      <c r="R454" s="204" t="s">
        <v>276</v>
      </c>
      <c r="S454" s="204" t="s">
        <v>436</v>
      </c>
      <c r="T454" s="204" t="s">
        <v>435</v>
      </c>
      <c r="U454" s="204">
        <v>2086</v>
      </c>
      <c r="V454" s="204" t="s">
        <v>435</v>
      </c>
      <c r="W454" s="204" t="s">
        <v>280</v>
      </c>
      <c r="X454" s="204">
        <v>5.4969999999999999</v>
      </c>
      <c r="Y454" s="211">
        <v>-0.16</v>
      </c>
      <c r="Z454" s="211">
        <v>2.2200000000000002</v>
      </c>
      <c r="AA454" s="211">
        <v>12.2</v>
      </c>
      <c r="AB454" s="211">
        <v>-1.01</v>
      </c>
      <c r="AC454" s="211">
        <v>0</v>
      </c>
      <c r="AD454" s="211">
        <v>0</v>
      </c>
      <c r="AE454" s="211">
        <v>11.03</v>
      </c>
      <c r="AF454" s="211">
        <v>-1.32</v>
      </c>
      <c r="AG454" s="204" t="s">
        <v>279</v>
      </c>
      <c r="AH454" s="211">
        <v>0</v>
      </c>
      <c r="AI454" s="211">
        <v>12.2</v>
      </c>
      <c r="AJ454" s="211">
        <v>0</v>
      </c>
      <c r="AK454" s="204" t="str">
        <f t="shared" si="15"/>
        <v>1.00000000</v>
      </c>
      <c r="AL454" s="204">
        <v>42.6</v>
      </c>
    </row>
    <row r="455" spans="1:38" x14ac:dyDescent="0.2">
      <c r="A455" s="204" t="str">
        <f t="shared" si="14"/>
        <v>0496002595734</v>
      </c>
      <c r="B455" s="204">
        <v>2</v>
      </c>
      <c r="C455" s="204" t="s">
        <v>435</v>
      </c>
      <c r="D455" s="204">
        <v>80</v>
      </c>
      <c r="E455" s="204">
        <v>80</v>
      </c>
      <c r="F455" s="204" t="s">
        <v>243</v>
      </c>
      <c r="G455" s="204">
        <v>2086</v>
      </c>
      <c r="H455" s="204" t="s">
        <v>270</v>
      </c>
      <c r="I455" s="204">
        <v>53939</v>
      </c>
      <c r="J455" s="209">
        <v>42508</v>
      </c>
      <c r="K455" s="210">
        <v>0.41736111111111113</v>
      </c>
      <c r="L455" s="209">
        <v>42510</v>
      </c>
      <c r="M455" s="204" t="s">
        <v>271</v>
      </c>
      <c r="N455" s="204" t="s">
        <v>272</v>
      </c>
      <c r="O455" s="204" t="s">
        <v>273</v>
      </c>
      <c r="P455" s="204" t="s">
        <v>274</v>
      </c>
      <c r="Q455" s="204" t="s">
        <v>275</v>
      </c>
      <c r="R455" s="204" t="s">
        <v>276</v>
      </c>
      <c r="S455" s="204" t="s">
        <v>436</v>
      </c>
      <c r="T455" s="204" t="s">
        <v>435</v>
      </c>
      <c r="U455" s="204">
        <v>2086</v>
      </c>
      <c r="V455" s="204" t="s">
        <v>435</v>
      </c>
      <c r="W455" s="204" t="s">
        <v>280</v>
      </c>
      <c r="X455" s="204">
        <v>5.3769999999999998</v>
      </c>
      <c r="Y455" s="211">
        <v>-0.16</v>
      </c>
      <c r="Z455" s="211">
        <v>2.23</v>
      </c>
      <c r="AA455" s="211">
        <v>11.98</v>
      </c>
      <c r="AB455" s="211">
        <v>-0.98</v>
      </c>
      <c r="AC455" s="211">
        <v>0</v>
      </c>
      <c r="AD455" s="211">
        <v>0</v>
      </c>
      <c r="AE455" s="211">
        <v>10.84</v>
      </c>
      <c r="AF455" s="211">
        <v>-1.29</v>
      </c>
      <c r="AG455" s="204" t="s">
        <v>279</v>
      </c>
      <c r="AH455" s="211">
        <v>0</v>
      </c>
      <c r="AI455" s="211">
        <v>11.98</v>
      </c>
      <c r="AJ455" s="211">
        <v>0</v>
      </c>
      <c r="AK455" s="204" t="str">
        <f t="shared" si="15"/>
        <v>1.00000000</v>
      </c>
      <c r="AL455" s="204">
        <v>38.1</v>
      </c>
    </row>
    <row r="456" spans="1:38" x14ac:dyDescent="0.2">
      <c r="A456" s="204" t="str">
        <f t="shared" si="14"/>
        <v>0496002595734</v>
      </c>
      <c r="B456" s="204">
        <v>2</v>
      </c>
      <c r="C456" s="204" t="s">
        <v>435</v>
      </c>
      <c r="D456" s="204">
        <v>80</v>
      </c>
      <c r="E456" s="204">
        <v>80</v>
      </c>
      <c r="F456" s="204" t="s">
        <v>243</v>
      </c>
      <c r="G456" s="204">
        <v>2086</v>
      </c>
      <c r="H456" s="204" t="s">
        <v>270</v>
      </c>
      <c r="I456" s="204">
        <v>54343</v>
      </c>
      <c r="J456" s="209">
        <v>42511</v>
      </c>
      <c r="K456" s="210">
        <v>0.44236111111111115</v>
      </c>
      <c r="L456" s="209">
        <v>42514</v>
      </c>
      <c r="M456" s="204" t="s">
        <v>271</v>
      </c>
      <c r="N456" s="204" t="s">
        <v>272</v>
      </c>
      <c r="O456" s="204" t="s">
        <v>273</v>
      </c>
      <c r="P456" s="204" t="s">
        <v>274</v>
      </c>
      <c r="Q456" s="204" t="s">
        <v>275</v>
      </c>
      <c r="R456" s="204" t="s">
        <v>276</v>
      </c>
      <c r="S456" s="204" t="s">
        <v>436</v>
      </c>
      <c r="T456" s="204" t="s">
        <v>435</v>
      </c>
      <c r="U456" s="204">
        <v>2086</v>
      </c>
      <c r="V456" s="204" t="s">
        <v>435</v>
      </c>
      <c r="W456" s="204" t="s">
        <v>280</v>
      </c>
      <c r="X456" s="204">
        <v>10.379</v>
      </c>
      <c r="Y456" s="211">
        <v>-0.31</v>
      </c>
      <c r="Z456" s="211">
        <v>2.27</v>
      </c>
      <c r="AA456" s="211">
        <v>23.55</v>
      </c>
      <c r="AB456" s="211">
        <v>-1.9</v>
      </c>
      <c r="AC456" s="211">
        <v>0</v>
      </c>
      <c r="AD456" s="211">
        <v>0</v>
      </c>
      <c r="AE456" s="211">
        <v>21.34</v>
      </c>
      <c r="AF456" s="211">
        <v>-2.4900000000000002</v>
      </c>
      <c r="AG456" s="204" t="s">
        <v>279</v>
      </c>
      <c r="AH456" s="211">
        <v>0</v>
      </c>
      <c r="AI456" s="211">
        <v>23.55</v>
      </c>
      <c r="AJ456" s="211">
        <v>0</v>
      </c>
      <c r="AK456" s="204" t="str">
        <f t="shared" si="15"/>
        <v>1.00000000</v>
      </c>
      <c r="AL456" s="204">
        <v>38.9</v>
      </c>
    </row>
    <row r="457" spans="1:38" x14ac:dyDescent="0.2">
      <c r="A457" s="204" t="str">
        <f t="shared" si="14"/>
        <v>0496002595734</v>
      </c>
      <c r="B457" s="204">
        <v>2</v>
      </c>
      <c r="C457" s="204" t="s">
        <v>435</v>
      </c>
      <c r="D457" s="204">
        <v>80</v>
      </c>
      <c r="E457" s="204">
        <v>80</v>
      </c>
      <c r="F457" s="204" t="s">
        <v>243</v>
      </c>
      <c r="G457" s="204">
        <v>2086</v>
      </c>
      <c r="H457" s="204" t="s">
        <v>270</v>
      </c>
      <c r="I457" s="204">
        <v>54700</v>
      </c>
      <c r="J457" s="209">
        <v>42512</v>
      </c>
      <c r="K457" s="210">
        <v>0.73402777777777783</v>
      </c>
      <c r="L457" s="209">
        <v>42514</v>
      </c>
      <c r="M457" s="204" t="s">
        <v>271</v>
      </c>
      <c r="N457" s="204" t="s">
        <v>272</v>
      </c>
      <c r="O457" s="204" t="s">
        <v>273</v>
      </c>
      <c r="P457" s="204" t="s">
        <v>274</v>
      </c>
      <c r="Q457" s="204" t="s">
        <v>275</v>
      </c>
      <c r="R457" s="204" t="s">
        <v>276</v>
      </c>
      <c r="S457" s="204" t="s">
        <v>436</v>
      </c>
      <c r="T457" s="204" t="s">
        <v>435</v>
      </c>
      <c r="U457" s="204">
        <v>2086</v>
      </c>
      <c r="V457" s="204" t="s">
        <v>435</v>
      </c>
      <c r="W457" s="204" t="s">
        <v>280</v>
      </c>
      <c r="X457" s="204">
        <v>9.9469999999999992</v>
      </c>
      <c r="Y457" s="211">
        <v>-0.3</v>
      </c>
      <c r="Z457" s="211">
        <v>2.27</v>
      </c>
      <c r="AA457" s="211">
        <v>22.57</v>
      </c>
      <c r="AB457" s="211">
        <v>-1.82</v>
      </c>
      <c r="AC457" s="211">
        <v>0</v>
      </c>
      <c r="AD457" s="211">
        <v>0</v>
      </c>
      <c r="AE457" s="211">
        <v>20.45</v>
      </c>
      <c r="AF457" s="211">
        <v>-2.39</v>
      </c>
      <c r="AG457" s="204" t="s">
        <v>279</v>
      </c>
      <c r="AH457" s="211">
        <v>0</v>
      </c>
      <c r="AI457" s="211">
        <v>22.57</v>
      </c>
      <c r="AJ457" s="211">
        <v>0</v>
      </c>
      <c r="AK457" s="204" t="str">
        <f t="shared" si="15"/>
        <v>1.00000000</v>
      </c>
      <c r="AL457" s="204">
        <v>35.9</v>
      </c>
    </row>
    <row r="458" spans="1:38" x14ac:dyDescent="0.2">
      <c r="A458" s="204" t="str">
        <f t="shared" si="14"/>
        <v>0496002595734</v>
      </c>
      <c r="B458" s="204">
        <v>2</v>
      </c>
      <c r="C458" s="204" t="s">
        <v>435</v>
      </c>
      <c r="D458" s="204">
        <v>80</v>
      </c>
      <c r="E458" s="204">
        <v>80</v>
      </c>
      <c r="F458" s="204" t="s">
        <v>243</v>
      </c>
      <c r="G458" s="204">
        <v>2086</v>
      </c>
      <c r="H458" s="204" t="s">
        <v>270</v>
      </c>
      <c r="I458" s="204">
        <v>55004</v>
      </c>
      <c r="J458" s="209">
        <v>42521</v>
      </c>
      <c r="K458" s="210">
        <v>0.5708333333333333</v>
      </c>
      <c r="L458" s="209">
        <v>42523</v>
      </c>
      <c r="M458" s="204" t="s">
        <v>271</v>
      </c>
      <c r="N458" s="204" t="s">
        <v>272</v>
      </c>
      <c r="O458" s="204" t="s">
        <v>273</v>
      </c>
      <c r="P458" s="204" t="s">
        <v>274</v>
      </c>
      <c r="Q458" s="204" t="s">
        <v>275</v>
      </c>
      <c r="R458" s="204" t="s">
        <v>276</v>
      </c>
      <c r="S458" s="204" t="s">
        <v>436</v>
      </c>
      <c r="T458" s="204" t="s">
        <v>435</v>
      </c>
      <c r="U458" s="204">
        <v>2086</v>
      </c>
      <c r="V458" s="204" t="s">
        <v>435</v>
      </c>
      <c r="W458" s="204" t="s">
        <v>280</v>
      </c>
      <c r="X458" s="204">
        <v>8.6869999999999994</v>
      </c>
      <c r="Y458" s="211">
        <v>-0.26</v>
      </c>
      <c r="Z458" s="211">
        <v>2.31</v>
      </c>
      <c r="AA458" s="211">
        <v>20.059999999999999</v>
      </c>
      <c r="AB458" s="211">
        <v>-1.59</v>
      </c>
      <c r="AC458" s="211">
        <v>0</v>
      </c>
      <c r="AD458" s="211">
        <v>0</v>
      </c>
      <c r="AE458" s="211">
        <v>18.21</v>
      </c>
      <c r="AF458" s="211">
        <v>-2.08</v>
      </c>
      <c r="AG458" s="204" t="s">
        <v>279</v>
      </c>
      <c r="AH458" s="211">
        <v>0</v>
      </c>
      <c r="AI458" s="211">
        <v>20.059999999999999</v>
      </c>
      <c r="AJ458" s="211">
        <v>0</v>
      </c>
      <c r="AK458" s="204" t="str">
        <f t="shared" si="15"/>
        <v>1.00000000</v>
      </c>
      <c r="AL458" s="204">
        <v>35</v>
      </c>
    </row>
    <row r="459" spans="1:38" x14ac:dyDescent="0.2">
      <c r="A459" s="204" t="str">
        <f t="shared" si="14"/>
        <v>0496002595734</v>
      </c>
      <c r="B459" s="204">
        <v>2</v>
      </c>
      <c r="C459" s="204" t="s">
        <v>435</v>
      </c>
      <c r="D459" s="204">
        <v>80</v>
      </c>
      <c r="E459" s="204">
        <v>80</v>
      </c>
      <c r="F459" s="204" t="s">
        <v>243</v>
      </c>
      <c r="G459" s="204">
        <v>2086</v>
      </c>
      <c r="H459" s="204" t="s">
        <v>270</v>
      </c>
      <c r="I459" s="204">
        <v>55266</v>
      </c>
      <c r="J459" s="209">
        <v>42525</v>
      </c>
      <c r="K459" s="210">
        <v>0.71250000000000002</v>
      </c>
      <c r="L459" s="209">
        <v>42528</v>
      </c>
      <c r="M459" s="204" t="s">
        <v>271</v>
      </c>
      <c r="N459" s="204" t="s">
        <v>272</v>
      </c>
      <c r="O459" s="204" t="s">
        <v>273</v>
      </c>
      <c r="P459" s="204" t="s">
        <v>274</v>
      </c>
      <c r="Q459" s="204" t="s">
        <v>275</v>
      </c>
      <c r="R459" s="204" t="s">
        <v>276</v>
      </c>
      <c r="S459" s="204" t="s">
        <v>436</v>
      </c>
      <c r="T459" s="204" t="s">
        <v>435</v>
      </c>
      <c r="U459" s="204">
        <v>2086</v>
      </c>
      <c r="V459" s="204" t="s">
        <v>435</v>
      </c>
      <c r="W459" s="204" t="s">
        <v>280</v>
      </c>
      <c r="X459" s="204">
        <v>6.9770000000000003</v>
      </c>
      <c r="Y459" s="211">
        <v>-0.21</v>
      </c>
      <c r="Z459" s="211">
        <v>2.33</v>
      </c>
      <c r="AA459" s="211">
        <v>16.25</v>
      </c>
      <c r="AB459" s="211">
        <v>-1.28</v>
      </c>
      <c r="AC459" s="211">
        <v>0</v>
      </c>
      <c r="AD459" s="211">
        <v>0</v>
      </c>
      <c r="AE459" s="211">
        <v>14.76</v>
      </c>
      <c r="AF459" s="211">
        <v>-1.67</v>
      </c>
      <c r="AG459" s="204" t="s">
        <v>279</v>
      </c>
      <c r="AH459" s="211">
        <v>0</v>
      </c>
      <c r="AI459" s="211">
        <v>16.25</v>
      </c>
      <c r="AJ459" s="211">
        <v>0</v>
      </c>
      <c r="AK459" s="204" t="str">
        <f t="shared" si="15"/>
        <v>1.00000000</v>
      </c>
      <c r="AL459" s="204">
        <v>37.6</v>
      </c>
    </row>
    <row r="460" spans="1:38" x14ac:dyDescent="0.2">
      <c r="A460" s="204" t="str">
        <f t="shared" si="14"/>
        <v>0496002595734</v>
      </c>
      <c r="B460" s="204">
        <v>2</v>
      </c>
      <c r="C460" s="204" t="s">
        <v>435</v>
      </c>
      <c r="D460" s="204">
        <v>80</v>
      </c>
      <c r="E460" s="204">
        <v>80</v>
      </c>
      <c r="F460" s="204" t="s">
        <v>243</v>
      </c>
      <c r="G460" s="204">
        <v>2086</v>
      </c>
      <c r="H460" s="204" t="s">
        <v>270</v>
      </c>
      <c r="I460" s="204">
        <v>55632</v>
      </c>
      <c r="J460" s="209">
        <v>42531</v>
      </c>
      <c r="K460" s="210">
        <v>0.4145833333333333</v>
      </c>
      <c r="L460" s="209">
        <v>42535</v>
      </c>
      <c r="M460" s="204" t="s">
        <v>271</v>
      </c>
      <c r="N460" s="204" t="s">
        <v>352</v>
      </c>
      <c r="O460" s="204" t="s">
        <v>353</v>
      </c>
      <c r="P460" s="204" t="s">
        <v>343</v>
      </c>
      <c r="Q460" s="204" t="s">
        <v>275</v>
      </c>
      <c r="R460" s="204" t="s">
        <v>602</v>
      </c>
      <c r="S460" s="204" t="s">
        <v>436</v>
      </c>
      <c r="T460" s="204" t="s">
        <v>435</v>
      </c>
      <c r="U460" s="204">
        <v>2086</v>
      </c>
      <c r="V460" s="204" t="s">
        <v>435</v>
      </c>
      <c r="W460" s="204" t="s">
        <v>280</v>
      </c>
      <c r="X460" s="204">
        <v>10.635</v>
      </c>
      <c r="Y460" s="211">
        <v>-0.32</v>
      </c>
      <c r="Z460" s="211">
        <v>2.2999999999999998</v>
      </c>
      <c r="AA460" s="211">
        <v>24.45</v>
      </c>
      <c r="AB460" s="211">
        <v>-1.95</v>
      </c>
      <c r="AC460" s="211">
        <v>0</v>
      </c>
      <c r="AD460" s="211">
        <v>0</v>
      </c>
      <c r="AE460" s="211">
        <v>22.18</v>
      </c>
      <c r="AF460" s="211">
        <v>-2.5499999999999998</v>
      </c>
      <c r="AG460" s="204" t="s">
        <v>279</v>
      </c>
      <c r="AH460" s="211">
        <v>0</v>
      </c>
      <c r="AI460" s="211">
        <v>24.45</v>
      </c>
      <c r="AJ460" s="211">
        <v>0</v>
      </c>
      <c r="AK460" s="204" t="str">
        <f t="shared" si="15"/>
        <v>1.00000000</v>
      </c>
      <c r="AL460" s="204">
        <v>34.4</v>
      </c>
    </row>
    <row r="461" spans="1:38" x14ac:dyDescent="0.2">
      <c r="A461" s="204" t="str">
        <f t="shared" si="14"/>
        <v>0496002595734</v>
      </c>
      <c r="B461" s="204">
        <v>2</v>
      </c>
      <c r="C461" s="204" t="s">
        <v>435</v>
      </c>
      <c r="D461" s="204">
        <v>80</v>
      </c>
      <c r="E461" s="204">
        <v>80</v>
      </c>
      <c r="F461" s="204" t="s">
        <v>243</v>
      </c>
      <c r="G461" s="204">
        <v>2086</v>
      </c>
      <c r="H461" s="204" t="s">
        <v>270</v>
      </c>
      <c r="I461" s="204">
        <v>55914</v>
      </c>
      <c r="J461" s="209">
        <v>42533</v>
      </c>
      <c r="K461" s="210">
        <v>0.56581018518518522</v>
      </c>
      <c r="L461" s="209">
        <v>42535</v>
      </c>
      <c r="M461" s="204" t="s">
        <v>310</v>
      </c>
      <c r="N461" s="204" t="s">
        <v>1040</v>
      </c>
      <c r="O461" s="204" t="s">
        <v>1041</v>
      </c>
      <c r="P461" s="204" t="s">
        <v>1042</v>
      </c>
      <c r="Q461" s="204" t="s">
        <v>329</v>
      </c>
      <c r="R461" s="204" t="s">
        <v>1043</v>
      </c>
      <c r="S461" s="204" t="s">
        <v>436</v>
      </c>
      <c r="T461" s="204" t="s">
        <v>435</v>
      </c>
      <c r="U461" s="204">
        <v>2086</v>
      </c>
      <c r="V461" s="204" t="s">
        <v>435</v>
      </c>
      <c r="W461" s="204" t="s">
        <v>280</v>
      </c>
      <c r="X461" s="204">
        <v>8.9469999999999992</v>
      </c>
      <c r="Y461" s="211">
        <v>0</v>
      </c>
      <c r="Z461" s="211">
        <v>2.46</v>
      </c>
      <c r="AA461" s="211">
        <v>22</v>
      </c>
      <c r="AB461" s="211">
        <v>-1.64</v>
      </c>
      <c r="AC461" s="211">
        <v>0</v>
      </c>
      <c r="AD461" s="211">
        <v>0</v>
      </c>
      <c r="AE461" s="211">
        <v>20.36</v>
      </c>
      <c r="AF461" s="211">
        <v>-3.75</v>
      </c>
      <c r="AG461" s="204" t="s">
        <v>279</v>
      </c>
      <c r="AH461" s="211">
        <v>0</v>
      </c>
      <c r="AI461" s="211">
        <v>22</v>
      </c>
      <c r="AJ461" s="211">
        <v>0</v>
      </c>
      <c r="AK461" s="204" t="str">
        <f t="shared" si="15"/>
        <v>1.00000000</v>
      </c>
      <c r="AL461" s="204">
        <v>31.5</v>
      </c>
    </row>
    <row r="462" spans="1:38" x14ac:dyDescent="0.2">
      <c r="A462" s="204" t="str">
        <f t="shared" si="14"/>
        <v>0496002595734</v>
      </c>
      <c r="B462" s="204">
        <v>2</v>
      </c>
      <c r="C462" s="204" t="s">
        <v>435</v>
      </c>
      <c r="D462" s="204">
        <v>80</v>
      </c>
      <c r="E462" s="204">
        <v>80</v>
      </c>
      <c r="F462" s="204" t="s">
        <v>243</v>
      </c>
      <c r="G462" s="204">
        <v>2086</v>
      </c>
      <c r="H462" s="204" t="s">
        <v>270</v>
      </c>
      <c r="I462" s="204">
        <v>56238</v>
      </c>
      <c r="J462" s="209">
        <v>42534</v>
      </c>
      <c r="K462" s="210">
        <v>0.72721064814814806</v>
      </c>
      <c r="L462" s="209">
        <v>42536</v>
      </c>
      <c r="M462" s="204" t="s">
        <v>384</v>
      </c>
      <c r="N462" s="204" t="s">
        <v>385</v>
      </c>
      <c r="O462" s="204" t="s">
        <v>386</v>
      </c>
      <c r="P462" s="204" t="s">
        <v>343</v>
      </c>
      <c r="Q462" s="204" t="s">
        <v>275</v>
      </c>
      <c r="R462" s="204" t="s">
        <v>387</v>
      </c>
      <c r="S462" s="204" t="s">
        <v>436</v>
      </c>
      <c r="T462" s="204" t="s">
        <v>435</v>
      </c>
      <c r="U462" s="204">
        <v>2086</v>
      </c>
      <c r="V462" s="204" t="s">
        <v>435</v>
      </c>
      <c r="W462" s="204" t="s">
        <v>280</v>
      </c>
      <c r="X462" s="204">
        <v>9.2729999999999997</v>
      </c>
      <c r="Y462" s="211">
        <v>0</v>
      </c>
      <c r="Z462" s="211">
        <v>2.2999999999999998</v>
      </c>
      <c r="AA462" s="211">
        <v>21.32</v>
      </c>
      <c r="AB462" s="211">
        <v>-1.7</v>
      </c>
      <c r="AC462" s="211">
        <v>0</v>
      </c>
      <c r="AD462" s="211">
        <v>0</v>
      </c>
      <c r="AE462" s="211">
        <v>19.62</v>
      </c>
      <c r="AF462" s="211">
        <v>-2.23</v>
      </c>
      <c r="AG462" s="204" t="s">
        <v>279</v>
      </c>
      <c r="AH462" s="211">
        <v>0</v>
      </c>
      <c r="AI462" s="211">
        <v>21.32</v>
      </c>
      <c r="AJ462" s="211">
        <v>0</v>
      </c>
      <c r="AK462" s="204" t="str">
        <f t="shared" si="15"/>
        <v>1.00000000</v>
      </c>
      <c r="AL462" s="204">
        <v>34.9</v>
      </c>
    </row>
    <row r="463" spans="1:38" x14ac:dyDescent="0.2">
      <c r="A463" s="204" t="str">
        <f t="shared" si="14"/>
        <v>0496002595734</v>
      </c>
      <c r="B463" s="204">
        <v>2</v>
      </c>
      <c r="C463" s="204" t="s">
        <v>435</v>
      </c>
      <c r="D463" s="204">
        <v>80</v>
      </c>
      <c r="E463" s="204">
        <v>80</v>
      </c>
      <c r="F463" s="204" t="s">
        <v>243</v>
      </c>
      <c r="G463" s="204">
        <v>2086</v>
      </c>
      <c r="H463" s="204" t="s">
        <v>270</v>
      </c>
      <c r="I463" s="204">
        <v>56512</v>
      </c>
      <c r="J463" s="209">
        <v>42539</v>
      </c>
      <c r="K463" s="210">
        <v>0.22430555555555556</v>
      </c>
      <c r="L463" s="209">
        <v>42542</v>
      </c>
      <c r="M463" s="204" t="s">
        <v>606</v>
      </c>
      <c r="N463" s="204" t="s">
        <v>399</v>
      </c>
      <c r="O463" s="204" t="s">
        <v>400</v>
      </c>
      <c r="P463" s="204" t="s">
        <v>274</v>
      </c>
      <c r="Q463" s="204" t="s">
        <v>275</v>
      </c>
      <c r="R463" s="204" t="s">
        <v>401</v>
      </c>
      <c r="S463" s="204" t="s">
        <v>436</v>
      </c>
      <c r="T463" s="204" t="s">
        <v>435</v>
      </c>
      <c r="U463" s="204">
        <v>2086</v>
      </c>
      <c r="V463" s="204" t="s">
        <v>435</v>
      </c>
      <c r="W463" s="204" t="s">
        <v>280</v>
      </c>
      <c r="X463" s="204">
        <v>0.01</v>
      </c>
      <c r="Y463" s="211">
        <v>0</v>
      </c>
      <c r="Z463" s="211">
        <v>2</v>
      </c>
      <c r="AA463" s="211">
        <v>0.02</v>
      </c>
      <c r="AB463" s="211">
        <v>0</v>
      </c>
      <c r="AC463" s="211">
        <v>0</v>
      </c>
      <c r="AD463" s="211">
        <v>0</v>
      </c>
      <c r="AE463" s="211">
        <v>0.02</v>
      </c>
      <c r="AF463" s="211">
        <v>0</v>
      </c>
      <c r="AG463" s="204" t="s">
        <v>279</v>
      </c>
      <c r="AH463" s="211">
        <v>0</v>
      </c>
      <c r="AI463" s="211">
        <v>0.02</v>
      </c>
      <c r="AJ463" s="211">
        <v>0</v>
      </c>
      <c r="AK463" s="204" t="str">
        <f t="shared" si="15"/>
        <v>1.00000000</v>
      </c>
      <c r="AL463" s="204">
        <v>0</v>
      </c>
    </row>
    <row r="464" spans="1:38" x14ac:dyDescent="0.2">
      <c r="A464" s="204" t="str">
        <f t="shared" si="14"/>
        <v>0496002595734</v>
      </c>
      <c r="B464" s="204">
        <v>2</v>
      </c>
      <c r="C464" s="204" t="s">
        <v>435</v>
      </c>
      <c r="D464" s="204">
        <v>80</v>
      </c>
      <c r="E464" s="204">
        <v>80</v>
      </c>
      <c r="F464" s="204" t="s">
        <v>243</v>
      </c>
      <c r="G464" s="204">
        <v>2086</v>
      </c>
      <c r="H464" s="204" t="s">
        <v>270</v>
      </c>
      <c r="I464" s="204">
        <v>56517</v>
      </c>
      <c r="J464" s="209">
        <v>42539</v>
      </c>
      <c r="K464" s="210">
        <v>0.23124999999999998</v>
      </c>
      <c r="L464" s="209">
        <v>42542</v>
      </c>
      <c r="M464" s="204" t="s">
        <v>294</v>
      </c>
      <c r="N464" s="204" t="s">
        <v>379</v>
      </c>
      <c r="O464" s="204" t="s">
        <v>1044</v>
      </c>
      <c r="P464" s="204" t="s">
        <v>1045</v>
      </c>
      <c r="Q464" s="204" t="s">
        <v>275</v>
      </c>
      <c r="R464" s="204" t="s">
        <v>1046</v>
      </c>
      <c r="S464" s="204" t="s">
        <v>436</v>
      </c>
      <c r="T464" s="204" t="s">
        <v>435</v>
      </c>
      <c r="U464" s="204">
        <v>2086</v>
      </c>
      <c r="V464" s="204" t="s">
        <v>435</v>
      </c>
      <c r="W464" s="204" t="s">
        <v>280</v>
      </c>
      <c r="X464" s="204">
        <v>8.9600000000000009</v>
      </c>
      <c r="Y464" s="211">
        <v>0</v>
      </c>
      <c r="Z464" s="211">
        <v>2.34</v>
      </c>
      <c r="AA464" s="211">
        <v>20.98</v>
      </c>
      <c r="AB464" s="211">
        <v>-1.64</v>
      </c>
      <c r="AC464" s="211">
        <v>0</v>
      </c>
      <c r="AD464" s="211">
        <v>0</v>
      </c>
      <c r="AE464" s="211">
        <v>19.34</v>
      </c>
      <c r="AF464" s="211">
        <v>-2.15</v>
      </c>
      <c r="AG464" s="204" t="s">
        <v>279</v>
      </c>
      <c r="AH464" s="211">
        <v>0</v>
      </c>
      <c r="AI464" s="211">
        <v>20.98</v>
      </c>
      <c r="AJ464" s="211">
        <v>0</v>
      </c>
      <c r="AK464" s="204" t="str">
        <f t="shared" si="15"/>
        <v>1.00000000</v>
      </c>
      <c r="AL464" s="204">
        <v>37.799999999999997</v>
      </c>
    </row>
    <row r="465" spans="1:38" x14ac:dyDescent="0.2">
      <c r="A465" s="204" t="str">
        <f t="shared" si="14"/>
        <v>0496002595734</v>
      </c>
      <c r="B465" s="204">
        <v>2</v>
      </c>
      <c r="C465" s="204" t="s">
        <v>435</v>
      </c>
      <c r="D465" s="204">
        <v>80</v>
      </c>
      <c r="E465" s="204">
        <v>80</v>
      </c>
      <c r="F465" s="204" t="s">
        <v>243</v>
      </c>
      <c r="G465" s="204">
        <v>2086</v>
      </c>
      <c r="H465" s="204" t="s">
        <v>270</v>
      </c>
      <c r="I465" s="204">
        <v>56816</v>
      </c>
      <c r="J465" s="209">
        <v>42539</v>
      </c>
      <c r="K465" s="210">
        <v>0.63263888888888886</v>
      </c>
      <c r="L465" s="209">
        <v>42542</v>
      </c>
      <c r="M465" s="204" t="s">
        <v>294</v>
      </c>
      <c r="N465" s="204" t="s">
        <v>1047</v>
      </c>
      <c r="O465" s="204" t="s">
        <v>1048</v>
      </c>
      <c r="P465" s="204" t="s">
        <v>1049</v>
      </c>
      <c r="Q465" s="204" t="s">
        <v>466</v>
      </c>
      <c r="R465" s="204" t="s">
        <v>1050</v>
      </c>
      <c r="S465" s="204" t="s">
        <v>436</v>
      </c>
      <c r="T465" s="204" t="s">
        <v>435</v>
      </c>
      <c r="U465" s="204">
        <v>2086</v>
      </c>
      <c r="V465" s="204" t="s">
        <v>435</v>
      </c>
      <c r="W465" s="204" t="s">
        <v>280</v>
      </c>
      <c r="X465" s="204">
        <v>7.94</v>
      </c>
      <c r="Y465" s="211">
        <v>0</v>
      </c>
      <c r="Z465" s="211">
        <v>2.2400000000000002</v>
      </c>
      <c r="AA465" s="211">
        <v>17.79</v>
      </c>
      <c r="AB465" s="211">
        <v>-1.45</v>
      </c>
      <c r="AC465" s="211">
        <v>0</v>
      </c>
      <c r="AD465" s="211">
        <v>0</v>
      </c>
      <c r="AE465" s="211">
        <v>16.34</v>
      </c>
      <c r="AF465" s="211">
        <v>-1.76</v>
      </c>
      <c r="AG465" s="204" t="s">
        <v>279</v>
      </c>
      <c r="AH465" s="211">
        <v>0</v>
      </c>
      <c r="AI465" s="211">
        <v>17.79</v>
      </c>
      <c r="AJ465" s="211">
        <v>0</v>
      </c>
      <c r="AK465" s="204" t="str">
        <f t="shared" si="15"/>
        <v>1.00000000</v>
      </c>
      <c r="AL465" s="204">
        <v>37.700000000000003</v>
      </c>
    </row>
    <row r="466" spans="1:38" x14ac:dyDescent="0.2">
      <c r="A466" s="204" t="str">
        <f t="shared" si="14"/>
        <v>0496002595734</v>
      </c>
      <c r="B466" s="204">
        <v>2</v>
      </c>
      <c r="C466" s="204" t="s">
        <v>435</v>
      </c>
      <c r="D466" s="204">
        <v>80</v>
      </c>
      <c r="E466" s="204">
        <v>80</v>
      </c>
      <c r="F466" s="204" t="s">
        <v>243</v>
      </c>
      <c r="G466" s="204">
        <v>2086</v>
      </c>
      <c r="H466" s="204" t="s">
        <v>270</v>
      </c>
      <c r="I466" s="204">
        <v>57066</v>
      </c>
      <c r="J466" s="209">
        <v>42543</v>
      </c>
      <c r="K466" s="210">
        <v>0.86458333333333337</v>
      </c>
      <c r="L466" s="209">
        <v>42545</v>
      </c>
      <c r="M466" s="204" t="s">
        <v>271</v>
      </c>
      <c r="N466" s="204" t="s">
        <v>352</v>
      </c>
      <c r="O466" s="204" t="s">
        <v>353</v>
      </c>
      <c r="P466" s="204" t="s">
        <v>343</v>
      </c>
      <c r="Q466" s="204" t="s">
        <v>275</v>
      </c>
      <c r="R466" s="204" t="s">
        <v>602</v>
      </c>
      <c r="S466" s="204" t="s">
        <v>436</v>
      </c>
      <c r="T466" s="204" t="s">
        <v>435</v>
      </c>
      <c r="U466" s="204">
        <v>2086</v>
      </c>
      <c r="V466" s="204" t="s">
        <v>435</v>
      </c>
      <c r="W466" s="204" t="s">
        <v>280</v>
      </c>
      <c r="X466" s="204">
        <v>7.6020000000000003</v>
      </c>
      <c r="Y466" s="211">
        <v>-0.23</v>
      </c>
      <c r="Z466" s="211">
        <v>2.27</v>
      </c>
      <c r="AA466" s="211">
        <v>17.25</v>
      </c>
      <c r="AB466" s="211">
        <v>-1.39</v>
      </c>
      <c r="AC466" s="211">
        <v>0</v>
      </c>
      <c r="AD466" s="211">
        <v>0</v>
      </c>
      <c r="AE466" s="211">
        <v>15.63</v>
      </c>
      <c r="AF466" s="211">
        <v>-1.82</v>
      </c>
      <c r="AG466" s="204" t="s">
        <v>279</v>
      </c>
      <c r="AH466" s="211">
        <v>0</v>
      </c>
      <c r="AI466" s="211">
        <v>17.25</v>
      </c>
      <c r="AJ466" s="211">
        <v>0</v>
      </c>
      <c r="AK466" s="204" t="str">
        <f t="shared" si="15"/>
        <v>1.00000000</v>
      </c>
      <c r="AL466" s="204">
        <v>32.9</v>
      </c>
    </row>
    <row r="467" spans="1:38" x14ac:dyDescent="0.2">
      <c r="A467" s="204" t="str">
        <f t="shared" si="14"/>
        <v>0496002595734</v>
      </c>
      <c r="B467" s="204">
        <v>2</v>
      </c>
      <c r="C467" s="204" t="s">
        <v>435</v>
      </c>
      <c r="D467" s="204">
        <v>80</v>
      </c>
      <c r="E467" s="204">
        <v>80</v>
      </c>
      <c r="F467" s="204" t="s">
        <v>243</v>
      </c>
      <c r="G467" s="204">
        <v>2086</v>
      </c>
      <c r="H467" s="204" t="s">
        <v>270</v>
      </c>
      <c r="I467" s="204">
        <v>57357</v>
      </c>
      <c r="J467" s="209">
        <v>42549</v>
      </c>
      <c r="K467" s="210">
        <v>0.9</v>
      </c>
      <c r="L467" s="209">
        <v>42551</v>
      </c>
      <c r="M467" s="204" t="s">
        <v>294</v>
      </c>
      <c r="N467" s="204" t="s">
        <v>379</v>
      </c>
      <c r="O467" s="204" t="s">
        <v>786</v>
      </c>
      <c r="P467" s="204" t="s">
        <v>787</v>
      </c>
      <c r="Q467" s="204" t="s">
        <v>275</v>
      </c>
      <c r="R467" s="204" t="s">
        <v>1051</v>
      </c>
      <c r="S467" s="204" t="s">
        <v>436</v>
      </c>
      <c r="T467" s="204" t="s">
        <v>435</v>
      </c>
      <c r="U467" s="204">
        <v>2086</v>
      </c>
      <c r="V467" s="204" t="s">
        <v>435</v>
      </c>
      <c r="W467" s="204" t="s">
        <v>280</v>
      </c>
      <c r="X467" s="204">
        <v>8.58</v>
      </c>
      <c r="Y467" s="211">
        <v>0</v>
      </c>
      <c r="Z467" s="211">
        <v>2.36</v>
      </c>
      <c r="AA467" s="211">
        <v>20.239999999999998</v>
      </c>
      <c r="AB467" s="211">
        <v>-1.57</v>
      </c>
      <c r="AC467" s="211">
        <v>0</v>
      </c>
      <c r="AD467" s="211">
        <v>0</v>
      </c>
      <c r="AE467" s="211">
        <v>18.670000000000002</v>
      </c>
      <c r="AF467" s="211">
        <v>-2.06</v>
      </c>
      <c r="AG467" s="204" t="s">
        <v>279</v>
      </c>
      <c r="AH467" s="211">
        <v>0</v>
      </c>
      <c r="AI467" s="211">
        <v>20.239999999999998</v>
      </c>
      <c r="AJ467" s="211">
        <v>0</v>
      </c>
      <c r="AK467" s="204" t="str">
        <f t="shared" si="15"/>
        <v>1.00000000</v>
      </c>
      <c r="AL467" s="204">
        <v>33.9</v>
      </c>
    </row>
    <row r="468" spans="1:38" x14ac:dyDescent="0.2">
      <c r="A468" s="204" t="str">
        <f t="shared" si="14"/>
        <v>0496002595734</v>
      </c>
      <c r="B468" s="204">
        <v>3</v>
      </c>
      <c r="C468" s="204" t="s">
        <v>435</v>
      </c>
      <c r="D468" s="204">
        <v>82</v>
      </c>
      <c r="E468" s="204">
        <v>82</v>
      </c>
      <c r="F468" s="204" t="s">
        <v>243</v>
      </c>
      <c r="G468" s="204">
        <v>2086</v>
      </c>
      <c r="H468" s="204" t="s">
        <v>270</v>
      </c>
      <c r="I468" s="204">
        <v>33206</v>
      </c>
      <c r="J468" s="209">
        <v>42377</v>
      </c>
      <c r="K468" s="210">
        <v>0.37638888888888888</v>
      </c>
      <c r="L468" s="209">
        <v>42381</v>
      </c>
      <c r="M468" s="204" t="s">
        <v>853</v>
      </c>
      <c r="N468" s="204" t="s">
        <v>272</v>
      </c>
      <c r="O468" s="204" t="s">
        <v>273</v>
      </c>
      <c r="P468" s="204" t="s">
        <v>274</v>
      </c>
      <c r="Q468" s="204" t="s">
        <v>275</v>
      </c>
      <c r="R468" s="204" t="s">
        <v>276</v>
      </c>
      <c r="S468" s="204" t="s">
        <v>436</v>
      </c>
      <c r="T468" s="204" t="s">
        <v>435</v>
      </c>
      <c r="U468" s="204">
        <v>2086</v>
      </c>
      <c r="V468" s="204" t="s">
        <v>435</v>
      </c>
      <c r="W468" s="204" t="s">
        <v>280</v>
      </c>
      <c r="X468" s="204">
        <v>9.31</v>
      </c>
      <c r="Y468" s="211">
        <v>-0.28000000000000003</v>
      </c>
      <c r="Z468" s="211">
        <v>1.96</v>
      </c>
      <c r="AA468" s="211">
        <v>18.239999999999998</v>
      </c>
      <c r="AB468" s="211">
        <v>-1.7</v>
      </c>
      <c r="AC468" s="211">
        <v>0</v>
      </c>
      <c r="AD468" s="211">
        <v>0</v>
      </c>
      <c r="AE468" s="211">
        <v>16.260000000000002</v>
      </c>
      <c r="AF468" s="211">
        <v>-2.23</v>
      </c>
      <c r="AG468" s="204" t="s">
        <v>279</v>
      </c>
      <c r="AH468" s="211">
        <v>0</v>
      </c>
      <c r="AI468" s="211">
        <v>18.239999999999998</v>
      </c>
      <c r="AJ468" s="211">
        <v>0</v>
      </c>
      <c r="AK468" s="204" t="str">
        <f t="shared" si="15"/>
        <v>1.00000000</v>
      </c>
      <c r="AL468" s="204">
        <v>20.399999999999999</v>
      </c>
    </row>
    <row r="469" spans="1:38" x14ac:dyDescent="0.2">
      <c r="A469" s="204" t="str">
        <f t="shared" si="14"/>
        <v>0496002595734</v>
      </c>
      <c r="B469" s="204">
        <v>3</v>
      </c>
      <c r="C469" s="204" t="s">
        <v>435</v>
      </c>
      <c r="D469" s="204">
        <v>82</v>
      </c>
      <c r="E469" s="204">
        <v>82</v>
      </c>
      <c r="F469" s="204" t="s">
        <v>243</v>
      </c>
      <c r="G469" s="204">
        <v>2086</v>
      </c>
      <c r="H469" s="204" t="s">
        <v>270</v>
      </c>
      <c r="I469" s="204">
        <v>33892</v>
      </c>
      <c r="J469" s="209">
        <v>42378</v>
      </c>
      <c r="K469" s="210">
        <v>0.43263888888888885</v>
      </c>
      <c r="L469" s="209">
        <v>42381</v>
      </c>
      <c r="M469" s="204" t="s">
        <v>853</v>
      </c>
      <c r="N469" s="204" t="s">
        <v>272</v>
      </c>
      <c r="O469" s="204" t="s">
        <v>273</v>
      </c>
      <c r="P469" s="204" t="s">
        <v>274</v>
      </c>
      <c r="Q469" s="204" t="s">
        <v>275</v>
      </c>
      <c r="R469" s="204" t="s">
        <v>276</v>
      </c>
      <c r="S469" s="204" t="s">
        <v>436</v>
      </c>
      <c r="T469" s="204" t="s">
        <v>435</v>
      </c>
      <c r="U469" s="204">
        <v>2086</v>
      </c>
      <c r="V469" s="204" t="s">
        <v>435</v>
      </c>
      <c r="W469" s="204" t="s">
        <v>280</v>
      </c>
      <c r="X469" s="204">
        <v>9.6319999999999997</v>
      </c>
      <c r="Y469" s="211">
        <v>-0.28999999999999998</v>
      </c>
      <c r="Z469" s="211">
        <v>1.96</v>
      </c>
      <c r="AA469" s="211">
        <v>18.87</v>
      </c>
      <c r="AB469" s="211">
        <v>-1.76</v>
      </c>
      <c r="AC469" s="211">
        <v>0</v>
      </c>
      <c r="AD469" s="211">
        <v>0</v>
      </c>
      <c r="AE469" s="211">
        <v>16.82</v>
      </c>
      <c r="AF469" s="211">
        <v>-2.31</v>
      </c>
      <c r="AG469" s="204" t="s">
        <v>279</v>
      </c>
      <c r="AH469" s="211">
        <v>0</v>
      </c>
      <c r="AI469" s="211">
        <v>18.87</v>
      </c>
      <c r="AJ469" s="211">
        <v>0</v>
      </c>
      <c r="AK469" s="204" t="str">
        <f t="shared" si="15"/>
        <v>1.00000000</v>
      </c>
      <c r="AL469" s="204">
        <v>20.399999999999999</v>
      </c>
    </row>
    <row r="470" spans="1:38" x14ac:dyDescent="0.2">
      <c r="A470" s="204" t="str">
        <f t="shared" si="14"/>
        <v>0496002595734</v>
      </c>
      <c r="B470" s="204">
        <v>3</v>
      </c>
      <c r="C470" s="204" t="s">
        <v>435</v>
      </c>
      <c r="D470" s="204">
        <v>82</v>
      </c>
      <c r="E470" s="204">
        <v>82</v>
      </c>
      <c r="F470" s="204" t="s">
        <v>243</v>
      </c>
      <c r="G470" s="204">
        <v>2086</v>
      </c>
      <c r="H470" s="204" t="s">
        <v>270</v>
      </c>
      <c r="I470" s="204">
        <v>34258</v>
      </c>
      <c r="J470" s="209">
        <v>42379</v>
      </c>
      <c r="K470" s="210">
        <v>0.40069444444444446</v>
      </c>
      <c r="L470" s="209">
        <v>42381</v>
      </c>
      <c r="M470" s="204" t="s">
        <v>853</v>
      </c>
      <c r="N470" s="204" t="s">
        <v>272</v>
      </c>
      <c r="O470" s="204" t="s">
        <v>273</v>
      </c>
      <c r="P470" s="204" t="s">
        <v>274</v>
      </c>
      <c r="Q470" s="204" t="s">
        <v>275</v>
      </c>
      <c r="R470" s="204" t="s">
        <v>276</v>
      </c>
      <c r="S470" s="204" t="s">
        <v>436</v>
      </c>
      <c r="T470" s="204" t="s">
        <v>435</v>
      </c>
      <c r="U470" s="204">
        <v>2086</v>
      </c>
      <c r="V470" s="204" t="s">
        <v>435</v>
      </c>
      <c r="W470" s="204" t="s">
        <v>280</v>
      </c>
      <c r="X470" s="204">
        <v>15.701000000000001</v>
      </c>
      <c r="Y470" s="211">
        <v>-0.47</v>
      </c>
      <c r="Z470" s="211">
        <v>1.96</v>
      </c>
      <c r="AA470" s="211">
        <v>30.76</v>
      </c>
      <c r="AB470" s="211">
        <v>-2.87</v>
      </c>
      <c r="AC470" s="211">
        <v>0</v>
      </c>
      <c r="AD470" s="211">
        <v>0</v>
      </c>
      <c r="AE470" s="211">
        <v>27.42</v>
      </c>
      <c r="AF470" s="211">
        <v>-3.77</v>
      </c>
      <c r="AG470" s="204" t="s">
        <v>279</v>
      </c>
      <c r="AH470" s="211">
        <v>0</v>
      </c>
      <c r="AI470" s="211">
        <v>30.76</v>
      </c>
      <c r="AJ470" s="211">
        <v>0</v>
      </c>
      <c r="AK470" s="204" t="str">
        <f t="shared" si="15"/>
        <v>1.00000000</v>
      </c>
      <c r="AL470" s="204">
        <v>23.3</v>
      </c>
    </row>
    <row r="471" spans="1:38" x14ac:dyDescent="0.2">
      <c r="A471" s="204" t="str">
        <f t="shared" ref="A471:A529" si="16">"0496002595734"</f>
        <v>0496002595734</v>
      </c>
      <c r="B471" s="204">
        <v>3</v>
      </c>
      <c r="C471" s="204" t="s">
        <v>435</v>
      </c>
      <c r="D471" s="204">
        <v>82</v>
      </c>
      <c r="E471" s="204">
        <v>82</v>
      </c>
      <c r="F471" s="204" t="s">
        <v>243</v>
      </c>
      <c r="G471" s="204">
        <v>2086</v>
      </c>
      <c r="H471" s="204" t="s">
        <v>270</v>
      </c>
      <c r="I471" s="204">
        <v>34469</v>
      </c>
      <c r="J471" s="209">
        <v>42382</v>
      </c>
      <c r="K471" s="210">
        <v>0.65069444444444446</v>
      </c>
      <c r="L471" s="209">
        <v>42384</v>
      </c>
      <c r="M471" s="204" t="s">
        <v>853</v>
      </c>
      <c r="N471" s="204" t="s">
        <v>272</v>
      </c>
      <c r="O471" s="204" t="s">
        <v>273</v>
      </c>
      <c r="P471" s="204" t="s">
        <v>274</v>
      </c>
      <c r="Q471" s="204" t="s">
        <v>275</v>
      </c>
      <c r="R471" s="204" t="s">
        <v>276</v>
      </c>
      <c r="S471" s="204" t="s">
        <v>436</v>
      </c>
      <c r="T471" s="204" t="s">
        <v>435</v>
      </c>
      <c r="U471" s="204">
        <v>2086</v>
      </c>
      <c r="V471" s="204" t="s">
        <v>435</v>
      </c>
      <c r="W471" s="204" t="s">
        <v>280</v>
      </c>
      <c r="X471" s="204">
        <v>12.571</v>
      </c>
      <c r="Y471" s="211">
        <v>-0.38</v>
      </c>
      <c r="Z471" s="211">
        <v>1.93</v>
      </c>
      <c r="AA471" s="211">
        <v>24.25</v>
      </c>
      <c r="AB471" s="211">
        <v>-2.2999999999999998</v>
      </c>
      <c r="AC471" s="211">
        <v>0</v>
      </c>
      <c r="AD471" s="211">
        <v>0</v>
      </c>
      <c r="AE471" s="211">
        <v>21.57</v>
      </c>
      <c r="AF471" s="211">
        <v>-3.02</v>
      </c>
      <c r="AG471" s="204" t="s">
        <v>279</v>
      </c>
      <c r="AH471" s="211">
        <v>0</v>
      </c>
      <c r="AI471" s="211">
        <v>24.25</v>
      </c>
      <c r="AJ471" s="211">
        <v>0</v>
      </c>
      <c r="AK471" s="204" t="str">
        <f t="shared" si="15"/>
        <v>1.00000000</v>
      </c>
      <c r="AL471" s="204">
        <v>16.8</v>
      </c>
    </row>
    <row r="472" spans="1:38" x14ac:dyDescent="0.2">
      <c r="A472" s="204" t="str">
        <f t="shared" si="16"/>
        <v>0496002595734</v>
      </c>
      <c r="B472" s="204">
        <v>3</v>
      </c>
      <c r="C472" s="204" t="s">
        <v>435</v>
      </c>
      <c r="D472" s="204">
        <v>82</v>
      </c>
      <c r="E472" s="204">
        <v>82</v>
      </c>
      <c r="F472" s="204" t="s">
        <v>243</v>
      </c>
      <c r="G472" s="204">
        <v>2086</v>
      </c>
      <c r="H472" s="204" t="s">
        <v>270</v>
      </c>
      <c r="I472" s="204">
        <v>34716</v>
      </c>
      <c r="J472" s="209">
        <v>42384</v>
      </c>
      <c r="K472" s="210">
        <v>5.6250000000000001E-2</v>
      </c>
      <c r="L472" s="209">
        <v>42387</v>
      </c>
      <c r="M472" s="204" t="s">
        <v>853</v>
      </c>
      <c r="N472" s="204" t="s">
        <v>352</v>
      </c>
      <c r="O472" s="204" t="s">
        <v>353</v>
      </c>
      <c r="P472" s="204" t="s">
        <v>343</v>
      </c>
      <c r="Q472" s="204" t="s">
        <v>275</v>
      </c>
      <c r="R472" s="204" t="s">
        <v>602</v>
      </c>
      <c r="S472" s="204" t="s">
        <v>436</v>
      </c>
      <c r="T472" s="204" t="s">
        <v>435</v>
      </c>
      <c r="U472" s="204">
        <v>2086</v>
      </c>
      <c r="V472" s="204" t="s">
        <v>435</v>
      </c>
      <c r="W472" s="204" t="s">
        <v>280</v>
      </c>
      <c r="X472" s="204">
        <v>13.887</v>
      </c>
      <c r="Y472" s="211">
        <v>-0.42</v>
      </c>
      <c r="Z472" s="211">
        <v>1.92</v>
      </c>
      <c r="AA472" s="211">
        <v>26.65</v>
      </c>
      <c r="AB472" s="211">
        <v>-2.54</v>
      </c>
      <c r="AC472" s="211">
        <v>0</v>
      </c>
      <c r="AD472" s="211">
        <v>0</v>
      </c>
      <c r="AE472" s="211">
        <v>23.69</v>
      </c>
      <c r="AF472" s="211">
        <v>-3.33</v>
      </c>
      <c r="AG472" s="204" t="s">
        <v>279</v>
      </c>
      <c r="AH472" s="211">
        <v>0</v>
      </c>
      <c r="AI472" s="211">
        <v>26.65</v>
      </c>
      <c r="AJ472" s="211">
        <v>0</v>
      </c>
      <c r="AK472" s="204" t="str">
        <f t="shared" si="15"/>
        <v>1.00000000</v>
      </c>
      <c r="AL472" s="204">
        <v>17.8</v>
      </c>
    </row>
    <row r="473" spans="1:38" x14ac:dyDescent="0.2">
      <c r="A473" s="204" t="str">
        <f t="shared" si="16"/>
        <v>0496002595734</v>
      </c>
      <c r="B473" s="204">
        <v>3</v>
      </c>
      <c r="C473" s="204" t="s">
        <v>435</v>
      </c>
      <c r="D473" s="204">
        <v>82</v>
      </c>
      <c r="E473" s="204">
        <v>82</v>
      </c>
      <c r="F473" s="204" t="s">
        <v>243</v>
      </c>
      <c r="G473" s="204">
        <v>2086</v>
      </c>
      <c r="H473" s="204" t="s">
        <v>270</v>
      </c>
      <c r="I473" s="204">
        <v>35009</v>
      </c>
      <c r="J473" s="209">
        <v>42385</v>
      </c>
      <c r="K473" s="210">
        <v>0.85069444444444453</v>
      </c>
      <c r="L473" s="209">
        <v>42388</v>
      </c>
      <c r="M473" s="204" t="s">
        <v>302</v>
      </c>
      <c r="N473" s="204" t="s">
        <v>1052</v>
      </c>
      <c r="O473" s="204" t="s">
        <v>1053</v>
      </c>
      <c r="P473" s="204" t="s">
        <v>1054</v>
      </c>
      <c r="Q473" s="204" t="s">
        <v>309</v>
      </c>
      <c r="R473" s="204" t="s">
        <v>1055</v>
      </c>
      <c r="S473" s="204" t="s">
        <v>436</v>
      </c>
      <c r="T473" s="204" t="s">
        <v>435</v>
      </c>
      <c r="U473" s="204">
        <v>2086</v>
      </c>
      <c r="V473" s="204" t="s">
        <v>435</v>
      </c>
      <c r="W473" s="204" t="s">
        <v>280</v>
      </c>
      <c r="X473" s="204">
        <v>15.573</v>
      </c>
      <c r="Y473" s="211">
        <v>0</v>
      </c>
      <c r="Z473" s="211">
        <v>2.2000000000000002</v>
      </c>
      <c r="AA473" s="211">
        <v>34.25</v>
      </c>
      <c r="AB473" s="211">
        <v>-2.85</v>
      </c>
      <c r="AC473" s="211">
        <v>0</v>
      </c>
      <c r="AD473" s="211">
        <v>0</v>
      </c>
      <c r="AE473" s="211">
        <v>31.4</v>
      </c>
      <c r="AF473" s="211">
        <v>-3.89</v>
      </c>
      <c r="AG473" s="204" t="s">
        <v>279</v>
      </c>
      <c r="AH473" s="211">
        <v>0</v>
      </c>
      <c r="AI473" s="211">
        <v>34.25</v>
      </c>
      <c r="AJ473" s="211">
        <v>0</v>
      </c>
      <c r="AK473" s="204" t="str">
        <f t="shared" si="15"/>
        <v>1.00000000</v>
      </c>
      <c r="AL473" s="204">
        <v>18.8</v>
      </c>
    </row>
    <row r="474" spans="1:38" x14ac:dyDescent="0.2">
      <c r="A474" s="204" t="str">
        <f t="shared" si="16"/>
        <v>0496002595734</v>
      </c>
      <c r="B474" s="204">
        <v>3</v>
      </c>
      <c r="C474" s="204" t="s">
        <v>435</v>
      </c>
      <c r="D474" s="204">
        <v>82</v>
      </c>
      <c r="E474" s="204">
        <v>82</v>
      </c>
      <c r="F474" s="204" t="s">
        <v>243</v>
      </c>
      <c r="G474" s="204">
        <v>2086</v>
      </c>
      <c r="H474" s="204" t="s">
        <v>270</v>
      </c>
      <c r="I474" s="204">
        <v>35320</v>
      </c>
      <c r="J474" s="209">
        <v>42387</v>
      </c>
      <c r="K474" s="210">
        <v>0.729375</v>
      </c>
      <c r="L474" s="209">
        <v>42389</v>
      </c>
      <c r="M474" s="204" t="s">
        <v>314</v>
      </c>
      <c r="N474" s="204" t="s">
        <v>1056</v>
      </c>
      <c r="O474" s="204" t="s">
        <v>1057</v>
      </c>
      <c r="P474" s="204" t="s">
        <v>439</v>
      </c>
      <c r="Q474" s="204" t="s">
        <v>275</v>
      </c>
      <c r="R474" s="204" t="s">
        <v>1058</v>
      </c>
      <c r="S474" s="204" t="s">
        <v>436</v>
      </c>
      <c r="T474" s="204" t="s">
        <v>435</v>
      </c>
      <c r="U474" s="204">
        <v>2086</v>
      </c>
      <c r="V474" s="204" t="s">
        <v>435</v>
      </c>
      <c r="W474" s="204" t="s">
        <v>280</v>
      </c>
      <c r="X474" s="204">
        <v>16.038</v>
      </c>
      <c r="Y474" s="211">
        <v>0</v>
      </c>
      <c r="Z474" s="211">
        <v>1.9</v>
      </c>
      <c r="AA474" s="211">
        <v>30.46</v>
      </c>
      <c r="AB474" s="211">
        <v>-2.93</v>
      </c>
      <c r="AC474" s="211">
        <v>0</v>
      </c>
      <c r="AD474" s="211">
        <v>0</v>
      </c>
      <c r="AE474" s="211">
        <v>27.53</v>
      </c>
      <c r="AF474" s="211">
        <v>-3.85</v>
      </c>
      <c r="AG474" s="204" t="s">
        <v>279</v>
      </c>
      <c r="AH474" s="211">
        <v>0</v>
      </c>
      <c r="AI474" s="211">
        <v>30.46</v>
      </c>
      <c r="AJ474" s="211">
        <v>0</v>
      </c>
      <c r="AK474" s="204" t="str">
        <f t="shared" si="15"/>
        <v>1.00000000</v>
      </c>
      <c r="AL474" s="204">
        <v>19.399999999999999</v>
      </c>
    </row>
    <row r="475" spans="1:38" x14ac:dyDescent="0.2">
      <c r="A475" s="204" t="str">
        <f t="shared" si="16"/>
        <v>0496002595734</v>
      </c>
      <c r="B475" s="204">
        <v>3</v>
      </c>
      <c r="C475" s="204" t="s">
        <v>435</v>
      </c>
      <c r="D475" s="204">
        <v>82</v>
      </c>
      <c r="E475" s="204">
        <v>82</v>
      </c>
      <c r="F475" s="204" t="s">
        <v>243</v>
      </c>
      <c r="G475" s="204">
        <v>2086</v>
      </c>
      <c r="H475" s="204" t="s">
        <v>270</v>
      </c>
      <c r="I475" s="204">
        <v>35548</v>
      </c>
      <c r="J475" s="209">
        <v>42388</v>
      </c>
      <c r="K475" s="210">
        <v>0.34236111111111112</v>
      </c>
      <c r="L475" s="209">
        <v>42390</v>
      </c>
      <c r="M475" s="204" t="s">
        <v>853</v>
      </c>
      <c r="N475" s="204" t="s">
        <v>272</v>
      </c>
      <c r="O475" s="204" t="s">
        <v>273</v>
      </c>
      <c r="P475" s="204" t="s">
        <v>274</v>
      </c>
      <c r="Q475" s="204" t="s">
        <v>275</v>
      </c>
      <c r="R475" s="204" t="s">
        <v>276</v>
      </c>
      <c r="S475" s="204" t="s">
        <v>436</v>
      </c>
      <c r="T475" s="204" t="s">
        <v>435</v>
      </c>
      <c r="U475" s="204">
        <v>2086</v>
      </c>
      <c r="V475" s="204" t="s">
        <v>435</v>
      </c>
      <c r="W475" s="204" t="s">
        <v>280</v>
      </c>
      <c r="X475" s="204">
        <v>11.286</v>
      </c>
      <c r="Y475" s="211">
        <v>-0.34</v>
      </c>
      <c r="Z475" s="211">
        <v>1.89</v>
      </c>
      <c r="AA475" s="211">
        <v>21.32</v>
      </c>
      <c r="AB475" s="211">
        <v>-2.0699999999999998</v>
      </c>
      <c r="AC475" s="211">
        <v>0</v>
      </c>
      <c r="AD475" s="211">
        <v>0</v>
      </c>
      <c r="AE475" s="211">
        <v>18.91</v>
      </c>
      <c r="AF475" s="211">
        <v>-2.71</v>
      </c>
      <c r="AG475" s="204" t="s">
        <v>279</v>
      </c>
      <c r="AH475" s="211">
        <v>0</v>
      </c>
      <c r="AI475" s="211">
        <v>21.32</v>
      </c>
      <c r="AJ475" s="211">
        <v>0</v>
      </c>
      <c r="AK475" s="204" t="str">
        <f t="shared" si="15"/>
        <v>1.00000000</v>
      </c>
      <c r="AL475" s="204">
        <v>20.2</v>
      </c>
    </row>
    <row r="476" spans="1:38" x14ac:dyDescent="0.2">
      <c r="A476" s="204" t="str">
        <f t="shared" si="16"/>
        <v>0496002595734</v>
      </c>
      <c r="B476" s="204">
        <v>3</v>
      </c>
      <c r="C476" s="204" t="s">
        <v>435</v>
      </c>
      <c r="D476" s="204">
        <v>82</v>
      </c>
      <c r="E476" s="204">
        <v>82</v>
      </c>
      <c r="F476" s="204" t="s">
        <v>243</v>
      </c>
      <c r="G476" s="204">
        <v>2086</v>
      </c>
      <c r="H476" s="204" t="s">
        <v>270</v>
      </c>
      <c r="I476" s="204">
        <v>35831</v>
      </c>
      <c r="J476" s="209">
        <v>42389</v>
      </c>
      <c r="K476" s="210">
        <v>0.37847222222222227</v>
      </c>
      <c r="L476" s="209">
        <v>42391</v>
      </c>
      <c r="M476" s="204" t="s">
        <v>853</v>
      </c>
      <c r="N476" s="204" t="s">
        <v>997</v>
      </c>
      <c r="O476" s="204" t="s">
        <v>998</v>
      </c>
      <c r="P476" s="204" t="s">
        <v>548</v>
      </c>
      <c r="Q476" s="204" t="s">
        <v>329</v>
      </c>
      <c r="R476" s="204" t="s">
        <v>999</v>
      </c>
      <c r="S476" s="204" t="s">
        <v>436</v>
      </c>
      <c r="T476" s="204" t="s">
        <v>435</v>
      </c>
      <c r="U476" s="204">
        <v>2086</v>
      </c>
      <c r="V476" s="204" t="s">
        <v>435</v>
      </c>
      <c r="W476" s="204" t="s">
        <v>280</v>
      </c>
      <c r="X476" s="204">
        <v>8.3360000000000003</v>
      </c>
      <c r="Y476" s="211">
        <v>-0.17</v>
      </c>
      <c r="Z476" s="211">
        <v>2.4</v>
      </c>
      <c r="AA476" s="211">
        <v>20</v>
      </c>
      <c r="AB476" s="211">
        <v>-1.53</v>
      </c>
      <c r="AC476" s="211">
        <v>0</v>
      </c>
      <c r="AD476" s="211">
        <v>0</v>
      </c>
      <c r="AE476" s="211">
        <v>18.3</v>
      </c>
      <c r="AF476" s="211">
        <v>-3.58</v>
      </c>
      <c r="AG476" s="204" t="s">
        <v>279</v>
      </c>
      <c r="AH476" s="211">
        <v>0</v>
      </c>
      <c r="AI476" s="211">
        <v>20</v>
      </c>
      <c r="AJ476" s="211">
        <v>0</v>
      </c>
      <c r="AK476" s="204" t="str">
        <f t="shared" si="15"/>
        <v>1.00000000</v>
      </c>
      <c r="AL476" s="204">
        <v>19.399999999999999</v>
      </c>
    </row>
    <row r="477" spans="1:38" x14ac:dyDescent="0.2">
      <c r="A477" s="204" t="str">
        <f t="shared" si="16"/>
        <v>0496002595734</v>
      </c>
      <c r="B477" s="204">
        <v>3</v>
      </c>
      <c r="C477" s="204" t="s">
        <v>435</v>
      </c>
      <c r="D477" s="204">
        <v>82</v>
      </c>
      <c r="E477" s="204">
        <v>82</v>
      </c>
      <c r="F477" s="204" t="s">
        <v>243</v>
      </c>
      <c r="G477" s="204">
        <v>2086</v>
      </c>
      <c r="H477" s="204" t="s">
        <v>270</v>
      </c>
      <c r="I477" s="204">
        <v>35831</v>
      </c>
      <c r="J477" s="209">
        <v>42389</v>
      </c>
      <c r="K477" s="210">
        <v>0.38472222222222219</v>
      </c>
      <c r="L477" s="209">
        <v>42391</v>
      </c>
      <c r="M477" s="204" t="s">
        <v>853</v>
      </c>
      <c r="N477" s="204" t="s">
        <v>997</v>
      </c>
      <c r="O477" s="204" t="s">
        <v>998</v>
      </c>
      <c r="P477" s="204" t="s">
        <v>548</v>
      </c>
      <c r="Q477" s="204" t="s">
        <v>329</v>
      </c>
      <c r="R477" s="204" t="s">
        <v>999</v>
      </c>
      <c r="S477" s="204" t="s">
        <v>436</v>
      </c>
      <c r="T477" s="204" t="s">
        <v>435</v>
      </c>
      <c r="U477" s="204">
        <v>2086</v>
      </c>
      <c r="V477" s="204" t="s">
        <v>435</v>
      </c>
      <c r="W477" s="204" t="s">
        <v>280</v>
      </c>
      <c r="X477" s="204">
        <v>5.2560000000000002</v>
      </c>
      <c r="Y477" s="211">
        <v>-0.11</v>
      </c>
      <c r="Z477" s="211">
        <v>2.4</v>
      </c>
      <c r="AA477" s="211">
        <v>12.61</v>
      </c>
      <c r="AB477" s="211">
        <v>-0.96</v>
      </c>
      <c r="AC477" s="211">
        <v>0</v>
      </c>
      <c r="AD477" s="211">
        <v>0</v>
      </c>
      <c r="AE477" s="211">
        <v>11.54</v>
      </c>
      <c r="AF477" s="211">
        <v>-2.25</v>
      </c>
      <c r="AG477" s="204" t="s">
        <v>279</v>
      </c>
      <c r="AH477" s="211">
        <v>0</v>
      </c>
      <c r="AI477" s="211">
        <v>12.61</v>
      </c>
      <c r="AJ477" s="211">
        <v>0</v>
      </c>
      <c r="AK477" s="204" t="str">
        <f t="shared" si="15"/>
        <v>1.00000000</v>
      </c>
      <c r="AL477" s="204">
        <v>19.399999999999999</v>
      </c>
    </row>
    <row r="478" spans="1:38" x14ac:dyDescent="0.2">
      <c r="A478" s="204" t="str">
        <f t="shared" si="16"/>
        <v>0496002595734</v>
      </c>
      <c r="B478" s="204">
        <v>3</v>
      </c>
      <c r="C478" s="204" t="s">
        <v>435</v>
      </c>
      <c r="D478" s="204">
        <v>82</v>
      </c>
      <c r="E478" s="204">
        <v>82</v>
      </c>
      <c r="F478" s="204" t="s">
        <v>243</v>
      </c>
      <c r="G478" s="204">
        <v>2086</v>
      </c>
      <c r="H478" s="204" t="s">
        <v>270</v>
      </c>
      <c r="I478" s="204">
        <v>36037</v>
      </c>
      <c r="J478" s="209">
        <v>42389</v>
      </c>
      <c r="K478" s="210">
        <v>0.64236111111111105</v>
      </c>
      <c r="L478" s="209">
        <v>42391</v>
      </c>
      <c r="M478" s="204" t="s">
        <v>853</v>
      </c>
      <c r="N478" s="204" t="s">
        <v>272</v>
      </c>
      <c r="O478" s="204" t="s">
        <v>273</v>
      </c>
      <c r="P478" s="204" t="s">
        <v>274</v>
      </c>
      <c r="Q478" s="204" t="s">
        <v>275</v>
      </c>
      <c r="R478" s="204" t="s">
        <v>276</v>
      </c>
      <c r="S478" s="204" t="s">
        <v>436</v>
      </c>
      <c r="T478" s="204" t="s">
        <v>435</v>
      </c>
      <c r="U478" s="204">
        <v>2086</v>
      </c>
      <c r="V478" s="204" t="s">
        <v>435</v>
      </c>
      <c r="W478" s="204" t="s">
        <v>280</v>
      </c>
      <c r="X478" s="204">
        <v>10.46</v>
      </c>
      <c r="Y478" s="211">
        <v>-0.31</v>
      </c>
      <c r="Z478" s="211">
        <v>1.89</v>
      </c>
      <c r="AA478" s="211">
        <v>19.760000000000002</v>
      </c>
      <c r="AB478" s="211">
        <v>-1.91</v>
      </c>
      <c r="AC478" s="211">
        <v>0</v>
      </c>
      <c r="AD478" s="211">
        <v>0</v>
      </c>
      <c r="AE478" s="211">
        <v>17.54</v>
      </c>
      <c r="AF478" s="211">
        <v>-2.5099999999999998</v>
      </c>
      <c r="AG478" s="204" t="s">
        <v>279</v>
      </c>
      <c r="AH478" s="211">
        <v>0</v>
      </c>
      <c r="AI478" s="211">
        <v>19.760000000000002</v>
      </c>
      <c r="AJ478" s="211">
        <v>0</v>
      </c>
      <c r="AK478" s="204" t="str">
        <f t="shared" si="15"/>
        <v>1.00000000</v>
      </c>
      <c r="AL478" s="204">
        <v>19.7</v>
      </c>
    </row>
    <row r="479" spans="1:38" x14ac:dyDescent="0.2">
      <c r="A479" s="204" t="str">
        <f t="shared" si="16"/>
        <v>0496002595734</v>
      </c>
      <c r="B479" s="204">
        <v>3</v>
      </c>
      <c r="C479" s="204" t="s">
        <v>435</v>
      </c>
      <c r="D479" s="204">
        <v>82</v>
      </c>
      <c r="E479" s="204">
        <v>82</v>
      </c>
      <c r="F479" s="204" t="s">
        <v>243</v>
      </c>
      <c r="G479" s="204">
        <v>2086</v>
      </c>
      <c r="H479" s="204" t="s">
        <v>270</v>
      </c>
      <c r="I479" s="204">
        <v>36244</v>
      </c>
      <c r="J479" s="209">
        <v>42390</v>
      </c>
      <c r="K479" s="210">
        <v>0.4826388888888889</v>
      </c>
      <c r="L479" s="209">
        <v>42394</v>
      </c>
      <c r="M479" s="204" t="s">
        <v>606</v>
      </c>
      <c r="N479" s="204" t="s">
        <v>399</v>
      </c>
      <c r="O479" s="204" t="s">
        <v>400</v>
      </c>
      <c r="P479" s="204" t="s">
        <v>274</v>
      </c>
      <c r="Q479" s="204" t="s">
        <v>275</v>
      </c>
      <c r="R479" s="204" t="s">
        <v>401</v>
      </c>
      <c r="S479" s="204" t="s">
        <v>436</v>
      </c>
      <c r="T479" s="204" t="s">
        <v>435</v>
      </c>
      <c r="U479" s="204">
        <v>2086</v>
      </c>
      <c r="V479" s="204" t="s">
        <v>435</v>
      </c>
      <c r="W479" s="204" t="s">
        <v>280</v>
      </c>
      <c r="X479" s="204">
        <v>11.029</v>
      </c>
      <c r="Y479" s="211">
        <v>0</v>
      </c>
      <c r="Z479" s="211">
        <v>1.88</v>
      </c>
      <c r="AA479" s="211">
        <v>20.72</v>
      </c>
      <c r="AB479" s="211">
        <v>-2.02</v>
      </c>
      <c r="AC479" s="211">
        <v>0</v>
      </c>
      <c r="AD479" s="211">
        <v>0</v>
      </c>
      <c r="AE479" s="211">
        <v>18.7</v>
      </c>
      <c r="AF479" s="211">
        <v>-2.65</v>
      </c>
      <c r="AG479" s="204" t="s">
        <v>279</v>
      </c>
      <c r="AH479" s="211">
        <v>0</v>
      </c>
      <c r="AI479" s="211">
        <v>20.72</v>
      </c>
      <c r="AJ479" s="211">
        <v>0</v>
      </c>
      <c r="AK479" s="204" t="str">
        <f t="shared" si="15"/>
        <v>1.00000000</v>
      </c>
      <c r="AL479" s="204">
        <v>18.8</v>
      </c>
    </row>
    <row r="480" spans="1:38" x14ac:dyDescent="0.2">
      <c r="A480" s="204" t="str">
        <f t="shared" si="16"/>
        <v>0496002595734</v>
      </c>
      <c r="B480" s="204">
        <v>3</v>
      </c>
      <c r="C480" s="204" t="s">
        <v>435</v>
      </c>
      <c r="D480" s="204">
        <v>82</v>
      </c>
      <c r="E480" s="204">
        <v>82</v>
      </c>
      <c r="F480" s="204" t="s">
        <v>243</v>
      </c>
      <c r="G480" s="204">
        <v>2086</v>
      </c>
      <c r="H480" s="204" t="s">
        <v>270</v>
      </c>
      <c r="I480" s="204">
        <v>36457</v>
      </c>
      <c r="J480" s="209">
        <v>42391</v>
      </c>
      <c r="K480" s="210">
        <v>0.83333333333333337</v>
      </c>
      <c r="L480" s="209">
        <v>42395</v>
      </c>
      <c r="M480" s="204" t="s">
        <v>302</v>
      </c>
      <c r="N480" s="204" t="s">
        <v>932</v>
      </c>
      <c r="O480" s="204" t="s">
        <v>504</v>
      </c>
      <c r="P480" s="204" t="s">
        <v>505</v>
      </c>
      <c r="Q480" s="204" t="s">
        <v>309</v>
      </c>
      <c r="R480" s="204" t="s">
        <v>933</v>
      </c>
      <c r="S480" s="204" t="s">
        <v>436</v>
      </c>
      <c r="T480" s="204" t="s">
        <v>435</v>
      </c>
      <c r="U480" s="204">
        <v>2086</v>
      </c>
      <c r="V480" s="204" t="s">
        <v>435</v>
      </c>
      <c r="W480" s="204" t="s">
        <v>280</v>
      </c>
      <c r="X480" s="204">
        <v>11.302</v>
      </c>
      <c r="Y480" s="211">
        <v>0</v>
      </c>
      <c r="Z480" s="211">
        <v>2.2000000000000002</v>
      </c>
      <c r="AA480" s="211">
        <v>24.85</v>
      </c>
      <c r="AB480" s="211">
        <v>-2.0699999999999998</v>
      </c>
      <c r="AC480" s="211">
        <v>0</v>
      </c>
      <c r="AD480" s="211">
        <v>0</v>
      </c>
      <c r="AE480" s="211">
        <v>22.78</v>
      </c>
      <c r="AF480" s="211">
        <v>-2.83</v>
      </c>
      <c r="AG480" s="204" t="s">
        <v>279</v>
      </c>
      <c r="AH480" s="211">
        <v>0</v>
      </c>
      <c r="AI480" s="211">
        <v>24.85</v>
      </c>
      <c r="AJ480" s="211">
        <v>0</v>
      </c>
      <c r="AK480" s="204" t="str">
        <f t="shared" si="15"/>
        <v>1.00000000</v>
      </c>
      <c r="AL480" s="204">
        <v>18.8</v>
      </c>
    </row>
    <row r="481" spans="1:38" x14ac:dyDescent="0.2">
      <c r="A481" s="204" t="str">
        <f t="shared" si="16"/>
        <v>0496002595734</v>
      </c>
      <c r="B481" s="204">
        <v>3</v>
      </c>
      <c r="C481" s="204" t="s">
        <v>435</v>
      </c>
      <c r="D481" s="204">
        <v>82</v>
      </c>
      <c r="E481" s="204">
        <v>82</v>
      </c>
      <c r="F481" s="204" t="s">
        <v>243</v>
      </c>
      <c r="G481" s="204">
        <v>2086</v>
      </c>
      <c r="H481" s="204" t="s">
        <v>270</v>
      </c>
      <c r="I481" s="204">
        <v>4096</v>
      </c>
      <c r="J481" s="209">
        <v>42395</v>
      </c>
      <c r="K481" s="210">
        <v>0.58472222222222225</v>
      </c>
      <c r="L481" s="209">
        <v>42397</v>
      </c>
      <c r="M481" s="204" t="s">
        <v>853</v>
      </c>
      <c r="N481" s="204" t="s">
        <v>272</v>
      </c>
      <c r="O481" s="204" t="s">
        <v>273</v>
      </c>
      <c r="P481" s="204" t="s">
        <v>274</v>
      </c>
      <c r="Q481" s="204" t="s">
        <v>275</v>
      </c>
      <c r="R481" s="204" t="s">
        <v>276</v>
      </c>
      <c r="S481" s="204" t="s">
        <v>436</v>
      </c>
      <c r="T481" s="204" t="s">
        <v>435</v>
      </c>
      <c r="U481" s="204">
        <v>2086</v>
      </c>
      <c r="V481" s="204" t="s">
        <v>435</v>
      </c>
      <c r="W481" s="204" t="s">
        <v>280</v>
      </c>
      <c r="X481" s="204">
        <v>8.93</v>
      </c>
      <c r="Y481" s="211">
        <v>-0.27</v>
      </c>
      <c r="Z481" s="211">
        <v>1.89</v>
      </c>
      <c r="AA481" s="211">
        <v>16.87</v>
      </c>
      <c r="AB481" s="211">
        <v>-1.63</v>
      </c>
      <c r="AC481" s="211">
        <v>0</v>
      </c>
      <c r="AD481" s="211">
        <v>0</v>
      </c>
      <c r="AE481" s="211">
        <v>14.97</v>
      </c>
      <c r="AF481" s="211">
        <v>-2.14</v>
      </c>
      <c r="AG481" s="204" t="s">
        <v>279</v>
      </c>
      <c r="AH481" s="211">
        <v>0</v>
      </c>
      <c r="AI481" s="211">
        <v>16.87</v>
      </c>
      <c r="AJ481" s="211">
        <v>0</v>
      </c>
      <c r="AK481" s="204" t="str">
        <f t="shared" si="15"/>
        <v>1.00000000</v>
      </c>
      <c r="AL481" s="204">
        <v>19.399999999999999</v>
      </c>
    </row>
    <row r="482" spans="1:38" x14ac:dyDescent="0.2">
      <c r="A482" s="204" t="str">
        <f t="shared" si="16"/>
        <v>0496002595734</v>
      </c>
      <c r="B482" s="204">
        <v>3</v>
      </c>
      <c r="C482" s="204" t="s">
        <v>435</v>
      </c>
      <c r="D482" s="204">
        <v>82</v>
      </c>
      <c r="E482" s="204">
        <v>82</v>
      </c>
      <c r="F482" s="204" t="s">
        <v>243</v>
      </c>
      <c r="G482" s="204">
        <v>2086</v>
      </c>
      <c r="H482" s="204" t="s">
        <v>270</v>
      </c>
      <c r="I482" s="204">
        <v>37042</v>
      </c>
      <c r="J482" s="209">
        <v>42398</v>
      </c>
      <c r="K482" s="210">
        <v>0.79166666666666663</v>
      </c>
      <c r="L482" s="209">
        <v>42402</v>
      </c>
      <c r="M482" s="204" t="s">
        <v>325</v>
      </c>
      <c r="N482" s="204" t="s">
        <v>326</v>
      </c>
      <c r="O482" s="204" t="s">
        <v>1059</v>
      </c>
      <c r="P482" s="204" t="s">
        <v>1060</v>
      </c>
      <c r="Q482" s="204" t="s">
        <v>329</v>
      </c>
      <c r="R482" s="204">
        <v>13820</v>
      </c>
      <c r="S482" s="204" t="s">
        <v>436</v>
      </c>
      <c r="T482" s="204" t="s">
        <v>435</v>
      </c>
      <c r="U482" s="204">
        <v>2086</v>
      </c>
      <c r="V482" s="204" t="s">
        <v>435</v>
      </c>
      <c r="W482" s="204" t="s">
        <v>280</v>
      </c>
      <c r="X482" s="204">
        <v>15.595000000000001</v>
      </c>
      <c r="Y482" s="211">
        <v>0</v>
      </c>
      <c r="Z482" s="211">
        <v>2.16</v>
      </c>
      <c r="AA482" s="211">
        <v>33.67</v>
      </c>
      <c r="AB482" s="211">
        <v>-2.85</v>
      </c>
      <c r="AC482" s="211">
        <v>0</v>
      </c>
      <c r="AD482" s="211">
        <v>0</v>
      </c>
      <c r="AE482" s="211">
        <v>30.82</v>
      </c>
      <c r="AF482" s="211">
        <v>-6.35</v>
      </c>
      <c r="AG482" s="204" t="s">
        <v>279</v>
      </c>
      <c r="AH482" s="211">
        <v>0</v>
      </c>
      <c r="AI482" s="211">
        <v>33.67</v>
      </c>
      <c r="AJ482" s="211">
        <v>0</v>
      </c>
      <c r="AK482" s="204" t="str">
        <f t="shared" si="15"/>
        <v>1.00000000</v>
      </c>
      <c r="AL482" s="204">
        <v>19.399999999999999</v>
      </c>
    </row>
    <row r="483" spans="1:38" x14ac:dyDescent="0.2">
      <c r="A483" s="204" t="str">
        <f t="shared" si="16"/>
        <v>0496002595734</v>
      </c>
      <c r="B483" s="204">
        <v>3</v>
      </c>
      <c r="C483" s="204" t="s">
        <v>435</v>
      </c>
      <c r="D483" s="204">
        <v>82</v>
      </c>
      <c r="E483" s="204">
        <v>82</v>
      </c>
      <c r="F483" s="204" t="s">
        <v>243</v>
      </c>
      <c r="G483" s="204">
        <v>2086</v>
      </c>
      <c r="H483" s="204" t="s">
        <v>270</v>
      </c>
      <c r="I483" s="204">
        <v>1355</v>
      </c>
      <c r="J483" s="209">
        <v>42400</v>
      </c>
      <c r="K483" s="210">
        <v>0.77899305555555554</v>
      </c>
      <c r="L483" s="209">
        <v>42402</v>
      </c>
      <c r="M483" s="204" t="s">
        <v>314</v>
      </c>
      <c r="N483" s="204" t="s">
        <v>1061</v>
      </c>
      <c r="O483" s="204" t="s">
        <v>1062</v>
      </c>
      <c r="P483" s="204" t="s">
        <v>1063</v>
      </c>
      <c r="Q483" s="204" t="s">
        <v>329</v>
      </c>
      <c r="R483" s="204" t="s">
        <v>1064</v>
      </c>
      <c r="S483" s="204" t="s">
        <v>436</v>
      </c>
      <c r="T483" s="204" t="s">
        <v>435</v>
      </c>
      <c r="U483" s="204">
        <v>2086</v>
      </c>
      <c r="V483" s="204" t="s">
        <v>435</v>
      </c>
      <c r="W483" s="204" t="s">
        <v>280</v>
      </c>
      <c r="X483" s="204">
        <v>9.609</v>
      </c>
      <c r="Y483" s="211">
        <v>0</v>
      </c>
      <c r="Z483" s="211">
        <v>1.98</v>
      </c>
      <c r="AA483" s="211">
        <v>19.02</v>
      </c>
      <c r="AB483" s="211">
        <v>-1.76</v>
      </c>
      <c r="AC483" s="211">
        <v>0</v>
      </c>
      <c r="AD483" s="211">
        <v>0</v>
      </c>
      <c r="AE483" s="211">
        <v>17.260000000000002</v>
      </c>
      <c r="AF483" s="211">
        <v>-3.84</v>
      </c>
      <c r="AG483" s="204" t="s">
        <v>279</v>
      </c>
      <c r="AH483" s="211">
        <v>0</v>
      </c>
      <c r="AI483" s="211">
        <v>19.02</v>
      </c>
      <c r="AJ483" s="211">
        <v>0</v>
      </c>
      <c r="AK483" s="204" t="str">
        <f t="shared" si="15"/>
        <v>1.00000000</v>
      </c>
      <c r="AL483" s="204">
        <v>19.399999999999999</v>
      </c>
    </row>
    <row r="484" spans="1:38" x14ac:dyDescent="0.2">
      <c r="A484" s="204" t="str">
        <f t="shared" si="16"/>
        <v>0496002595734</v>
      </c>
      <c r="B484" s="204">
        <v>3</v>
      </c>
      <c r="C484" s="204" t="s">
        <v>435</v>
      </c>
      <c r="D484" s="204">
        <v>82</v>
      </c>
      <c r="E484" s="204">
        <v>82</v>
      </c>
      <c r="F484" s="204" t="s">
        <v>243</v>
      </c>
      <c r="G484" s="204">
        <v>2086</v>
      </c>
      <c r="H484" s="204" t="s">
        <v>270</v>
      </c>
      <c r="I484" s="204">
        <v>17346</v>
      </c>
      <c r="J484" s="209">
        <v>42411</v>
      </c>
      <c r="K484" s="210">
        <v>0.87802083333333336</v>
      </c>
      <c r="L484" s="209">
        <v>42415</v>
      </c>
      <c r="M484" s="204" t="s">
        <v>349</v>
      </c>
      <c r="N484" s="204" t="s">
        <v>350</v>
      </c>
      <c r="O484" s="204" t="s">
        <v>351</v>
      </c>
      <c r="P484" s="204" t="s">
        <v>343</v>
      </c>
      <c r="Q484" s="204" t="s">
        <v>275</v>
      </c>
      <c r="R484" s="204" t="s">
        <v>605</v>
      </c>
      <c r="S484" s="204" t="s">
        <v>436</v>
      </c>
      <c r="T484" s="204" t="s">
        <v>435</v>
      </c>
      <c r="U484" s="204">
        <v>2086</v>
      </c>
      <c r="V484" s="204" t="s">
        <v>435</v>
      </c>
      <c r="W484" s="204" t="s">
        <v>280</v>
      </c>
      <c r="X484" s="204">
        <v>9.0570000000000004</v>
      </c>
      <c r="Y484" s="211">
        <v>0</v>
      </c>
      <c r="Z484" s="211">
        <v>1.76</v>
      </c>
      <c r="AA484" s="211">
        <v>15.93</v>
      </c>
      <c r="AB484" s="211">
        <v>-1.66</v>
      </c>
      <c r="AC484" s="211">
        <v>0</v>
      </c>
      <c r="AD484" s="211">
        <v>0</v>
      </c>
      <c r="AE484" s="211">
        <v>14.27</v>
      </c>
      <c r="AF484" s="211">
        <v>-2.17</v>
      </c>
      <c r="AG484" s="204" t="s">
        <v>279</v>
      </c>
      <c r="AH484" s="211">
        <v>0</v>
      </c>
      <c r="AI484" s="211">
        <v>15.93</v>
      </c>
      <c r="AJ484" s="211">
        <v>0</v>
      </c>
      <c r="AK484" s="204" t="str">
        <f t="shared" si="15"/>
        <v>1.00000000</v>
      </c>
      <c r="AL484" s="204">
        <v>19.399999999999999</v>
      </c>
    </row>
    <row r="485" spans="1:38" x14ac:dyDescent="0.2">
      <c r="A485" s="204" t="str">
        <f t="shared" si="16"/>
        <v>0496002595734</v>
      </c>
      <c r="B485" s="204">
        <v>3</v>
      </c>
      <c r="C485" s="204" t="s">
        <v>435</v>
      </c>
      <c r="D485" s="204">
        <v>82</v>
      </c>
      <c r="E485" s="204">
        <v>82</v>
      </c>
      <c r="F485" s="204" t="s">
        <v>243</v>
      </c>
      <c r="G485" s="204">
        <v>2086</v>
      </c>
      <c r="H485" s="204" t="s">
        <v>270</v>
      </c>
      <c r="I485" s="204">
        <v>37840</v>
      </c>
      <c r="J485" s="209">
        <v>42415</v>
      </c>
      <c r="K485" s="210">
        <v>0.8125</v>
      </c>
      <c r="L485" s="209">
        <v>42417</v>
      </c>
      <c r="M485" s="204" t="s">
        <v>853</v>
      </c>
      <c r="N485" s="204" t="s">
        <v>454</v>
      </c>
      <c r="O485" s="204" t="s">
        <v>808</v>
      </c>
      <c r="P485" s="204" t="s">
        <v>364</v>
      </c>
      <c r="Q485" s="204" t="s">
        <v>275</v>
      </c>
      <c r="R485" s="204" t="s">
        <v>1065</v>
      </c>
      <c r="S485" s="204" t="s">
        <v>436</v>
      </c>
      <c r="T485" s="204" t="s">
        <v>435</v>
      </c>
      <c r="U485" s="204">
        <v>2086</v>
      </c>
      <c r="V485" s="204" t="s">
        <v>435</v>
      </c>
      <c r="W485" s="204" t="s">
        <v>280</v>
      </c>
      <c r="X485" s="204">
        <v>15.548</v>
      </c>
      <c r="Y485" s="211">
        <v>-0.47</v>
      </c>
      <c r="Z485" s="211">
        <v>1.67</v>
      </c>
      <c r="AA485" s="211">
        <v>25.95</v>
      </c>
      <c r="AB485" s="211">
        <v>-2.85</v>
      </c>
      <c r="AC485" s="211">
        <v>0</v>
      </c>
      <c r="AD485" s="211">
        <v>0</v>
      </c>
      <c r="AE485" s="211">
        <v>22.63</v>
      </c>
      <c r="AF485" s="211">
        <v>-3.73</v>
      </c>
      <c r="AG485" s="204" t="s">
        <v>279</v>
      </c>
      <c r="AH485" s="211">
        <v>0</v>
      </c>
      <c r="AI485" s="211">
        <v>25.95</v>
      </c>
      <c r="AJ485" s="211">
        <v>0</v>
      </c>
      <c r="AK485" s="204" t="str">
        <f t="shared" si="15"/>
        <v>1.00000000</v>
      </c>
      <c r="AL485" s="204">
        <v>19.399999999999999</v>
      </c>
    </row>
    <row r="486" spans="1:38" x14ac:dyDescent="0.2">
      <c r="A486" s="204" t="str">
        <f t="shared" si="16"/>
        <v>0496002595734</v>
      </c>
      <c r="B486" s="204">
        <v>3</v>
      </c>
      <c r="C486" s="204" t="s">
        <v>435</v>
      </c>
      <c r="D486" s="204">
        <v>82</v>
      </c>
      <c r="E486" s="204">
        <v>82</v>
      </c>
      <c r="F486" s="204" t="s">
        <v>243</v>
      </c>
      <c r="G486" s="204">
        <v>2086</v>
      </c>
      <c r="H486" s="204" t="s">
        <v>270</v>
      </c>
      <c r="I486" s="204">
        <v>38137</v>
      </c>
      <c r="J486" s="209">
        <v>42417</v>
      </c>
      <c r="K486" s="210">
        <v>0.83333333333333337</v>
      </c>
      <c r="L486" s="209">
        <v>42419</v>
      </c>
      <c r="M486" s="204" t="s">
        <v>775</v>
      </c>
      <c r="N486" s="204" t="s">
        <v>776</v>
      </c>
      <c r="O486" s="204" t="s">
        <v>777</v>
      </c>
      <c r="P486" s="204" t="s">
        <v>778</v>
      </c>
      <c r="Q486" s="204" t="s">
        <v>275</v>
      </c>
      <c r="R486" s="204" t="s">
        <v>897</v>
      </c>
      <c r="S486" s="204" t="s">
        <v>436</v>
      </c>
      <c r="T486" s="204" t="s">
        <v>435</v>
      </c>
      <c r="U486" s="204">
        <v>2086</v>
      </c>
      <c r="V486" s="204" t="s">
        <v>435</v>
      </c>
      <c r="W486" s="204" t="s">
        <v>280</v>
      </c>
      <c r="X486" s="204">
        <v>15.41</v>
      </c>
      <c r="Y486" s="211">
        <v>0</v>
      </c>
      <c r="Z486" s="211">
        <v>1.72</v>
      </c>
      <c r="AA486" s="211">
        <v>26.49</v>
      </c>
      <c r="AB486" s="211">
        <v>-2.82</v>
      </c>
      <c r="AC486" s="211">
        <v>0</v>
      </c>
      <c r="AD486" s="211">
        <v>0</v>
      </c>
      <c r="AE486" s="211">
        <v>23.67</v>
      </c>
      <c r="AF486" s="211">
        <v>-3.7</v>
      </c>
      <c r="AG486" s="204" t="s">
        <v>279</v>
      </c>
      <c r="AH486" s="211">
        <v>0</v>
      </c>
      <c r="AI486" s="211">
        <v>26.49</v>
      </c>
      <c r="AJ486" s="211">
        <v>0</v>
      </c>
      <c r="AK486" s="204" t="str">
        <f t="shared" si="15"/>
        <v>1.00000000</v>
      </c>
      <c r="AL486" s="204">
        <v>51.3</v>
      </c>
    </row>
    <row r="487" spans="1:38" x14ac:dyDescent="0.2">
      <c r="A487" s="204" t="str">
        <f t="shared" si="16"/>
        <v>0496002595734</v>
      </c>
      <c r="B487" s="204">
        <v>3</v>
      </c>
      <c r="C487" s="204" t="s">
        <v>435</v>
      </c>
      <c r="D487" s="204">
        <v>82</v>
      </c>
      <c r="E487" s="204">
        <v>82</v>
      </c>
      <c r="F487" s="204" t="s">
        <v>243</v>
      </c>
      <c r="G487" s="204">
        <v>2086</v>
      </c>
      <c r="H487" s="204" t="s">
        <v>270</v>
      </c>
      <c r="I487" s="204">
        <v>38432</v>
      </c>
      <c r="J487" s="209">
        <v>42421</v>
      </c>
      <c r="K487" s="210">
        <v>0.85833333333333339</v>
      </c>
      <c r="L487" s="209">
        <v>42423</v>
      </c>
      <c r="M487" s="204" t="s">
        <v>606</v>
      </c>
      <c r="N487" s="204" t="s">
        <v>399</v>
      </c>
      <c r="O487" s="204" t="s">
        <v>400</v>
      </c>
      <c r="P487" s="204" t="s">
        <v>274</v>
      </c>
      <c r="Q487" s="204" t="s">
        <v>275</v>
      </c>
      <c r="R487" s="204" t="s">
        <v>401</v>
      </c>
      <c r="S487" s="204" t="s">
        <v>436</v>
      </c>
      <c r="T487" s="204" t="s">
        <v>435</v>
      </c>
      <c r="U487" s="204">
        <v>2086</v>
      </c>
      <c r="V487" s="204" t="s">
        <v>435</v>
      </c>
      <c r="W487" s="204" t="s">
        <v>280</v>
      </c>
      <c r="X487" s="204">
        <v>17.308</v>
      </c>
      <c r="Y487" s="211">
        <v>0</v>
      </c>
      <c r="Z487" s="211">
        <v>1.7</v>
      </c>
      <c r="AA487" s="211">
        <v>29.41</v>
      </c>
      <c r="AB487" s="211">
        <v>-3.17</v>
      </c>
      <c r="AC487" s="211">
        <v>0</v>
      </c>
      <c r="AD487" s="211">
        <v>0</v>
      </c>
      <c r="AE487" s="211">
        <v>26.24</v>
      </c>
      <c r="AF487" s="211">
        <v>-4.1500000000000004</v>
      </c>
      <c r="AG487" s="204" t="s">
        <v>279</v>
      </c>
      <c r="AH487" s="211">
        <v>0</v>
      </c>
      <c r="AI487" s="211">
        <v>29.41</v>
      </c>
      <c r="AJ487" s="211">
        <v>0</v>
      </c>
      <c r="AK487" s="204" t="str">
        <f t="shared" si="15"/>
        <v>1.00000000</v>
      </c>
      <c r="AL487" s="204">
        <v>51.3</v>
      </c>
    </row>
    <row r="488" spans="1:38" x14ac:dyDescent="0.2">
      <c r="A488" s="204" t="str">
        <f t="shared" si="16"/>
        <v>0496002595734</v>
      </c>
      <c r="B488" s="204">
        <v>3</v>
      </c>
      <c r="C488" s="204" t="s">
        <v>435</v>
      </c>
      <c r="D488" s="204">
        <v>82</v>
      </c>
      <c r="E488" s="204">
        <v>82</v>
      </c>
      <c r="F488" s="204" t="s">
        <v>243</v>
      </c>
      <c r="G488" s="204">
        <v>2086</v>
      </c>
      <c r="H488" s="204" t="s">
        <v>270</v>
      </c>
      <c r="I488" s="204">
        <v>38669</v>
      </c>
      <c r="J488" s="209">
        <v>42429</v>
      </c>
      <c r="K488" s="210">
        <v>0.84652777777777777</v>
      </c>
      <c r="L488" s="209">
        <v>42432</v>
      </c>
      <c r="M488" s="204" t="s">
        <v>302</v>
      </c>
      <c r="N488" s="204" t="s">
        <v>1066</v>
      </c>
      <c r="O488" s="204" t="s">
        <v>1067</v>
      </c>
      <c r="P488" s="204" t="s">
        <v>812</v>
      </c>
      <c r="Q488" s="204" t="s">
        <v>275</v>
      </c>
      <c r="R488" s="204" t="s">
        <v>1068</v>
      </c>
      <c r="S488" s="204" t="s">
        <v>436</v>
      </c>
      <c r="T488" s="204" t="s">
        <v>435</v>
      </c>
      <c r="U488" s="204">
        <v>2086</v>
      </c>
      <c r="V488" s="204" t="s">
        <v>435</v>
      </c>
      <c r="W488" s="204" t="s">
        <v>280</v>
      </c>
      <c r="X488" s="204">
        <v>10.731999999999999</v>
      </c>
      <c r="Y488" s="211">
        <v>0</v>
      </c>
      <c r="Z488" s="211">
        <v>1.9</v>
      </c>
      <c r="AA488" s="211">
        <v>20.38</v>
      </c>
      <c r="AB488" s="211">
        <v>-1.96</v>
      </c>
      <c r="AC488" s="211">
        <v>0</v>
      </c>
      <c r="AD488" s="211">
        <v>0</v>
      </c>
      <c r="AE488" s="211">
        <v>18.420000000000002</v>
      </c>
      <c r="AF488" s="211">
        <v>-2.58</v>
      </c>
      <c r="AG488" s="204" t="s">
        <v>279</v>
      </c>
      <c r="AH488" s="211">
        <v>0</v>
      </c>
      <c r="AI488" s="211">
        <v>20.38</v>
      </c>
      <c r="AJ488" s="211">
        <v>0</v>
      </c>
      <c r="AK488" s="204" t="str">
        <f t="shared" si="15"/>
        <v>1.00000000</v>
      </c>
      <c r="AL488" s="204">
        <v>22.1</v>
      </c>
    </row>
    <row r="489" spans="1:38" x14ac:dyDescent="0.2">
      <c r="A489" s="204" t="str">
        <f t="shared" si="16"/>
        <v>0496002595734</v>
      </c>
      <c r="B489" s="204">
        <v>3</v>
      </c>
      <c r="C489" s="204" t="s">
        <v>435</v>
      </c>
      <c r="D489" s="204">
        <v>82</v>
      </c>
      <c r="E489" s="204">
        <v>82</v>
      </c>
      <c r="F489" s="204" t="s">
        <v>243</v>
      </c>
      <c r="G489" s="204">
        <v>2086</v>
      </c>
      <c r="H489" s="204" t="s">
        <v>270</v>
      </c>
      <c r="I489" s="204">
        <v>38000</v>
      </c>
      <c r="J489" s="209">
        <v>42430</v>
      </c>
      <c r="K489" s="210">
        <v>0.60387731481481477</v>
      </c>
      <c r="L489" s="209">
        <v>42432</v>
      </c>
      <c r="M489" s="204" t="s">
        <v>310</v>
      </c>
      <c r="N489" s="204" t="s">
        <v>331</v>
      </c>
      <c r="O489" s="204" t="s">
        <v>332</v>
      </c>
      <c r="P489" s="204" t="s">
        <v>274</v>
      </c>
      <c r="Q489" s="204" t="s">
        <v>275</v>
      </c>
      <c r="R489" s="204" t="s">
        <v>858</v>
      </c>
      <c r="S489" s="204" t="s">
        <v>436</v>
      </c>
      <c r="T489" s="204" t="s">
        <v>435</v>
      </c>
      <c r="U489" s="204">
        <v>2086</v>
      </c>
      <c r="V489" s="204" t="s">
        <v>435</v>
      </c>
      <c r="W489" s="204" t="s">
        <v>280</v>
      </c>
      <c r="X489" s="204">
        <v>9.4499999999999993</v>
      </c>
      <c r="Y489" s="211">
        <v>0</v>
      </c>
      <c r="Z489" s="211">
        <v>1.8</v>
      </c>
      <c r="AA489" s="211">
        <v>17</v>
      </c>
      <c r="AB489" s="211">
        <v>-1.73</v>
      </c>
      <c r="AC489" s="211">
        <v>0</v>
      </c>
      <c r="AD489" s="211">
        <v>0</v>
      </c>
      <c r="AE489" s="211">
        <v>15.27</v>
      </c>
      <c r="AF489" s="211">
        <v>-2.27</v>
      </c>
      <c r="AG489" s="204" t="s">
        <v>279</v>
      </c>
      <c r="AH489" s="211">
        <v>0</v>
      </c>
      <c r="AI489" s="211">
        <v>17</v>
      </c>
      <c r="AJ489" s="211">
        <v>0</v>
      </c>
      <c r="AK489" s="204" t="str">
        <f t="shared" si="15"/>
        <v>1.00000000</v>
      </c>
      <c r="AL489" s="204">
        <v>19.5</v>
      </c>
    </row>
    <row r="490" spans="1:38" x14ac:dyDescent="0.2">
      <c r="A490" s="204" t="str">
        <f t="shared" si="16"/>
        <v>0496002595734</v>
      </c>
      <c r="B490" s="204">
        <v>3</v>
      </c>
      <c r="C490" s="204" t="s">
        <v>435</v>
      </c>
      <c r="D490" s="204">
        <v>82</v>
      </c>
      <c r="E490" s="204">
        <v>82</v>
      </c>
      <c r="F490" s="204" t="s">
        <v>243</v>
      </c>
      <c r="G490" s="204">
        <v>2086</v>
      </c>
      <c r="H490" s="204" t="s">
        <v>270</v>
      </c>
      <c r="I490" s="204">
        <v>39051</v>
      </c>
      <c r="J490" s="209">
        <v>42432</v>
      </c>
      <c r="K490" s="210">
        <v>0.76857638888888891</v>
      </c>
      <c r="L490" s="209">
        <v>42436</v>
      </c>
      <c r="M490" s="204" t="s">
        <v>349</v>
      </c>
      <c r="N490" s="204" t="s">
        <v>350</v>
      </c>
      <c r="O490" s="204" t="s">
        <v>351</v>
      </c>
      <c r="P490" s="204" t="s">
        <v>343</v>
      </c>
      <c r="Q490" s="204" t="s">
        <v>275</v>
      </c>
      <c r="R490" s="204" t="s">
        <v>605</v>
      </c>
      <c r="S490" s="204" t="s">
        <v>436</v>
      </c>
      <c r="T490" s="204" t="s">
        <v>435</v>
      </c>
      <c r="U490" s="204">
        <v>2086</v>
      </c>
      <c r="V490" s="204" t="s">
        <v>435</v>
      </c>
      <c r="W490" s="204" t="s">
        <v>280</v>
      </c>
      <c r="X490" s="204">
        <v>12.164</v>
      </c>
      <c r="Y490" s="211">
        <v>0</v>
      </c>
      <c r="Z490" s="211">
        <v>1.7</v>
      </c>
      <c r="AA490" s="211">
        <v>20.67</v>
      </c>
      <c r="AB490" s="211">
        <v>-2.23</v>
      </c>
      <c r="AC490" s="211">
        <v>0</v>
      </c>
      <c r="AD490" s="211">
        <v>0</v>
      </c>
      <c r="AE490" s="211">
        <v>18.440000000000001</v>
      </c>
      <c r="AF490" s="211">
        <v>-2.92</v>
      </c>
      <c r="AG490" s="204" t="s">
        <v>279</v>
      </c>
      <c r="AH490" s="211">
        <v>0</v>
      </c>
      <c r="AI490" s="211">
        <v>20.67</v>
      </c>
      <c r="AJ490" s="211">
        <v>0</v>
      </c>
      <c r="AK490" s="204" t="str">
        <f t="shared" si="15"/>
        <v>1.00000000</v>
      </c>
      <c r="AL490" s="204">
        <v>16.3</v>
      </c>
    </row>
    <row r="491" spans="1:38" x14ac:dyDescent="0.2">
      <c r="A491" s="204" t="str">
        <f t="shared" si="16"/>
        <v>0496002595734</v>
      </c>
      <c r="B491" s="204">
        <v>3</v>
      </c>
      <c r="C491" s="204" t="s">
        <v>435</v>
      </c>
      <c r="D491" s="204">
        <v>82</v>
      </c>
      <c r="E491" s="204">
        <v>82</v>
      </c>
      <c r="F491" s="204" t="s">
        <v>243</v>
      </c>
      <c r="G491" s="204">
        <v>2086</v>
      </c>
      <c r="H491" s="204" t="s">
        <v>270</v>
      </c>
      <c r="I491" s="204">
        <v>2086</v>
      </c>
      <c r="J491" s="209">
        <v>42434</v>
      </c>
      <c r="K491" s="210">
        <v>0.59807870370370375</v>
      </c>
      <c r="L491" s="209">
        <v>42437</v>
      </c>
      <c r="M491" s="204" t="s">
        <v>310</v>
      </c>
      <c r="N491" s="204" t="s">
        <v>331</v>
      </c>
      <c r="O491" s="204" t="s">
        <v>332</v>
      </c>
      <c r="P491" s="204" t="s">
        <v>274</v>
      </c>
      <c r="Q491" s="204" t="s">
        <v>275</v>
      </c>
      <c r="R491" s="204" t="s">
        <v>858</v>
      </c>
      <c r="S491" s="204" t="s">
        <v>436</v>
      </c>
      <c r="T491" s="204" t="s">
        <v>435</v>
      </c>
      <c r="U491" s="204">
        <v>2086</v>
      </c>
      <c r="V491" s="204" t="s">
        <v>435</v>
      </c>
      <c r="W491" s="204" t="s">
        <v>280</v>
      </c>
      <c r="X491" s="204">
        <v>8.3379999999999992</v>
      </c>
      <c r="Y491" s="211">
        <v>0</v>
      </c>
      <c r="Z491" s="211">
        <v>1.8</v>
      </c>
      <c r="AA491" s="211">
        <v>15</v>
      </c>
      <c r="AB491" s="211">
        <v>-1.53</v>
      </c>
      <c r="AC491" s="211">
        <v>0</v>
      </c>
      <c r="AD491" s="211">
        <v>0</v>
      </c>
      <c r="AE491" s="211">
        <v>13.47</v>
      </c>
      <c r="AF491" s="211">
        <v>-2</v>
      </c>
      <c r="AG491" s="204" t="s">
        <v>279</v>
      </c>
      <c r="AH491" s="211">
        <v>0</v>
      </c>
      <c r="AI491" s="211">
        <v>15</v>
      </c>
      <c r="AJ491" s="211">
        <v>0</v>
      </c>
      <c r="AK491" s="204" t="str">
        <f t="shared" si="15"/>
        <v>1.00000000</v>
      </c>
      <c r="AL491" s="204">
        <v>19.399999999999999</v>
      </c>
    </row>
    <row r="492" spans="1:38" x14ac:dyDescent="0.2">
      <c r="A492" s="204" t="str">
        <f t="shared" si="16"/>
        <v>0496002595734</v>
      </c>
      <c r="B492" s="204">
        <v>3</v>
      </c>
      <c r="C492" s="204" t="s">
        <v>435</v>
      </c>
      <c r="D492" s="204">
        <v>82</v>
      </c>
      <c r="E492" s="204">
        <v>82</v>
      </c>
      <c r="F492" s="204" t="s">
        <v>243</v>
      </c>
      <c r="G492" s="204">
        <v>2086</v>
      </c>
      <c r="H492" s="204" t="s">
        <v>270</v>
      </c>
      <c r="I492" s="204">
        <v>39344</v>
      </c>
      <c r="J492" s="209">
        <v>42435</v>
      </c>
      <c r="K492" s="210">
        <v>2.013888888888889E-2</v>
      </c>
      <c r="L492" s="209">
        <v>42437</v>
      </c>
      <c r="M492" s="204" t="s">
        <v>853</v>
      </c>
      <c r="N492" s="204" t="s">
        <v>661</v>
      </c>
      <c r="O492" s="204" t="s">
        <v>662</v>
      </c>
      <c r="P492" s="204" t="s">
        <v>394</v>
      </c>
      <c r="Q492" s="204" t="s">
        <v>395</v>
      </c>
      <c r="R492" s="204" t="s">
        <v>663</v>
      </c>
      <c r="S492" s="204" t="s">
        <v>436</v>
      </c>
      <c r="T492" s="204" t="s">
        <v>435</v>
      </c>
      <c r="U492" s="204">
        <v>2086</v>
      </c>
      <c r="V492" s="204" t="s">
        <v>435</v>
      </c>
      <c r="W492" s="204" t="s">
        <v>280</v>
      </c>
      <c r="X492" s="204">
        <v>10.138</v>
      </c>
      <c r="Y492" s="211">
        <v>-0.2</v>
      </c>
      <c r="Z492" s="211">
        <v>1.81</v>
      </c>
      <c r="AA492" s="211">
        <v>18.34</v>
      </c>
      <c r="AB492" s="211">
        <v>-1.86</v>
      </c>
      <c r="AC492" s="211">
        <v>0</v>
      </c>
      <c r="AD492" s="211">
        <v>0</v>
      </c>
      <c r="AE492" s="211">
        <v>16.28</v>
      </c>
      <c r="AF492" s="211">
        <v>-3.04</v>
      </c>
      <c r="AG492" s="204" t="s">
        <v>279</v>
      </c>
      <c r="AH492" s="211">
        <v>0</v>
      </c>
      <c r="AI492" s="211">
        <v>18.34</v>
      </c>
      <c r="AJ492" s="211">
        <v>0</v>
      </c>
      <c r="AK492" s="204" t="str">
        <f t="shared" si="15"/>
        <v>1.00000000</v>
      </c>
      <c r="AL492" s="204">
        <v>19.399999999999999</v>
      </c>
    </row>
    <row r="493" spans="1:38" x14ac:dyDescent="0.2">
      <c r="A493" s="204" t="str">
        <f t="shared" si="16"/>
        <v>0496002595734</v>
      </c>
      <c r="B493" s="204">
        <v>3</v>
      </c>
      <c r="C493" s="204" t="s">
        <v>435</v>
      </c>
      <c r="D493" s="204">
        <v>82</v>
      </c>
      <c r="E493" s="204">
        <v>82</v>
      </c>
      <c r="F493" s="204" t="s">
        <v>243</v>
      </c>
      <c r="G493" s="204">
        <v>2086</v>
      </c>
      <c r="H493" s="204" t="s">
        <v>270</v>
      </c>
      <c r="I493" s="204">
        <v>39548</v>
      </c>
      <c r="J493" s="209">
        <v>42435</v>
      </c>
      <c r="K493" s="210">
        <v>0.35555555555555557</v>
      </c>
      <c r="L493" s="209">
        <v>42437</v>
      </c>
      <c r="M493" s="204" t="s">
        <v>294</v>
      </c>
      <c r="N493" s="204" t="s">
        <v>379</v>
      </c>
      <c r="O493" s="204" t="s">
        <v>1044</v>
      </c>
      <c r="P493" s="204" t="s">
        <v>1045</v>
      </c>
      <c r="Q493" s="204" t="s">
        <v>275</v>
      </c>
      <c r="R493" s="204" t="s">
        <v>1046</v>
      </c>
      <c r="S493" s="204" t="s">
        <v>436</v>
      </c>
      <c r="T493" s="204" t="s">
        <v>435</v>
      </c>
      <c r="U493" s="204">
        <v>2086</v>
      </c>
      <c r="V493" s="204" t="s">
        <v>435</v>
      </c>
      <c r="W493" s="204" t="s">
        <v>335</v>
      </c>
      <c r="X493" s="204">
        <v>9.3000000000000007</v>
      </c>
      <c r="Y493" s="211">
        <v>0</v>
      </c>
      <c r="Z493" s="211">
        <v>2.2999999999999998</v>
      </c>
      <c r="AA493" s="211">
        <v>21.4</v>
      </c>
      <c r="AB493" s="211">
        <v>-1.7</v>
      </c>
      <c r="AC493" s="211">
        <v>0</v>
      </c>
      <c r="AD493" s="211">
        <v>0</v>
      </c>
      <c r="AE493" s="211">
        <v>19.7</v>
      </c>
      <c r="AF493" s="211">
        <v>-2.23</v>
      </c>
      <c r="AG493" s="204" t="s">
        <v>279</v>
      </c>
      <c r="AH493" s="211">
        <v>0</v>
      </c>
      <c r="AI493" s="211">
        <v>21.4</v>
      </c>
      <c r="AJ493" s="211">
        <v>0</v>
      </c>
      <c r="AK493" s="204" t="str">
        <f t="shared" si="15"/>
        <v>1.00000000</v>
      </c>
      <c r="AL493" s="204">
        <v>21.9</v>
      </c>
    </row>
    <row r="494" spans="1:38" x14ac:dyDescent="0.2">
      <c r="A494" s="204" t="str">
        <f t="shared" si="16"/>
        <v>0496002595734</v>
      </c>
      <c r="B494" s="204">
        <v>3</v>
      </c>
      <c r="C494" s="204" t="s">
        <v>435</v>
      </c>
      <c r="D494" s="204">
        <v>82</v>
      </c>
      <c r="E494" s="204">
        <v>82</v>
      </c>
      <c r="F494" s="204" t="s">
        <v>243</v>
      </c>
      <c r="G494" s="204">
        <v>2086</v>
      </c>
      <c r="H494" s="204" t="s">
        <v>270</v>
      </c>
      <c r="I494" s="204">
        <v>39711</v>
      </c>
      <c r="J494" s="209">
        <v>42438</v>
      </c>
      <c r="K494" s="210">
        <v>0.2590277777777778</v>
      </c>
      <c r="L494" s="209">
        <v>42440</v>
      </c>
      <c r="M494" s="204" t="s">
        <v>606</v>
      </c>
      <c r="N494" s="204" t="s">
        <v>399</v>
      </c>
      <c r="O494" s="204" t="s">
        <v>400</v>
      </c>
      <c r="P494" s="204" t="s">
        <v>274</v>
      </c>
      <c r="Q494" s="204" t="s">
        <v>275</v>
      </c>
      <c r="R494" s="204" t="s">
        <v>401</v>
      </c>
      <c r="S494" s="204" t="s">
        <v>436</v>
      </c>
      <c r="T494" s="204" t="s">
        <v>435</v>
      </c>
      <c r="U494" s="204">
        <v>2086</v>
      </c>
      <c r="V494" s="204" t="s">
        <v>435</v>
      </c>
      <c r="W494" s="204" t="s">
        <v>280</v>
      </c>
      <c r="X494" s="204">
        <v>9.5020000000000007</v>
      </c>
      <c r="Y494" s="211">
        <v>0</v>
      </c>
      <c r="Z494" s="211">
        <v>1.76</v>
      </c>
      <c r="AA494" s="211">
        <v>16.71</v>
      </c>
      <c r="AB494" s="211">
        <v>-1.74</v>
      </c>
      <c r="AC494" s="211">
        <v>0</v>
      </c>
      <c r="AD494" s="211">
        <v>0</v>
      </c>
      <c r="AE494" s="211">
        <v>14.97</v>
      </c>
      <c r="AF494" s="211">
        <v>-2.2799999999999998</v>
      </c>
      <c r="AG494" s="204" t="s">
        <v>279</v>
      </c>
      <c r="AH494" s="211">
        <v>0</v>
      </c>
      <c r="AI494" s="211">
        <v>16.71</v>
      </c>
      <c r="AJ494" s="211">
        <v>0</v>
      </c>
      <c r="AK494" s="204" t="str">
        <f t="shared" si="15"/>
        <v>1.00000000</v>
      </c>
      <c r="AL494" s="204">
        <v>17.2</v>
      </c>
    </row>
    <row r="495" spans="1:38" x14ac:dyDescent="0.2">
      <c r="A495" s="204" t="str">
        <f t="shared" si="16"/>
        <v>0496002595734</v>
      </c>
      <c r="B495" s="204">
        <v>3</v>
      </c>
      <c r="C495" s="204" t="s">
        <v>435</v>
      </c>
      <c r="D495" s="204">
        <v>82</v>
      </c>
      <c r="E495" s="204">
        <v>82</v>
      </c>
      <c r="F495" s="204" t="s">
        <v>243</v>
      </c>
      <c r="G495" s="204">
        <v>2086</v>
      </c>
      <c r="H495" s="204" t="s">
        <v>270</v>
      </c>
      <c r="I495" s="204">
        <v>39904</v>
      </c>
      <c r="J495" s="209">
        <v>42438</v>
      </c>
      <c r="K495" s="210">
        <v>0.57986111111111105</v>
      </c>
      <c r="L495" s="209">
        <v>42440</v>
      </c>
      <c r="M495" s="204" t="s">
        <v>302</v>
      </c>
      <c r="N495" s="204" t="s">
        <v>1069</v>
      </c>
      <c r="O495" s="204" t="s">
        <v>1070</v>
      </c>
      <c r="P495" s="204" t="s">
        <v>1071</v>
      </c>
      <c r="Q495" s="204" t="s">
        <v>309</v>
      </c>
      <c r="R495" s="204">
        <v>6820</v>
      </c>
      <c r="S495" s="204" t="s">
        <v>436</v>
      </c>
      <c r="T495" s="204" t="s">
        <v>435</v>
      </c>
      <c r="U495" s="204">
        <v>2086</v>
      </c>
      <c r="V495" s="204" t="s">
        <v>435</v>
      </c>
      <c r="W495" s="204" t="s">
        <v>280</v>
      </c>
      <c r="X495" s="204">
        <v>11.151999999999999</v>
      </c>
      <c r="Y495" s="211">
        <v>0</v>
      </c>
      <c r="Z495" s="211">
        <v>2</v>
      </c>
      <c r="AA495" s="211">
        <v>22.29</v>
      </c>
      <c r="AB495" s="211">
        <v>-2.04</v>
      </c>
      <c r="AC495" s="211">
        <v>0</v>
      </c>
      <c r="AD495" s="211">
        <v>0</v>
      </c>
      <c r="AE495" s="211">
        <v>20.25</v>
      </c>
      <c r="AF495" s="211">
        <v>-2.79</v>
      </c>
      <c r="AG495" s="204" t="s">
        <v>279</v>
      </c>
      <c r="AH495" s="211">
        <v>0</v>
      </c>
      <c r="AI495" s="211">
        <v>22.29</v>
      </c>
      <c r="AJ495" s="211">
        <v>0</v>
      </c>
      <c r="AK495" s="204" t="str">
        <f t="shared" si="15"/>
        <v>1.00000000</v>
      </c>
      <c r="AL495" s="204">
        <v>17.3</v>
      </c>
    </row>
    <row r="496" spans="1:38" x14ac:dyDescent="0.2">
      <c r="A496" s="204" t="str">
        <f t="shared" si="16"/>
        <v>0496002595734</v>
      </c>
      <c r="B496" s="204">
        <v>3</v>
      </c>
      <c r="C496" s="204" t="s">
        <v>435</v>
      </c>
      <c r="D496" s="204">
        <v>82</v>
      </c>
      <c r="E496" s="204">
        <v>82</v>
      </c>
      <c r="F496" s="204" t="s">
        <v>243</v>
      </c>
      <c r="G496" s="204">
        <v>2086</v>
      </c>
      <c r="H496" s="204" t="s">
        <v>270</v>
      </c>
      <c r="I496" s="204">
        <v>40106</v>
      </c>
      <c r="J496" s="209">
        <v>42439</v>
      </c>
      <c r="K496" s="210">
        <v>0.91111111111111109</v>
      </c>
      <c r="L496" s="209">
        <v>42443</v>
      </c>
      <c r="M496" s="204" t="s">
        <v>853</v>
      </c>
      <c r="N496" s="204" t="s">
        <v>352</v>
      </c>
      <c r="O496" s="204" t="s">
        <v>353</v>
      </c>
      <c r="P496" s="204" t="s">
        <v>343</v>
      </c>
      <c r="Q496" s="204" t="s">
        <v>275</v>
      </c>
      <c r="R496" s="204" t="s">
        <v>602</v>
      </c>
      <c r="S496" s="204" t="s">
        <v>436</v>
      </c>
      <c r="T496" s="204" t="s">
        <v>435</v>
      </c>
      <c r="U496" s="204">
        <v>2086</v>
      </c>
      <c r="V496" s="204" t="s">
        <v>435</v>
      </c>
      <c r="W496" s="204" t="s">
        <v>280</v>
      </c>
      <c r="X496" s="204">
        <v>10.994999999999999</v>
      </c>
      <c r="Y496" s="211">
        <v>-0.33</v>
      </c>
      <c r="Z496" s="211">
        <v>1.82</v>
      </c>
      <c r="AA496" s="211">
        <v>20</v>
      </c>
      <c r="AB496" s="211">
        <v>-2.0099999999999998</v>
      </c>
      <c r="AC496" s="211">
        <v>0</v>
      </c>
      <c r="AD496" s="211">
        <v>0</v>
      </c>
      <c r="AE496" s="211">
        <v>17.66</v>
      </c>
      <c r="AF496" s="211">
        <v>-2.64</v>
      </c>
      <c r="AG496" s="204" t="s">
        <v>279</v>
      </c>
      <c r="AH496" s="211">
        <v>0</v>
      </c>
      <c r="AI496" s="211">
        <v>20</v>
      </c>
      <c r="AJ496" s="211">
        <v>0</v>
      </c>
      <c r="AK496" s="204" t="str">
        <f t="shared" si="15"/>
        <v>1.00000000</v>
      </c>
      <c r="AL496" s="204">
        <v>18.399999999999999</v>
      </c>
    </row>
    <row r="497" spans="1:38" x14ac:dyDescent="0.2">
      <c r="A497" s="204" t="str">
        <f t="shared" si="16"/>
        <v>0496002595734</v>
      </c>
      <c r="B497" s="204">
        <v>3</v>
      </c>
      <c r="C497" s="204" t="s">
        <v>435</v>
      </c>
      <c r="D497" s="204">
        <v>82</v>
      </c>
      <c r="E497" s="204">
        <v>82</v>
      </c>
      <c r="F497" s="204" t="s">
        <v>243</v>
      </c>
      <c r="G497" s="204">
        <v>2086</v>
      </c>
      <c r="H497" s="204" t="s">
        <v>270</v>
      </c>
      <c r="I497" s="204">
        <v>40288</v>
      </c>
      <c r="J497" s="209">
        <v>42440</v>
      </c>
      <c r="K497" s="210">
        <v>0.50268518518518512</v>
      </c>
      <c r="L497" s="209">
        <v>42444</v>
      </c>
      <c r="M497" s="204" t="s">
        <v>340</v>
      </c>
      <c r="N497" s="204" t="s">
        <v>341</v>
      </c>
      <c r="O497" s="204" t="s">
        <v>342</v>
      </c>
      <c r="P497" s="204" t="s">
        <v>343</v>
      </c>
      <c r="Q497" s="204" t="s">
        <v>275</v>
      </c>
      <c r="R497" s="204" t="s">
        <v>629</v>
      </c>
      <c r="S497" s="204" t="s">
        <v>436</v>
      </c>
      <c r="T497" s="204" t="s">
        <v>435</v>
      </c>
      <c r="U497" s="204">
        <v>2086</v>
      </c>
      <c r="V497" s="204" t="s">
        <v>435</v>
      </c>
      <c r="W497" s="204" t="s">
        <v>280</v>
      </c>
      <c r="X497" s="204">
        <v>9.1270000000000007</v>
      </c>
      <c r="Y497" s="211">
        <v>0</v>
      </c>
      <c r="Z497" s="211">
        <v>1.82</v>
      </c>
      <c r="AA497" s="211">
        <v>16.600000000000001</v>
      </c>
      <c r="AB497" s="211">
        <v>-1.67</v>
      </c>
      <c r="AC497" s="211">
        <v>0</v>
      </c>
      <c r="AD497" s="211">
        <v>0</v>
      </c>
      <c r="AE497" s="211">
        <v>14.93</v>
      </c>
      <c r="AF497" s="211">
        <v>-2.19</v>
      </c>
      <c r="AG497" s="204" t="s">
        <v>279</v>
      </c>
      <c r="AH497" s="211">
        <v>0</v>
      </c>
      <c r="AI497" s="211">
        <v>16.600000000000001</v>
      </c>
      <c r="AJ497" s="211">
        <v>0</v>
      </c>
      <c r="AK497" s="204" t="str">
        <f t="shared" si="15"/>
        <v>1.00000000</v>
      </c>
      <c r="AL497" s="204">
        <v>19.899999999999999</v>
      </c>
    </row>
    <row r="498" spans="1:38" x14ac:dyDescent="0.2">
      <c r="A498" s="204" t="str">
        <f t="shared" si="16"/>
        <v>0496002595734</v>
      </c>
      <c r="B498" s="204">
        <v>3</v>
      </c>
      <c r="C498" s="204" t="s">
        <v>435</v>
      </c>
      <c r="D498" s="204">
        <v>82</v>
      </c>
      <c r="E498" s="204">
        <v>82</v>
      </c>
      <c r="F498" s="204" t="s">
        <v>243</v>
      </c>
      <c r="G498" s="204">
        <v>2086</v>
      </c>
      <c r="H498" s="204" t="s">
        <v>270</v>
      </c>
      <c r="I498" s="204">
        <v>40545</v>
      </c>
      <c r="J498" s="209">
        <v>42442</v>
      </c>
      <c r="K498" s="210">
        <v>0.34791666666666665</v>
      </c>
      <c r="L498" s="209">
        <v>42444</v>
      </c>
      <c r="M498" s="204" t="s">
        <v>853</v>
      </c>
      <c r="N498" s="204" t="s">
        <v>272</v>
      </c>
      <c r="O498" s="204" t="s">
        <v>273</v>
      </c>
      <c r="P498" s="204" t="s">
        <v>274</v>
      </c>
      <c r="Q498" s="204" t="s">
        <v>275</v>
      </c>
      <c r="R498" s="204" t="s">
        <v>276</v>
      </c>
      <c r="S498" s="204" t="s">
        <v>436</v>
      </c>
      <c r="T498" s="204" t="s">
        <v>435</v>
      </c>
      <c r="U498" s="204">
        <v>2086</v>
      </c>
      <c r="V498" s="204" t="s">
        <v>435</v>
      </c>
      <c r="W498" s="204" t="s">
        <v>280</v>
      </c>
      <c r="X498" s="204">
        <v>13.349</v>
      </c>
      <c r="Y498" s="211">
        <v>-0.4</v>
      </c>
      <c r="Z498" s="211">
        <v>1.87</v>
      </c>
      <c r="AA498" s="211">
        <v>24.95</v>
      </c>
      <c r="AB498" s="211">
        <v>-2.44</v>
      </c>
      <c r="AC498" s="211">
        <v>0</v>
      </c>
      <c r="AD498" s="211">
        <v>0</v>
      </c>
      <c r="AE498" s="211">
        <v>22.11</v>
      </c>
      <c r="AF498" s="211">
        <v>-3.2</v>
      </c>
      <c r="AG498" s="204" t="s">
        <v>279</v>
      </c>
      <c r="AH498" s="211">
        <v>0</v>
      </c>
      <c r="AI498" s="211">
        <v>24.95</v>
      </c>
      <c r="AJ498" s="211">
        <v>0</v>
      </c>
      <c r="AK498" s="204" t="str">
        <f t="shared" si="15"/>
        <v>1.00000000</v>
      </c>
      <c r="AL498" s="204">
        <v>19.2</v>
      </c>
    </row>
    <row r="499" spans="1:38" x14ac:dyDescent="0.2">
      <c r="A499" s="204" t="str">
        <f t="shared" si="16"/>
        <v>0496002595734</v>
      </c>
      <c r="B499" s="204">
        <v>3</v>
      </c>
      <c r="C499" s="204" t="s">
        <v>435</v>
      </c>
      <c r="D499" s="204">
        <v>82</v>
      </c>
      <c r="E499" s="204">
        <v>82</v>
      </c>
      <c r="F499" s="204" t="s">
        <v>243</v>
      </c>
      <c r="G499" s="204">
        <v>2086</v>
      </c>
      <c r="H499" s="204" t="s">
        <v>270</v>
      </c>
      <c r="I499" s="204">
        <v>40725</v>
      </c>
      <c r="J499" s="209">
        <v>42442</v>
      </c>
      <c r="K499" s="210">
        <v>0.52152777777777781</v>
      </c>
      <c r="L499" s="209">
        <v>42444</v>
      </c>
      <c r="M499" s="204" t="s">
        <v>853</v>
      </c>
      <c r="N499" s="204" t="s">
        <v>1072</v>
      </c>
      <c r="O499" s="204" t="s">
        <v>1073</v>
      </c>
      <c r="P499" s="204" t="s">
        <v>1074</v>
      </c>
      <c r="Q499" s="204" t="s">
        <v>395</v>
      </c>
      <c r="R499" s="204" t="s">
        <v>1075</v>
      </c>
      <c r="S499" s="204" t="s">
        <v>436</v>
      </c>
      <c r="T499" s="204" t="s">
        <v>435</v>
      </c>
      <c r="U499" s="204">
        <v>2086</v>
      </c>
      <c r="V499" s="204" t="s">
        <v>435</v>
      </c>
      <c r="W499" s="204" t="s">
        <v>280</v>
      </c>
      <c r="X499" s="204">
        <v>8.1820000000000004</v>
      </c>
      <c r="Y499" s="211">
        <v>-0.16</v>
      </c>
      <c r="Z499" s="211">
        <v>1.92</v>
      </c>
      <c r="AA499" s="211">
        <v>15.71</v>
      </c>
      <c r="AB499" s="211">
        <v>-1.5</v>
      </c>
      <c r="AC499" s="211">
        <v>0</v>
      </c>
      <c r="AD499" s="211">
        <v>0</v>
      </c>
      <c r="AE499" s="211">
        <v>14.05</v>
      </c>
      <c r="AF499" s="211">
        <v>-2.4500000000000002</v>
      </c>
      <c r="AG499" s="204" t="s">
        <v>279</v>
      </c>
      <c r="AH499" s="211">
        <v>0</v>
      </c>
      <c r="AI499" s="211">
        <v>15.71</v>
      </c>
      <c r="AJ499" s="211">
        <v>0</v>
      </c>
      <c r="AK499" s="204" t="str">
        <f t="shared" si="15"/>
        <v>1.00000000</v>
      </c>
      <c r="AL499" s="204">
        <v>22</v>
      </c>
    </row>
    <row r="500" spans="1:38" x14ac:dyDescent="0.2">
      <c r="A500" s="204" t="str">
        <f t="shared" si="16"/>
        <v>0496002595734</v>
      </c>
      <c r="B500" s="204">
        <v>3</v>
      </c>
      <c r="C500" s="204" t="s">
        <v>435</v>
      </c>
      <c r="D500" s="204">
        <v>82</v>
      </c>
      <c r="E500" s="204">
        <v>82</v>
      </c>
      <c r="F500" s="204" t="s">
        <v>243</v>
      </c>
      <c r="G500" s="204">
        <v>2086</v>
      </c>
      <c r="H500" s="204" t="s">
        <v>270</v>
      </c>
      <c r="I500" s="204">
        <v>41108</v>
      </c>
      <c r="J500" s="209">
        <v>42446</v>
      </c>
      <c r="K500" s="210">
        <v>0.63472222222222219</v>
      </c>
      <c r="L500" s="209">
        <v>42450</v>
      </c>
      <c r="M500" s="204" t="s">
        <v>853</v>
      </c>
      <c r="N500" s="204" t="s">
        <v>272</v>
      </c>
      <c r="O500" s="204" t="s">
        <v>273</v>
      </c>
      <c r="P500" s="204" t="s">
        <v>274</v>
      </c>
      <c r="Q500" s="204" t="s">
        <v>275</v>
      </c>
      <c r="R500" s="204" t="s">
        <v>276</v>
      </c>
      <c r="S500" s="204" t="s">
        <v>436</v>
      </c>
      <c r="T500" s="204" t="s">
        <v>435</v>
      </c>
      <c r="U500" s="204">
        <v>2086</v>
      </c>
      <c r="V500" s="204" t="s">
        <v>435</v>
      </c>
      <c r="W500" s="204" t="s">
        <v>280</v>
      </c>
      <c r="X500" s="204">
        <v>7.6719999999999997</v>
      </c>
      <c r="Y500" s="211">
        <v>-0.23</v>
      </c>
      <c r="Z500" s="211">
        <v>1.87</v>
      </c>
      <c r="AA500" s="211">
        <v>14.34</v>
      </c>
      <c r="AB500" s="211">
        <v>-1.4</v>
      </c>
      <c r="AC500" s="211">
        <v>0</v>
      </c>
      <c r="AD500" s="211">
        <v>0</v>
      </c>
      <c r="AE500" s="211">
        <v>12.71</v>
      </c>
      <c r="AF500" s="211">
        <v>-1.84</v>
      </c>
      <c r="AG500" s="204" t="s">
        <v>279</v>
      </c>
      <c r="AH500" s="211">
        <v>0</v>
      </c>
      <c r="AI500" s="211">
        <v>14.34</v>
      </c>
      <c r="AJ500" s="211">
        <v>0</v>
      </c>
      <c r="AK500" s="204" t="str">
        <f t="shared" si="15"/>
        <v>1.00000000</v>
      </c>
      <c r="AL500" s="204">
        <v>19.399999999999999</v>
      </c>
    </row>
    <row r="501" spans="1:38" x14ac:dyDescent="0.2">
      <c r="A501" s="204" t="str">
        <f t="shared" si="16"/>
        <v>0496002595734</v>
      </c>
      <c r="B501" s="204">
        <v>3</v>
      </c>
      <c r="C501" s="204" t="s">
        <v>435</v>
      </c>
      <c r="D501" s="204">
        <v>82</v>
      </c>
      <c r="E501" s="204">
        <v>82</v>
      </c>
      <c r="F501" s="204" t="s">
        <v>243</v>
      </c>
      <c r="G501" s="204">
        <v>2086</v>
      </c>
      <c r="H501" s="204" t="s">
        <v>270</v>
      </c>
      <c r="I501" s="204">
        <v>41305</v>
      </c>
      <c r="J501" s="209">
        <v>42449</v>
      </c>
      <c r="K501" s="210">
        <v>0.4604166666666667</v>
      </c>
      <c r="L501" s="209">
        <v>42452</v>
      </c>
      <c r="M501" s="204" t="s">
        <v>325</v>
      </c>
      <c r="N501" s="204" t="s">
        <v>326</v>
      </c>
      <c r="O501" s="204" t="s">
        <v>1076</v>
      </c>
      <c r="P501" s="204" t="s">
        <v>1077</v>
      </c>
      <c r="Q501" s="204" t="s">
        <v>289</v>
      </c>
      <c r="R501" s="204" t="s">
        <v>1078</v>
      </c>
      <c r="S501" s="204" t="s">
        <v>436</v>
      </c>
      <c r="T501" s="204" t="s">
        <v>435</v>
      </c>
      <c r="U501" s="204">
        <v>2086</v>
      </c>
      <c r="V501" s="204" t="s">
        <v>435</v>
      </c>
      <c r="W501" s="204" t="s">
        <v>330</v>
      </c>
      <c r="X501" s="204">
        <v>10.757999999999999</v>
      </c>
      <c r="Y501" s="211">
        <v>0</v>
      </c>
      <c r="Z501" s="211">
        <v>1.86</v>
      </c>
      <c r="AA501" s="211">
        <v>20</v>
      </c>
      <c r="AB501" s="211">
        <v>-1.97</v>
      </c>
      <c r="AC501" s="211">
        <v>0</v>
      </c>
      <c r="AD501" s="211">
        <v>0</v>
      </c>
      <c r="AE501" s="211">
        <v>18.03</v>
      </c>
      <c r="AF501" s="211">
        <v>-1.56</v>
      </c>
      <c r="AG501" s="204" t="s">
        <v>279</v>
      </c>
      <c r="AH501" s="211">
        <v>0</v>
      </c>
      <c r="AI501" s="211">
        <v>20</v>
      </c>
      <c r="AJ501" s="211">
        <v>0</v>
      </c>
      <c r="AK501" s="204" t="str">
        <f t="shared" si="15"/>
        <v>1.00000000</v>
      </c>
      <c r="AL501" s="204">
        <v>34.6</v>
      </c>
    </row>
    <row r="502" spans="1:38" x14ac:dyDescent="0.2">
      <c r="A502" s="204" t="str">
        <f t="shared" si="16"/>
        <v>0496002595734</v>
      </c>
      <c r="B502" s="204">
        <v>3</v>
      </c>
      <c r="C502" s="204" t="s">
        <v>435</v>
      </c>
      <c r="D502" s="204">
        <v>82</v>
      </c>
      <c r="E502" s="204">
        <v>82</v>
      </c>
      <c r="F502" s="204" t="s">
        <v>243</v>
      </c>
      <c r="G502" s="204">
        <v>2086</v>
      </c>
      <c r="H502" s="204" t="s">
        <v>270</v>
      </c>
      <c r="I502" s="204">
        <v>41478</v>
      </c>
      <c r="J502" s="209">
        <v>42449</v>
      </c>
      <c r="K502" s="210">
        <v>0.79375000000000007</v>
      </c>
      <c r="L502" s="209">
        <v>42451</v>
      </c>
      <c r="M502" s="204" t="s">
        <v>853</v>
      </c>
      <c r="N502" s="204" t="s">
        <v>272</v>
      </c>
      <c r="O502" s="204" t="s">
        <v>273</v>
      </c>
      <c r="P502" s="204" t="s">
        <v>274</v>
      </c>
      <c r="Q502" s="204" t="s">
        <v>275</v>
      </c>
      <c r="R502" s="204" t="s">
        <v>276</v>
      </c>
      <c r="S502" s="204" t="s">
        <v>436</v>
      </c>
      <c r="T502" s="204" t="s">
        <v>435</v>
      </c>
      <c r="U502" s="204">
        <v>2086</v>
      </c>
      <c r="V502" s="204" t="s">
        <v>435</v>
      </c>
      <c r="W502" s="204" t="s">
        <v>335</v>
      </c>
      <c r="X502" s="204">
        <v>10.686</v>
      </c>
      <c r="Y502" s="211">
        <v>-0.32</v>
      </c>
      <c r="Z502" s="211">
        <v>2.1</v>
      </c>
      <c r="AA502" s="211">
        <v>22.43</v>
      </c>
      <c r="AB502" s="211">
        <v>-1.96</v>
      </c>
      <c r="AC502" s="211">
        <v>0</v>
      </c>
      <c r="AD502" s="211">
        <v>0</v>
      </c>
      <c r="AE502" s="211">
        <v>20.149999999999999</v>
      </c>
      <c r="AF502" s="211">
        <v>-2.56</v>
      </c>
      <c r="AG502" s="204" t="s">
        <v>279</v>
      </c>
      <c r="AH502" s="211">
        <v>0</v>
      </c>
      <c r="AI502" s="211">
        <v>22.43</v>
      </c>
      <c r="AJ502" s="211">
        <v>0</v>
      </c>
      <c r="AK502" s="204" t="str">
        <f t="shared" si="15"/>
        <v>1.00000000</v>
      </c>
      <c r="AL502" s="204">
        <v>19.5</v>
      </c>
    </row>
    <row r="503" spans="1:38" x14ac:dyDescent="0.2">
      <c r="A503" s="204" t="str">
        <f t="shared" si="16"/>
        <v>0496002595734</v>
      </c>
      <c r="B503" s="204">
        <v>3</v>
      </c>
      <c r="C503" s="204" t="s">
        <v>435</v>
      </c>
      <c r="D503" s="204">
        <v>82</v>
      </c>
      <c r="E503" s="204">
        <v>82</v>
      </c>
      <c r="F503" s="204" t="s">
        <v>243</v>
      </c>
      <c r="G503" s="204">
        <v>2086</v>
      </c>
      <c r="H503" s="204" t="s">
        <v>270</v>
      </c>
      <c r="I503" s="204">
        <v>41617</v>
      </c>
      <c r="J503" s="209">
        <v>42458</v>
      </c>
      <c r="K503" s="210">
        <v>0.30138888888888887</v>
      </c>
      <c r="L503" s="209">
        <v>42460</v>
      </c>
      <c r="M503" s="204" t="s">
        <v>271</v>
      </c>
      <c r="N503" s="204" t="s">
        <v>272</v>
      </c>
      <c r="O503" s="204" t="s">
        <v>273</v>
      </c>
      <c r="P503" s="204" t="s">
        <v>274</v>
      </c>
      <c r="Q503" s="204" t="s">
        <v>275</v>
      </c>
      <c r="R503" s="204" t="s">
        <v>276</v>
      </c>
      <c r="S503" s="204" t="s">
        <v>436</v>
      </c>
      <c r="T503" s="204" t="s">
        <v>435</v>
      </c>
      <c r="U503" s="204">
        <v>2086</v>
      </c>
      <c r="V503" s="204" t="s">
        <v>435</v>
      </c>
      <c r="W503" s="204" t="s">
        <v>280</v>
      </c>
      <c r="X503" s="204">
        <v>10.666</v>
      </c>
      <c r="Y503" s="211">
        <v>-0.32</v>
      </c>
      <c r="Z503" s="211">
        <v>2.04</v>
      </c>
      <c r="AA503" s="211">
        <v>21.75</v>
      </c>
      <c r="AB503" s="211">
        <v>-1.95</v>
      </c>
      <c r="AC503" s="211">
        <v>0</v>
      </c>
      <c r="AD503" s="211">
        <v>0</v>
      </c>
      <c r="AE503" s="211">
        <v>19.48</v>
      </c>
      <c r="AF503" s="211">
        <v>-2.56</v>
      </c>
      <c r="AG503" s="204" t="s">
        <v>279</v>
      </c>
      <c r="AH503" s="211">
        <v>0</v>
      </c>
      <c r="AI503" s="211">
        <v>21.75</v>
      </c>
      <c r="AJ503" s="211">
        <v>0</v>
      </c>
      <c r="AK503" s="204" t="str">
        <f t="shared" si="15"/>
        <v>1.00000000</v>
      </c>
      <c r="AL503" s="204">
        <v>34.6</v>
      </c>
    </row>
    <row r="504" spans="1:38" x14ac:dyDescent="0.2">
      <c r="A504" s="204" t="str">
        <f t="shared" si="16"/>
        <v>0496002595734</v>
      </c>
      <c r="B504" s="204">
        <v>3</v>
      </c>
      <c r="C504" s="204" t="s">
        <v>435</v>
      </c>
      <c r="D504" s="204">
        <v>82</v>
      </c>
      <c r="E504" s="204">
        <v>82</v>
      </c>
      <c r="F504" s="204" t="s">
        <v>243</v>
      </c>
      <c r="G504" s="204">
        <v>2086</v>
      </c>
      <c r="H504" s="204" t="s">
        <v>270</v>
      </c>
      <c r="I504" s="204">
        <v>41945</v>
      </c>
      <c r="J504" s="209">
        <v>42460</v>
      </c>
      <c r="K504" s="210">
        <v>0.51944444444444449</v>
      </c>
      <c r="L504" s="209">
        <v>42464</v>
      </c>
      <c r="M504" s="204" t="s">
        <v>271</v>
      </c>
      <c r="N504" s="204" t="s">
        <v>272</v>
      </c>
      <c r="O504" s="204" t="s">
        <v>273</v>
      </c>
      <c r="P504" s="204" t="s">
        <v>274</v>
      </c>
      <c r="Q504" s="204" t="s">
        <v>275</v>
      </c>
      <c r="R504" s="204" t="s">
        <v>276</v>
      </c>
      <c r="S504" s="204" t="s">
        <v>436</v>
      </c>
      <c r="T504" s="204" t="s">
        <v>435</v>
      </c>
      <c r="U504" s="204">
        <v>2086</v>
      </c>
      <c r="V504" s="204" t="s">
        <v>435</v>
      </c>
      <c r="W504" s="204" t="s">
        <v>280</v>
      </c>
      <c r="X504" s="204">
        <v>13.528</v>
      </c>
      <c r="Y504" s="211">
        <v>-0.41</v>
      </c>
      <c r="Z504" s="211">
        <v>2.0299999999999998</v>
      </c>
      <c r="AA504" s="211">
        <v>27.45</v>
      </c>
      <c r="AB504" s="211">
        <v>-2.48</v>
      </c>
      <c r="AC504" s="211">
        <v>0</v>
      </c>
      <c r="AD504" s="211">
        <v>0</v>
      </c>
      <c r="AE504" s="211">
        <v>24.56</v>
      </c>
      <c r="AF504" s="211">
        <v>-3.25</v>
      </c>
      <c r="AG504" s="204" t="s">
        <v>279</v>
      </c>
      <c r="AH504" s="211">
        <v>0</v>
      </c>
      <c r="AI504" s="211">
        <v>27.45</v>
      </c>
      <c r="AJ504" s="211">
        <v>0</v>
      </c>
      <c r="AK504" s="204" t="str">
        <f t="shared" si="15"/>
        <v>1.00000000</v>
      </c>
      <c r="AL504" s="204">
        <v>13</v>
      </c>
    </row>
    <row r="505" spans="1:38" x14ac:dyDescent="0.2">
      <c r="A505" s="204" t="str">
        <f t="shared" si="16"/>
        <v>0496002595734</v>
      </c>
      <c r="B505" s="204">
        <v>3</v>
      </c>
      <c r="C505" s="204" t="s">
        <v>435</v>
      </c>
      <c r="D505" s="204">
        <v>82</v>
      </c>
      <c r="E505" s="204">
        <v>82</v>
      </c>
      <c r="F505" s="204" t="s">
        <v>243</v>
      </c>
      <c r="G505" s="204">
        <v>2086</v>
      </c>
      <c r="H505" s="204" t="s">
        <v>270</v>
      </c>
      <c r="I505" s="204">
        <v>42152</v>
      </c>
      <c r="J505" s="209">
        <v>42461</v>
      </c>
      <c r="K505" s="210">
        <v>0.59513888888888888</v>
      </c>
      <c r="L505" s="209">
        <v>42465</v>
      </c>
      <c r="M505" s="204" t="s">
        <v>271</v>
      </c>
      <c r="N505" s="204" t="s">
        <v>272</v>
      </c>
      <c r="O505" s="204" t="s">
        <v>273</v>
      </c>
      <c r="P505" s="204" t="s">
        <v>274</v>
      </c>
      <c r="Q505" s="204" t="s">
        <v>275</v>
      </c>
      <c r="R505" s="204" t="s">
        <v>276</v>
      </c>
      <c r="S505" s="204" t="s">
        <v>436</v>
      </c>
      <c r="T505" s="204" t="s">
        <v>435</v>
      </c>
      <c r="U505" s="204">
        <v>2086</v>
      </c>
      <c r="V505" s="204" t="s">
        <v>435</v>
      </c>
      <c r="W505" s="204" t="s">
        <v>280</v>
      </c>
      <c r="X505" s="204">
        <v>10.349</v>
      </c>
      <c r="Y505" s="211">
        <v>-0.31</v>
      </c>
      <c r="Z505" s="211">
        <v>2.0299999999999998</v>
      </c>
      <c r="AA505" s="211">
        <v>21</v>
      </c>
      <c r="AB505" s="211">
        <v>-1.89</v>
      </c>
      <c r="AC505" s="211">
        <v>0</v>
      </c>
      <c r="AD505" s="211">
        <v>0</v>
      </c>
      <c r="AE505" s="211">
        <v>18.8</v>
      </c>
      <c r="AF505" s="211">
        <v>-2.48</v>
      </c>
      <c r="AG505" s="204" t="s">
        <v>279</v>
      </c>
      <c r="AH505" s="211">
        <v>0</v>
      </c>
      <c r="AI505" s="211">
        <v>21</v>
      </c>
      <c r="AJ505" s="211">
        <v>0</v>
      </c>
      <c r="AK505" s="204" t="str">
        <f t="shared" si="15"/>
        <v>1.00000000</v>
      </c>
      <c r="AL505" s="204">
        <v>13</v>
      </c>
    </row>
    <row r="506" spans="1:38" x14ac:dyDescent="0.2">
      <c r="A506" s="204" t="str">
        <f t="shared" si="16"/>
        <v>0496002595734</v>
      </c>
      <c r="B506" s="204">
        <v>3</v>
      </c>
      <c r="C506" s="204" t="s">
        <v>435</v>
      </c>
      <c r="D506" s="204">
        <v>82</v>
      </c>
      <c r="E506" s="204">
        <v>82</v>
      </c>
      <c r="F506" s="204" t="s">
        <v>243</v>
      </c>
      <c r="G506" s="204">
        <v>2086</v>
      </c>
      <c r="H506" s="204" t="s">
        <v>270</v>
      </c>
      <c r="I506" s="204">
        <v>42388</v>
      </c>
      <c r="J506" s="209">
        <v>42463</v>
      </c>
      <c r="K506" s="210">
        <v>0.53333333333333333</v>
      </c>
      <c r="L506" s="209">
        <v>42465</v>
      </c>
      <c r="M506" s="204" t="s">
        <v>302</v>
      </c>
      <c r="N506" s="204" t="s">
        <v>1079</v>
      </c>
      <c r="O506" s="204" t="s">
        <v>541</v>
      </c>
      <c r="P506" s="204" t="s">
        <v>389</v>
      </c>
      <c r="Q506" s="204" t="s">
        <v>309</v>
      </c>
      <c r="R506" s="204" t="s">
        <v>888</v>
      </c>
      <c r="S506" s="204" t="s">
        <v>436</v>
      </c>
      <c r="T506" s="204" t="s">
        <v>435</v>
      </c>
      <c r="U506" s="204">
        <v>2086</v>
      </c>
      <c r="V506" s="204" t="s">
        <v>435</v>
      </c>
      <c r="W506" s="204" t="s">
        <v>280</v>
      </c>
      <c r="X506" s="204">
        <v>12.911</v>
      </c>
      <c r="Y506" s="211">
        <v>0</v>
      </c>
      <c r="Z506" s="211">
        <v>2.2000000000000002</v>
      </c>
      <c r="AA506" s="211">
        <v>28.39</v>
      </c>
      <c r="AB506" s="211">
        <v>-2.36</v>
      </c>
      <c r="AC506" s="211">
        <v>0</v>
      </c>
      <c r="AD506" s="211">
        <v>0</v>
      </c>
      <c r="AE506" s="211">
        <v>26.03</v>
      </c>
      <c r="AF506" s="211">
        <v>-3.23</v>
      </c>
      <c r="AG506" s="204" t="s">
        <v>279</v>
      </c>
      <c r="AH506" s="211">
        <v>0</v>
      </c>
      <c r="AI506" s="211">
        <v>28.39</v>
      </c>
      <c r="AJ506" s="211">
        <v>0</v>
      </c>
      <c r="AK506" s="204" t="str">
        <f t="shared" si="15"/>
        <v>1.00000000</v>
      </c>
      <c r="AL506" s="204">
        <v>13</v>
      </c>
    </row>
    <row r="507" spans="1:38" x14ac:dyDescent="0.2">
      <c r="A507" s="204" t="str">
        <f t="shared" si="16"/>
        <v>0496002595734</v>
      </c>
      <c r="B507" s="204">
        <v>3</v>
      </c>
      <c r="C507" s="204" t="s">
        <v>435</v>
      </c>
      <c r="D507" s="204">
        <v>82</v>
      </c>
      <c r="E507" s="204">
        <v>82</v>
      </c>
      <c r="F507" s="204" t="s">
        <v>243</v>
      </c>
      <c r="G507" s="204">
        <v>2086</v>
      </c>
      <c r="H507" s="204" t="s">
        <v>270</v>
      </c>
      <c r="I507" s="204">
        <v>42483</v>
      </c>
      <c r="J507" s="209">
        <v>42464</v>
      </c>
      <c r="K507" s="210">
        <v>0.53611111111111109</v>
      </c>
      <c r="L507" s="209">
        <v>42466</v>
      </c>
      <c r="M507" s="204" t="s">
        <v>271</v>
      </c>
      <c r="N507" s="204" t="s">
        <v>272</v>
      </c>
      <c r="O507" s="204" t="s">
        <v>273</v>
      </c>
      <c r="P507" s="204" t="s">
        <v>274</v>
      </c>
      <c r="Q507" s="204" t="s">
        <v>275</v>
      </c>
      <c r="R507" s="204" t="s">
        <v>276</v>
      </c>
      <c r="S507" s="204" t="s">
        <v>436</v>
      </c>
      <c r="T507" s="204" t="s">
        <v>435</v>
      </c>
      <c r="U507" s="204">
        <v>2086</v>
      </c>
      <c r="V507" s="204" t="s">
        <v>435</v>
      </c>
      <c r="W507" s="204" t="s">
        <v>280</v>
      </c>
      <c r="X507" s="204">
        <v>5.5289999999999999</v>
      </c>
      <c r="Y507" s="211">
        <v>-0.17</v>
      </c>
      <c r="Z507" s="211">
        <v>2.0299999999999998</v>
      </c>
      <c r="AA507" s="211">
        <v>11.22</v>
      </c>
      <c r="AB507" s="211">
        <v>-1.01</v>
      </c>
      <c r="AC507" s="211">
        <v>0</v>
      </c>
      <c r="AD507" s="211">
        <v>0</v>
      </c>
      <c r="AE507" s="211">
        <v>10.039999999999999</v>
      </c>
      <c r="AF507" s="211">
        <v>-1.33</v>
      </c>
      <c r="AG507" s="204" t="s">
        <v>279</v>
      </c>
      <c r="AH507" s="211">
        <v>0</v>
      </c>
      <c r="AI507" s="211">
        <v>11.22</v>
      </c>
      <c r="AJ507" s="211">
        <v>0</v>
      </c>
      <c r="AK507" s="204" t="str">
        <f t="shared" si="15"/>
        <v>1.00000000</v>
      </c>
      <c r="AL507" s="204">
        <v>17.2</v>
      </c>
    </row>
    <row r="508" spans="1:38" x14ac:dyDescent="0.2">
      <c r="A508" s="204" t="str">
        <f t="shared" si="16"/>
        <v>0496002595734</v>
      </c>
      <c r="B508" s="204">
        <v>3</v>
      </c>
      <c r="C508" s="204" t="s">
        <v>435</v>
      </c>
      <c r="D508" s="204">
        <v>82</v>
      </c>
      <c r="E508" s="204">
        <v>82</v>
      </c>
      <c r="F508" s="204" t="s">
        <v>243</v>
      </c>
      <c r="G508" s="204">
        <v>2086</v>
      </c>
      <c r="H508" s="204" t="s">
        <v>270</v>
      </c>
      <c r="I508" s="204">
        <v>46888</v>
      </c>
      <c r="J508" s="209">
        <v>42465</v>
      </c>
      <c r="K508" s="210">
        <v>0.65972222222222221</v>
      </c>
      <c r="L508" s="209">
        <v>42467</v>
      </c>
      <c r="M508" s="204" t="s">
        <v>271</v>
      </c>
      <c r="N508" s="204" t="s">
        <v>272</v>
      </c>
      <c r="O508" s="204" t="s">
        <v>273</v>
      </c>
      <c r="P508" s="204" t="s">
        <v>274</v>
      </c>
      <c r="Q508" s="204" t="s">
        <v>275</v>
      </c>
      <c r="R508" s="204" t="s">
        <v>276</v>
      </c>
      <c r="S508" s="204" t="s">
        <v>436</v>
      </c>
      <c r="T508" s="204" t="s">
        <v>435</v>
      </c>
      <c r="U508" s="204">
        <v>2086</v>
      </c>
      <c r="V508" s="204" t="s">
        <v>435</v>
      </c>
      <c r="W508" s="204" t="s">
        <v>280</v>
      </c>
      <c r="X508" s="204">
        <v>10.128</v>
      </c>
      <c r="Y508" s="211">
        <v>-0.3</v>
      </c>
      <c r="Z508" s="211">
        <v>2.0299999999999998</v>
      </c>
      <c r="AA508" s="211">
        <v>20.55</v>
      </c>
      <c r="AB508" s="211">
        <v>-1.85</v>
      </c>
      <c r="AC508" s="211">
        <v>0</v>
      </c>
      <c r="AD508" s="211">
        <v>0</v>
      </c>
      <c r="AE508" s="211">
        <v>18.399999999999999</v>
      </c>
      <c r="AF508" s="211">
        <v>-2.4300000000000002</v>
      </c>
      <c r="AG508" s="204" t="s">
        <v>279</v>
      </c>
      <c r="AH508" s="211">
        <v>0</v>
      </c>
      <c r="AI508" s="211">
        <v>20.55</v>
      </c>
      <c r="AJ508" s="211">
        <v>0</v>
      </c>
      <c r="AK508" s="204" t="str">
        <f t="shared" si="15"/>
        <v>1.00000000</v>
      </c>
      <c r="AL508" s="204">
        <v>19.899999999999999</v>
      </c>
    </row>
    <row r="509" spans="1:38" x14ac:dyDescent="0.2">
      <c r="A509" s="204" t="str">
        <f t="shared" si="16"/>
        <v>0496002595734</v>
      </c>
      <c r="B509" s="204">
        <v>3</v>
      </c>
      <c r="C509" s="204" t="s">
        <v>435</v>
      </c>
      <c r="D509" s="204">
        <v>82</v>
      </c>
      <c r="E509" s="204">
        <v>82</v>
      </c>
      <c r="F509" s="204" t="s">
        <v>243</v>
      </c>
      <c r="G509" s="204">
        <v>2086</v>
      </c>
      <c r="H509" s="204" t="s">
        <v>270</v>
      </c>
      <c r="I509" s="204">
        <v>48241</v>
      </c>
      <c r="J509" s="209">
        <v>42470</v>
      </c>
      <c r="K509" s="210">
        <v>0.4861111111111111</v>
      </c>
      <c r="L509" s="209">
        <v>42472</v>
      </c>
      <c r="M509" s="204" t="s">
        <v>271</v>
      </c>
      <c r="N509" s="204" t="s">
        <v>272</v>
      </c>
      <c r="O509" s="204" t="s">
        <v>273</v>
      </c>
      <c r="P509" s="204" t="s">
        <v>274</v>
      </c>
      <c r="Q509" s="204" t="s">
        <v>275</v>
      </c>
      <c r="R509" s="204" t="s">
        <v>276</v>
      </c>
      <c r="S509" s="204" t="s">
        <v>436</v>
      </c>
      <c r="T509" s="204" t="s">
        <v>435</v>
      </c>
      <c r="U509" s="204">
        <v>2086</v>
      </c>
      <c r="V509" s="204" t="s">
        <v>435</v>
      </c>
      <c r="W509" s="204" t="s">
        <v>280</v>
      </c>
      <c r="X509" s="204">
        <v>10.452999999999999</v>
      </c>
      <c r="Y509" s="211">
        <v>-0.31</v>
      </c>
      <c r="Z509" s="211">
        <v>2.0299999999999998</v>
      </c>
      <c r="AA509" s="211">
        <v>21.21</v>
      </c>
      <c r="AB509" s="211">
        <v>-1.91</v>
      </c>
      <c r="AC509" s="211">
        <v>0</v>
      </c>
      <c r="AD509" s="211">
        <v>0</v>
      </c>
      <c r="AE509" s="211">
        <v>18.989999999999998</v>
      </c>
      <c r="AF509" s="211">
        <v>-2.5099999999999998</v>
      </c>
      <c r="AG509" s="204" t="s">
        <v>279</v>
      </c>
      <c r="AH509" s="211">
        <v>0</v>
      </c>
      <c r="AI509" s="211">
        <v>21.21</v>
      </c>
      <c r="AJ509" s="211">
        <v>0</v>
      </c>
      <c r="AK509" s="204" t="str">
        <f t="shared" si="15"/>
        <v>1.00000000</v>
      </c>
      <c r="AL509" s="204">
        <v>19.899999999999999</v>
      </c>
    </row>
    <row r="510" spans="1:38" x14ac:dyDescent="0.2">
      <c r="A510" s="204" t="str">
        <f t="shared" si="16"/>
        <v>0496002595734</v>
      </c>
      <c r="B510" s="204">
        <v>3</v>
      </c>
      <c r="C510" s="204" t="s">
        <v>435</v>
      </c>
      <c r="D510" s="204">
        <v>82</v>
      </c>
      <c r="E510" s="204">
        <v>82</v>
      </c>
      <c r="F510" s="204" t="s">
        <v>243</v>
      </c>
      <c r="G510" s="204">
        <v>2086</v>
      </c>
      <c r="H510" s="204" t="s">
        <v>270</v>
      </c>
      <c r="I510" s="204">
        <v>40379</v>
      </c>
      <c r="J510" s="209">
        <v>42471</v>
      </c>
      <c r="K510" s="210">
        <v>0.8979166666666667</v>
      </c>
      <c r="L510" s="209">
        <v>42473</v>
      </c>
      <c r="M510" s="204" t="s">
        <v>271</v>
      </c>
      <c r="N510" s="204" t="s">
        <v>272</v>
      </c>
      <c r="O510" s="204" t="s">
        <v>273</v>
      </c>
      <c r="P510" s="204" t="s">
        <v>274</v>
      </c>
      <c r="Q510" s="204" t="s">
        <v>275</v>
      </c>
      <c r="R510" s="204" t="s">
        <v>276</v>
      </c>
      <c r="S510" s="204" t="s">
        <v>436</v>
      </c>
      <c r="T510" s="204" t="s">
        <v>435</v>
      </c>
      <c r="U510" s="204">
        <v>2086</v>
      </c>
      <c r="V510" s="204" t="s">
        <v>435</v>
      </c>
      <c r="W510" s="204" t="s">
        <v>280</v>
      </c>
      <c r="X510" s="204">
        <v>12.459</v>
      </c>
      <c r="Y510" s="211">
        <v>-0.37</v>
      </c>
      <c r="Z510" s="211">
        <v>2.0299999999999998</v>
      </c>
      <c r="AA510" s="211">
        <v>25.28</v>
      </c>
      <c r="AB510" s="211">
        <v>-2.2799999999999998</v>
      </c>
      <c r="AC510" s="211">
        <v>0</v>
      </c>
      <c r="AD510" s="211">
        <v>0</v>
      </c>
      <c r="AE510" s="211">
        <v>22.63</v>
      </c>
      <c r="AF510" s="211">
        <v>-2.99</v>
      </c>
      <c r="AG510" s="204" t="s">
        <v>279</v>
      </c>
      <c r="AH510" s="211">
        <v>0</v>
      </c>
      <c r="AI510" s="211">
        <v>25.28</v>
      </c>
      <c r="AJ510" s="211">
        <v>0</v>
      </c>
      <c r="AK510" s="204" t="str">
        <f t="shared" si="15"/>
        <v>1.00000000</v>
      </c>
      <c r="AL510" s="204">
        <v>19.899999999999999</v>
      </c>
    </row>
    <row r="511" spans="1:38" x14ac:dyDescent="0.2">
      <c r="A511" s="204" t="str">
        <f t="shared" si="16"/>
        <v>0496002595734</v>
      </c>
      <c r="B511" s="204">
        <v>3</v>
      </c>
      <c r="C511" s="204" t="s">
        <v>435</v>
      </c>
      <c r="D511" s="204">
        <v>82</v>
      </c>
      <c r="E511" s="204">
        <v>82</v>
      </c>
      <c r="F511" s="204" t="s">
        <v>243</v>
      </c>
      <c r="G511" s="204">
        <v>2086</v>
      </c>
      <c r="H511" s="204" t="s">
        <v>270</v>
      </c>
      <c r="I511" s="204">
        <v>43189</v>
      </c>
      <c r="J511" s="209">
        <v>42475</v>
      </c>
      <c r="K511" s="210">
        <v>0.8305555555555556</v>
      </c>
      <c r="L511" s="209">
        <v>42479</v>
      </c>
      <c r="M511" s="204" t="s">
        <v>271</v>
      </c>
      <c r="N511" s="204" t="s">
        <v>272</v>
      </c>
      <c r="O511" s="204" t="s">
        <v>273</v>
      </c>
      <c r="P511" s="204" t="s">
        <v>274</v>
      </c>
      <c r="Q511" s="204" t="s">
        <v>275</v>
      </c>
      <c r="R511" s="204" t="s">
        <v>276</v>
      </c>
      <c r="S511" s="204" t="s">
        <v>436</v>
      </c>
      <c r="T511" s="204" t="s">
        <v>435</v>
      </c>
      <c r="U511" s="204">
        <v>2086</v>
      </c>
      <c r="V511" s="204" t="s">
        <v>435</v>
      </c>
      <c r="W511" s="204" t="s">
        <v>280</v>
      </c>
      <c r="X511" s="204">
        <v>6.9329999999999998</v>
      </c>
      <c r="Y511" s="211">
        <v>-0.21</v>
      </c>
      <c r="Z511" s="211">
        <v>2.09</v>
      </c>
      <c r="AA511" s="211">
        <v>14.49</v>
      </c>
      <c r="AB511" s="211">
        <v>-1.27</v>
      </c>
      <c r="AC511" s="211">
        <v>0</v>
      </c>
      <c r="AD511" s="211">
        <v>0</v>
      </c>
      <c r="AE511" s="211">
        <v>13.01</v>
      </c>
      <c r="AF511" s="211">
        <v>-1.66</v>
      </c>
      <c r="AG511" s="204" t="s">
        <v>279</v>
      </c>
      <c r="AH511" s="211">
        <v>0</v>
      </c>
      <c r="AI511" s="211">
        <v>14.49</v>
      </c>
      <c r="AJ511" s="211">
        <v>0</v>
      </c>
      <c r="AK511" s="204" t="str">
        <f t="shared" si="15"/>
        <v>1.00000000</v>
      </c>
      <c r="AL511" s="204">
        <v>19.899999999999999</v>
      </c>
    </row>
    <row r="512" spans="1:38" x14ac:dyDescent="0.2">
      <c r="A512" s="204" t="str">
        <f t="shared" si="16"/>
        <v>0496002595734</v>
      </c>
      <c r="B512" s="204">
        <v>3</v>
      </c>
      <c r="C512" s="204" t="s">
        <v>435</v>
      </c>
      <c r="D512" s="204">
        <v>82</v>
      </c>
      <c r="E512" s="204">
        <v>82</v>
      </c>
      <c r="F512" s="204" t="s">
        <v>243</v>
      </c>
      <c r="G512" s="204">
        <v>2086</v>
      </c>
      <c r="H512" s="204" t="s">
        <v>270</v>
      </c>
      <c r="I512" s="204">
        <v>43459</v>
      </c>
      <c r="J512" s="209">
        <v>42477</v>
      </c>
      <c r="K512" s="210">
        <v>0.53402777777777777</v>
      </c>
      <c r="L512" s="209">
        <v>42479</v>
      </c>
      <c r="M512" s="204" t="s">
        <v>271</v>
      </c>
      <c r="N512" s="204" t="s">
        <v>272</v>
      </c>
      <c r="O512" s="204" t="s">
        <v>273</v>
      </c>
      <c r="P512" s="204" t="s">
        <v>274</v>
      </c>
      <c r="Q512" s="204" t="s">
        <v>275</v>
      </c>
      <c r="R512" s="204" t="s">
        <v>276</v>
      </c>
      <c r="S512" s="204" t="s">
        <v>436</v>
      </c>
      <c r="T512" s="204" t="s">
        <v>435</v>
      </c>
      <c r="U512" s="204">
        <v>2086</v>
      </c>
      <c r="V512" s="204" t="s">
        <v>435</v>
      </c>
      <c r="W512" s="204" t="s">
        <v>280</v>
      </c>
      <c r="X512" s="204">
        <v>13.622999999999999</v>
      </c>
      <c r="Y512" s="211">
        <v>-0.41</v>
      </c>
      <c r="Z512" s="211">
        <v>2.09</v>
      </c>
      <c r="AA512" s="211">
        <v>28.46</v>
      </c>
      <c r="AB512" s="211">
        <v>-2.4900000000000002</v>
      </c>
      <c r="AC512" s="211">
        <v>0</v>
      </c>
      <c r="AD512" s="211">
        <v>0</v>
      </c>
      <c r="AE512" s="211">
        <v>25.56</v>
      </c>
      <c r="AF512" s="211">
        <v>-3.27</v>
      </c>
      <c r="AG512" s="204" t="s">
        <v>279</v>
      </c>
      <c r="AH512" s="211">
        <v>0</v>
      </c>
      <c r="AI512" s="211">
        <v>28.46</v>
      </c>
      <c r="AJ512" s="211">
        <v>0</v>
      </c>
      <c r="AK512" s="204" t="str">
        <f t="shared" si="15"/>
        <v>1.00000000</v>
      </c>
      <c r="AL512" s="204">
        <v>19.8</v>
      </c>
    </row>
    <row r="513" spans="1:38" x14ac:dyDescent="0.2">
      <c r="A513" s="204" t="str">
        <f t="shared" si="16"/>
        <v>0496002595734</v>
      </c>
      <c r="B513" s="204">
        <v>3</v>
      </c>
      <c r="C513" s="204" t="s">
        <v>435</v>
      </c>
      <c r="D513" s="204">
        <v>82</v>
      </c>
      <c r="E513" s="204">
        <v>82</v>
      </c>
      <c r="F513" s="204" t="s">
        <v>243</v>
      </c>
      <c r="G513" s="204">
        <v>2086</v>
      </c>
      <c r="H513" s="204" t="s">
        <v>270</v>
      </c>
      <c r="I513" s="204">
        <v>43573</v>
      </c>
      <c r="J513" s="209">
        <v>42478</v>
      </c>
      <c r="K513" s="210">
        <v>0.66111111111111109</v>
      </c>
      <c r="L513" s="209">
        <v>42480</v>
      </c>
      <c r="M513" s="204" t="s">
        <v>302</v>
      </c>
      <c r="N513" s="204" t="s">
        <v>1080</v>
      </c>
      <c r="O513" s="204" t="s">
        <v>1081</v>
      </c>
      <c r="P513" s="204" t="s">
        <v>1082</v>
      </c>
      <c r="Q513" s="204" t="s">
        <v>309</v>
      </c>
      <c r="R513" s="204" t="s">
        <v>1083</v>
      </c>
      <c r="S513" s="204" t="s">
        <v>436</v>
      </c>
      <c r="T513" s="204" t="s">
        <v>435</v>
      </c>
      <c r="U513" s="204">
        <v>2086</v>
      </c>
      <c r="V513" s="204" t="s">
        <v>435</v>
      </c>
      <c r="W513" s="204" t="s">
        <v>280</v>
      </c>
      <c r="X513" s="204">
        <v>5.7469999999999999</v>
      </c>
      <c r="Y513" s="211">
        <v>0</v>
      </c>
      <c r="Z513" s="211">
        <v>2.36</v>
      </c>
      <c r="AA513" s="211">
        <v>13.56</v>
      </c>
      <c r="AB513" s="211">
        <v>-1.05</v>
      </c>
      <c r="AC513" s="211">
        <v>0</v>
      </c>
      <c r="AD513" s="211">
        <v>0</v>
      </c>
      <c r="AE513" s="211">
        <v>12.51</v>
      </c>
      <c r="AF513" s="211">
        <v>-1.44</v>
      </c>
      <c r="AG513" s="204" t="s">
        <v>279</v>
      </c>
      <c r="AH513" s="211">
        <v>0</v>
      </c>
      <c r="AI513" s="211">
        <v>13.56</v>
      </c>
      <c r="AJ513" s="211">
        <v>0</v>
      </c>
      <c r="AK513" s="204" t="str">
        <f t="shared" si="15"/>
        <v>1.00000000</v>
      </c>
      <c r="AL513" s="204">
        <v>19.8</v>
      </c>
    </row>
    <row r="514" spans="1:38" x14ac:dyDescent="0.2">
      <c r="A514" s="204" t="str">
        <f t="shared" si="16"/>
        <v>0496002595734</v>
      </c>
      <c r="B514" s="204">
        <v>3</v>
      </c>
      <c r="C514" s="204" t="s">
        <v>435</v>
      </c>
      <c r="D514" s="204">
        <v>82</v>
      </c>
      <c r="E514" s="204">
        <v>82</v>
      </c>
      <c r="F514" s="204" t="s">
        <v>243</v>
      </c>
      <c r="G514" s="204">
        <v>2086</v>
      </c>
      <c r="H514" s="204" t="s">
        <v>270</v>
      </c>
      <c r="I514" s="204">
        <v>43645</v>
      </c>
      <c r="J514" s="209">
        <v>42479</v>
      </c>
      <c r="K514" s="210">
        <v>0.52500000000000002</v>
      </c>
      <c r="L514" s="209">
        <v>42481</v>
      </c>
      <c r="M514" s="204" t="s">
        <v>271</v>
      </c>
      <c r="N514" s="204" t="s">
        <v>272</v>
      </c>
      <c r="O514" s="204" t="s">
        <v>273</v>
      </c>
      <c r="P514" s="204" t="s">
        <v>274</v>
      </c>
      <c r="Q514" s="204" t="s">
        <v>275</v>
      </c>
      <c r="R514" s="204" t="s">
        <v>276</v>
      </c>
      <c r="S514" s="204" t="s">
        <v>436</v>
      </c>
      <c r="T514" s="204" t="s">
        <v>435</v>
      </c>
      <c r="U514" s="204">
        <v>2086</v>
      </c>
      <c r="V514" s="204" t="s">
        <v>435</v>
      </c>
      <c r="W514" s="204" t="s">
        <v>280</v>
      </c>
      <c r="X514" s="204">
        <v>4.3049999999999997</v>
      </c>
      <c r="Y514" s="211">
        <v>-0.13</v>
      </c>
      <c r="Z514" s="211">
        <v>2.09</v>
      </c>
      <c r="AA514" s="211">
        <v>8.99</v>
      </c>
      <c r="AB514" s="211">
        <v>-0.79</v>
      </c>
      <c r="AC514" s="211">
        <v>0</v>
      </c>
      <c r="AD514" s="211">
        <v>0</v>
      </c>
      <c r="AE514" s="211">
        <v>8.07</v>
      </c>
      <c r="AF514" s="211">
        <v>-1.03</v>
      </c>
      <c r="AG514" s="204" t="s">
        <v>279</v>
      </c>
      <c r="AH514" s="211">
        <v>0</v>
      </c>
      <c r="AI514" s="211">
        <v>8.99</v>
      </c>
      <c r="AJ514" s="211">
        <v>0</v>
      </c>
      <c r="AK514" s="204" t="str">
        <f t="shared" ref="AK514:AK577" si="17">"1.00000000"</f>
        <v>1.00000000</v>
      </c>
      <c r="AL514" s="204">
        <v>16.7</v>
      </c>
    </row>
    <row r="515" spans="1:38" x14ac:dyDescent="0.2">
      <c r="A515" s="204" t="str">
        <f t="shared" si="16"/>
        <v>0496002595734</v>
      </c>
      <c r="B515" s="204">
        <v>3</v>
      </c>
      <c r="C515" s="204" t="s">
        <v>435</v>
      </c>
      <c r="D515" s="204">
        <v>82</v>
      </c>
      <c r="E515" s="204">
        <v>82</v>
      </c>
      <c r="F515" s="204" t="s">
        <v>243</v>
      </c>
      <c r="G515" s="204">
        <v>2086</v>
      </c>
      <c r="H515" s="204" t="s">
        <v>270</v>
      </c>
      <c r="I515" s="204">
        <v>43885</v>
      </c>
      <c r="J515" s="209">
        <v>42480</v>
      </c>
      <c r="K515" s="210">
        <v>0.51527777777777783</v>
      </c>
      <c r="L515" s="209">
        <v>42482</v>
      </c>
      <c r="M515" s="204" t="s">
        <v>302</v>
      </c>
      <c r="N515" s="204" t="s">
        <v>1079</v>
      </c>
      <c r="O515" s="204" t="s">
        <v>541</v>
      </c>
      <c r="P515" s="204" t="s">
        <v>389</v>
      </c>
      <c r="Q515" s="204" t="s">
        <v>309</v>
      </c>
      <c r="R515" s="204" t="s">
        <v>888</v>
      </c>
      <c r="S515" s="204" t="s">
        <v>436</v>
      </c>
      <c r="T515" s="204" t="s">
        <v>435</v>
      </c>
      <c r="U515" s="204">
        <v>2086</v>
      </c>
      <c r="V515" s="204" t="s">
        <v>435</v>
      </c>
      <c r="W515" s="204" t="s">
        <v>280</v>
      </c>
      <c r="X515" s="204">
        <v>13.250999999999999</v>
      </c>
      <c r="Y515" s="211">
        <v>0</v>
      </c>
      <c r="Z515" s="211">
        <v>2.2999999999999998</v>
      </c>
      <c r="AA515" s="211">
        <v>30.46</v>
      </c>
      <c r="AB515" s="211">
        <v>-2.42</v>
      </c>
      <c r="AC515" s="211">
        <v>0</v>
      </c>
      <c r="AD515" s="211">
        <v>0</v>
      </c>
      <c r="AE515" s="211">
        <v>28.04</v>
      </c>
      <c r="AF515" s="211">
        <v>-3.31</v>
      </c>
      <c r="AG515" s="204" t="s">
        <v>279</v>
      </c>
      <c r="AH515" s="211">
        <v>0</v>
      </c>
      <c r="AI515" s="211">
        <v>30.46</v>
      </c>
      <c r="AJ515" s="211">
        <v>0</v>
      </c>
      <c r="AK515" s="204" t="str">
        <f t="shared" si="17"/>
        <v>1.00000000</v>
      </c>
      <c r="AL515" s="204">
        <v>18.100000000000001</v>
      </c>
    </row>
    <row r="516" spans="1:38" x14ac:dyDescent="0.2">
      <c r="A516" s="204" t="str">
        <f t="shared" si="16"/>
        <v>0496002595734</v>
      </c>
      <c r="B516" s="204">
        <v>3</v>
      </c>
      <c r="C516" s="204" t="s">
        <v>435</v>
      </c>
      <c r="D516" s="204">
        <v>82</v>
      </c>
      <c r="E516" s="204">
        <v>82</v>
      </c>
      <c r="F516" s="204" t="s">
        <v>243</v>
      </c>
      <c r="G516" s="204">
        <v>2086</v>
      </c>
      <c r="H516" s="204" t="s">
        <v>270</v>
      </c>
      <c r="I516" s="204">
        <v>44096</v>
      </c>
      <c r="J516" s="209">
        <v>42483</v>
      </c>
      <c r="K516" s="210">
        <v>0.37777777777777777</v>
      </c>
      <c r="L516" s="209">
        <v>42486</v>
      </c>
      <c r="M516" s="204" t="s">
        <v>271</v>
      </c>
      <c r="N516" s="204" t="s">
        <v>272</v>
      </c>
      <c r="O516" s="204" t="s">
        <v>273</v>
      </c>
      <c r="P516" s="204" t="s">
        <v>274</v>
      </c>
      <c r="Q516" s="204" t="s">
        <v>275</v>
      </c>
      <c r="R516" s="204" t="s">
        <v>276</v>
      </c>
      <c r="S516" s="204" t="s">
        <v>436</v>
      </c>
      <c r="T516" s="204" t="s">
        <v>435</v>
      </c>
      <c r="U516" s="204">
        <v>2086</v>
      </c>
      <c r="V516" s="204" t="s">
        <v>435</v>
      </c>
      <c r="W516" s="204" t="s">
        <v>280</v>
      </c>
      <c r="X516" s="204">
        <v>12.202999999999999</v>
      </c>
      <c r="Y516" s="211">
        <v>-0.37</v>
      </c>
      <c r="Z516" s="211">
        <v>2.12</v>
      </c>
      <c r="AA516" s="211">
        <v>25.86</v>
      </c>
      <c r="AB516" s="211">
        <v>-2.23</v>
      </c>
      <c r="AC516" s="211">
        <v>0</v>
      </c>
      <c r="AD516" s="211">
        <v>0</v>
      </c>
      <c r="AE516" s="211">
        <v>23.26</v>
      </c>
      <c r="AF516" s="211">
        <v>-2.93</v>
      </c>
      <c r="AG516" s="204" t="s">
        <v>279</v>
      </c>
      <c r="AH516" s="211">
        <v>0</v>
      </c>
      <c r="AI516" s="211">
        <v>25.86</v>
      </c>
      <c r="AJ516" s="211">
        <v>0</v>
      </c>
      <c r="AK516" s="204" t="str">
        <f t="shared" si="17"/>
        <v>1.00000000</v>
      </c>
      <c r="AL516" s="204">
        <v>17.3</v>
      </c>
    </row>
    <row r="517" spans="1:38" x14ac:dyDescent="0.2">
      <c r="A517" s="204" t="str">
        <f t="shared" si="16"/>
        <v>0496002595734</v>
      </c>
      <c r="B517" s="204">
        <v>3</v>
      </c>
      <c r="C517" s="204" t="s">
        <v>435</v>
      </c>
      <c r="D517" s="204">
        <v>82</v>
      </c>
      <c r="E517" s="204">
        <v>82</v>
      </c>
      <c r="F517" s="204" t="s">
        <v>243</v>
      </c>
      <c r="G517" s="204">
        <v>2086</v>
      </c>
      <c r="H517" s="204" t="s">
        <v>270</v>
      </c>
      <c r="I517" s="204">
        <v>44240</v>
      </c>
      <c r="J517" s="209">
        <v>42484</v>
      </c>
      <c r="K517" s="210">
        <v>0.65</v>
      </c>
      <c r="L517" s="209">
        <v>42486</v>
      </c>
      <c r="M517" s="204" t="s">
        <v>271</v>
      </c>
      <c r="N517" s="204" t="s">
        <v>272</v>
      </c>
      <c r="O517" s="204" t="s">
        <v>273</v>
      </c>
      <c r="P517" s="204" t="s">
        <v>274</v>
      </c>
      <c r="Q517" s="204" t="s">
        <v>275</v>
      </c>
      <c r="R517" s="204" t="s">
        <v>276</v>
      </c>
      <c r="S517" s="204" t="s">
        <v>436</v>
      </c>
      <c r="T517" s="204" t="s">
        <v>435</v>
      </c>
      <c r="U517" s="204">
        <v>2086</v>
      </c>
      <c r="V517" s="204" t="s">
        <v>435</v>
      </c>
      <c r="W517" s="204" t="s">
        <v>280</v>
      </c>
      <c r="X517" s="204">
        <v>7.53</v>
      </c>
      <c r="Y517" s="211">
        <v>-0.23</v>
      </c>
      <c r="Z517" s="211">
        <v>2.12</v>
      </c>
      <c r="AA517" s="211">
        <v>15.95</v>
      </c>
      <c r="AB517" s="211">
        <v>-1.38</v>
      </c>
      <c r="AC517" s="211">
        <v>0</v>
      </c>
      <c r="AD517" s="211">
        <v>0</v>
      </c>
      <c r="AE517" s="211">
        <v>14.34</v>
      </c>
      <c r="AF517" s="211">
        <v>-1.81</v>
      </c>
      <c r="AG517" s="204" t="s">
        <v>279</v>
      </c>
      <c r="AH517" s="211">
        <v>0</v>
      </c>
      <c r="AI517" s="211">
        <v>15.95</v>
      </c>
      <c r="AJ517" s="211">
        <v>0</v>
      </c>
      <c r="AK517" s="204" t="str">
        <f t="shared" si="17"/>
        <v>1.00000000</v>
      </c>
      <c r="AL517" s="204">
        <v>19.100000000000001</v>
      </c>
    </row>
    <row r="518" spans="1:38" x14ac:dyDescent="0.2">
      <c r="A518" s="204" t="str">
        <f t="shared" si="16"/>
        <v>0496002595734</v>
      </c>
      <c r="B518" s="204">
        <v>3</v>
      </c>
      <c r="C518" s="204" t="s">
        <v>435</v>
      </c>
      <c r="D518" s="204">
        <v>82</v>
      </c>
      <c r="E518" s="204">
        <v>82</v>
      </c>
      <c r="F518" s="204" t="s">
        <v>243</v>
      </c>
      <c r="G518" s="204">
        <v>2086</v>
      </c>
      <c r="H518" s="204" t="s">
        <v>270</v>
      </c>
      <c r="I518" s="204">
        <v>44516</v>
      </c>
      <c r="J518" s="209">
        <v>42489</v>
      </c>
      <c r="K518" s="210">
        <v>0.50138888888888888</v>
      </c>
      <c r="L518" s="209">
        <v>42493</v>
      </c>
      <c r="M518" s="204" t="s">
        <v>271</v>
      </c>
      <c r="N518" s="204" t="s">
        <v>272</v>
      </c>
      <c r="O518" s="204" t="s">
        <v>273</v>
      </c>
      <c r="P518" s="204" t="s">
        <v>274</v>
      </c>
      <c r="Q518" s="204" t="s">
        <v>275</v>
      </c>
      <c r="R518" s="204" t="s">
        <v>276</v>
      </c>
      <c r="S518" s="204" t="s">
        <v>436</v>
      </c>
      <c r="T518" s="204" t="s">
        <v>435</v>
      </c>
      <c r="U518" s="204">
        <v>2086</v>
      </c>
      <c r="V518" s="204" t="s">
        <v>435</v>
      </c>
      <c r="W518" s="204" t="s">
        <v>280</v>
      </c>
      <c r="X518" s="204">
        <v>13.483000000000001</v>
      </c>
      <c r="Y518" s="211">
        <v>-0.4</v>
      </c>
      <c r="Z518" s="211">
        <v>2.2000000000000002</v>
      </c>
      <c r="AA518" s="211">
        <v>29.65</v>
      </c>
      <c r="AB518" s="211">
        <v>-2.4700000000000002</v>
      </c>
      <c r="AC518" s="211">
        <v>0</v>
      </c>
      <c r="AD518" s="211">
        <v>0</v>
      </c>
      <c r="AE518" s="211">
        <v>26.78</v>
      </c>
      <c r="AF518" s="211">
        <v>-3.24</v>
      </c>
      <c r="AG518" s="204" t="s">
        <v>279</v>
      </c>
      <c r="AH518" s="211">
        <v>0</v>
      </c>
      <c r="AI518" s="211">
        <v>29.65</v>
      </c>
      <c r="AJ518" s="211">
        <v>0</v>
      </c>
      <c r="AK518" s="204" t="str">
        <f t="shared" si="17"/>
        <v>1.00000000</v>
      </c>
      <c r="AL518" s="204">
        <v>20.5</v>
      </c>
    </row>
    <row r="519" spans="1:38" x14ac:dyDescent="0.2">
      <c r="A519" s="204" t="str">
        <f t="shared" si="16"/>
        <v>0496002595734</v>
      </c>
      <c r="B519" s="204">
        <v>3</v>
      </c>
      <c r="C519" s="204" t="s">
        <v>435</v>
      </c>
      <c r="D519" s="204">
        <v>82</v>
      </c>
      <c r="E519" s="204">
        <v>82</v>
      </c>
      <c r="F519" s="204" t="s">
        <v>243</v>
      </c>
      <c r="G519" s="204">
        <v>2086</v>
      </c>
      <c r="H519" s="204" t="s">
        <v>270</v>
      </c>
      <c r="I519" s="204">
        <v>44822</v>
      </c>
      <c r="J519" s="209">
        <v>42491</v>
      </c>
      <c r="K519" s="210">
        <v>0.64118055555555553</v>
      </c>
      <c r="L519" s="209">
        <v>42493</v>
      </c>
      <c r="M519" s="204" t="s">
        <v>310</v>
      </c>
      <c r="N519" s="204" t="s">
        <v>331</v>
      </c>
      <c r="O519" s="204" t="s">
        <v>332</v>
      </c>
      <c r="P519" s="204" t="s">
        <v>274</v>
      </c>
      <c r="Q519" s="204" t="s">
        <v>275</v>
      </c>
      <c r="R519" s="204" t="s">
        <v>858</v>
      </c>
      <c r="S519" s="204" t="s">
        <v>436</v>
      </c>
      <c r="T519" s="204" t="s">
        <v>435</v>
      </c>
      <c r="U519" s="204">
        <v>2086</v>
      </c>
      <c r="V519" s="204" t="s">
        <v>435</v>
      </c>
      <c r="W519" s="204" t="s">
        <v>280</v>
      </c>
      <c r="X519" s="204">
        <v>16.38</v>
      </c>
      <c r="Y519" s="211">
        <v>0</v>
      </c>
      <c r="Z519" s="211">
        <v>2.2000000000000002</v>
      </c>
      <c r="AA519" s="211">
        <v>36.020000000000003</v>
      </c>
      <c r="AB519" s="211">
        <v>-3</v>
      </c>
      <c r="AC519" s="211">
        <v>0</v>
      </c>
      <c r="AD519" s="211">
        <v>0</v>
      </c>
      <c r="AE519" s="211">
        <v>33.020000000000003</v>
      </c>
      <c r="AF519" s="211">
        <v>-3.93</v>
      </c>
      <c r="AG519" s="204" t="s">
        <v>279</v>
      </c>
      <c r="AH519" s="211">
        <v>0</v>
      </c>
      <c r="AI519" s="211">
        <v>36.020000000000003</v>
      </c>
      <c r="AJ519" s="211">
        <v>0</v>
      </c>
      <c r="AK519" s="204" t="str">
        <f t="shared" si="17"/>
        <v>1.00000000</v>
      </c>
      <c r="AL519" s="204">
        <v>18.7</v>
      </c>
    </row>
    <row r="520" spans="1:38" x14ac:dyDescent="0.2">
      <c r="A520" s="204" t="str">
        <f t="shared" si="16"/>
        <v>0496002595734</v>
      </c>
      <c r="B520" s="204">
        <v>3</v>
      </c>
      <c r="C520" s="204" t="s">
        <v>435</v>
      </c>
      <c r="D520" s="204">
        <v>82</v>
      </c>
      <c r="E520" s="204">
        <v>82</v>
      </c>
      <c r="F520" s="204" t="s">
        <v>243</v>
      </c>
      <c r="G520" s="204">
        <v>2086</v>
      </c>
      <c r="H520" s="204" t="s">
        <v>270</v>
      </c>
      <c r="I520" s="204">
        <v>45175</v>
      </c>
      <c r="J520" s="209">
        <v>42495</v>
      </c>
      <c r="K520" s="210">
        <v>0.51874999999999993</v>
      </c>
      <c r="L520" s="209">
        <v>42499</v>
      </c>
      <c r="M520" s="204" t="s">
        <v>271</v>
      </c>
      <c r="N520" s="204" t="s">
        <v>272</v>
      </c>
      <c r="O520" s="204" t="s">
        <v>273</v>
      </c>
      <c r="P520" s="204" t="s">
        <v>274</v>
      </c>
      <c r="Q520" s="204" t="s">
        <v>275</v>
      </c>
      <c r="R520" s="204" t="s">
        <v>276</v>
      </c>
      <c r="S520" s="204" t="s">
        <v>436</v>
      </c>
      <c r="T520" s="204" t="s">
        <v>435</v>
      </c>
      <c r="U520" s="204">
        <v>2086</v>
      </c>
      <c r="V520" s="204" t="s">
        <v>435</v>
      </c>
      <c r="W520" s="204" t="s">
        <v>278</v>
      </c>
      <c r="X520" s="204">
        <v>13.597</v>
      </c>
      <c r="Y520" s="211">
        <v>-0.41</v>
      </c>
      <c r="Z520" s="211">
        <v>2.6</v>
      </c>
      <c r="AA520" s="211">
        <v>35.340000000000003</v>
      </c>
      <c r="AB520" s="211">
        <v>-2.4900000000000002</v>
      </c>
      <c r="AC520" s="211">
        <v>0</v>
      </c>
      <c r="AD520" s="211">
        <v>0</v>
      </c>
      <c r="AE520" s="211">
        <v>32.44</v>
      </c>
      <c r="AF520" s="211">
        <v>-3.26</v>
      </c>
      <c r="AG520" s="204" t="s">
        <v>279</v>
      </c>
      <c r="AH520" s="211">
        <v>0</v>
      </c>
      <c r="AI520" s="211">
        <v>35.340000000000003</v>
      </c>
      <c r="AJ520" s="211">
        <v>0</v>
      </c>
      <c r="AK520" s="204" t="str">
        <f t="shared" si="17"/>
        <v>1.00000000</v>
      </c>
      <c r="AL520" s="204">
        <v>19.899999999999999</v>
      </c>
    </row>
    <row r="521" spans="1:38" x14ac:dyDescent="0.2">
      <c r="A521" s="204" t="str">
        <f t="shared" si="16"/>
        <v>0496002595734</v>
      </c>
      <c r="B521" s="204">
        <v>3</v>
      </c>
      <c r="C521" s="204" t="s">
        <v>435</v>
      </c>
      <c r="D521" s="204">
        <v>82</v>
      </c>
      <c r="E521" s="204">
        <v>82</v>
      </c>
      <c r="F521" s="204" t="s">
        <v>243</v>
      </c>
      <c r="G521" s="204">
        <v>2086</v>
      </c>
      <c r="H521" s="204" t="s">
        <v>270</v>
      </c>
      <c r="I521" s="204">
        <v>45394</v>
      </c>
      <c r="J521" s="209">
        <v>42497</v>
      </c>
      <c r="K521" s="210">
        <v>0.65069444444444446</v>
      </c>
      <c r="L521" s="209">
        <v>42500</v>
      </c>
      <c r="M521" s="204" t="s">
        <v>271</v>
      </c>
      <c r="N521" s="204" t="s">
        <v>272</v>
      </c>
      <c r="O521" s="204" t="s">
        <v>273</v>
      </c>
      <c r="P521" s="204" t="s">
        <v>274</v>
      </c>
      <c r="Q521" s="204" t="s">
        <v>275</v>
      </c>
      <c r="R521" s="204" t="s">
        <v>276</v>
      </c>
      <c r="S521" s="204" t="s">
        <v>436</v>
      </c>
      <c r="T521" s="204" t="s">
        <v>435</v>
      </c>
      <c r="U521" s="204">
        <v>2086</v>
      </c>
      <c r="V521" s="204" t="s">
        <v>435</v>
      </c>
      <c r="W521" s="204" t="s">
        <v>280</v>
      </c>
      <c r="X521" s="204">
        <v>12.244999999999999</v>
      </c>
      <c r="Y521" s="211">
        <v>-0.37</v>
      </c>
      <c r="Z521" s="211">
        <v>2.33</v>
      </c>
      <c r="AA521" s="211">
        <v>28.52</v>
      </c>
      <c r="AB521" s="211">
        <v>-2.2400000000000002</v>
      </c>
      <c r="AC521" s="211">
        <v>0</v>
      </c>
      <c r="AD521" s="211">
        <v>0</v>
      </c>
      <c r="AE521" s="211">
        <v>25.91</v>
      </c>
      <c r="AF521" s="211">
        <v>-2.94</v>
      </c>
      <c r="AG521" s="204" t="s">
        <v>279</v>
      </c>
      <c r="AH521" s="211">
        <v>0</v>
      </c>
      <c r="AI521" s="211">
        <v>28.52</v>
      </c>
      <c r="AJ521" s="211">
        <v>0</v>
      </c>
      <c r="AK521" s="204" t="str">
        <f t="shared" si="17"/>
        <v>1.00000000</v>
      </c>
      <c r="AL521" s="204">
        <v>17.899999999999999</v>
      </c>
    </row>
    <row r="522" spans="1:38" x14ac:dyDescent="0.2">
      <c r="A522" s="204" t="str">
        <f t="shared" si="16"/>
        <v>0496002595734</v>
      </c>
      <c r="B522" s="204">
        <v>3</v>
      </c>
      <c r="C522" s="204" t="s">
        <v>435</v>
      </c>
      <c r="D522" s="204">
        <v>82</v>
      </c>
      <c r="E522" s="204">
        <v>82</v>
      </c>
      <c r="F522" s="204" t="s">
        <v>243</v>
      </c>
      <c r="G522" s="204">
        <v>2086</v>
      </c>
      <c r="H522" s="204" t="s">
        <v>270</v>
      </c>
      <c r="I522" s="204">
        <v>45572</v>
      </c>
      <c r="J522" s="209">
        <v>42502</v>
      </c>
      <c r="K522" s="210">
        <v>0.8618055555555556</v>
      </c>
      <c r="L522" s="209">
        <v>42506</v>
      </c>
      <c r="M522" s="204" t="s">
        <v>271</v>
      </c>
      <c r="N522" s="204" t="s">
        <v>272</v>
      </c>
      <c r="O522" s="204" t="s">
        <v>273</v>
      </c>
      <c r="P522" s="204" t="s">
        <v>274</v>
      </c>
      <c r="Q522" s="204" t="s">
        <v>275</v>
      </c>
      <c r="R522" s="204" t="s">
        <v>276</v>
      </c>
      <c r="S522" s="204" t="s">
        <v>436</v>
      </c>
      <c r="T522" s="204" t="s">
        <v>435</v>
      </c>
      <c r="U522" s="204">
        <v>2086</v>
      </c>
      <c r="V522" s="204" t="s">
        <v>435</v>
      </c>
      <c r="W522" s="204" t="s">
        <v>335</v>
      </c>
      <c r="X522" s="204">
        <v>10.831</v>
      </c>
      <c r="Y522" s="211">
        <v>-0.32</v>
      </c>
      <c r="Z522" s="211">
        <v>2.4300000000000002</v>
      </c>
      <c r="AA522" s="211">
        <v>26.31</v>
      </c>
      <c r="AB522" s="211">
        <v>-1.98</v>
      </c>
      <c r="AC522" s="211">
        <v>0</v>
      </c>
      <c r="AD522" s="211">
        <v>0</v>
      </c>
      <c r="AE522" s="211">
        <v>24.01</v>
      </c>
      <c r="AF522" s="211">
        <v>-2.6</v>
      </c>
      <c r="AG522" s="204" t="s">
        <v>279</v>
      </c>
      <c r="AH522" s="211">
        <v>0</v>
      </c>
      <c r="AI522" s="211">
        <v>26.31</v>
      </c>
      <c r="AJ522" s="211">
        <v>0</v>
      </c>
      <c r="AK522" s="204" t="str">
        <f t="shared" si="17"/>
        <v>1.00000000</v>
      </c>
      <c r="AL522" s="204">
        <v>16.399999999999999</v>
      </c>
    </row>
    <row r="523" spans="1:38" x14ac:dyDescent="0.2">
      <c r="A523" s="204" t="str">
        <f t="shared" si="16"/>
        <v>0496002595734</v>
      </c>
      <c r="B523" s="204">
        <v>3</v>
      </c>
      <c r="C523" s="204" t="s">
        <v>435</v>
      </c>
      <c r="D523" s="204">
        <v>82</v>
      </c>
      <c r="E523" s="204">
        <v>82</v>
      </c>
      <c r="F523" s="204" t="s">
        <v>243</v>
      </c>
      <c r="G523" s="204">
        <v>2086</v>
      </c>
      <c r="H523" s="204" t="s">
        <v>270</v>
      </c>
      <c r="I523" s="204">
        <v>45833</v>
      </c>
      <c r="J523" s="209">
        <v>42504</v>
      </c>
      <c r="K523" s="210">
        <v>0.37222222222222223</v>
      </c>
      <c r="L523" s="209">
        <v>42507</v>
      </c>
      <c r="M523" s="204" t="s">
        <v>271</v>
      </c>
      <c r="N523" s="204" t="s">
        <v>272</v>
      </c>
      <c r="O523" s="204" t="s">
        <v>273</v>
      </c>
      <c r="P523" s="204" t="s">
        <v>274</v>
      </c>
      <c r="Q523" s="204" t="s">
        <v>275</v>
      </c>
      <c r="R523" s="204" t="s">
        <v>276</v>
      </c>
      <c r="S523" s="204" t="s">
        <v>436</v>
      </c>
      <c r="T523" s="204" t="s">
        <v>435</v>
      </c>
      <c r="U523" s="204">
        <v>2086</v>
      </c>
      <c r="V523" s="204" t="s">
        <v>435</v>
      </c>
      <c r="W523" s="204" t="s">
        <v>280</v>
      </c>
      <c r="X523" s="204">
        <v>13.396000000000001</v>
      </c>
      <c r="Y523" s="211">
        <v>-0.4</v>
      </c>
      <c r="Z523" s="211">
        <v>2.23</v>
      </c>
      <c r="AA523" s="211">
        <v>29.86</v>
      </c>
      <c r="AB523" s="211">
        <v>-2.4500000000000002</v>
      </c>
      <c r="AC523" s="211">
        <v>0</v>
      </c>
      <c r="AD523" s="211">
        <v>0</v>
      </c>
      <c r="AE523" s="211">
        <v>27.01</v>
      </c>
      <c r="AF523" s="211">
        <v>-3.22</v>
      </c>
      <c r="AG523" s="204" t="s">
        <v>279</v>
      </c>
      <c r="AH523" s="211">
        <v>0</v>
      </c>
      <c r="AI523" s="211">
        <v>29.86</v>
      </c>
      <c r="AJ523" s="211">
        <v>0</v>
      </c>
      <c r="AK523" s="204" t="str">
        <f t="shared" si="17"/>
        <v>1.00000000</v>
      </c>
      <c r="AL523" s="204">
        <v>19.5</v>
      </c>
    </row>
    <row r="524" spans="1:38" x14ac:dyDescent="0.2">
      <c r="A524" s="204" t="str">
        <f t="shared" si="16"/>
        <v>0496002595734</v>
      </c>
      <c r="B524" s="204">
        <v>3</v>
      </c>
      <c r="C524" s="204" t="s">
        <v>435</v>
      </c>
      <c r="D524" s="204">
        <v>82</v>
      </c>
      <c r="E524" s="204">
        <v>82</v>
      </c>
      <c r="F524" s="204" t="s">
        <v>243</v>
      </c>
      <c r="G524" s="204">
        <v>2086</v>
      </c>
      <c r="H524" s="204" t="s">
        <v>270</v>
      </c>
      <c r="I524" s="204">
        <v>46024</v>
      </c>
      <c r="J524" s="209">
        <v>42505</v>
      </c>
      <c r="K524" s="210">
        <v>0.52569444444444446</v>
      </c>
      <c r="L524" s="209">
        <v>42507</v>
      </c>
      <c r="M524" s="204" t="s">
        <v>271</v>
      </c>
      <c r="N524" s="204" t="s">
        <v>272</v>
      </c>
      <c r="O524" s="204" t="s">
        <v>273</v>
      </c>
      <c r="P524" s="204" t="s">
        <v>274</v>
      </c>
      <c r="Q524" s="204" t="s">
        <v>275</v>
      </c>
      <c r="R524" s="204" t="s">
        <v>276</v>
      </c>
      <c r="S524" s="204" t="s">
        <v>436</v>
      </c>
      <c r="T524" s="204" t="s">
        <v>435</v>
      </c>
      <c r="U524" s="204">
        <v>2086</v>
      </c>
      <c r="V524" s="204" t="s">
        <v>435</v>
      </c>
      <c r="W524" s="204" t="s">
        <v>280</v>
      </c>
      <c r="X524" s="204">
        <v>9.5980000000000008</v>
      </c>
      <c r="Y524" s="211">
        <v>-0.28999999999999998</v>
      </c>
      <c r="Z524" s="211">
        <v>2.2200000000000002</v>
      </c>
      <c r="AA524" s="211">
        <v>21.3</v>
      </c>
      <c r="AB524" s="211">
        <v>-1.76</v>
      </c>
      <c r="AC524" s="211">
        <v>0</v>
      </c>
      <c r="AD524" s="211">
        <v>0</v>
      </c>
      <c r="AE524" s="211">
        <v>19.25</v>
      </c>
      <c r="AF524" s="211">
        <v>-2.2999999999999998</v>
      </c>
      <c r="AG524" s="204" t="s">
        <v>279</v>
      </c>
      <c r="AH524" s="211">
        <v>0</v>
      </c>
      <c r="AI524" s="211">
        <v>21.3</v>
      </c>
      <c r="AJ524" s="211">
        <v>0</v>
      </c>
      <c r="AK524" s="204" t="str">
        <f t="shared" si="17"/>
        <v>1.00000000</v>
      </c>
      <c r="AL524" s="204">
        <v>19.899999999999999</v>
      </c>
    </row>
    <row r="525" spans="1:38" x14ac:dyDescent="0.2">
      <c r="A525" s="204" t="str">
        <f t="shared" si="16"/>
        <v>0496002595734</v>
      </c>
      <c r="B525" s="204">
        <v>3</v>
      </c>
      <c r="C525" s="204" t="s">
        <v>435</v>
      </c>
      <c r="D525" s="204">
        <v>82</v>
      </c>
      <c r="E525" s="204">
        <v>82</v>
      </c>
      <c r="F525" s="204" t="s">
        <v>243</v>
      </c>
      <c r="G525" s="204">
        <v>2086</v>
      </c>
      <c r="H525" s="204" t="s">
        <v>270</v>
      </c>
      <c r="I525" s="204">
        <v>46162</v>
      </c>
      <c r="J525" s="209">
        <v>42511</v>
      </c>
      <c r="K525" s="210">
        <v>0.46527777777777773</v>
      </c>
      <c r="L525" s="209">
        <v>42514</v>
      </c>
      <c r="M525" s="204" t="s">
        <v>271</v>
      </c>
      <c r="N525" s="204" t="s">
        <v>272</v>
      </c>
      <c r="O525" s="204" t="s">
        <v>273</v>
      </c>
      <c r="P525" s="204" t="s">
        <v>274</v>
      </c>
      <c r="Q525" s="204" t="s">
        <v>275</v>
      </c>
      <c r="R525" s="204" t="s">
        <v>276</v>
      </c>
      <c r="S525" s="204" t="s">
        <v>436</v>
      </c>
      <c r="T525" s="204" t="s">
        <v>435</v>
      </c>
      <c r="U525" s="204">
        <v>2086</v>
      </c>
      <c r="V525" s="204" t="s">
        <v>435</v>
      </c>
      <c r="W525" s="204" t="s">
        <v>280</v>
      </c>
      <c r="X525" s="204">
        <v>6.3</v>
      </c>
      <c r="Y525" s="211">
        <v>-0.19</v>
      </c>
      <c r="Z525" s="211">
        <v>2.27</v>
      </c>
      <c r="AA525" s="211">
        <v>14.29</v>
      </c>
      <c r="AB525" s="211">
        <v>-1.1499999999999999</v>
      </c>
      <c r="AC525" s="211">
        <v>0</v>
      </c>
      <c r="AD525" s="211">
        <v>0</v>
      </c>
      <c r="AE525" s="211">
        <v>12.95</v>
      </c>
      <c r="AF525" s="211">
        <v>-1.51</v>
      </c>
      <c r="AG525" s="204" t="s">
        <v>279</v>
      </c>
      <c r="AH525" s="211">
        <v>0</v>
      </c>
      <c r="AI525" s="211">
        <v>14.29</v>
      </c>
      <c r="AJ525" s="211">
        <v>0</v>
      </c>
      <c r="AK525" s="204" t="str">
        <f t="shared" si="17"/>
        <v>1.00000000</v>
      </c>
      <c r="AL525" s="204">
        <v>21.9</v>
      </c>
    </row>
    <row r="526" spans="1:38" x14ac:dyDescent="0.2">
      <c r="A526" s="204" t="str">
        <f t="shared" si="16"/>
        <v>0496002595734</v>
      </c>
      <c r="B526" s="204">
        <v>3</v>
      </c>
      <c r="C526" s="204" t="s">
        <v>435</v>
      </c>
      <c r="D526" s="204">
        <v>82</v>
      </c>
      <c r="E526" s="204">
        <v>82</v>
      </c>
      <c r="F526" s="204" t="s">
        <v>243</v>
      </c>
      <c r="G526" s="204">
        <v>2086</v>
      </c>
      <c r="H526" s="204" t="s">
        <v>270</v>
      </c>
      <c r="I526" s="204">
        <v>46327</v>
      </c>
      <c r="J526" s="209">
        <v>42514</v>
      </c>
      <c r="K526" s="210">
        <v>0.83680555555555547</v>
      </c>
      <c r="L526" s="209">
        <v>42516</v>
      </c>
      <c r="M526" s="204" t="s">
        <v>271</v>
      </c>
      <c r="N526" s="204" t="s">
        <v>352</v>
      </c>
      <c r="O526" s="204" t="s">
        <v>353</v>
      </c>
      <c r="P526" s="204" t="s">
        <v>343</v>
      </c>
      <c r="Q526" s="204" t="s">
        <v>275</v>
      </c>
      <c r="R526" s="204" t="s">
        <v>602</v>
      </c>
      <c r="S526" s="204" t="s">
        <v>436</v>
      </c>
      <c r="T526" s="204" t="s">
        <v>435</v>
      </c>
      <c r="U526" s="204">
        <v>2086</v>
      </c>
      <c r="V526" s="204" t="s">
        <v>435</v>
      </c>
      <c r="W526" s="204" t="s">
        <v>280</v>
      </c>
      <c r="X526" s="204">
        <v>10.083</v>
      </c>
      <c r="Y526" s="211">
        <v>-0.3</v>
      </c>
      <c r="Z526" s="211">
        <v>2.2799999999999998</v>
      </c>
      <c r="AA526" s="211">
        <v>22.98</v>
      </c>
      <c r="AB526" s="211">
        <v>-1.85</v>
      </c>
      <c r="AC526" s="211">
        <v>0</v>
      </c>
      <c r="AD526" s="211">
        <v>0</v>
      </c>
      <c r="AE526" s="211">
        <v>20.83</v>
      </c>
      <c r="AF526" s="211">
        <v>-2.42</v>
      </c>
      <c r="AG526" s="204" t="s">
        <v>279</v>
      </c>
      <c r="AH526" s="211">
        <v>0</v>
      </c>
      <c r="AI526" s="211">
        <v>22.98</v>
      </c>
      <c r="AJ526" s="211">
        <v>0</v>
      </c>
      <c r="AK526" s="204" t="str">
        <f t="shared" si="17"/>
        <v>1.00000000</v>
      </c>
      <c r="AL526" s="204">
        <v>16.399999999999999</v>
      </c>
    </row>
    <row r="527" spans="1:38" x14ac:dyDescent="0.2">
      <c r="A527" s="204" t="str">
        <f t="shared" si="16"/>
        <v>0496002595734</v>
      </c>
      <c r="B527" s="204">
        <v>3</v>
      </c>
      <c r="C527" s="204" t="s">
        <v>435</v>
      </c>
      <c r="D527" s="204">
        <v>82</v>
      </c>
      <c r="E527" s="204">
        <v>82</v>
      </c>
      <c r="F527" s="204" t="s">
        <v>243</v>
      </c>
      <c r="G527" s="204">
        <v>2086</v>
      </c>
      <c r="H527" s="204" t="s">
        <v>270</v>
      </c>
      <c r="I527" s="204">
        <v>46575</v>
      </c>
      <c r="J527" s="209">
        <v>42518</v>
      </c>
      <c r="K527" s="210">
        <v>0.81388888888888899</v>
      </c>
      <c r="L527" s="209">
        <v>42521</v>
      </c>
      <c r="M527" s="204" t="s">
        <v>271</v>
      </c>
      <c r="N527" s="204" t="s">
        <v>454</v>
      </c>
      <c r="O527" s="204" t="s">
        <v>898</v>
      </c>
      <c r="P527" s="204" t="s">
        <v>317</v>
      </c>
      <c r="Q527" s="204" t="s">
        <v>275</v>
      </c>
      <c r="R527" s="204" t="s">
        <v>899</v>
      </c>
      <c r="S527" s="204" t="s">
        <v>436</v>
      </c>
      <c r="T527" s="204" t="s">
        <v>435</v>
      </c>
      <c r="U527" s="204">
        <v>2086</v>
      </c>
      <c r="V527" s="204" t="s">
        <v>435</v>
      </c>
      <c r="W527" s="204" t="s">
        <v>280</v>
      </c>
      <c r="X527" s="204">
        <v>15.59</v>
      </c>
      <c r="Y527" s="211">
        <v>-0.47</v>
      </c>
      <c r="Z527" s="211">
        <v>2.2799999999999998</v>
      </c>
      <c r="AA527" s="211">
        <v>35.53</v>
      </c>
      <c r="AB527" s="211">
        <v>-2.85</v>
      </c>
      <c r="AC527" s="211">
        <v>0</v>
      </c>
      <c r="AD527" s="211">
        <v>0</v>
      </c>
      <c r="AE527" s="211">
        <v>32.21</v>
      </c>
      <c r="AF527" s="211">
        <v>-3.74</v>
      </c>
      <c r="AG527" s="204" t="s">
        <v>279</v>
      </c>
      <c r="AH527" s="211">
        <v>0</v>
      </c>
      <c r="AI527" s="211">
        <v>35.53</v>
      </c>
      <c r="AJ527" s="211">
        <v>0</v>
      </c>
      <c r="AK527" s="204" t="str">
        <f t="shared" si="17"/>
        <v>1.00000000</v>
      </c>
      <c r="AL527" s="204">
        <v>15.9</v>
      </c>
    </row>
    <row r="528" spans="1:38" x14ac:dyDescent="0.2">
      <c r="A528" s="204" t="str">
        <f t="shared" si="16"/>
        <v>0496002595734</v>
      </c>
      <c r="B528" s="204">
        <v>3</v>
      </c>
      <c r="C528" s="204" t="s">
        <v>435</v>
      </c>
      <c r="D528" s="204">
        <v>82</v>
      </c>
      <c r="E528" s="204">
        <v>82</v>
      </c>
      <c r="F528" s="204" t="s">
        <v>243</v>
      </c>
      <c r="G528" s="204">
        <v>2086</v>
      </c>
      <c r="H528" s="204" t="s">
        <v>270</v>
      </c>
      <c r="I528" s="204">
        <v>46765</v>
      </c>
      <c r="J528" s="209">
        <v>42529</v>
      </c>
      <c r="K528" s="210">
        <v>0.4916666666666667</v>
      </c>
      <c r="L528" s="209">
        <v>42531</v>
      </c>
      <c r="M528" s="204" t="s">
        <v>271</v>
      </c>
      <c r="N528" s="204" t="s">
        <v>272</v>
      </c>
      <c r="O528" s="204" t="s">
        <v>273</v>
      </c>
      <c r="P528" s="204" t="s">
        <v>274</v>
      </c>
      <c r="Q528" s="204" t="s">
        <v>275</v>
      </c>
      <c r="R528" s="204" t="s">
        <v>276</v>
      </c>
      <c r="S528" s="204" t="s">
        <v>436</v>
      </c>
      <c r="T528" s="204" t="s">
        <v>435</v>
      </c>
      <c r="U528" s="204">
        <v>2086</v>
      </c>
      <c r="V528" s="204" t="s">
        <v>435</v>
      </c>
      <c r="W528" s="204" t="s">
        <v>280</v>
      </c>
      <c r="X528" s="204">
        <v>11.163</v>
      </c>
      <c r="Y528" s="211">
        <v>-0.33</v>
      </c>
      <c r="Z528" s="211">
        <v>2.33</v>
      </c>
      <c r="AA528" s="211">
        <v>26</v>
      </c>
      <c r="AB528" s="211">
        <v>-2.04</v>
      </c>
      <c r="AC528" s="211">
        <v>0</v>
      </c>
      <c r="AD528" s="211">
        <v>0</v>
      </c>
      <c r="AE528" s="211">
        <v>23.63</v>
      </c>
      <c r="AF528" s="211">
        <v>-2.68</v>
      </c>
      <c r="AG528" s="204" t="s">
        <v>279</v>
      </c>
      <c r="AH528" s="211">
        <v>0</v>
      </c>
      <c r="AI528" s="211">
        <v>26</v>
      </c>
      <c r="AJ528" s="211">
        <v>0</v>
      </c>
      <c r="AK528" s="204" t="str">
        <f t="shared" si="17"/>
        <v>1.00000000</v>
      </c>
      <c r="AL528" s="204">
        <v>17</v>
      </c>
    </row>
    <row r="529" spans="1:38" x14ac:dyDescent="0.2">
      <c r="A529" s="204" t="str">
        <f t="shared" si="16"/>
        <v>0496002595734</v>
      </c>
      <c r="B529" s="204">
        <v>3</v>
      </c>
      <c r="C529" s="204" t="s">
        <v>435</v>
      </c>
      <c r="D529" s="204">
        <v>82</v>
      </c>
      <c r="E529" s="204">
        <v>82</v>
      </c>
      <c r="F529" s="204" t="s">
        <v>243</v>
      </c>
      <c r="G529" s="204">
        <v>2086</v>
      </c>
      <c r="H529" s="204" t="s">
        <v>270</v>
      </c>
      <c r="I529" s="204">
        <v>46909</v>
      </c>
      <c r="J529" s="209">
        <v>42549</v>
      </c>
      <c r="K529" s="210">
        <v>0.79027777777777775</v>
      </c>
      <c r="L529" s="209">
        <v>42551</v>
      </c>
      <c r="M529" s="204" t="s">
        <v>271</v>
      </c>
      <c r="N529" s="204" t="s">
        <v>272</v>
      </c>
      <c r="O529" s="204" t="s">
        <v>273</v>
      </c>
      <c r="P529" s="204" t="s">
        <v>274</v>
      </c>
      <c r="Q529" s="204" t="s">
        <v>275</v>
      </c>
      <c r="R529" s="204" t="s">
        <v>276</v>
      </c>
      <c r="S529" s="204" t="s">
        <v>436</v>
      </c>
      <c r="T529" s="204" t="s">
        <v>435</v>
      </c>
      <c r="U529" s="204">
        <v>2086</v>
      </c>
      <c r="V529" s="204" t="s">
        <v>435</v>
      </c>
      <c r="W529" s="204" t="s">
        <v>280</v>
      </c>
      <c r="X529" s="204">
        <v>14.01</v>
      </c>
      <c r="Y529" s="211">
        <v>-0.42</v>
      </c>
      <c r="Z529" s="211">
        <v>2.25</v>
      </c>
      <c r="AA529" s="211">
        <v>31.51</v>
      </c>
      <c r="AB529" s="211">
        <v>-2.56</v>
      </c>
      <c r="AC529" s="211">
        <v>0</v>
      </c>
      <c r="AD529" s="211">
        <v>0</v>
      </c>
      <c r="AE529" s="211">
        <v>28.53</v>
      </c>
      <c r="AF529" s="211">
        <v>-3.36</v>
      </c>
      <c r="AG529" s="204" t="s">
        <v>279</v>
      </c>
      <c r="AH529" s="211">
        <v>0</v>
      </c>
      <c r="AI529" s="211">
        <v>31.51</v>
      </c>
      <c r="AJ529" s="211">
        <v>0</v>
      </c>
      <c r="AK529" s="204" t="str">
        <f t="shared" si="17"/>
        <v>1.00000000</v>
      </c>
      <c r="AL529" s="204">
        <v>16.399999999999999</v>
      </c>
    </row>
    <row r="530" spans="1:38" x14ac:dyDescent="0.2">
      <c r="A530" s="204" t="str">
        <f>"0496002595742"</f>
        <v>0496002595742</v>
      </c>
      <c r="B530" s="204">
        <v>1</v>
      </c>
      <c r="C530" s="204" t="s">
        <v>569</v>
      </c>
      <c r="D530" s="204">
        <v>84</v>
      </c>
      <c r="E530" s="204">
        <v>84</v>
      </c>
      <c r="F530" s="204" t="s">
        <v>243</v>
      </c>
      <c r="G530" s="204">
        <v>5823</v>
      </c>
      <c r="H530" s="204" t="s">
        <v>270</v>
      </c>
      <c r="I530" s="204">
        <v>22363</v>
      </c>
      <c r="J530" s="209">
        <v>42528</v>
      </c>
      <c r="K530" s="210">
        <v>0.51874999999999993</v>
      </c>
      <c r="L530" s="209">
        <v>42530</v>
      </c>
      <c r="M530" s="204" t="s">
        <v>271</v>
      </c>
      <c r="N530" s="204" t="s">
        <v>272</v>
      </c>
      <c r="O530" s="204" t="s">
        <v>273</v>
      </c>
      <c r="P530" s="204" t="s">
        <v>274</v>
      </c>
      <c r="Q530" s="204" t="s">
        <v>275</v>
      </c>
      <c r="R530" s="204" t="s">
        <v>276</v>
      </c>
      <c r="S530" s="204" t="s">
        <v>436</v>
      </c>
      <c r="T530" s="204" t="s">
        <v>569</v>
      </c>
      <c r="U530" s="204">
        <v>5823</v>
      </c>
      <c r="V530" s="204" t="s">
        <v>569</v>
      </c>
      <c r="W530" s="204" t="s">
        <v>280</v>
      </c>
      <c r="X530" s="204">
        <v>15.670999999999999</v>
      </c>
      <c r="Y530" s="211">
        <v>-0.47</v>
      </c>
      <c r="Z530" s="211">
        <v>2.33</v>
      </c>
      <c r="AA530" s="211">
        <v>36.5</v>
      </c>
      <c r="AB530" s="211">
        <v>-2.87</v>
      </c>
      <c r="AC530" s="211">
        <v>0</v>
      </c>
      <c r="AD530" s="211">
        <v>0</v>
      </c>
      <c r="AE530" s="211">
        <v>33.159999999999997</v>
      </c>
      <c r="AF530" s="211">
        <v>-3.76</v>
      </c>
      <c r="AG530" s="204" t="s">
        <v>279</v>
      </c>
      <c r="AH530" s="211">
        <v>0</v>
      </c>
      <c r="AI530" s="211">
        <v>36.5</v>
      </c>
      <c r="AJ530" s="211">
        <v>0</v>
      </c>
      <c r="AK530" s="204" t="str">
        <f t="shared" si="17"/>
        <v>1.00000000</v>
      </c>
      <c r="AL530" s="204">
        <v>1427</v>
      </c>
    </row>
    <row r="531" spans="1:38" x14ac:dyDescent="0.2">
      <c r="A531" s="204" t="str">
        <f>"0496002595742"</f>
        <v>0496002595742</v>
      </c>
      <c r="B531" s="204">
        <v>3</v>
      </c>
      <c r="C531" s="204" t="s">
        <v>569</v>
      </c>
      <c r="D531" s="204">
        <v>20</v>
      </c>
      <c r="E531" s="204">
        <v>20</v>
      </c>
      <c r="F531" s="204" t="s">
        <v>243</v>
      </c>
      <c r="G531" s="204">
        <v>5823</v>
      </c>
      <c r="H531" s="204" t="s">
        <v>270</v>
      </c>
      <c r="I531" s="204">
        <v>14009</v>
      </c>
      <c r="J531" s="209">
        <v>42466</v>
      </c>
      <c r="K531" s="210">
        <v>0.57291666666666663</v>
      </c>
      <c r="L531" s="209">
        <v>42468</v>
      </c>
      <c r="M531" s="204" t="s">
        <v>271</v>
      </c>
      <c r="N531" s="204" t="s">
        <v>272</v>
      </c>
      <c r="O531" s="204" t="s">
        <v>273</v>
      </c>
      <c r="P531" s="204" t="s">
        <v>274</v>
      </c>
      <c r="Q531" s="204" t="s">
        <v>275</v>
      </c>
      <c r="R531" s="204" t="s">
        <v>276</v>
      </c>
      <c r="S531" s="204" t="s">
        <v>436</v>
      </c>
      <c r="T531" s="204" t="s">
        <v>569</v>
      </c>
      <c r="U531" s="204">
        <v>5823</v>
      </c>
      <c r="V531" s="204" t="s">
        <v>569</v>
      </c>
      <c r="W531" s="204" t="s">
        <v>335</v>
      </c>
      <c r="X531" s="204">
        <v>26.63</v>
      </c>
      <c r="Y531" s="211">
        <v>-0.8</v>
      </c>
      <c r="Z531" s="211">
        <v>2.23</v>
      </c>
      <c r="AA531" s="211">
        <v>59.36</v>
      </c>
      <c r="AB531" s="211">
        <v>-4.87</v>
      </c>
      <c r="AC531" s="211">
        <v>0</v>
      </c>
      <c r="AD531" s="211">
        <v>0</v>
      </c>
      <c r="AE531" s="211">
        <v>53.69</v>
      </c>
      <c r="AF531" s="211">
        <v>-6.39</v>
      </c>
      <c r="AG531" s="204" t="s">
        <v>279</v>
      </c>
      <c r="AH531" s="211">
        <v>0</v>
      </c>
      <c r="AI531" s="211">
        <v>59.36</v>
      </c>
      <c r="AJ531" s="211">
        <v>0</v>
      </c>
      <c r="AK531" s="204" t="str">
        <f t="shared" si="17"/>
        <v>1.00000000</v>
      </c>
      <c r="AL531" s="204">
        <v>526.1</v>
      </c>
    </row>
    <row r="532" spans="1:38" x14ac:dyDescent="0.2">
      <c r="A532" s="204" t="str">
        <f t="shared" ref="A532:A546" si="18">"0496002595809"</f>
        <v>0496002595809</v>
      </c>
      <c r="B532" s="204">
        <v>1</v>
      </c>
      <c r="C532" s="204" t="s">
        <v>570</v>
      </c>
      <c r="D532" s="204">
        <v>2003</v>
      </c>
      <c r="E532" s="204">
        <v>2003</v>
      </c>
      <c r="F532" s="204" t="s">
        <v>243</v>
      </c>
      <c r="G532" s="204">
        <v>2233</v>
      </c>
      <c r="H532" s="204" t="s">
        <v>270</v>
      </c>
      <c r="I532" s="204">
        <v>58712</v>
      </c>
      <c r="J532" s="209">
        <v>42426</v>
      </c>
      <c r="K532" s="210">
        <v>0.3974421296296296</v>
      </c>
      <c r="L532" s="209">
        <v>42430</v>
      </c>
      <c r="M532" s="204" t="s">
        <v>314</v>
      </c>
      <c r="N532" s="204" t="s">
        <v>415</v>
      </c>
      <c r="O532" s="204" t="s">
        <v>416</v>
      </c>
      <c r="P532" s="204" t="s">
        <v>417</v>
      </c>
      <c r="Q532" s="204" t="s">
        <v>275</v>
      </c>
      <c r="R532" s="204" t="s">
        <v>418</v>
      </c>
      <c r="S532" s="204" t="s">
        <v>436</v>
      </c>
      <c r="T532" s="204" t="s">
        <v>570</v>
      </c>
      <c r="U532" s="204">
        <v>2233</v>
      </c>
      <c r="V532" s="204" t="s">
        <v>570</v>
      </c>
      <c r="W532" s="204" t="s">
        <v>280</v>
      </c>
      <c r="X532" s="204">
        <v>6.6920000000000002</v>
      </c>
      <c r="Y532" s="211">
        <v>0</v>
      </c>
      <c r="Z532" s="211">
        <v>1.7</v>
      </c>
      <c r="AA532" s="211">
        <v>11.37</v>
      </c>
      <c r="AB532" s="211">
        <v>-1.22</v>
      </c>
      <c r="AC532" s="211">
        <v>0</v>
      </c>
      <c r="AD532" s="211">
        <v>0</v>
      </c>
      <c r="AE532" s="211">
        <v>10.15</v>
      </c>
      <c r="AF532" s="211">
        <v>-1.61</v>
      </c>
      <c r="AG532" s="204" t="s">
        <v>279</v>
      </c>
      <c r="AH532" s="211">
        <v>0</v>
      </c>
      <c r="AI532" s="211">
        <v>11.37</v>
      </c>
      <c r="AJ532" s="211">
        <v>0</v>
      </c>
      <c r="AK532" s="204" t="str">
        <f t="shared" si="17"/>
        <v>1.00000000</v>
      </c>
      <c r="AL532" s="204">
        <v>16.600000000000001</v>
      </c>
    </row>
    <row r="533" spans="1:38" x14ac:dyDescent="0.2">
      <c r="A533" s="204" t="str">
        <f t="shared" si="18"/>
        <v>0496002595809</v>
      </c>
      <c r="B533" s="204">
        <v>1</v>
      </c>
      <c r="C533" s="204" t="s">
        <v>570</v>
      </c>
      <c r="D533" s="204">
        <v>2003</v>
      </c>
      <c r="E533" s="204">
        <v>2003</v>
      </c>
      <c r="F533" s="204" t="s">
        <v>243</v>
      </c>
      <c r="G533" s="204">
        <v>2233</v>
      </c>
      <c r="H533" s="204" t="s">
        <v>270</v>
      </c>
      <c r="I533" s="204">
        <v>58808</v>
      </c>
      <c r="J533" s="209">
        <v>42440</v>
      </c>
      <c r="K533" s="210">
        <v>0.46231481481481485</v>
      </c>
      <c r="L533" s="209">
        <v>42444</v>
      </c>
      <c r="M533" s="204" t="s">
        <v>314</v>
      </c>
      <c r="N533" s="204" t="s">
        <v>415</v>
      </c>
      <c r="O533" s="204" t="s">
        <v>416</v>
      </c>
      <c r="P533" s="204" t="s">
        <v>417</v>
      </c>
      <c r="Q533" s="204" t="s">
        <v>275</v>
      </c>
      <c r="R533" s="204" t="s">
        <v>418</v>
      </c>
      <c r="S533" s="204" t="s">
        <v>436</v>
      </c>
      <c r="T533" s="204" t="s">
        <v>570</v>
      </c>
      <c r="U533" s="204">
        <v>2233</v>
      </c>
      <c r="V533" s="204" t="s">
        <v>570</v>
      </c>
      <c r="W533" s="204" t="s">
        <v>280</v>
      </c>
      <c r="X533" s="204">
        <v>7.2050000000000001</v>
      </c>
      <c r="Y533" s="211">
        <v>0</v>
      </c>
      <c r="Z533" s="211">
        <v>1.8</v>
      </c>
      <c r="AA533" s="211">
        <v>12.96</v>
      </c>
      <c r="AB533" s="211">
        <v>-1.32</v>
      </c>
      <c r="AC533" s="211">
        <v>0</v>
      </c>
      <c r="AD533" s="211">
        <v>0</v>
      </c>
      <c r="AE533" s="211">
        <v>11.64</v>
      </c>
      <c r="AF533" s="211">
        <v>-1.73</v>
      </c>
      <c r="AG533" s="204" t="s">
        <v>279</v>
      </c>
      <c r="AH533" s="211">
        <v>0</v>
      </c>
      <c r="AI533" s="211">
        <v>12.96</v>
      </c>
      <c r="AJ533" s="211">
        <v>0</v>
      </c>
      <c r="AK533" s="204" t="str">
        <f t="shared" si="17"/>
        <v>1.00000000</v>
      </c>
      <c r="AL533" s="204">
        <v>13.3</v>
      </c>
    </row>
    <row r="534" spans="1:38" x14ac:dyDescent="0.2">
      <c r="A534" s="204" t="str">
        <f t="shared" si="18"/>
        <v>0496002595809</v>
      </c>
      <c r="B534" s="204">
        <v>1</v>
      </c>
      <c r="C534" s="204" t="s">
        <v>570</v>
      </c>
      <c r="D534" s="204">
        <v>2003</v>
      </c>
      <c r="E534" s="204">
        <v>2003</v>
      </c>
      <c r="F534" s="204" t="s">
        <v>243</v>
      </c>
      <c r="G534" s="204">
        <v>2233</v>
      </c>
      <c r="H534" s="204" t="s">
        <v>270</v>
      </c>
      <c r="I534" s="204">
        <v>58919</v>
      </c>
      <c r="J534" s="209">
        <v>42452</v>
      </c>
      <c r="K534" s="210">
        <v>0.35555555555555557</v>
      </c>
      <c r="L534" s="209">
        <v>42454</v>
      </c>
      <c r="M534" s="204" t="s">
        <v>853</v>
      </c>
      <c r="N534" s="204" t="s">
        <v>272</v>
      </c>
      <c r="O534" s="204" t="s">
        <v>273</v>
      </c>
      <c r="P534" s="204" t="s">
        <v>274</v>
      </c>
      <c r="Q534" s="204" t="s">
        <v>275</v>
      </c>
      <c r="R534" s="204" t="s">
        <v>276</v>
      </c>
      <c r="S534" s="204" t="s">
        <v>436</v>
      </c>
      <c r="T534" s="204" t="s">
        <v>570</v>
      </c>
      <c r="U534" s="204">
        <v>2233</v>
      </c>
      <c r="V534" s="204" t="s">
        <v>570</v>
      </c>
      <c r="W534" s="204" t="s">
        <v>280</v>
      </c>
      <c r="X534" s="204">
        <v>9.4809999999999999</v>
      </c>
      <c r="Y534" s="211">
        <v>-0.28000000000000003</v>
      </c>
      <c r="Z534" s="211">
        <v>1.95</v>
      </c>
      <c r="AA534" s="211">
        <v>18.48</v>
      </c>
      <c r="AB534" s="211">
        <v>-1.74</v>
      </c>
      <c r="AC534" s="211">
        <v>0</v>
      </c>
      <c r="AD534" s="211">
        <v>0</v>
      </c>
      <c r="AE534" s="211">
        <v>16.46</v>
      </c>
      <c r="AF534" s="211">
        <v>-2.2799999999999998</v>
      </c>
      <c r="AG534" s="204" t="s">
        <v>279</v>
      </c>
      <c r="AH534" s="211">
        <v>0</v>
      </c>
      <c r="AI534" s="211">
        <v>18.48</v>
      </c>
      <c r="AJ534" s="211">
        <v>0</v>
      </c>
      <c r="AK534" s="204" t="str">
        <f t="shared" si="17"/>
        <v>1.00000000</v>
      </c>
      <c r="AL534" s="204">
        <v>11.7</v>
      </c>
    </row>
    <row r="535" spans="1:38" x14ac:dyDescent="0.2">
      <c r="A535" s="204" t="str">
        <f t="shared" si="18"/>
        <v>0496002595809</v>
      </c>
      <c r="B535" s="204">
        <v>1</v>
      </c>
      <c r="C535" s="204" t="s">
        <v>570</v>
      </c>
      <c r="D535" s="204">
        <v>2003</v>
      </c>
      <c r="E535" s="204">
        <v>2003</v>
      </c>
      <c r="F535" s="204" t="s">
        <v>243</v>
      </c>
      <c r="G535" s="204">
        <v>2233</v>
      </c>
      <c r="H535" s="204" t="s">
        <v>270</v>
      </c>
      <c r="I535" s="204">
        <v>58970</v>
      </c>
      <c r="J535" s="209">
        <v>42461</v>
      </c>
      <c r="K535" s="210">
        <v>0.41319444444444442</v>
      </c>
      <c r="L535" s="209">
        <v>42465</v>
      </c>
      <c r="M535" s="204" t="s">
        <v>271</v>
      </c>
      <c r="N535" s="204" t="s">
        <v>272</v>
      </c>
      <c r="O535" s="204" t="s">
        <v>273</v>
      </c>
      <c r="P535" s="204" t="s">
        <v>274</v>
      </c>
      <c r="Q535" s="204" t="s">
        <v>275</v>
      </c>
      <c r="R535" s="204" t="s">
        <v>276</v>
      </c>
      <c r="S535" s="204" t="s">
        <v>436</v>
      </c>
      <c r="T535" s="204" t="s">
        <v>570</v>
      </c>
      <c r="U535" s="204">
        <v>2233</v>
      </c>
      <c r="V535" s="204" t="s">
        <v>570</v>
      </c>
      <c r="W535" s="204" t="s">
        <v>280</v>
      </c>
      <c r="X535" s="204">
        <v>4.077</v>
      </c>
      <c r="Y535" s="211">
        <v>-0.12</v>
      </c>
      <c r="Z535" s="211">
        <v>2.0299999999999998</v>
      </c>
      <c r="AA535" s="211">
        <v>8.27</v>
      </c>
      <c r="AB535" s="211">
        <v>-0.75</v>
      </c>
      <c r="AC535" s="211">
        <v>0</v>
      </c>
      <c r="AD535" s="211">
        <v>0</v>
      </c>
      <c r="AE535" s="211">
        <v>7.4</v>
      </c>
      <c r="AF535" s="211">
        <v>-0.98</v>
      </c>
      <c r="AG535" s="204" t="s">
        <v>279</v>
      </c>
      <c r="AH535" s="211">
        <v>0</v>
      </c>
      <c r="AI535" s="211">
        <v>8.27</v>
      </c>
      <c r="AJ535" s="211">
        <v>0</v>
      </c>
      <c r="AK535" s="204" t="str">
        <f t="shared" si="17"/>
        <v>1.00000000</v>
      </c>
      <c r="AL535" s="204">
        <v>12.5</v>
      </c>
    </row>
    <row r="536" spans="1:38" x14ac:dyDescent="0.2">
      <c r="A536" s="204" t="str">
        <f t="shared" si="18"/>
        <v>0496002595809</v>
      </c>
      <c r="B536" s="204">
        <v>2</v>
      </c>
      <c r="C536" s="204" t="s">
        <v>570</v>
      </c>
      <c r="D536" s="204">
        <v>2014</v>
      </c>
      <c r="E536" s="204">
        <v>2014</v>
      </c>
      <c r="F536" s="204" t="s">
        <v>243</v>
      </c>
      <c r="G536" s="204">
        <v>2233</v>
      </c>
      <c r="H536" s="204" t="s">
        <v>270</v>
      </c>
      <c r="I536" s="204">
        <v>6359</v>
      </c>
      <c r="J536" s="209">
        <v>42426</v>
      </c>
      <c r="K536" s="210">
        <v>0.40995370370370371</v>
      </c>
      <c r="L536" s="209">
        <v>42430</v>
      </c>
      <c r="M536" s="204" t="s">
        <v>314</v>
      </c>
      <c r="N536" s="204" t="s">
        <v>415</v>
      </c>
      <c r="O536" s="204" t="s">
        <v>416</v>
      </c>
      <c r="P536" s="204" t="s">
        <v>417</v>
      </c>
      <c r="Q536" s="204" t="s">
        <v>275</v>
      </c>
      <c r="R536" s="204" t="s">
        <v>418</v>
      </c>
      <c r="S536" s="204" t="s">
        <v>436</v>
      </c>
      <c r="T536" s="204" t="s">
        <v>570</v>
      </c>
      <c r="U536" s="204">
        <v>2233</v>
      </c>
      <c r="V536" s="204" t="s">
        <v>570</v>
      </c>
      <c r="W536" s="204" t="s">
        <v>280</v>
      </c>
      <c r="X536" s="204">
        <v>11.125999999999999</v>
      </c>
      <c r="Y536" s="211">
        <v>0</v>
      </c>
      <c r="Z536" s="211">
        <v>1.7</v>
      </c>
      <c r="AA536" s="211">
        <v>18.899999999999999</v>
      </c>
      <c r="AB536" s="211">
        <v>-2.04</v>
      </c>
      <c r="AC536" s="211">
        <v>0</v>
      </c>
      <c r="AD536" s="211">
        <v>0</v>
      </c>
      <c r="AE536" s="211">
        <v>16.86</v>
      </c>
      <c r="AF536" s="211">
        <v>-2.67</v>
      </c>
      <c r="AG536" s="204" t="s">
        <v>279</v>
      </c>
      <c r="AH536" s="211">
        <v>0</v>
      </c>
      <c r="AI536" s="211">
        <v>18.899999999999999</v>
      </c>
      <c r="AJ536" s="211">
        <v>0</v>
      </c>
      <c r="AK536" s="204" t="str">
        <f t="shared" si="17"/>
        <v>1.00000000</v>
      </c>
      <c r="AL536" s="204">
        <v>12.1</v>
      </c>
    </row>
    <row r="537" spans="1:38" x14ac:dyDescent="0.2">
      <c r="A537" s="204" t="str">
        <f t="shared" si="18"/>
        <v>0496002595809</v>
      </c>
      <c r="B537" s="204">
        <v>2</v>
      </c>
      <c r="C537" s="204" t="s">
        <v>570</v>
      </c>
      <c r="D537" s="204">
        <v>2014</v>
      </c>
      <c r="E537" s="204">
        <v>2014</v>
      </c>
      <c r="F537" s="204" t="s">
        <v>243</v>
      </c>
      <c r="G537" s="204">
        <v>2233</v>
      </c>
      <c r="H537" s="204" t="s">
        <v>270</v>
      </c>
      <c r="I537" s="204">
        <v>6601</v>
      </c>
      <c r="J537" s="209">
        <v>42452</v>
      </c>
      <c r="K537" s="210">
        <v>0.39305555555555555</v>
      </c>
      <c r="L537" s="209">
        <v>42454</v>
      </c>
      <c r="M537" s="204" t="s">
        <v>853</v>
      </c>
      <c r="N537" s="204" t="s">
        <v>272</v>
      </c>
      <c r="O537" s="204" t="s">
        <v>273</v>
      </c>
      <c r="P537" s="204" t="s">
        <v>274</v>
      </c>
      <c r="Q537" s="204" t="s">
        <v>275</v>
      </c>
      <c r="R537" s="204" t="s">
        <v>276</v>
      </c>
      <c r="S537" s="204" t="s">
        <v>436</v>
      </c>
      <c r="T537" s="204" t="s">
        <v>570</v>
      </c>
      <c r="U537" s="204">
        <v>2233</v>
      </c>
      <c r="V537" s="204" t="s">
        <v>570</v>
      </c>
      <c r="W537" s="204" t="s">
        <v>280</v>
      </c>
      <c r="X537" s="204">
        <v>17.408000000000001</v>
      </c>
      <c r="Y537" s="211">
        <v>-0.52</v>
      </c>
      <c r="Z537" s="211">
        <v>1.95</v>
      </c>
      <c r="AA537" s="211">
        <v>33.93</v>
      </c>
      <c r="AB537" s="211">
        <v>-3.19</v>
      </c>
      <c r="AC537" s="211">
        <v>0</v>
      </c>
      <c r="AD537" s="211">
        <v>0</v>
      </c>
      <c r="AE537" s="211">
        <v>30.22</v>
      </c>
      <c r="AF537" s="211">
        <v>-4.18</v>
      </c>
      <c r="AG537" s="204" t="s">
        <v>279</v>
      </c>
      <c r="AH537" s="211">
        <v>0</v>
      </c>
      <c r="AI537" s="211">
        <v>33.93</v>
      </c>
      <c r="AJ537" s="211">
        <v>0</v>
      </c>
      <c r="AK537" s="204" t="str">
        <f t="shared" si="17"/>
        <v>1.00000000</v>
      </c>
      <c r="AL537" s="204">
        <v>13.9</v>
      </c>
    </row>
    <row r="538" spans="1:38" x14ac:dyDescent="0.2">
      <c r="A538" s="204" t="str">
        <f t="shared" si="18"/>
        <v>0496002595809</v>
      </c>
      <c r="B538" s="204">
        <v>2</v>
      </c>
      <c r="C538" s="204" t="s">
        <v>570</v>
      </c>
      <c r="D538" s="204">
        <v>2014</v>
      </c>
      <c r="E538" s="204">
        <v>2014</v>
      </c>
      <c r="F538" s="204" t="s">
        <v>243</v>
      </c>
      <c r="G538" s="204">
        <v>2233</v>
      </c>
      <c r="H538" s="204" t="s">
        <v>270</v>
      </c>
      <c r="I538" s="204">
        <v>6714</v>
      </c>
      <c r="J538" s="209">
        <v>42461</v>
      </c>
      <c r="K538" s="210">
        <v>0.40416666666666662</v>
      </c>
      <c r="L538" s="209">
        <v>42465</v>
      </c>
      <c r="M538" s="204" t="s">
        <v>271</v>
      </c>
      <c r="N538" s="204" t="s">
        <v>272</v>
      </c>
      <c r="O538" s="204" t="s">
        <v>273</v>
      </c>
      <c r="P538" s="204" t="s">
        <v>274</v>
      </c>
      <c r="Q538" s="204" t="s">
        <v>275</v>
      </c>
      <c r="R538" s="204" t="s">
        <v>276</v>
      </c>
      <c r="S538" s="204" t="s">
        <v>436</v>
      </c>
      <c r="T538" s="204" t="s">
        <v>570</v>
      </c>
      <c r="U538" s="204">
        <v>2233</v>
      </c>
      <c r="V538" s="204" t="s">
        <v>570</v>
      </c>
      <c r="W538" s="204" t="s">
        <v>280</v>
      </c>
      <c r="X538" s="204">
        <v>8.9890000000000008</v>
      </c>
      <c r="Y538" s="211">
        <v>-0.27</v>
      </c>
      <c r="Z538" s="211">
        <v>2.0299999999999998</v>
      </c>
      <c r="AA538" s="211">
        <v>18.239999999999998</v>
      </c>
      <c r="AB538" s="211">
        <v>-1.64</v>
      </c>
      <c r="AC538" s="211">
        <v>0</v>
      </c>
      <c r="AD538" s="211">
        <v>0</v>
      </c>
      <c r="AE538" s="211">
        <v>16.329999999999998</v>
      </c>
      <c r="AF538" s="211">
        <v>-2.16</v>
      </c>
      <c r="AG538" s="204" t="s">
        <v>279</v>
      </c>
      <c r="AH538" s="211">
        <v>0</v>
      </c>
      <c r="AI538" s="211">
        <v>18.239999999999998</v>
      </c>
      <c r="AJ538" s="211">
        <v>0</v>
      </c>
      <c r="AK538" s="204" t="str">
        <f t="shared" si="17"/>
        <v>1.00000000</v>
      </c>
      <c r="AL538" s="204">
        <v>12.6</v>
      </c>
    </row>
    <row r="539" spans="1:38" x14ac:dyDescent="0.2">
      <c r="A539" s="204" t="str">
        <f t="shared" si="18"/>
        <v>0496002595809</v>
      </c>
      <c r="B539" s="204">
        <v>2</v>
      </c>
      <c r="C539" s="204" t="s">
        <v>570</v>
      </c>
      <c r="D539" s="204">
        <v>2014</v>
      </c>
      <c r="E539" s="204">
        <v>2014</v>
      </c>
      <c r="F539" s="204" t="s">
        <v>243</v>
      </c>
      <c r="G539" s="204">
        <v>2233</v>
      </c>
      <c r="H539" s="204" t="s">
        <v>270</v>
      </c>
      <c r="I539" s="204">
        <v>7008</v>
      </c>
      <c r="J539" s="209">
        <v>42466</v>
      </c>
      <c r="K539" s="210">
        <v>0.61875000000000002</v>
      </c>
      <c r="L539" s="209">
        <v>42468</v>
      </c>
      <c r="M539" s="204" t="s">
        <v>271</v>
      </c>
      <c r="N539" s="204" t="s">
        <v>272</v>
      </c>
      <c r="O539" s="204" t="s">
        <v>273</v>
      </c>
      <c r="P539" s="204" t="s">
        <v>274</v>
      </c>
      <c r="Q539" s="204" t="s">
        <v>275</v>
      </c>
      <c r="R539" s="204" t="s">
        <v>276</v>
      </c>
      <c r="S539" s="204" t="s">
        <v>436</v>
      </c>
      <c r="T539" s="204" t="s">
        <v>570</v>
      </c>
      <c r="U539" s="204">
        <v>2233</v>
      </c>
      <c r="V539" s="204" t="s">
        <v>570</v>
      </c>
      <c r="W539" s="204" t="s">
        <v>280</v>
      </c>
      <c r="X539" s="204">
        <v>21.626000000000001</v>
      </c>
      <c r="Y539" s="211">
        <v>-0.65</v>
      </c>
      <c r="Z539" s="211">
        <v>2.0299999999999998</v>
      </c>
      <c r="AA539" s="211">
        <v>43.88</v>
      </c>
      <c r="AB539" s="211">
        <v>-3.96</v>
      </c>
      <c r="AC539" s="211">
        <v>0</v>
      </c>
      <c r="AD539" s="211">
        <v>0</v>
      </c>
      <c r="AE539" s="211">
        <v>39.270000000000003</v>
      </c>
      <c r="AF539" s="211">
        <v>-5.19</v>
      </c>
      <c r="AG539" s="204" t="s">
        <v>279</v>
      </c>
      <c r="AH539" s="211">
        <v>0</v>
      </c>
      <c r="AI539" s="211">
        <v>43.88</v>
      </c>
      <c r="AJ539" s="211">
        <v>0</v>
      </c>
      <c r="AK539" s="204" t="str">
        <f t="shared" si="17"/>
        <v>1.00000000</v>
      </c>
      <c r="AL539" s="204">
        <v>13.6</v>
      </c>
    </row>
    <row r="540" spans="1:38" x14ac:dyDescent="0.2">
      <c r="A540" s="204" t="str">
        <f t="shared" si="18"/>
        <v>0496002595809</v>
      </c>
      <c r="B540" s="204">
        <v>2</v>
      </c>
      <c r="C540" s="204" t="s">
        <v>570</v>
      </c>
      <c r="D540" s="204">
        <v>2014</v>
      </c>
      <c r="E540" s="204">
        <v>2014</v>
      </c>
      <c r="F540" s="204" t="s">
        <v>243</v>
      </c>
      <c r="G540" s="204">
        <v>2233</v>
      </c>
      <c r="H540" s="204" t="s">
        <v>270</v>
      </c>
      <c r="I540" s="204">
        <v>7318</v>
      </c>
      <c r="J540" s="209">
        <v>42477</v>
      </c>
      <c r="K540" s="210">
        <v>0.37152777777777773</v>
      </c>
      <c r="L540" s="209">
        <v>42479</v>
      </c>
      <c r="M540" s="204" t="s">
        <v>302</v>
      </c>
      <c r="N540" s="204" t="s">
        <v>913</v>
      </c>
      <c r="O540" s="204" t="s">
        <v>914</v>
      </c>
      <c r="P540" s="204" t="s">
        <v>915</v>
      </c>
      <c r="Q540" s="204" t="s">
        <v>329</v>
      </c>
      <c r="R540" s="204" t="s">
        <v>916</v>
      </c>
      <c r="S540" s="204" t="s">
        <v>436</v>
      </c>
      <c r="T540" s="204" t="s">
        <v>570</v>
      </c>
      <c r="U540" s="204">
        <v>2233</v>
      </c>
      <c r="V540" s="204" t="s">
        <v>570</v>
      </c>
      <c r="W540" s="204" t="s">
        <v>280</v>
      </c>
      <c r="X540" s="204">
        <v>21.645</v>
      </c>
      <c r="Y540" s="211">
        <v>0</v>
      </c>
      <c r="Z540" s="211">
        <v>2.2799999999999998</v>
      </c>
      <c r="AA540" s="211">
        <v>49.33</v>
      </c>
      <c r="AB540" s="211">
        <v>-3.96</v>
      </c>
      <c r="AC540" s="211">
        <v>0</v>
      </c>
      <c r="AD540" s="211">
        <v>0</v>
      </c>
      <c r="AE540" s="211">
        <v>45.37</v>
      </c>
      <c r="AF540" s="211">
        <v>-8.9</v>
      </c>
      <c r="AG540" s="204" t="s">
        <v>279</v>
      </c>
      <c r="AH540" s="211">
        <v>0</v>
      </c>
      <c r="AI540" s="211">
        <v>49.33</v>
      </c>
      <c r="AJ540" s="211">
        <v>0</v>
      </c>
      <c r="AK540" s="204" t="str">
        <f t="shared" si="17"/>
        <v>1.00000000</v>
      </c>
      <c r="AL540" s="204">
        <v>14.3</v>
      </c>
    </row>
    <row r="541" spans="1:38" x14ac:dyDescent="0.2">
      <c r="A541" s="204" t="str">
        <f t="shared" si="18"/>
        <v>0496002595809</v>
      </c>
      <c r="B541" s="204">
        <v>2</v>
      </c>
      <c r="C541" s="204" t="s">
        <v>570</v>
      </c>
      <c r="D541" s="204">
        <v>2014</v>
      </c>
      <c r="E541" s="204">
        <v>2014</v>
      </c>
      <c r="F541" s="204" t="s">
        <v>243</v>
      </c>
      <c r="G541" s="204">
        <v>2233</v>
      </c>
      <c r="H541" s="204" t="s">
        <v>270</v>
      </c>
      <c r="I541" s="204">
        <v>7506</v>
      </c>
      <c r="J541" s="209">
        <v>42478</v>
      </c>
      <c r="K541" s="210">
        <v>0.3840277777777778</v>
      </c>
      <c r="L541" s="209">
        <v>42480</v>
      </c>
      <c r="M541" s="204" t="s">
        <v>271</v>
      </c>
      <c r="N541" s="204" t="s">
        <v>272</v>
      </c>
      <c r="O541" s="204" t="s">
        <v>273</v>
      </c>
      <c r="P541" s="204" t="s">
        <v>274</v>
      </c>
      <c r="Q541" s="204" t="s">
        <v>275</v>
      </c>
      <c r="R541" s="204" t="s">
        <v>276</v>
      </c>
      <c r="S541" s="204" t="s">
        <v>436</v>
      </c>
      <c r="T541" s="204" t="s">
        <v>570</v>
      </c>
      <c r="U541" s="204">
        <v>2233</v>
      </c>
      <c r="V541" s="204" t="s">
        <v>570</v>
      </c>
      <c r="W541" s="204" t="s">
        <v>280</v>
      </c>
      <c r="X541" s="204">
        <v>13.092000000000001</v>
      </c>
      <c r="Y541" s="211">
        <v>-0.39</v>
      </c>
      <c r="Z541" s="211">
        <v>2.09</v>
      </c>
      <c r="AA541" s="211">
        <v>27.35</v>
      </c>
      <c r="AB541" s="211">
        <v>-2.4</v>
      </c>
      <c r="AC541" s="211">
        <v>0</v>
      </c>
      <c r="AD541" s="211">
        <v>0</v>
      </c>
      <c r="AE541" s="211">
        <v>24.56</v>
      </c>
      <c r="AF541" s="211">
        <v>-3.14</v>
      </c>
      <c r="AG541" s="204" t="s">
        <v>279</v>
      </c>
      <c r="AH541" s="211">
        <v>0</v>
      </c>
      <c r="AI541" s="211">
        <v>27.35</v>
      </c>
      <c r="AJ541" s="211">
        <v>0</v>
      </c>
      <c r="AK541" s="204" t="str">
        <f t="shared" si="17"/>
        <v>1.00000000</v>
      </c>
      <c r="AL541" s="204">
        <v>14.4</v>
      </c>
    </row>
    <row r="542" spans="1:38" x14ac:dyDescent="0.2">
      <c r="A542" s="204" t="str">
        <f t="shared" si="18"/>
        <v>0496002595809</v>
      </c>
      <c r="B542" s="204">
        <v>2</v>
      </c>
      <c r="C542" s="204" t="s">
        <v>570</v>
      </c>
      <c r="D542" s="204">
        <v>2014</v>
      </c>
      <c r="E542" s="204">
        <v>2014</v>
      </c>
      <c r="F542" s="204" t="s">
        <v>243</v>
      </c>
      <c r="G542" s="204">
        <v>2233</v>
      </c>
      <c r="H542" s="204" t="s">
        <v>270</v>
      </c>
      <c r="I542" s="204">
        <v>7598</v>
      </c>
      <c r="J542" s="209">
        <v>42482</v>
      </c>
      <c r="K542" s="210">
        <v>0.59652777777777777</v>
      </c>
      <c r="L542" s="209">
        <v>42486</v>
      </c>
      <c r="M542" s="204" t="s">
        <v>271</v>
      </c>
      <c r="N542" s="204" t="s">
        <v>272</v>
      </c>
      <c r="O542" s="204" t="s">
        <v>273</v>
      </c>
      <c r="P542" s="204" t="s">
        <v>274</v>
      </c>
      <c r="Q542" s="204" t="s">
        <v>275</v>
      </c>
      <c r="R542" s="204" t="s">
        <v>276</v>
      </c>
      <c r="S542" s="204" t="s">
        <v>436</v>
      </c>
      <c r="T542" s="204" t="s">
        <v>570</v>
      </c>
      <c r="U542" s="204">
        <v>2233</v>
      </c>
      <c r="V542" s="204" t="s">
        <v>570</v>
      </c>
      <c r="W542" s="204" t="s">
        <v>280</v>
      </c>
      <c r="X542" s="204">
        <v>7.5170000000000003</v>
      </c>
      <c r="Y542" s="211">
        <v>-0.23</v>
      </c>
      <c r="Z542" s="211">
        <v>2.12</v>
      </c>
      <c r="AA542" s="211">
        <v>15.93</v>
      </c>
      <c r="AB542" s="211">
        <v>-1.38</v>
      </c>
      <c r="AC542" s="211">
        <v>0</v>
      </c>
      <c r="AD542" s="211">
        <v>0</v>
      </c>
      <c r="AE542" s="211">
        <v>14.32</v>
      </c>
      <c r="AF542" s="211">
        <v>-1.8</v>
      </c>
      <c r="AG542" s="204" t="s">
        <v>279</v>
      </c>
      <c r="AH542" s="211">
        <v>0</v>
      </c>
      <c r="AI542" s="211">
        <v>15.93</v>
      </c>
      <c r="AJ542" s="211">
        <v>0</v>
      </c>
      <c r="AK542" s="204" t="str">
        <f t="shared" si="17"/>
        <v>1.00000000</v>
      </c>
      <c r="AL542" s="204">
        <v>12.2</v>
      </c>
    </row>
    <row r="543" spans="1:38" x14ac:dyDescent="0.2">
      <c r="A543" s="204" t="str">
        <f t="shared" si="18"/>
        <v>0496002595809</v>
      </c>
      <c r="B543" s="204">
        <v>2</v>
      </c>
      <c r="C543" s="204" t="s">
        <v>570</v>
      </c>
      <c r="D543" s="204">
        <v>2014</v>
      </c>
      <c r="E543" s="204">
        <v>2014</v>
      </c>
      <c r="F543" s="204" t="s">
        <v>243</v>
      </c>
      <c r="G543" s="204">
        <v>2233</v>
      </c>
      <c r="H543" s="204" t="s">
        <v>270</v>
      </c>
      <c r="I543" s="204">
        <v>7907</v>
      </c>
      <c r="J543" s="209">
        <v>42484</v>
      </c>
      <c r="K543" s="210">
        <v>0.47638888888888892</v>
      </c>
      <c r="L543" s="209">
        <v>42486</v>
      </c>
      <c r="M543" s="204" t="s">
        <v>294</v>
      </c>
      <c r="N543" s="204" t="s">
        <v>1084</v>
      </c>
      <c r="O543" s="204" t="s">
        <v>1085</v>
      </c>
      <c r="P543" s="204" t="s">
        <v>383</v>
      </c>
      <c r="Q543" s="204" t="s">
        <v>377</v>
      </c>
      <c r="R543" s="204" t="s">
        <v>1086</v>
      </c>
      <c r="S543" s="204" t="s">
        <v>436</v>
      </c>
      <c r="T543" s="204" t="s">
        <v>570</v>
      </c>
      <c r="U543" s="204">
        <v>2233</v>
      </c>
      <c r="V543" s="204" t="s">
        <v>570</v>
      </c>
      <c r="W543" s="204" t="s">
        <v>280</v>
      </c>
      <c r="X543" s="204">
        <v>20.440000000000001</v>
      </c>
      <c r="Y543" s="211">
        <v>0</v>
      </c>
      <c r="Z543" s="211">
        <v>2.14</v>
      </c>
      <c r="AA543" s="211">
        <v>43.72</v>
      </c>
      <c r="AB543" s="211">
        <v>-3.74</v>
      </c>
      <c r="AC543" s="211">
        <v>0</v>
      </c>
      <c r="AD543" s="211">
        <v>0</v>
      </c>
      <c r="AE543" s="211">
        <v>39.979999999999997</v>
      </c>
      <c r="AF543" s="211">
        <v>-4.8899999999999997</v>
      </c>
      <c r="AG543" s="204" t="s">
        <v>279</v>
      </c>
      <c r="AH543" s="211">
        <v>0</v>
      </c>
      <c r="AI543" s="211">
        <v>43.72</v>
      </c>
      <c r="AJ543" s="211">
        <v>0</v>
      </c>
      <c r="AK543" s="204" t="str">
        <f t="shared" si="17"/>
        <v>1.00000000</v>
      </c>
      <c r="AL543" s="204">
        <v>15.1</v>
      </c>
    </row>
    <row r="544" spans="1:38" x14ac:dyDescent="0.2">
      <c r="A544" s="204" t="str">
        <f t="shared" si="18"/>
        <v>0496002595809</v>
      </c>
      <c r="B544" s="204">
        <v>2</v>
      </c>
      <c r="C544" s="204" t="s">
        <v>570</v>
      </c>
      <c r="D544" s="204">
        <v>2014</v>
      </c>
      <c r="E544" s="204">
        <v>2014</v>
      </c>
      <c r="F544" s="204" t="s">
        <v>243</v>
      </c>
      <c r="G544" s="204">
        <v>2233</v>
      </c>
      <c r="H544" s="204" t="s">
        <v>270</v>
      </c>
      <c r="I544" s="204">
        <v>8029</v>
      </c>
      <c r="J544" s="209">
        <v>42489</v>
      </c>
      <c r="K544" s="210">
        <v>0.46458333333333335</v>
      </c>
      <c r="L544" s="209">
        <v>42493</v>
      </c>
      <c r="M544" s="204" t="s">
        <v>271</v>
      </c>
      <c r="N544" s="204" t="s">
        <v>272</v>
      </c>
      <c r="O544" s="204" t="s">
        <v>273</v>
      </c>
      <c r="P544" s="204" t="s">
        <v>274</v>
      </c>
      <c r="Q544" s="204" t="s">
        <v>275</v>
      </c>
      <c r="R544" s="204" t="s">
        <v>276</v>
      </c>
      <c r="S544" s="204" t="s">
        <v>436</v>
      </c>
      <c r="T544" s="204" t="s">
        <v>570</v>
      </c>
      <c r="U544" s="204">
        <v>2233</v>
      </c>
      <c r="V544" s="204" t="s">
        <v>570</v>
      </c>
      <c r="W544" s="204" t="s">
        <v>280</v>
      </c>
      <c r="X544" s="204">
        <v>8.3079999999999998</v>
      </c>
      <c r="Y544" s="211">
        <v>-0.25</v>
      </c>
      <c r="Z544" s="211">
        <v>2.2000000000000002</v>
      </c>
      <c r="AA544" s="211">
        <v>18.27</v>
      </c>
      <c r="AB544" s="211">
        <v>-1.52</v>
      </c>
      <c r="AC544" s="211">
        <v>0</v>
      </c>
      <c r="AD544" s="211">
        <v>0</v>
      </c>
      <c r="AE544" s="211">
        <v>16.5</v>
      </c>
      <c r="AF544" s="211">
        <v>-1.99</v>
      </c>
      <c r="AG544" s="204" t="s">
        <v>279</v>
      </c>
      <c r="AH544" s="211">
        <v>0</v>
      </c>
      <c r="AI544" s="211">
        <v>18.27</v>
      </c>
      <c r="AJ544" s="211">
        <v>0</v>
      </c>
      <c r="AK544" s="204" t="str">
        <f t="shared" si="17"/>
        <v>1.00000000</v>
      </c>
      <c r="AL544" s="204">
        <v>14.7</v>
      </c>
    </row>
    <row r="545" spans="1:38" x14ac:dyDescent="0.2">
      <c r="A545" s="204" t="str">
        <f t="shared" si="18"/>
        <v>0496002595809</v>
      </c>
      <c r="B545" s="204">
        <v>2</v>
      </c>
      <c r="C545" s="204" t="s">
        <v>570</v>
      </c>
      <c r="D545" s="204">
        <v>2014</v>
      </c>
      <c r="E545" s="204">
        <v>2014</v>
      </c>
      <c r="F545" s="204" t="s">
        <v>243</v>
      </c>
      <c r="G545" s="204">
        <v>2233</v>
      </c>
      <c r="H545" s="204" t="s">
        <v>270</v>
      </c>
      <c r="I545" s="204">
        <v>8269</v>
      </c>
      <c r="J545" s="209">
        <v>42493</v>
      </c>
      <c r="K545" s="210">
        <v>0.38611111111111113</v>
      </c>
      <c r="L545" s="209">
        <v>42495</v>
      </c>
      <c r="M545" s="204" t="s">
        <v>271</v>
      </c>
      <c r="N545" s="204" t="s">
        <v>272</v>
      </c>
      <c r="O545" s="204" t="s">
        <v>273</v>
      </c>
      <c r="P545" s="204" t="s">
        <v>274</v>
      </c>
      <c r="Q545" s="204" t="s">
        <v>275</v>
      </c>
      <c r="R545" s="204" t="s">
        <v>276</v>
      </c>
      <c r="S545" s="204" t="s">
        <v>436</v>
      </c>
      <c r="T545" s="204" t="s">
        <v>570</v>
      </c>
      <c r="U545" s="204">
        <v>2233</v>
      </c>
      <c r="V545" s="204" t="s">
        <v>570</v>
      </c>
      <c r="W545" s="204" t="s">
        <v>280</v>
      </c>
      <c r="X545" s="204">
        <v>15.702</v>
      </c>
      <c r="Y545" s="211">
        <v>-0.47</v>
      </c>
      <c r="Z545" s="211">
        <v>2.2000000000000002</v>
      </c>
      <c r="AA545" s="211">
        <v>34.53</v>
      </c>
      <c r="AB545" s="211">
        <v>-2.87</v>
      </c>
      <c r="AC545" s="211">
        <v>0</v>
      </c>
      <c r="AD545" s="211">
        <v>0</v>
      </c>
      <c r="AE545" s="211">
        <v>31.19</v>
      </c>
      <c r="AF545" s="211">
        <v>-3.77</v>
      </c>
      <c r="AG545" s="204" t="s">
        <v>279</v>
      </c>
      <c r="AH545" s="211">
        <v>0</v>
      </c>
      <c r="AI545" s="211">
        <v>34.53</v>
      </c>
      <c r="AJ545" s="211">
        <v>0</v>
      </c>
      <c r="AK545" s="204" t="str">
        <f t="shared" si="17"/>
        <v>1.00000000</v>
      </c>
      <c r="AL545" s="204">
        <v>15.3</v>
      </c>
    </row>
    <row r="546" spans="1:38" x14ac:dyDescent="0.2">
      <c r="A546" s="204" t="str">
        <f t="shared" si="18"/>
        <v>0496002595809</v>
      </c>
      <c r="B546" s="204">
        <v>2</v>
      </c>
      <c r="C546" s="204" t="s">
        <v>570</v>
      </c>
      <c r="D546" s="204">
        <v>2014</v>
      </c>
      <c r="E546" s="204">
        <v>2014</v>
      </c>
      <c r="F546" s="204" t="s">
        <v>243</v>
      </c>
      <c r="G546" s="204">
        <v>2233</v>
      </c>
      <c r="H546" s="204" t="s">
        <v>270</v>
      </c>
      <c r="I546" s="204">
        <v>8489</v>
      </c>
      <c r="J546" s="209">
        <v>42541</v>
      </c>
      <c r="K546" s="210">
        <v>0.4513888888888889</v>
      </c>
      <c r="L546" s="209">
        <v>42543</v>
      </c>
      <c r="M546" s="204" t="s">
        <v>271</v>
      </c>
      <c r="N546" s="204" t="s">
        <v>272</v>
      </c>
      <c r="O546" s="204" t="s">
        <v>273</v>
      </c>
      <c r="P546" s="204" t="s">
        <v>274</v>
      </c>
      <c r="Q546" s="204" t="s">
        <v>275</v>
      </c>
      <c r="R546" s="204" t="s">
        <v>276</v>
      </c>
      <c r="S546" s="204" t="s">
        <v>436</v>
      </c>
      <c r="T546" s="204" t="s">
        <v>570</v>
      </c>
      <c r="U546" s="204">
        <v>2233</v>
      </c>
      <c r="V546" s="204" t="s">
        <v>570</v>
      </c>
      <c r="W546" s="204" t="s">
        <v>280</v>
      </c>
      <c r="X546" s="204">
        <v>15.534000000000001</v>
      </c>
      <c r="Y546" s="211">
        <v>-0.47</v>
      </c>
      <c r="Z546" s="211">
        <v>2.31</v>
      </c>
      <c r="AA546" s="211">
        <v>35.869999999999997</v>
      </c>
      <c r="AB546" s="211">
        <v>-2.84</v>
      </c>
      <c r="AC546" s="211">
        <v>0</v>
      </c>
      <c r="AD546" s="211">
        <v>0</v>
      </c>
      <c r="AE546" s="211">
        <v>32.56</v>
      </c>
      <c r="AF546" s="211">
        <v>-3.73</v>
      </c>
      <c r="AG546" s="204" t="s">
        <v>279</v>
      </c>
      <c r="AH546" s="211">
        <v>0</v>
      </c>
      <c r="AI546" s="211">
        <v>35.869999999999997</v>
      </c>
      <c r="AJ546" s="211">
        <v>0</v>
      </c>
      <c r="AK546" s="204" t="str">
        <f t="shared" si="17"/>
        <v>1.00000000</v>
      </c>
      <c r="AL546" s="204">
        <v>14.2</v>
      </c>
    </row>
    <row r="547" spans="1:38" x14ac:dyDescent="0.2">
      <c r="A547" s="204" t="str">
        <f>"0496002595833"</f>
        <v>0496002595833</v>
      </c>
      <c r="B547" s="204">
        <v>1</v>
      </c>
      <c r="C547" s="204" t="s">
        <v>571</v>
      </c>
      <c r="D547" s="204" t="s">
        <v>571</v>
      </c>
      <c r="E547" s="204" t="s">
        <v>572</v>
      </c>
      <c r="F547" s="204" t="s">
        <v>243</v>
      </c>
      <c r="G547" s="204">
        <v>2328</v>
      </c>
      <c r="H547" s="204" t="s">
        <v>270</v>
      </c>
      <c r="I547" s="204">
        <v>46091</v>
      </c>
      <c r="J547" s="209">
        <v>42485</v>
      </c>
      <c r="K547" s="210">
        <v>0.46502314814814816</v>
      </c>
      <c r="L547" s="209">
        <v>42487</v>
      </c>
      <c r="M547" s="204" t="s">
        <v>310</v>
      </c>
      <c r="N547" s="204" t="s">
        <v>331</v>
      </c>
      <c r="O547" s="204" t="s">
        <v>332</v>
      </c>
      <c r="P547" s="204" t="s">
        <v>274</v>
      </c>
      <c r="Q547" s="204" t="s">
        <v>275</v>
      </c>
      <c r="R547" s="204" t="s">
        <v>858</v>
      </c>
      <c r="S547" s="204" t="s">
        <v>436</v>
      </c>
      <c r="T547" s="204" t="s">
        <v>571</v>
      </c>
      <c r="U547" s="204">
        <v>2328</v>
      </c>
      <c r="V547" s="204" t="s">
        <v>571</v>
      </c>
      <c r="W547" s="204" t="s">
        <v>280</v>
      </c>
      <c r="X547" s="204">
        <v>10.739000000000001</v>
      </c>
      <c r="Y547" s="211">
        <v>0</v>
      </c>
      <c r="Z547" s="211">
        <v>2.14</v>
      </c>
      <c r="AA547" s="211">
        <v>22.97</v>
      </c>
      <c r="AB547" s="211">
        <v>-1.97</v>
      </c>
      <c r="AC547" s="211">
        <v>0</v>
      </c>
      <c r="AD547" s="211">
        <v>0</v>
      </c>
      <c r="AE547" s="211">
        <v>21</v>
      </c>
      <c r="AF547" s="211">
        <v>-2.58</v>
      </c>
      <c r="AG547" s="204" t="s">
        <v>279</v>
      </c>
      <c r="AH547" s="211">
        <v>0</v>
      </c>
      <c r="AI547" s="211">
        <v>22.97</v>
      </c>
      <c r="AJ547" s="211">
        <v>0</v>
      </c>
      <c r="AK547" s="204" t="str">
        <f t="shared" si="17"/>
        <v>1.00000000</v>
      </c>
      <c r="AL547" s="204">
        <v>269.60000000000002</v>
      </c>
    </row>
    <row r="548" spans="1:38" x14ac:dyDescent="0.2">
      <c r="A548" s="204" t="str">
        <f>"0496002595833"</f>
        <v>0496002595833</v>
      </c>
      <c r="B548" s="204">
        <v>1</v>
      </c>
      <c r="C548" s="204" t="s">
        <v>571</v>
      </c>
      <c r="D548" s="204" t="s">
        <v>571</v>
      </c>
      <c r="E548" s="204" t="s">
        <v>572</v>
      </c>
      <c r="F548" s="204" t="s">
        <v>243</v>
      </c>
      <c r="G548" s="204">
        <v>2328</v>
      </c>
      <c r="H548" s="204" t="s">
        <v>270</v>
      </c>
      <c r="I548" s="204">
        <v>46756</v>
      </c>
      <c r="J548" s="209">
        <v>42511</v>
      </c>
      <c r="K548" s="210">
        <v>0.46666666666666662</v>
      </c>
      <c r="L548" s="209">
        <v>42514</v>
      </c>
      <c r="M548" s="204" t="s">
        <v>271</v>
      </c>
      <c r="N548" s="204" t="s">
        <v>272</v>
      </c>
      <c r="O548" s="204" t="s">
        <v>273</v>
      </c>
      <c r="P548" s="204" t="s">
        <v>274</v>
      </c>
      <c r="Q548" s="204" t="s">
        <v>275</v>
      </c>
      <c r="R548" s="204" t="s">
        <v>276</v>
      </c>
      <c r="S548" s="204" t="s">
        <v>436</v>
      </c>
      <c r="T548" s="204" t="s">
        <v>571</v>
      </c>
      <c r="U548" s="204">
        <v>2328</v>
      </c>
      <c r="V548" s="204" t="s">
        <v>571</v>
      </c>
      <c r="W548" s="204" t="s">
        <v>280</v>
      </c>
      <c r="X548" s="204">
        <v>5.5090000000000003</v>
      </c>
      <c r="Y548" s="211">
        <v>-0.17</v>
      </c>
      <c r="Z548" s="211">
        <v>2.27</v>
      </c>
      <c r="AA548" s="211">
        <v>12.5</v>
      </c>
      <c r="AB548" s="211">
        <v>-1.01</v>
      </c>
      <c r="AC548" s="211">
        <v>0</v>
      </c>
      <c r="AD548" s="211">
        <v>0</v>
      </c>
      <c r="AE548" s="211">
        <v>11.32</v>
      </c>
      <c r="AF548" s="211">
        <v>-1.32</v>
      </c>
      <c r="AG548" s="204" t="s">
        <v>279</v>
      </c>
      <c r="AH548" s="211">
        <v>0</v>
      </c>
      <c r="AI548" s="211">
        <v>12.5</v>
      </c>
      <c r="AJ548" s="211">
        <v>0</v>
      </c>
      <c r="AK548" s="204" t="str">
        <f t="shared" si="17"/>
        <v>1.00000000</v>
      </c>
      <c r="AL548" s="204">
        <v>120.7</v>
      </c>
    </row>
    <row r="549" spans="1:38" x14ac:dyDescent="0.2">
      <c r="A549" s="204" t="str">
        <f>"0496002595833"</f>
        <v>0496002595833</v>
      </c>
      <c r="B549" s="204">
        <v>1</v>
      </c>
      <c r="C549" s="204" t="s">
        <v>571</v>
      </c>
      <c r="D549" s="204" t="s">
        <v>571</v>
      </c>
      <c r="E549" s="204" t="s">
        <v>572</v>
      </c>
      <c r="F549" s="204" t="s">
        <v>243</v>
      </c>
      <c r="G549" s="204">
        <v>2328</v>
      </c>
      <c r="H549" s="204" t="s">
        <v>270</v>
      </c>
      <c r="I549" s="204">
        <v>47340</v>
      </c>
      <c r="J549" s="209">
        <v>42536</v>
      </c>
      <c r="K549" s="210">
        <v>0.57361111111111118</v>
      </c>
      <c r="L549" s="209">
        <v>42538</v>
      </c>
      <c r="M549" s="204" t="s">
        <v>271</v>
      </c>
      <c r="N549" s="204" t="s">
        <v>272</v>
      </c>
      <c r="O549" s="204" t="s">
        <v>273</v>
      </c>
      <c r="P549" s="204" t="s">
        <v>274</v>
      </c>
      <c r="Q549" s="204" t="s">
        <v>275</v>
      </c>
      <c r="R549" s="204" t="s">
        <v>276</v>
      </c>
      <c r="S549" s="204" t="s">
        <v>436</v>
      </c>
      <c r="T549" s="204" t="s">
        <v>571</v>
      </c>
      <c r="U549" s="204">
        <v>2328</v>
      </c>
      <c r="V549" s="204" t="s">
        <v>571</v>
      </c>
      <c r="W549" s="204" t="s">
        <v>280</v>
      </c>
      <c r="X549" s="204">
        <v>8.3079999999999998</v>
      </c>
      <c r="Y549" s="211">
        <v>-0.25</v>
      </c>
      <c r="Z549" s="211">
        <v>2.33</v>
      </c>
      <c r="AA549" s="211">
        <v>19.350000000000001</v>
      </c>
      <c r="AB549" s="211">
        <v>-1.52</v>
      </c>
      <c r="AC549" s="211">
        <v>0</v>
      </c>
      <c r="AD549" s="211">
        <v>0</v>
      </c>
      <c r="AE549" s="211">
        <v>17.579999999999998</v>
      </c>
      <c r="AF549" s="211">
        <v>-1.99</v>
      </c>
      <c r="AG549" s="204" t="s">
        <v>279</v>
      </c>
      <c r="AH549" s="211">
        <v>0</v>
      </c>
      <c r="AI549" s="211">
        <v>19.350000000000001</v>
      </c>
      <c r="AJ549" s="211">
        <v>0</v>
      </c>
      <c r="AK549" s="204" t="str">
        <f t="shared" si="17"/>
        <v>1.00000000</v>
      </c>
      <c r="AL549" s="204">
        <v>70.3</v>
      </c>
    </row>
    <row r="550" spans="1:38" x14ac:dyDescent="0.2">
      <c r="A550" s="204" t="str">
        <f>"0496002595833"</f>
        <v>0496002595833</v>
      </c>
      <c r="B550" s="204">
        <v>1</v>
      </c>
      <c r="C550" s="204" t="s">
        <v>571</v>
      </c>
      <c r="D550" s="204" t="s">
        <v>571</v>
      </c>
      <c r="E550" s="204" t="s">
        <v>572</v>
      </c>
      <c r="F550" s="204" t="s">
        <v>243</v>
      </c>
      <c r="G550" s="204">
        <v>2328</v>
      </c>
      <c r="H550" s="204" t="s">
        <v>270</v>
      </c>
      <c r="I550" s="204">
        <v>47898</v>
      </c>
      <c r="J550" s="209">
        <v>42551</v>
      </c>
      <c r="K550" s="210">
        <v>0.69374999999999998</v>
      </c>
      <c r="L550" s="209">
        <v>42555</v>
      </c>
      <c r="M550" s="204" t="s">
        <v>271</v>
      </c>
      <c r="N550" s="204" t="s">
        <v>272</v>
      </c>
      <c r="O550" s="204" t="s">
        <v>273</v>
      </c>
      <c r="P550" s="204" t="s">
        <v>274</v>
      </c>
      <c r="Q550" s="204" t="s">
        <v>275</v>
      </c>
      <c r="R550" s="204" t="s">
        <v>276</v>
      </c>
      <c r="S550" s="204" t="s">
        <v>436</v>
      </c>
      <c r="T550" s="204" t="s">
        <v>571</v>
      </c>
      <c r="U550" s="204">
        <v>2328</v>
      </c>
      <c r="V550" s="204" t="s">
        <v>571</v>
      </c>
      <c r="W550" s="204" t="s">
        <v>280</v>
      </c>
      <c r="X550" s="204">
        <v>11.5</v>
      </c>
      <c r="Y550" s="211">
        <v>-0.35</v>
      </c>
      <c r="Z550" s="211">
        <v>2.2599999999999998</v>
      </c>
      <c r="AA550" s="211">
        <v>25.98</v>
      </c>
      <c r="AB550" s="211">
        <v>-2.1</v>
      </c>
      <c r="AC550" s="211">
        <v>0</v>
      </c>
      <c r="AD550" s="211">
        <v>0</v>
      </c>
      <c r="AE550" s="211">
        <v>23.53</v>
      </c>
      <c r="AF550" s="211">
        <v>-2.76</v>
      </c>
      <c r="AG550" s="204" t="s">
        <v>279</v>
      </c>
      <c r="AH550" s="211">
        <v>0</v>
      </c>
      <c r="AI550" s="211">
        <v>25.98</v>
      </c>
      <c r="AJ550" s="211">
        <v>0</v>
      </c>
      <c r="AK550" s="204" t="str">
        <f t="shared" si="17"/>
        <v>1.00000000</v>
      </c>
      <c r="AL550" s="204">
        <v>48.5</v>
      </c>
    </row>
    <row r="551" spans="1:38" x14ac:dyDescent="0.2">
      <c r="A551" s="204" t="str">
        <f t="shared" ref="A551:A556" si="19">"0496002595890"</f>
        <v>0496002595890</v>
      </c>
      <c r="B551" s="204">
        <v>1</v>
      </c>
      <c r="C551" s="204" t="s">
        <v>579</v>
      </c>
      <c r="D551" s="204">
        <v>12</v>
      </c>
      <c r="F551" s="204" t="s">
        <v>243</v>
      </c>
      <c r="G551" s="204">
        <v>2834</v>
      </c>
      <c r="H551" s="204" t="s">
        <v>270</v>
      </c>
      <c r="I551" s="204">
        <v>12970</v>
      </c>
      <c r="J551" s="209">
        <v>42405</v>
      </c>
      <c r="K551" s="210">
        <v>0.64097222222222217</v>
      </c>
      <c r="L551" s="209">
        <v>42409</v>
      </c>
      <c r="M551" s="204" t="s">
        <v>853</v>
      </c>
      <c r="N551" s="204" t="s">
        <v>272</v>
      </c>
      <c r="O551" s="204" t="s">
        <v>273</v>
      </c>
      <c r="P551" s="204" t="s">
        <v>274</v>
      </c>
      <c r="Q551" s="204" t="s">
        <v>275</v>
      </c>
      <c r="R551" s="204" t="s">
        <v>276</v>
      </c>
      <c r="S551" s="204" t="s">
        <v>436</v>
      </c>
      <c r="T551" s="204" t="s">
        <v>579</v>
      </c>
      <c r="U551" s="204">
        <v>2834</v>
      </c>
      <c r="V551" s="204" t="s">
        <v>579</v>
      </c>
      <c r="W551" s="204" t="s">
        <v>280</v>
      </c>
      <c r="X551" s="204">
        <v>25.082999999999998</v>
      </c>
      <c r="Y551" s="211">
        <v>-0.75</v>
      </c>
      <c r="Z551" s="211">
        <v>1.85</v>
      </c>
      <c r="AA551" s="211">
        <v>46.38</v>
      </c>
      <c r="AB551" s="211">
        <v>-4.59</v>
      </c>
      <c r="AC551" s="211">
        <v>0</v>
      </c>
      <c r="AD551" s="211">
        <v>0</v>
      </c>
      <c r="AE551" s="211">
        <v>41.04</v>
      </c>
      <c r="AF551" s="211">
        <v>-6.02</v>
      </c>
      <c r="AG551" s="204" t="s">
        <v>279</v>
      </c>
      <c r="AH551" s="211">
        <v>0</v>
      </c>
      <c r="AI551" s="211">
        <v>46.38</v>
      </c>
      <c r="AJ551" s="211">
        <v>0</v>
      </c>
      <c r="AK551" s="204" t="str">
        <f t="shared" si="17"/>
        <v>1.00000000</v>
      </c>
      <c r="AL551" s="204">
        <v>6.9</v>
      </c>
    </row>
    <row r="552" spans="1:38" x14ac:dyDescent="0.2">
      <c r="A552" s="204" t="str">
        <f t="shared" si="19"/>
        <v>0496002595890</v>
      </c>
      <c r="B552" s="204">
        <v>1</v>
      </c>
      <c r="C552" s="204" t="s">
        <v>579</v>
      </c>
      <c r="D552" s="204">
        <v>12</v>
      </c>
      <c r="F552" s="204" t="s">
        <v>243</v>
      </c>
      <c r="G552" s="204">
        <v>2834</v>
      </c>
      <c r="H552" s="204" t="s">
        <v>270</v>
      </c>
      <c r="I552" s="204">
        <v>13161</v>
      </c>
      <c r="J552" s="209">
        <v>42439</v>
      </c>
      <c r="K552" s="210">
        <v>0.66041666666666665</v>
      </c>
      <c r="L552" s="209">
        <v>42443</v>
      </c>
      <c r="M552" s="204" t="s">
        <v>853</v>
      </c>
      <c r="N552" s="204" t="s">
        <v>272</v>
      </c>
      <c r="O552" s="204" t="s">
        <v>273</v>
      </c>
      <c r="P552" s="204" t="s">
        <v>274</v>
      </c>
      <c r="Q552" s="204" t="s">
        <v>275</v>
      </c>
      <c r="R552" s="204" t="s">
        <v>276</v>
      </c>
      <c r="S552" s="204" t="s">
        <v>436</v>
      </c>
      <c r="T552" s="204" t="s">
        <v>579</v>
      </c>
      <c r="U552" s="204">
        <v>2834</v>
      </c>
      <c r="V552" s="204" t="s">
        <v>579</v>
      </c>
      <c r="W552" s="204" t="s">
        <v>280</v>
      </c>
      <c r="X552" s="204">
        <v>26.748999999999999</v>
      </c>
      <c r="Y552" s="211">
        <v>-0.8</v>
      </c>
      <c r="Z552" s="211">
        <v>1.77</v>
      </c>
      <c r="AA552" s="211">
        <v>47.32</v>
      </c>
      <c r="AB552" s="211">
        <v>-4.9000000000000004</v>
      </c>
      <c r="AC552" s="211">
        <v>0</v>
      </c>
      <c r="AD552" s="211">
        <v>0</v>
      </c>
      <c r="AE552" s="211">
        <v>41.62</v>
      </c>
      <c r="AF552" s="211">
        <v>-6.42</v>
      </c>
      <c r="AG552" s="204" t="s">
        <v>279</v>
      </c>
      <c r="AH552" s="211">
        <v>0</v>
      </c>
      <c r="AI552" s="211">
        <v>47.32</v>
      </c>
      <c r="AJ552" s="211">
        <v>0</v>
      </c>
      <c r="AK552" s="204" t="str">
        <f t="shared" si="17"/>
        <v>1.00000000</v>
      </c>
      <c r="AL552" s="204">
        <v>7.1</v>
      </c>
    </row>
    <row r="553" spans="1:38" x14ac:dyDescent="0.2">
      <c r="A553" s="204" t="str">
        <f t="shared" si="19"/>
        <v>0496002595890</v>
      </c>
      <c r="B553" s="204">
        <v>1</v>
      </c>
      <c r="C553" s="204" t="s">
        <v>579</v>
      </c>
      <c r="D553" s="204">
        <v>12</v>
      </c>
      <c r="F553" s="204" t="s">
        <v>243</v>
      </c>
      <c r="G553" s="204">
        <v>2834</v>
      </c>
      <c r="H553" s="204" t="s">
        <v>270</v>
      </c>
      <c r="I553" s="204">
        <v>13347</v>
      </c>
      <c r="J553" s="209">
        <v>42475</v>
      </c>
      <c r="K553" s="210">
        <v>0.73541666666666661</v>
      </c>
      <c r="L553" s="209">
        <v>42479</v>
      </c>
      <c r="M553" s="204" t="s">
        <v>271</v>
      </c>
      <c r="N553" s="204" t="s">
        <v>272</v>
      </c>
      <c r="O553" s="204" t="s">
        <v>273</v>
      </c>
      <c r="P553" s="204" t="s">
        <v>274</v>
      </c>
      <c r="Q553" s="204" t="s">
        <v>275</v>
      </c>
      <c r="R553" s="204" t="s">
        <v>276</v>
      </c>
      <c r="S553" s="204" t="s">
        <v>436</v>
      </c>
      <c r="T553" s="204" t="s">
        <v>579</v>
      </c>
      <c r="U553" s="204">
        <v>2834</v>
      </c>
      <c r="V553" s="204" t="s">
        <v>579</v>
      </c>
      <c r="W553" s="204" t="s">
        <v>280</v>
      </c>
      <c r="X553" s="204">
        <v>26.419</v>
      </c>
      <c r="Y553" s="211">
        <v>-0.79</v>
      </c>
      <c r="Z553" s="211">
        <v>2.09</v>
      </c>
      <c r="AA553" s="211">
        <v>55.19</v>
      </c>
      <c r="AB553" s="211">
        <v>-4.83</v>
      </c>
      <c r="AC553" s="211">
        <v>0</v>
      </c>
      <c r="AD553" s="211">
        <v>0</v>
      </c>
      <c r="AE553" s="211">
        <v>49.57</v>
      </c>
      <c r="AF553" s="211">
        <v>-6.34</v>
      </c>
      <c r="AG553" s="204" t="s">
        <v>279</v>
      </c>
      <c r="AH553" s="211">
        <v>0</v>
      </c>
      <c r="AI553" s="211">
        <v>55.19</v>
      </c>
      <c r="AJ553" s="211">
        <v>0</v>
      </c>
      <c r="AK553" s="204" t="str">
        <f t="shared" si="17"/>
        <v>1.00000000</v>
      </c>
      <c r="AL553" s="204">
        <v>7</v>
      </c>
    </row>
    <row r="554" spans="1:38" x14ac:dyDescent="0.2">
      <c r="A554" s="204" t="str">
        <f t="shared" si="19"/>
        <v>0496002595890</v>
      </c>
      <c r="B554" s="204">
        <v>1</v>
      </c>
      <c r="C554" s="204" t="s">
        <v>579</v>
      </c>
      <c r="D554" s="204">
        <v>12</v>
      </c>
      <c r="F554" s="204" t="s">
        <v>243</v>
      </c>
      <c r="G554" s="204">
        <v>2834</v>
      </c>
      <c r="H554" s="204" t="s">
        <v>270</v>
      </c>
      <c r="I554" s="204">
        <v>99999</v>
      </c>
      <c r="J554" s="209">
        <v>42482</v>
      </c>
      <c r="K554" s="210">
        <v>0.71458333333333324</v>
      </c>
      <c r="L554" s="209">
        <v>42486</v>
      </c>
      <c r="M554" s="204" t="s">
        <v>271</v>
      </c>
      <c r="N554" s="204" t="s">
        <v>272</v>
      </c>
      <c r="O554" s="204" t="s">
        <v>273</v>
      </c>
      <c r="P554" s="204" t="s">
        <v>274</v>
      </c>
      <c r="Q554" s="204" t="s">
        <v>275</v>
      </c>
      <c r="R554" s="204" t="s">
        <v>276</v>
      </c>
      <c r="S554" s="204" t="s">
        <v>436</v>
      </c>
      <c r="T554" s="204" t="s">
        <v>579</v>
      </c>
      <c r="U554" s="204">
        <v>2834</v>
      </c>
      <c r="V554" s="204" t="s">
        <v>579</v>
      </c>
      <c r="W554" s="204" t="s">
        <v>280</v>
      </c>
      <c r="X554" s="204">
        <v>21.353999999999999</v>
      </c>
      <c r="Y554" s="211">
        <v>-0.64</v>
      </c>
      <c r="Z554" s="211">
        <v>2.12</v>
      </c>
      <c r="AA554" s="211">
        <v>45.25</v>
      </c>
      <c r="AB554" s="211">
        <v>-3.91</v>
      </c>
      <c r="AC554" s="211">
        <v>0</v>
      </c>
      <c r="AD554" s="211">
        <v>0</v>
      </c>
      <c r="AE554" s="211">
        <v>40.700000000000003</v>
      </c>
      <c r="AF554" s="211">
        <v>-5.12</v>
      </c>
      <c r="AG554" s="204" t="s">
        <v>279</v>
      </c>
      <c r="AH554" s="211">
        <v>0</v>
      </c>
      <c r="AI554" s="211">
        <v>45.25</v>
      </c>
      <c r="AJ554" s="211">
        <v>0</v>
      </c>
      <c r="AK554" s="204" t="str">
        <f t="shared" si="17"/>
        <v>1.00000000</v>
      </c>
      <c r="AL554" s="204">
        <v>4057.9</v>
      </c>
    </row>
    <row r="555" spans="1:38" x14ac:dyDescent="0.2">
      <c r="A555" s="204" t="str">
        <f t="shared" si="19"/>
        <v>0496002595890</v>
      </c>
      <c r="B555" s="204">
        <v>1</v>
      </c>
      <c r="C555" s="204" t="s">
        <v>579</v>
      </c>
      <c r="D555" s="204">
        <v>12</v>
      </c>
      <c r="F555" s="204" t="s">
        <v>243</v>
      </c>
      <c r="G555" s="204">
        <v>2834</v>
      </c>
      <c r="H555" s="204" t="s">
        <v>270</v>
      </c>
      <c r="I555" s="204">
        <v>13544</v>
      </c>
      <c r="J555" s="209">
        <v>42501</v>
      </c>
      <c r="K555" s="210">
        <v>0.56319444444444444</v>
      </c>
      <c r="L555" s="209">
        <v>42503</v>
      </c>
      <c r="M555" s="204" t="s">
        <v>271</v>
      </c>
      <c r="N555" s="204" t="s">
        <v>272</v>
      </c>
      <c r="O555" s="204" t="s">
        <v>273</v>
      </c>
      <c r="P555" s="204" t="s">
        <v>274</v>
      </c>
      <c r="Q555" s="204" t="s">
        <v>275</v>
      </c>
      <c r="R555" s="204" t="s">
        <v>276</v>
      </c>
      <c r="S555" s="204" t="s">
        <v>436</v>
      </c>
      <c r="T555" s="204" t="s">
        <v>579</v>
      </c>
      <c r="U555" s="204">
        <v>2834</v>
      </c>
      <c r="V555" s="204" t="s">
        <v>579</v>
      </c>
      <c r="W555" s="204" t="s">
        <v>280</v>
      </c>
      <c r="X555" s="204">
        <v>25.145</v>
      </c>
      <c r="Y555" s="211">
        <v>-0.75</v>
      </c>
      <c r="Z555" s="211">
        <v>2.23</v>
      </c>
      <c r="AA555" s="211">
        <v>56.05</v>
      </c>
      <c r="AB555" s="211">
        <v>-4.5999999999999996</v>
      </c>
      <c r="AC555" s="211">
        <v>0</v>
      </c>
      <c r="AD555" s="211">
        <v>0</v>
      </c>
      <c r="AE555" s="211">
        <v>50.7</v>
      </c>
      <c r="AF555" s="211">
        <v>-6.03</v>
      </c>
      <c r="AG555" s="204" t="s">
        <v>279</v>
      </c>
      <c r="AH555" s="211">
        <v>0</v>
      </c>
      <c r="AI555" s="211">
        <v>56.05</v>
      </c>
      <c r="AJ555" s="211">
        <v>0</v>
      </c>
      <c r="AK555" s="204" t="str">
        <f t="shared" si="17"/>
        <v>1.00000000</v>
      </c>
      <c r="AL555" s="204">
        <v>0</v>
      </c>
    </row>
    <row r="556" spans="1:38" x14ac:dyDescent="0.2">
      <c r="A556" s="204" t="str">
        <f t="shared" si="19"/>
        <v>0496002595890</v>
      </c>
      <c r="B556" s="204">
        <v>1</v>
      </c>
      <c r="C556" s="204" t="s">
        <v>579</v>
      </c>
      <c r="D556" s="204">
        <v>12</v>
      </c>
      <c r="F556" s="204" t="s">
        <v>243</v>
      </c>
      <c r="G556" s="204">
        <v>2834</v>
      </c>
      <c r="H556" s="204" t="s">
        <v>270</v>
      </c>
      <c r="I556" s="204">
        <v>13805</v>
      </c>
      <c r="J556" s="209">
        <v>42543</v>
      </c>
      <c r="K556" s="210">
        <v>0.52569444444444446</v>
      </c>
      <c r="L556" s="209">
        <v>42545</v>
      </c>
      <c r="M556" s="204" t="s">
        <v>271</v>
      </c>
      <c r="N556" s="204" t="s">
        <v>272</v>
      </c>
      <c r="O556" s="204" t="s">
        <v>273</v>
      </c>
      <c r="P556" s="204" t="s">
        <v>274</v>
      </c>
      <c r="Q556" s="204" t="s">
        <v>275</v>
      </c>
      <c r="R556" s="204" t="s">
        <v>276</v>
      </c>
      <c r="S556" s="204" t="s">
        <v>436</v>
      </c>
      <c r="T556" s="204" t="s">
        <v>579</v>
      </c>
      <c r="U556" s="204">
        <v>2834</v>
      </c>
      <c r="V556" s="204" t="s">
        <v>579</v>
      </c>
      <c r="W556" s="204" t="s">
        <v>280</v>
      </c>
      <c r="X556" s="204">
        <v>25.744</v>
      </c>
      <c r="Y556" s="211">
        <v>-0.77</v>
      </c>
      <c r="Z556" s="211">
        <v>2.33</v>
      </c>
      <c r="AA556" s="211">
        <v>59.96</v>
      </c>
      <c r="AB556" s="211">
        <v>-4.71</v>
      </c>
      <c r="AC556" s="211">
        <v>0</v>
      </c>
      <c r="AD556" s="211">
        <v>0</v>
      </c>
      <c r="AE556" s="211">
        <v>54.48</v>
      </c>
      <c r="AF556" s="211">
        <v>-6.18</v>
      </c>
      <c r="AG556" s="204" t="s">
        <v>279</v>
      </c>
      <c r="AH556" s="211">
        <v>0</v>
      </c>
      <c r="AI556" s="211">
        <v>59.96</v>
      </c>
      <c r="AJ556" s="211">
        <v>0</v>
      </c>
      <c r="AK556" s="204" t="str">
        <f t="shared" si="17"/>
        <v>1.00000000</v>
      </c>
      <c r="AL556" s="204">
        <v>10.1</v>
      </c>
    </row>
    <row r="557" spans="1:38" x14ac:dyDescent="0.2">
      <c r="A557" s="204" t="str">
        <f>"0496002595916"</f>
        <v>0496002595916</v>
      </c>
      <c r="B557" s="204">
        <v>1</v>
      </c>
      <c r="C557" s="204" t="s">
        <v>580</v>
      </c>
      <c r="D557" s="204">
        <v>1989</v>
      </c>
      <c r="E557" s="204">
        <v>1989</v>
      </c>
      <c r="F557" s="204" t="s">
        <v>243</v>
      </c>
      <c r="G557" s="204">
        <v>2411</v>
      </c>
      <c r="H557" s="204" t="s">
        <v>270</v>
      </c>
      <c r="I557" s="204">
        <v>78523</v>
      </c>
      <c r="J557" s="209">
        <v>42388</v>
      </c>
      <c r="K557" s="210">
        <v>0.4368055555555555</v>
      </c>
      <c r="L557" s="209">
        <v>42390</v>
      </c>
      <c r="M557" s="204" t="s">
        <v>853</v>
      </c>
      <c r="N557" s="204" t="s">
        <v>272</v>
      </c>
      <c r="O557" s="204" t="s">
        <v>273</v>
      </c>
      <c r="P557" s="204" t="s">
        <v>274</v>
      </c>
      <c r="Q557" s="204" t="s">
        <v>275</v>
      </c>
      <c r="R557" s="204" t="s">
        <v>276</v>
      </c>
      <c r="S557" s="204" t="s">
        <v>436</v>
      </c>
      <c r="T557" s="204" t="s">
        <v>580</v>
      </c>
      <c r="U557" s="204">
        <v>2411</v>
      </c>
      <c r="V557" s="204" t="s">
        <v>580</v>
      </c>
      <c r="W557" s="204" t="s">
        <v>280</v>
      </c>
      <c r="X557" s="204">
        <v>30.835999999999999</v>
      </c>
      <c r="Y557" s="211">
        <v>-0.93</v>
      </c>
      <c r="Z557" s="211">
        <v>1.89</v>
      </c>
      <c r="AA557" s="211">
        <v>58.25</v>
      </c>
      <c r="AB557" s="211">
        <v>-5.64</v>
      </c>
      <c r="AC557" s="211">
        <v>0</v>
      </c>
      <c r="AD557" s="211">
        <v>0</v>
      </c>
      <c r="AE557" s="211">
        <v>51.68</v>
      </c>
      <c r="AF557" s="211">
        <v>-7.4</v>
      </c>
      <c r="AG557" s="204" t="s">
        <v>279</v>
      </c>
      <c r="AH557" s="211">
        <v>0</v>
      </c>
      <c r="AI557" s="211">
        <v>58.25</v>
      </c>
      <c r="AJ557" s="211">
        <v>0</v>
      </c>
      <c r="AK557" s="204" t="str">
        <f t="shared" si="17"/>
        <v>1.00000000</v>
      </c>
      <c r="AL557" s="204">
        <v>2.7</v>
      </c>
    </row>
    <row r="558" spans="1:38" x14ac:dyDescent="0.2">
      <c r="A558" s="204" t="str">
        <f>"0496002595916"</f>
        <v>0496002595916</v>
      </c>
      <c r="B558" s="204">
        <v>1</v>
      </c>
      <c r="C558" s="204" t="s">
        <v>580</v>
      </c>
      <c r="D558" s="204">
        <v>1989</v>
      </c>
      <c r="E558" s="204">
        <v>1989</v>
      </c>
      <c r="F558" s="204" t="s">
        <v>243</v>
      </c>
      <c r="G558" s="204">
        <v>2411</v>
      </c>
      <c r="H558" s="204" t="s">
        <v>270</v>
      </c>
      <c r="I558" s="204">
        <v>78761</v>
      </c>
      <c r="J558" s="209">
        <v>42480</v>
      </c>
      <c r="K558" s="210">
        <v>0.40902777777777777</v>
      </c>
      <c r="L558" s="209">
        <v>42482</v>
      </c>
      <c r="M558" s="204" t="s">
        <v>271</v>
      </c>
      <c r="N558" s="204" t="s">
        <v>272</v>
      </c>
      <c r="O558" s="204" t="s">
        <v>273</v>
      </c>
      <c r="P558" s="204" t="s">
        <v>274</v>
      </c>
      <c r="Q558" s="204" t="s">
        <v>275</v>
      </c>
      <c r="R558" s="204" t="s">
        <v>276</v>
      </c>
      <c r="S558" s="204" t="s">
        <v>436</v>
      </c>
      <c r="T558" s="204" t="s">
        <v>580</v>
      </c>
      <c r="U558" s="204">
        <v>2411</v>
      </c>
      <c r="V558" s="204" t="s">
        <v>580</v>
      </c>
      <c r="W558" s="204" t="s">
        <v>280</v>
      </c>
      <c r="X558" s="204">
        <v>31.474</v>
      </c>
      <c r="Y558" s="211">
        <v>-0.94</v>
      </c>
      <c r="Z558" s="211">
        <v>2.09</v>
      </c>
      <c r="AA558" s="211">
        <v>65.75</v>
      </c>
      <c r="AB558" s="211">
        <v>-5.76</v>
      </c>
      <c r="AC558" s="211">
        <v>0</v>
      </c>
      <c r="AD558" s="211">
        <v>0</v>
      </c>
      <c r="AE558" s="211">
        <v>59.05</v>
      </c>
      <c r="AF558" s="211">
        <v>-7.55</v>
      </c>
      <c r="AG558" s="204" t="s">
        <v>279</v>
      </c>
      <c r="AH558" s="211">
        <v>0</v>
      </c>
      <c r="AI558" s="211">
        <v>65.75</v>
      </c>
      <c r="AJ558" s="211">
        <v>0</v>
      </c>
      <c r="AK558" s="204" t="str">
        <f t="shared" si="17"/>
        <v>1.00000000</v>
      </c>
      <c r="AL558" s="204">
        <v>7.6</v>
      </c>
    </row>
    <row r="559" spans="1:38" x14ac:dyDescent="0.2">
      <c r="A559" s="204" t="str">
        <f t="shared" ref="A559:A605" si="20">"0496002599140"</f>
        <v>0496002599140</v>
      </c>
      <c r="B559" s="204">
        <v>1</v>
      </c>
      <c r="C559" s="204" t="s">
        <v>581</v>
      </c>
      <c r="D559" s="204" t="s">
        <v>582</v>
      </c>
      <c r="E559" s="204" t="s">
        <v>582</v>
      </c>
      <c r="F559" s="204" t="s">
        <v>243</v>
      </c>
      <c r="G559" s="204">
        <v>2323</v>
      </c>
      <c r="H559" s="204" t="s">
        <v>270</v>
      </c>
      <c r="I559" s="204">
        <v>1400</v>
      </c>
      <c r="J559" s="209">
        <v>42418</v>
      </c>
      <c r="K559" s="210">
        <v>0.6783217592592593</v>
      </c>
      <c r="L559" s="209">
        <v>42422</v>
      </c>
      <c r="M559" s="204" t="s">
        <v>319</v>
      </c>
      <c r="N559" s="204" t="s">
        <v>1087</v>
      </c>
      <c r="O559" s="204" t="s">
        <v>1088</v>
      </c>
      <c r="P559" s="204" t="s">
        <v>1089</v>
      </c>
      <c r="Q559" s="204" t="s">
        <v>466</v>
      </c>
      <c r="R559" s="204" t="s">
        <v>1090</v>
      </c>
      <c r="S559" s="204" t="s">
        <v>436</v>
      </c>
      <c r="T559" s="204" t="s">
        <v>581</v>
      </c>
      <c r="U559" s="204">
        <v>2323</v>
      </c>
      <c r="V559" s="204" t="s">
        <v>581</v>
      </c>
      <c r="W559" s="204" t="s">
        <v>280</v>
      </c>
      <c r="X559" s="204">
        <v>20.559000000000001</v>
      </c>
      <c r="Y559" s="211">
        <v>0</v>
      </c>
      <c r="Z559" s="211">
        <v>1.64</v>
      </c>
      <c r="AA559" s="211">
        <v>33.700000000000003</v>
      </c>
      <c r="AB559" s="211">
        <v>-3.76</v>
      </c>
      <c r="AC559" s="211">
        <v>0</v>
      </c>
      <c r="AD559" s="211">
        <v>0</v>
      </c>
      <c r="AE559" s="211">
        <v>29.94</v>
      </c>
      <c r="AF559" s="211">
        <v>-4.5599999999999996</v>
      </c>
      <c r="AG559" s="204" t="s">
        <v>279</v>
      </c>
      <c r="AH559" s="211">
        <v>0</v>
      </c>
      <c r="AI559" s="211">
        <v>33.700000000000003</v>
      </c>
      <c r="AJ559" s="211">
        <v>0</v>
      </c>
      <c r="AK559" s="204" t="str">
        <f t="shared" si="17"/>
        <v>1.00000000</v>
      </c>
      <c r="AL559" s="204">
        <v>68.099999999999994</v>
      </c>
    </row>
    <row r="560" spans="1:38" x14ac:dyDescent="0.2">
      <c r="A560" s="204" t="str">
        <f t="shared" si="20"/>
        <v>0496002599140</v>
      </c>
      <c r="B560" s="204">
        <v>1</v>
      </c>
      <c r="C560" s="204" t="s">
        <v>581</v>
      </c>
      <c r="D560" s="204" t="s">
        <v>582</v>
      </c>
      <c r="E560" s="204" t="s">
        <v>582</v>
      </c>
      <c r="F560" s="204" t="s">
        <v>243</v>
      </c>
      <c r="G560" s="204">
        <v>2323</v>
      </c>
      <c r="H560" s="204" t="s">
        <v>270</v>
      </c>
      <c r="I560" s="204">
        <v>1712</v>
      </c>
      <c r="J560" s="209">
        <v>42429</v>
      </c>
      <c r="K560" s="210">
        <v>0.52284722222222224</v>
      </c>
      <c r="L560" s="209">
        <v>42431</v>
      </c>
      <c r="M560" s="204" t="s">
        <v>396</v>
      </c>
      <c r="N560" s="204" t="s">
        <v>397</v>
      </c>
      <c r="O560" s="204" t="s">
        <v>398</v>
      </c>
      <c r="P560" s="204" t="s">
        <v>343</v>
      </c>
      <c r="Q560" s="204" t="s">
        <v>275</v>
      </c>
      <c r="R560" s="204" t="s">
        <v>686</v>
      </c>
      <c r="S560" s="204" t="s">
        <v>436</v>
      </c>
      <c r="T560" s="204" t="s">
        <v>581</v>
      </c>
      <c r="U560" s="204">
        <v>2323</v>
      </c>
      <c r="V560" s="204" t="s">
        <v>581</v>
      </c>
      <c r="W560" s="204" t="s">
        <v>280</v>
      </c>
      <c r="X560" s="204">
        <v>46.222999999999999</v>
      </c>
      <c r="Y560" s="211">
        <v>0</v>
      </c>
      <c r="Z560" s="211">
        <v>1.71</v>
      </c>
      <c r="AA560" s="211">
        <v>79</v>
      </c>
      <c r="AB560" s="211">
        <v>-8.4600000000000009</v>
      </c>
      <c r="AC560" s="211">
        <v>0</v>
      </c>
      <c r="AD560" s="211">
        <v>0</v>
      </c>
      <c r="AE560" s="211">
        <v>70.540000000000006</v>
      </c>
      <c r="AF560" s="211">
        <v>-11.09</v>
      </c>
      <c r="AG560" s="204" t="s">
        <v>279</v>
      </c>
      <c r="AH560" s="211">
        <v>0</v>
      </c>
      <c r="AI560" s="211">
        <v>79</v>
      </c>
      <c r="AJ560" s="211">
        <v>0</v>
      </c>
      <c r="AK560" s="204" t="str">
        <f t="shared" si="17"/>
        <v>1.00000000</v>
      </c>
      <c r="AL560" s="204">
        <v>6.8</v>
      </c>
    </row>
    <row r="561" spans="1:38" x14ac:dyDescent="0.2">
      <c r="A561" s="204" t="str">
        <f t="shared" si="20"/>
        <v>0496002599140</v>
      </c>
      <c r="B561" s="204">
        <v>1</v>
      </c>
      <c r="C561" s="204" t="s">
        <v>581</v>
      </c>
      <c r="D561" s="204" t="s">
        <v>582</v>
      </c>
      <c r="E561" s="204" t="s">
        <v>582</v>
      </c>
      <c r="F561" s="204" t="s">
        <v>243</v>
      </c>
      <c r="G561" s="204">
        <v>2323</v>
      </c>
      <c r="H561" s="204" t="s">
        <v>270</v>
      </c>
      <c r="I561" s="204">
        <v>1700</v>
      </c>
      <c r="J561" s="209">
        <v>42439</v>
      </c>
      <c r="K561" s="210">
        <v>0.68031249999999999</v>
      </c>
      <c r="L561" s="209">
        <v>42443</v>
      </c>
      <c r="M561" s="204" t="s">
        <v>314</v>
      </c>
      <c r="N561" s="204" t="s">
        <v>415</v>
      </c>
      <c r="O561" s="204" t="s">
        <v>416</v>
      </c>
      <c r="P561" s="204" t="s">
        <v>417</v>
      </c>
      <c r="Q561" s="204" t="s">
        <v>275</v>
      </c>
      <c r="R561" s="204" t="s">
        <v>418</v>
      </c>
      <c r="S561" s="204" t="s">
        <v>436</v>
      </c>
      <c r="T561" s="204" t="s">
        <v>581</v>
      </c>
      <c r="U561" s="204">
        <v>2323</v>
      </c>
      <c r="V561" s="204" t="s">
        <v>581</v>
      </c>
      <c r="W561" s="204" t="s">
        <v>280</v>
      </c>
      <c r="X561" s="204">
        <v>5.2779999999999996</v>
      </c>
      <c r="Y561" s="211">
        <v>0</v>
      </c>
      <c r="Z561" s="211">
        <v>1.8</v>
      </c>
      <c r="AA561" s="211">
        <v>9.5</v>
      </c>
      <c r="AB561" s="211">
        <v>-0.97</v>
      </c>
      <c r="AC561" s="211">
        <v>0</v>
      </c>
      <c r="AD561" s="211">
        <v>0</v>
      </c>
      <c r="AE561" s="211">
        <v>8.5299999999999994</v>
      </c>
      <c r="AF561" s="211">
        <v>-1.27</v>
      </c>
      <c r="AG561" s="204" t="s">
        <v>279</v>
      </c>
      <c r="AH561" s="211">
        <v>0</v>
      </c>
      <c r="AI561" s="211">
        <v>9.5</v>
      </c>
      <c r="AJ561" s="211">
        <v>0</v>
      </c>
      <c r="AK561" s="204" t="str">
        <f t="shared" si="17"/>
        <v>1.00000000</v>
      </c>
      <c r="AL561" s="204">
        <v>0</v>
      </c>
    </row>
    <row r="562" spans="1:38" x14ac:dyDescent="0.2">
      <c r="A562" s="204" t="str">
        <f t="shared" si="20"/>
        <v>0496002599140</v>
      </c>
      <c r="B562" s="204">
        <v>1</v>
      </c>
      <c r="C562" s="204" t="s">
        <v>581</v>
      </c>
      <c r="D562" s="204" t="s">
        <v>582</v>
      </c>
      <c r="E562" s="204" t="s">
        <v>582</v>
      </c>
      <c r="F562" s="204" t="s">
        <v>243</v>
      </c>
      <c r="G562" s="204">
        <v>2323</v>
      </c>
      <c r="H562" s="204" t="s">
        <v>270</v>
      </c>
      <c r="I562" s="204">
        <v>17000</v>
      </c>
      <c r="J562" s="209">
        <v>42440</v>
      </c>
      <c r="K562" s="210">
        <v>0.67335648148148142</v>
      </c>
      <c r="L562" s="209">
        <v>42444</v>
      </c>
      <c r="M562" s="204" t="s">
        <v>314</v>
      </c>
      <c r="N562" s="204" t="s">
        <v>415</v>
      </c>
      <c r="O562" s="204" t="s">
        <v>416</v>
      </c>
      <c r="P562" s="204" t="s">
        <v>417</v>
      </c>
      <c r="Q562" s="204" t="s">
        <v>275</v>
      </c>
      <c r="R562" s="204" t="s">
        <v>418</v>
      </c>
      <c r="S562" s="204" t="s">
        <v>436</v>
      </c>
      <c r="T562" s="204" t="s">
        <v>581</v>
      </c>
      <c r="U562" s="204">
        <v>2323</v>
      </c>
      <c r="V562" s="204" t="s">
        <v>581</v>
      </c>
      <c r="W562" s="204" t="s">
        <v>280</v>
      </c>
      <c r="X562" s="204">
        <v>5.3920000000000003</v>
      </c>
      <c r="Y562" s="211">
        <v>0</v>
      </c>
      <c r="Z562" s="211">
        <v>1.8</v>
      </c>
      <c r="AA562" s="211">
        <v>9.6999999999999993</v>
      </c>
      <c r="AB562" s="211">
        <v>-0.99</v>
      </c>
      <c r="AC562" s="211">
        <v>0</v>
      </c>
      <c r="AD562" s="211">
        <v>0</v>
      </c>
      <c r="AE562" s="211">
        <v>8.7100000000000009</v>
      </c>
      <c r="AF562" s="211">
        <v>-1.29</v>
      </c>
      <c r="AG562" s="204" t="s">
        <v>279</v>
      </c>
      <c r="AH562" s="211">
        <v>0</v>
      </c>
      <c r="AI562" s="211">
        <v>9.6999999999999993</v>
      </c>
      <c r="AJ562" s="211">
        <v>0</v>
      </c>
      <c r="AK562" s="204" t="str">
        <f t="shared" si="17"/>
        <v>1.00000000</v>
      </c>
      <c r="AL562" s="204">
        <v>2837.5</v>
      </c>
    </row>
    <row r="563" spans="1:38" x14ac:dyDescent="0.2">
      <c r="A563" s="204" t="str">
        <f t="shared" si="20"/>
        <v>0496002599140</v>
      </c>
      <c r="B563" s="204">
        <v>1</v>
      </c>
      <c r="C563" s="204" t="s">
        <v>581</v>
      </c>
      <c r="D563" s="204" t="s">
        <v>582</v>
      </c>
      <c r="E563" s="204" t="s">
        <v>582</v>
      </c>
      <c r="F563" s="204" t="s">
        <v>243</v>
      </c>
      <c r="G563" s="204">
        <v>2323</v>
      </c>
      <c r="H563" s="204" t="s">
        <v>270</v>
      </c>
      <c r="I563" s="204">
        <v>1700</v>
      </c>
      <c r="J563" s="209">
        <v>42442</v>
      </c>
      <c r="K563" s="210">
        <v>0.36537037037037035</v>
      </c>
      <c r="L563" s="209">
        <v>42444</v>
      </c>
      <c r="M563" s="204" t="s">
        <v>396</v>
      </c>
      <c r="N563" s="204" t="s">
        <v>397</v>
      </c>
      <c r="O563" s="204" t="s">
        <v>398</v>
      </c>
      <c r="P563" s="204" t="s">
        <v>343</v>
      </c>
      <c r="Q563" s="204" t="s">
        <v>275</v>
      </c>
      <c r="R563" s="204" t="s">
        <v>686</v>
      </c>
      <c r="S563" s="204" t="s">
        <v>436</v>
      </c>
      <c r="T563" s="204" t="s">
        <v>581</v>
      </c>
      <c r="U563" s="204">
        <v>2323</v>
      </c>
      <c r="V563" s="204" t="s">
        <v>581</v>
      </c>
      <c r="W563" s="204" t="s">
        <v>280</v>
      </c>
      <c r="X563" s="204">
        <v>27.02</v>
      </c>
      <c r="Y563" s="211">
        <v>0</v>
      </c>
      <c r="Z563" s="211">
        <v>1.87</v>
      </c>
      <c r="AA563" s="211">
        <v>50.5</v>
      </c>
      <c r="AB563" s="211">
        <v>-4.9400000000000004</v>
      </c>
      <c r="AC563" s="211">
        <v>0</v>
      </c>
      <c r="AD563" s="211">
        <v>0</v>
      </c>
      <c r="AE563" s="211">
        <v>45.56</v>
      </c>
      <c r="AF563" s="211">
        <v>-6.48</v>
      </c>
      <c r="AG563" s="204" t="s">
        <v>279</v>
      </c>
      <c r="AH563" s="211">
        <v>0</v>
      </c>
      <c r="AI563" s="211">
        <v>50.5</v>
      </c>
      <c r="AJ563" s="211">
        <v>0</v>
      </c>
      <c r="AK563" s="204" t="str">
        <f t="shared" si="17"/>
        <v>1.00000000</v>
      </c>
      <c r="AL563" s="204">
        <v>0</v>
      </c>
    </row>
    <row r="564" spans="1:38" x14ac:dyDescent="0.2">
      <c r="A564" s="204" t="str">
        <f t="shared" si="20"/>
        <v>0496002599140</v>
      </c>
      <c r="B564" s="204">
        <v>1</v>
      </c>
      <c r="C564" s="204" t="s">
        <v>581</v>
      </c>
      <c r="D564" s="204" t="s">
        <v>582</v>
      </c>
      <c r="E564" s="204" t="s">
        <v>582</v>
      </c>
      <c r="F564" s="204" t="s">
        <v>243</v>
      </c>
      <c r="G564" s="204">
        <v>2323</v>
      </c>
      <c r="H564" s="204" t="s">
        <v>270</v>
      </c>
      <c r="I564" s="204">
        <v>1700</v>
      </c>
      <c r="J564" s="209">
        <v>42444</v>
      </c>
      <c r="K564" s="210">
        <v>0.36944444444444446</v>
      </c>
      <c r="L564" s="209">
        <v>42446</v>
      </c>
      <c r="M564" s="204" t="s">
        <v>606</v>
      </c>
      <c r="N564" s="204" t="s">
        <v>399</v>
      </c>
      <c r="O564" s="204" t="s">
        <v>400</v>
      </c>
      <c r="P564" s="204" t="s">
        <v>274</v>
      </c>
      <c r="Q564" s="204" t="s">
        <v>275</v>
      </c>
      <c r="R564" s="204" t="s">
        <v>401</v>
      </c>
      <c r="S564" s="204" t="s">
        <v>436</v>
      </c>
      <c r="T564" s="204" t="s">
        <v>581</v>
      </c>
      <c r="U564" s="204">
        <v>2323</v>
      </c>
      <c r="V564" s="204" t="s">
        <v>581</v>
      </c>
      <c r="W564" s="204" t="s">
        <v>280</v>
      </c>
      <c r="X564" s="204">
        <v>8.2469999999999999</v>
      </c>
      <c r="Y564" s="211">
        <v>0</v>
      </c>
      <c r="Z564" s="211">
        <v>1.88</v>
      </c>
      <c r="AA564" s="211">
        <v>15.5</v>
      </c>
      <c r="AB564" s="211">
        <v>-1.51</v>
      </c>
      <c r="AC564" s="211">
        <v>0</v>
      </c>
      <c r="AD564" s="211">
        <v>0</v>
      </c>
      <c r="AE564" s="211">
        <v>13.99</v>
      </c>
      <c r="AF564" s="211">
        <v>-1.98</v>
      </c>
      <c r="AG564" s="204" t="s">
        <v>279</v>
      </c>
      <c r="AH564" s="211">
        <v>0</v>
      </c>
      <c r="AI564" s="211">
        <v>15.5</v>
      </c>
      <c r="AJ564" s="211">
        <v>0</v>
      </c>
      <c r="AK564" s="204" t="str">
        <f t="shared" si="17"/>
        <v>1.00000000</v>
      </c>
      <c r="AL564" s="204">
        <v>0</v>
      </c>
    </row>
    <row r="565" spans="1:38" x14ac:dyDescent="0.2">
      <c r="A565" s="204" t="str">
        <f t="shared" si="20"/>
        <v>0496002599140</v>
      </c>
      <c r="B565" s="204">
        <v>1</v>
      </c>
      <c r="C565" s="204" t="s">
        <v>581</v>
      </c>
      <c r="D565" s="204" t="s">
        <v>582</v>
      </c>
      <c r="E565" s="204" t="s">
        <v>582</v>
      </c>
      <c r="F565" s="204" t="s">
        <v>243</v>
      </c>
      <c r="G565" s="204">
        <v>2323</v>
      </c>
      <c r="H565" s="204" t="s">
        <v>270</v>
      </c>
      <c r="I565" s="204">
        <v>1700</v>
      </c>
      <c r="J565" s="209">
        <v>42444</v>
      </c>
      <c r="K565" s="210">
        <v>0.49652777777777773</v>
      </c>
      <c r="L565" s="209">
        <v>42446</v>
      </c>
      <c r="M565" s="204" t="s">
        <v>853</v>
      </c>
      <c r="N565" s="204" t="s">
        <v>352</v>
      </c>
      <c r="O565" s="204" t="s">
        <v>353</v>
      </c>
      <c r="P565" s="204" t="s">
        <v>343</v>
      </c>
      <c r="Q565" s="204" t="s">
        <v>275</v>
      </c>
      <c r="R565" s="204" t="s">
        <v>602</v>
      </c>
      <c r="S565" s="204" t="s">
        <v>436</v>
      </c>
      <c r="T565" s="204" t="s">
        <v>581</v>
      </c>
      <c r="U565" s="204">
        <v>2323</v>
      </c>
      <c r="V565" s="204" t="s">
        <v>581</v>
      </c>
      <c r="W565" s="204" t="s">
        <v>280</v>
      </c>
      <c r="X565" s="204">
        <v>5.617</v>
      </c>
      <c r="Y565" s="211">
        <v>-0.17</v>
      </c>
      <c r="Z565" s="211">
        <v>1.87</v>
      </c>
      <c r="AA565" s="211">
        <v>10.5</v>
      </c>
      <c r="AB565" s="211">
        <v>-1.03</v>
      </c>
      <c r="AC565" s="211">
        <v>0</v>
      </c>
      <c r="AD565" s="211">
        <v>0</v>
      </c>
      <c r="AE565" s="211">
        <v>9.3000000000000007</v>
      </c>
      <c r="AF565" s="211">
        <v>-1.35</v>
      </c>
      <c r="AG565" s="204" t="s">
        <v>279</v>
      </c>
      <c r="AH565" s="211">
        <v>0</v>
      </c>
      <c r="AI565" s="211">
        <v>10.5</v>
      </c>
      <c r="AJ565" s="211">
        <v>0</v>
      </c>
      <c r="AK565" s="204" t="str">
        <f t="shared" si="17"/>
        <v>1.00000000</v>
      </c>
      <c r="AL565" s="204">
        <v>0</v>
      </c>
    </row>
    <row r="566" spans="1:38" x14ac:dyDescent="0.2">
      <c r="A566" s="204" t="str">
        <f t="shared" si="20"/>
        <v>0496002599140</v>
      </c>
      <c r="B566" s="204">
        <v>1</v>
      </c>
      <c r="C566" s="204" t="s">
        <v>581</v>
      </c>
      <c r="D566" s="204" t="s">
        <v>582</v>
      </c>
      <c r="E566" s="204" t="s">
        <v>582</v>
      </c>
      <c r="F566" s="204" t="s">
        <v>243</v>
      </c>
      <c r="G566" s="204">
        <v>2323</v>
      </c>
      <c r="H566" s="204" t="s">
        <v>270</v>
      </c>
      <c r="I566" s="204">
        <v>17</v>
      </c>
      <c r="J566" s="209">
        <v>42444</v>
      </c>
      <c r="K566" s="210">
        <v>0.49791666666666662</v>
      </c>
      <c r="L566" s="209">
        <v>42446</v>
      </c>
      <c r="M566" s="204" t="s">
        <v>853</v>
      </c>
      <c r="N566" s="204" t="s">
        <v>352</v>
      </c>
      <c r="O566" s="204" t="s">
        <v>353</v>
      </c>
      <c r="P566" s="204" t="s">
        <v>343</v>
      </c>
      <c r="Q566" s="204" t="s">
        <v>275</v>
      </c>
      <c r="R566" s="204" t="s">
        <v>602</v>
      </c>
      <c r="S566" s="204" t="s">
        <v>436</v>
      </c>
      <c r="T566" s="204" t="s">
        <v>581</v>
      </c>
      <c r="U566" s="204">
        <v>2323</v>
      </c>
      <c r="V566" s="204" t="s">
        <v>581</v>
      </c>
      <c r="W566" s="204" t="s">
        <v>280</v>
      </c>
      <c r="X566" s="204">
        <v>9.9350000000000005</v>
      </c>
      <c r="Y566" s="211">
        <v>-0.3</v>
      </c>
      <c r="Z566" s="211">
        <v>1.87</v>
      </c>
      <c r="AA566" s="211">
        <v>18.57</v>
      </c>
      <c r="AB566" s="211">
        <v>-1.82</v>
      </c>
      <c r="AC566" s="211">
        <v>0</v>
      </c>
      <c r="AD566" s="211">
        <v>0</v>
      </c>
      <c r="AE566" s="211">
        <v>16.45</v>
      </c>
      <c r="AF566" s="211">
        <v>-2.38</v>
      </c>
      <c r="AG566" s="204" t="s">
        <v>279</v>
      </c>
      <c r="AH566" s="211">
        <v>0</v>
      </c>
      <c r="AI566" s="211">
        <v>18.57</v>
      </c>
      <c r="AJ566" s="211">
        <v>0</v>
      </c>
      <c r="AK566" s="204" t="str">
        <f t="shared" si="17"/>
        <v>1.00000000</v>
      </c>
      <c r="AL566" s="204">
        <v>0</v>
      </c>
    </row>
    <row r="567" spans="1:38" x14ac:dyDescent="0.2">
      <c r="A567" s="204" t="str">
        <f t="shared" si="20"/>
        <v>0496002599140</v>
      </c>
      <c r="B567" s="204">
        <v>1</v>
      </c>
      <c r="C567" s="204" t="s">
        <v>581</v>
      </c>
      <c r="D567" s="204" t="s">
        <v>582</v>
      </c>
      <c r="E567" s="204" t="s">
        <v>582</v>
      </c>
      <c r="F567" s="204" t="s">
        <v>243</v>
      </c>
      <c r="G567" s="204">
        <v>2323</v>
      </c>
      <c r="H567" s="204" t="s">
        <v>270</v>
      </c>
      <c r="I567" s="204">
        <v>1700</v>
      </c>
      <c r="J567" s="209">
        <v>42444</v>
      </c>
      <c r="K567" s="210">
        <v>0.5</v>
      </c>
      <c r="L567" s="209">
        <v>42446</v>
      </c>
      <c r="M567" s="204" t="s">
        <v>853</v>
      </c>
      <c r="N567" s="204" t="s">
        <v>352</v>
      </c>
      <c r="O567" s="204" t="s">
        <v>353</v>
      </c>
      <c r="P567" s="204" t="s">
        <v>343</v>
      </c>
      <c r="Q567" s="204" t="s">
        <v>275</v>
      </c>
      <c r="R567" s="204" t="s">
        <v>602</v>
      </c>
      <c r="S567" s="204" t="s">
        <v>436</v>
      </c>
      <c r="T567" s="204" t="s">
        <v>581</v>
      </c>
      <c r="U567" s="204">
        <v>2323</v>
      </c>
      <c r="V567" s="204" t="s">
        <v>581</v>
      </c>
      <c r="W567" s="204" t="s">
        <v>280</v>
      </c>
      <c r="X567" s="204">
        <v>18.405000000000001</v>
      </c>
      <c r="Y567" s="211">
        <v>-0.55000000000000004</v>
      </c>
      <c r="Z567" s="211">
        <v>1.87</v>
      </c>
      <c r="AA567" s="211">
        <v>34.4</v>
      </c>
      <c r="AB567" s="211">
        <v>-3.37</v>
      </c>
      <c r="AC567" s="211">
        <v>0</v>
      </c>
      <c r="AD567" s="211">
        <v>0</v>
      </c>
      <c r="AE567" s="211">
        <v>30.48</v>
      </c>
      <c r="AF567" s="211">
        <v>-4.42</v>
      </c>
      <c r="AG567" s="204" t="s">
        <v>279</v>
      </c>
      <c r="AH567" s="211">
        <v>0</v>
      </c>
      <c r="AI567" s="211">
        <v>34.4</v>
      </c>
      <c r="AJ567" s="211">
        <v>0</v>
      </c>
      <c r="AK567" s="204" t="str">
        <f t="shared" si="17"/>
        <v>1.00000000</v>
      </c>
      <c r="AL567" s="204">
        <v>0</v>
      </c>
    </row>
    <row r="568" spans="1:38" x14ac:dyDescent="0.2">
      <c r="A568" s="204" t="str">
        <f t="shared" si="20"/>
        <v>0496002599140</v>
      </c>
      <c r="B568" s="204">
        <v>1</v>
      </c>
      <c r="C568" s="204" t="s">
        <v>581</v>
      </c>
      <c r="D568" s="204" t="s">
        <v>582</v>
      </c>
      <c r="E568" s="204" t="s">
        <v>582</v>
      </c>
      <c r="F568" s="204" t="s">
        <v>243</v>
      </c>
      <c r="G568" s="204">
        <v>2323</v>
      </c>
      <c r="H568" s="204" t="s">
        <v>270</v>
      </c>
      <c r="I568" s="204">
        <v>1700</v>
      </c>
      <c r="J568" s="209">
        <v>42444</v>
      </c>
      <c r="K568" s="210">
        <v>0.5</v>
      </c>
      <c r="L568" s="209">
        <v>42446</v>
      </c>
      <c r="M568" s="204" t="s">
        <v>853</v>
      </c>
      <c r="N568" s="204" t="s">
        <v>352</v>
      </c>
      <c r="O568" s="204" t="s">
        <v>353</v>
      </c>
      <c r="P568" s="204" t="s">
        <v>343</v>
      </c>
      <c r="Q568" s="204" t="s">
        <v>275</v>
      </c>
      <c r="R568" s="204" t="s">
        <v>602</v>
      </c>
      <c r="S568" s="204" t="s">
        <v>436</v>
      </c>
      <c r="T568" s="204" t="s">
        <v>581</v>
      </c>
      <c r="U568" s="204">
        <v>2323</v>
      </c>
      <c r="V568" s="204" t="s">
        <v>581</v>
      </c>
      <c r="W568" s="204" t="s">
        <v>280</v>
      </c>
      <c r="X568" s="204">
        <v>17.350999999999999</v>
      </c>
      <c r="Y568" s="211">
        <v>-0.52</v>
      </c>
      <c r="Z568" s="211">
        <v>1.87</v>
      </c>
      <c r="AA568" s="211">
        <v>32.43</v>
      </c>
      <c r="AB568" s="211">
        <v>-3.18</v>
      </c>
      <c r="AC568" s="211">
        <v>0</v>
      </c>
      <c r="AD568" s="211">
        <v>0</v>
      </c>
      <c r="AE568" s="211">
        <v>28.73</v>
      </c>
      <c r="AF568" s="211">
        <v>-4.16</v>
      </c>
      <c r="AG568" s="204" t="s">
        <v>279</v>
      </c>
      <c r="AH568" s="211">
        <v>0</v>
      </c>
      <c r="AI568" s="211">
        <v>32.43</v>
      </c>
      <c r="AJ568" s="211">
        <v>0</v>
      </c>
      <c r="AK568" s="204" t="str">
        <f t="shared" si="17"/>
        <v>1.00000000</v>
      </c>
      <c r="AL568" s="204">
        <v>97</v>
      </c>
    </row>
    <row r="569" spans="1:38" x14ac:dyDescent="0.2">
      <c r="A569" s="204" t="str">
        <f t="shared" si="20"/>
        <v>0496002599140</v>
      </c>
      <c r="B569" s="204">
        <v>1</v>
      </c>
      <c r="C569" s="204" t="s">
        <v>581</v>
      </c>
      <c r="D569" s="204" t="s">
        <v>582</v>
      </c>
      <c r="E569" s="204" t="s">
        <v>582</v>
      </c>
      <c r="F569" s="204" t="s">
        <v>243</v>
      </c>
      <c r="G569" s="204">
        <v>2323</v>
      </c>
      <c r="H569" s="204" t="s">
        <v>270</v>
      </c>
      <c r="I569" s="204">
        <v>1700</v>
      </c>
      <c r="J569" s="209">
        <v>42444</v>
      </c>
      <c r="K569" s="210">
        <v>0.50069444444444444</v>
      </c>
      <c r="L569" s="209">
        <v>42446</v>
      </c>
      <c r="M569" s="204" t="s">
        <v>853</v>
      </c>
      <c r="N569" s="204" t="s">
        <v>352</v>
      </c>
      <c r="O569" s="204" t="s">
        <v>353</v>
      </c>
      <c r="P569" s="204" t="s">
        <v>343</v>
      </c>
      <c r="Q569" s="204" t="s">
        <v>275</v>
      </c>
      <c r="R569" s="204" t="s">
        <v>602</v>
      </c>
      <c r="S569" s="204" t="s">
        <v>436</v>
      </c>
      <c r="T569" s="204" t="s">
        <v>581</v>
      </c>
      <c r="U569" s="204">
        <v>2323</v>
      </c>
      <c r="V569" s="204" t="s">
        <v>581</v>
      </c>
      <c r="W569" s="204" t="s">
        <v>280</v>
      </c>
      <c r="X569" s="204">
        <v>18.998999999999999</v>
      </c>
      <c r="Y569" s="211">
        <v>-0.56999999999999995</v>
      </c>
      <c r="Z569" s="211">
        <v>1.87</v>
      </c>
      <c r="AA569" s="211">
        <v>35.51</v>
      </c>
      <c r="AB569" s="211">
        <v>-3.48</v>
      </c>
      <c r="AC569" s="211">
        <v>0</v>
      </c>
      <c r="AD569" s="211">
        <v>0</v>
      </c>
      <c r="AE569" s="211">
        <v>31.46</v>
      </c>
      <c r="AF569" s="211">
        <v>-4.5599999999999996</v>
      </c>
      <c r="AG569" s="204" t="s">
        <v>279</v>
      </c>
      <c r="AH569" s="211">
        <v>0</v>
      </c>
      <c r="AI569" s="211">
        <v>35.51</v>
      </c>
      <c r="AJ569" s="211">
        <v>0</v>
      </c>
      <c r="AK569" s="204" t="str">
        <f t="shared" si="17"/>
        <v>1.00000000</v>
      </c>
      <c r="AL569" s="204">
        <v>0</v>
      </c>
    </row>
    <row r="570" spans="1:38" x14ac:dyDescent="0.2">
      <c r="A570" s="204" t="str">
        <f t="shared" si="20"/>
        <v>0496002599140</v>
      </c>
      <c r="B570" s="204">
        <v>1</v>
      </c>
      <c r="C570" s="204" t="s">
        <v>581</v>
      </c>
      <c r="D570" s="204" t="s">
        <v>582</v>
      </c>
      <c r="E570" s="204" t="s">
        <v>582</v>
      </c>
      <c r="F570" s="204" t="s">
        <v>243</v>
      </c>
      <c r="G570" s="204">
        <v>2323</v>
      </c>
      <c r="H570" s="204" t="s">
        <v>270</v>
      </c>
      <c r="I570" s="204">
        <v>1700</v>
      </c>
      <c r="J570" s="209">
        <v>42445</v>
      </c>
      <c r="K570" s="210">
        <v>0.36829861111111112</v>
      </c>
      <c r="L570" s="209">
        <v>42447</v>
      </c>
      <c r="M570" s="204" t="s">
        <v>314</v>
      </c>
      <c r="N570" s="204" t="s">
        <v>415</v>
      </c>
      <c r="O570" s="204" t="s">
        <v>416</v>
      </c>
      <c r="P570" s="204" t="s">
        <v>417</v>
      </c>
      <c r="Q570" s="204" t="s">
        <v>275</v>
      </c>
      <c r="R570" s="204" t="s">
        <v>418</v>
      </c>
      <c r="S570" s="204" t="s">
        <v>436</v>
      </c>
      <c r="T570" s="204" t="s">
        <v>581</v>
      </c>
      <c r="U570" s="204">
        <v>2323</v>
      </c>
      <c r="V570" s="204" t="s">
        <v>581</v>
      </c>
      <c r="W570" s="204" t="s">
        <v>280</v>
      </c>
      <c r="X570" s="204">
        <v>8.0670000000000002</v>
      </c>
      <c r="Y570" s="211">
        <v>0</v>
      </c>
      <c r="Z570" s="211">
        <v>1.86</v>
      </c>
      <c r="AA570" s="211">
        <v>15</v>
      </c>
      <c r="AB570" s="211">
        <v>-1.48</v>
      </c>
      <c r="AC570" s="211">
        <v>0</v>
      </c>
      <c r="AD570" s="211">
        <v>0</v>
      </c>
      <c r="AE570" s="211">
        <v>13.52</v>
      </c>
      <c r="AF570" s="211">
        <v>-1.94</v>
      </c>
      <c r="AG570" s="204" t="s">
        <v>279</v>
      </c>
      <c r="AH570" s="211">
        <v>0</v>
      </c>
      <c r="AI570" s="211">
        <v>15</v>
      </c>
      <c r="AJ570" s="211">
        <v>0</v>
      </c>
      <c r="AK570" s="204" t="str">
        <f t="shared" si="17"/>
        <v>1.00000000</v>
      </c>
      <c r="AL570" s="204">
        <v>0</v>
      </c>
    </row>
    <row r="571" spans="1:38" x14ac:dyDescent="0.2">
      <c r="A571" s="204" t="str">
        <f t="shared" si="20"/>
        <v>0496002599140</v>
      </c>
      <c r="B571" s="204">
        <v>1</v>
      </c>
      <c r="C571" s="204" t="s">
        <v>581</v>
      </c>
      <c r="D571" s="204" t="s">
        <v>582</v>
      </c>
      <c r="E571" s="204" t="s">
        <v>582</v>
      </c>
      <c r="F571" s="204" t="s">
        <v>243</v>
      </c>
      <c r="G571" s="204">
        <v>2323</v>
      </c>
      <c r="H571" s="204" t="s">
        <v>270</v>
      </c>
      <c r="I571" s="204">
        <v>1700</v>
      </c>
      <c r="J571" s="209">
        <v>42447</v>
      </c>
      <c r="K571" s="210">
        <v>0.37081018518518521</v>
      </c>
      <c r="L571" s="209">
        <v>42451</v>
      </c>
      <c r="M571" s="204" t="s">
        <v>396</v>
      </c>
      <c r="N571" s="204" t="s">
        <v>397</v>
      </c>
      <c r="O571" s="204" t="s">
        <v>398</v>
      </c>
      <c r="P571" s="204" t="s">
        <v>343</v>
      </c>
      <c r="Q571" s="204" t="s">
        <v>275</v>
      </c>
      <c r="R571" s="204" t="s">
        <v>686</v>
      </c>
      <c r="S571" s="204" t="s">
        <v>436</v>
      </c>
      <c r="T571" s="204" t="s">
        <v>581</v>
      </c>
      <c r="U571" s="204">
        <v>2323</v>
      </c>
      <c r="V571" s="204" t="s">
        <v>581</v>
      </c>
      <c r="W571" s="204" t="s">
        <v>280</v>
      </c>
      <c r="X571" s="204">
        <v>5.6139999999999999</v>
      </c>
      <c r="Y571" s="211">
        <v>0</v>
      </c>
      <c r="Z571" s="211">
        <v>1.88</v>
      </c>
      <c r="AA571" s="211">
        <v>10.55</v>
      </c>
      <c r="AB571" s="211">
        <v>-1.03</v>
      </c>
      <c r="AC571" s="211">
        <v>0</v>
      </c>
      <c r="AD571" s="211">
        <v>0</v>
      </c>
      <c r="AE571" s="211">
        <v>9.52</v>
      </c>
      <c r="AF571" s="211">
        <v>-1.35</v>
      </c>
      <c r="AG571" s="204" t="s">
        <v>279</v>
      </c>
      <c r="AH571" s="211">
        <v>0</v>
      </c>
      <c r="AI571" s="211">
        <v>10.55</v>
      </c>
      <c r="AJ571" s="211">
        <v>0</v>
      </c>
      <c r="AK571" s="204" t="str">
        <f t="shared" si="17"/>
        <v>1.00000000</v>
      </c>
      <c r="AL571" s="204">
        <v>0</v>
      </c>
    </row>
    <row r="572" spans="1:38" x14ac:dyDescent="0.2">
      <c r="A572" s="204" t="str">
        <f t="shared" si="20"/>
        <v>0496002599140</v>
      </c>
      <c r="B572" s="204">
        <v>1</v>
      </c>
      <c r="C572" s="204" t="s">
        <v>581</v>
      </c>
      <c r="D572" s="204" t="s">
        <v>582</v>
      </c>
      <c r="E572" s="204" t="s">
        <v>582</v>
      </c>
      <c r="F572" s="204" t="s">
        <v>243</v>
      </c>
      <c r="G572" s="204">
        <v>2323</v>
      </c>
      <c r="H572" s="204" t="s">
        <v>270</v>
      </c>
      <c r="I572" s="204">
        <v>1700</v>
      </c>
      <c r="J572" s="209">
        <v>42447</v>
      </c>
      <c r="K572" s="210">
        <v>0.64009259259259255</v>
      </c>
      <c r="L572" s="209">
        <v>42451</v>
      </c>
      <c r="M572" s="204" t="s">
        <v>314</v>
      </c>
      <c r="N572" s="204" t="s">
        <v>415</v>
      </c>
      <c r="O572" s="204" t="s">
        <v>416</v>
      </c>
      <c r="P572" s="204" t="s">
        <v>417</v>
      </c>
      <c r="Q572" s="204" t="s">
        <v>275</v>
      </c>
      <c r="R572" s="204" t="s">
        <v>418</v>
      </c>
      <c r="S572" s="204" t="s">
        <v>436</v>
      </c>
      <c r="T572" s="204" t="s">
        <v>581</v>
      </c>
      <c r="U572" s="204">
        <v>2323</v>
      </c>
      <c r="V572" s="204" t="s">
        <v>581</v>
      </c>
      <c r="W572" s="204" t="s">
        <v>280</v>
      </c>
      <c r="X572" s="204">
        <v>11.295999999999999</v>
      </c>
      <c r="Y572" s="211">
        <v>0</v>
      </c>
      <c r="Z572" s="211">
        <v>1.86</v>
      </c>
      <c r="AA572" s="211">
        <v>21</v>
      </c>
      <c r="AB572" s="211">
        <v>-2.0699999999999998</v>
      </c>
      <c r="AC572" s="211">
        <v>0</v>
      </c>
      <c r="AD572" s="211">
        <v>0</v>
      </c>
      <c r="AE572" s="211">
        <v>18.93</v>
      </c>
      <c r="AF572" s="211">
        <v>-2.71</v>
      </c>
      <c r="AG572" s="204" t="s">
        <v>279</v>
      </c>
      <c r="AH572" s="211">
        <v>0</v>
      </c>
      <c r="AI572" s="211">
        <v>21</v>
      </c>
      <c r="AJ572" s="211">
        <v>0</v>
      </c>
      <c r="AK572" s="204" t="str">
        <f t="shared" si="17"/>
        <v>1.00000000</v>
      </c>
      <c r="AL572" s="204">
        <v>0</v>
      </c>
    </row>
    <row r="573" spans="1:38" x14ac:dyDescent="0.2">
      <c r="A573" s="204" t="str">
        <f t="shared" si="20"/>
        <v>0496002599140</v>
      </c>
      <c r="B573" s="204">
        <v>1</v>
      </c>
      <c r="C573" s="204" t="s">
        <v>581</v>
      </c>
      <c r="D573" s="204" t="s">
        <v>582</v>
      </c>
      <c r="E573" s="204" t="s">
        <v>582</v>
      </c>
      <c r="F573" s="204" t="s">
        <v>243</v>
      </c>
      <c r="G573" s="204">
        <v>2323</v>
      </c>
      <c r="H573" s="204" t="s">
        <v>270</v>
      </c>
      <c r="I573" s="204">
        <v>1700</v>
      </c>
      <c r="J573" s="209">
        <v>42455</v>
      </c>
      <c r="K573" s="210">
        <v>0.29796296296296293</v>
      </c>
      <c r="L573" s="209">
        <v>42458</v>
      </c>
      <c r="M573" s="204" t="s">
        <v>396</v>
      </c>
      <c r="N573" s="204" t="s">
        <v>397</v>
      </c>
      <c r="O573" s="204" t="s">
        <v>398</v>
      </c>
      <c r="P573" s="204" t="s">
        <v>343</v>
      </c>
      <c r="Q573" s="204" t="s">
        <v>275</v>
      </c>
      <c r="R573" s="204" t="s">
        <v>686</v>
      </c>
      <c r="S573" s="204" t="s">
        <v>436</v>
      </c>
      <c r="T573" s="204" t="s">
        <v>581</v>
      </c>
      <c r="U573" s="204">
        <v>2323</v>
      </c>
      <c r="V573" s="204" t="s">
        <v>581</v>
      </c>
      <c r="W573" s="204" t="s">
        <v>280</v>
      </c>
      <c r="X573" s="204">
        <v>10.054</v>
      </c>
      <c r="Y573" s="211">
        <v>0</v>
      </c>
      <c r="Z573" s="211">
        <v>2.04</v>
      </c>
      <c r="AA573" s="211">
        <v>20.5</v>
      </c>
      <c r="AB573" s="211">
        <v>-1.84</v>
      </c>
      <c r="AC573" s="211">
        <v>0</v>
      </c>
      <c r="AD573" s="211">
        <v>0</v>
      </c>
      <c r="AE573" s="211">
        <v>18.66</v>
      </c>
      <c r="AF573" s="211">
        <v>-2.41</v>
      </c>
      <c r="AG573" s="204" t="s">
        <v>279</v>
      </c>
      <c r="AH573" s="211">
        <v>0</v>
      </c>
      <c r="AI573" s="211">
        <v>20.5</v>
      </c>
      <c r="AJ573" s="211">
        <v>0</v>
      </c>
      <c r="AK573" s="204" t="str">
        <f t="shared" si="17"/>
        <v>1.00000000</v>
      </c>
      <c r="AL573" s="204">
        <v>0</v>
      </c>
    </row>
    <row r="574" spans="1:38" x14ac:dyDescent="0.2">
      <c r="A574" s="204" t="str">
        <f t="shared" si="20"/>
        <v>0496002599140</v>
      </c>
      <c r="B574" s="204">
        <v>1</v>
      </c>
      <c r="C574" s="204" t="s">
        <v>581</v>
      </c>
      <c r="D574" s="204" t="s">
        <v>582</v>
      </c>
      <c r="E574" s="204" t="s">
        <v>582</v>
      </c>
      <c r="F574" s="204" t="s">
        <v>243</v>
      </c>
      <c r="G574" s="204">
        <v>2323</v>
      </c>
      <c r="H574" s="204" t="s">
        <v>270</v>
      </c>
      <c r="I574" s="204">
        <v>1700</v>
      </c>
      <c r="J574" s="209">
        <v>42457</v>
      </c>
      <c r="K574" s="210">
        <v>0.69478009259259255</v>
      </c>
      <c r="L574" s="209">
        <v>42459</v>
      </c>
      <c r="M574" s="204" t="s">
        <v>314</v>
      </c>
      <c r="N574" s="204" t="s">
        <v>415</v>
      </c>
      <c r="O574" s="204" t="s">
        <v>416</v>
      </c>
      <c r="P574" s="204" t="s">
        <v>417</v>
      </c>
      <c r="Q574" s="204" t="s">
        <v>275</v>
      </c>
      <c r="R574" s="204" t="s">
        <v>418</v>
      </c>
      <c r="S574" s="204" t="s">
        <v>436</v>
      </c>
      <c r="T574" s="204" t="s">
        <v>581</v>
      </c>
      <c r="U574" s="204">
        <v>2323</v>
      </c>
      <c r="V574" s="204" t="s">
        <v>581</v>
      </c>
      <c r="W574" s="204" t="s">
        <v>280</v>
      </c>
      <c r="X574" s="204">
        <v>5.7110000000000003</v>
      </c>
      <c r="Y574" s="211">
        <v>0</v>
      </c>
      <c r="Z574" s="211">
        <v>1.98</v>
      </c>
      <c r="AA574" s="211">
        <v>11.3</v>
      </c>
      <c r="AB574" s="211">
        <v>-1.05</v>
      </c>
      <c r="AC574" s="211">
        <v>0</v>
      </c>
      <c r="AD574" s="211">
        <v>0</v>
      </c>
      <c r="AE574" s="211">
        <v>10.25</v>
      </c>
      <c r="AF574" s="211">
        <v>-1.37</v>
      </c>
      <c r="AG574" s="204" t="s">
        <v>279</v>
      </c>
      <c r="AH574" s="211">
        <v>0</v>
      </c>
      <c r="AI574" s="211">
        <v>11.3</v>
      </c>
      <c r="AJ574" s="211">
        <v>0</v>
      </c>
      <c r="AK574" s="204" t="str">
        <f t="shared" si="17"/>
        <v>1.00000000</v>
      </c>
      <c r="AL574" s="204">
        <v>0</v>
      </c>
    </row>
    <row r="575" spans="1:38" x14ac:dyDescent="0.2">
      <c r="A575" s="204" t="str">
        <f t="shared" si="20"/>
        <v>0496002599140</v>
      </c>
      <c r="B575" s="204">
        <v>1</v>
      </c>
      <c r="C575" s="204" t="s">
        <v>581</v>
      </c>
      <c r="D575" s="204" t="s">
        <v>582</v>
      </c>
      <c r="E575" s="204" t="s">
        <v>582</v>
      </c>
      <c r="F575" s="204" t="s">
        <v>243</v>
      </c>
      <c r="G575" s="204">
        <v>2323</v>
      </c>
      <c r="H575" s="204" t="s">
        <v>270</v>
      </c>
      <c r="I575" s="204">
        <v>1700</v>
      </c>
      <c r="J575" s="209">
        <v>42459</v>
      </c>
      <c r="K575" s="210">
        <v>0.69097222222222221</v>
      </c>
      <c r="L575" s="209">
        <v>42461</v>
      </c>
      <c r="M575" s="204" t="s">
        <v>606</v>
      </c>
      <c r="N575" s="204" t="s">
        <v>399</v>
      </c>
      <c r="O575" s="204" t="s">
        <v>400</v>
      </c>
      <c r="P575" s="204" t="s">
        <v>274</v>
      </c>
      <c r="Q575" s="204" t="s">
        <v>275</v>
      </c>
      <c r="R575" s="204" t="s">
        <v>401</v>
      </c>
      <c r="S575" s="204" t="s">
        <v>436</v>
      </c>
      <c r="T575" s="204" t="s">
        <v>581</v>
      </c>
      <c r="U575" s="204">
        <v>2323</v>
      </c>
      <c r="V575" s="204" t="s">
        <v>581</v>
      </c>
      <c r="W575" s="204" t="s">
        <v>280</v>
      </c>
      <c r="X575" s="204">
        <v>5.3940000000000001</v>
      </c>
      <c r="Y575" s="211">
        <v>0</v>
      </c>
      <c r="Z575" s="211">
        <v>2.04</v>
      </c>
      <c r="AA575" s="211">
        <v>11</v>
      </c>
      <c r="AB575" s="211">
        <v>-0.99</v>
      </c>
      <c r="AC575" s="211">
        <v>0</v>
      </c>
      <c r="AD575" s="211">
        <v>0</v>
      </c>
      <c r="AE575" s="211">
        <v>10.01</v>
      </c>
      <c r="AF575" s="211">
        <v>-1.29</v>
      </c>
      <c r="AG575" s="204" t="s">
        <v>279</v>
      </c>
      <c r="AH575" s="211">
        <v>0</v>
      </c>
      <c r="AI575" s="211">
        <v>11</v>
      </c>
      <c r="AJ575" s="211">
        <v>0</v>
      </c>
      <c r="AK575" s="204" t="str">
        <f t="shared" si="17"/>
        <v>1.00000000</v>
      </c>
      <c r="AL575" s="204">
        <v>0</v>
      </c>
    </row>
    <row r="576" spans="1:38" x14ac:dyDescent="0.2">
      <c r="A576" s="204" t="str">
        <f t="shared" si="20"/>
        <v>0496002599140</v>
      </c>
      <c r="B576" s="204">
        <v>1</v>
      </c>
      <c r="C576" s="204" t="s">
        <v>581</v>
      </c>
      <c r="D576" s="204" t="s">
        <v>582</v>
      </c>
      <c r="E576" s="204" t="s">
        <v>582</v>
      </c>
      <c r="F576" s="204" t="s">
        <v>243</v>
      </c>
      <c r="G576" s="204">
        <v>2323</v>
      </c>
      <c r="H576" s="204" t="s">
        <v>270</v>
      </c>
      <c r="I576" s="204">
        <v>1700</v>
      </c>
      <c r="J576" s="209">
        <v>42460</v>
      </c>
      <c r="K576" s="210">
        <v>0.79583333333333339</v>
      </c>
      <c r="L576" s="209">
        <v>42464</v>
      </c>
      <c r="M576" s="204" t="s">
        <v>271</v>
      </c>
      <c r="N576" s="204" t="s">
        <v>352</v>
      </c>
      <c r="O576" s="204" t="s">
        <v>353</v>
      </c>
      <c r="P576" s="204" t="s">
        <v>343</v>
      </c>
      <c r="Q576" s="204" t="s">
        <v>275</v>
      </c>
      <c r="R576" s="204" t="s">
        <v>602</v>
      </c>
      <c r="S576" s="204" t="s">
        <v>436</v>
      </c>
      <c r="T576" s="204" t="s">
        <v>581</v>
      </c>
      <c r="U576" s="204">
        <v>2323</v>
      </c>
      <c r="V576" s="204" t="s">
        <v>581</v>
      </c>
      <c r="W576" s="204" t="s">
        <v>280</v>
      </c>
      <c r="X576" s="204">
        <v>5.4260000000000002</v>
      </c>
      <c r="Y576" s="211">
        <v>-0.16</v>
      </c>
      <c r="Z576" s="211">
        <v>2.0299999999999998</v>
      </c>
      <c r="AA576" s="211">
        <v>11.01</v>
      </c>
      <c r="AB576" s="211">
        <v>-0.99</v>
      </c>
      <c r="AC576" s="211">
        <v>0</v>
      </c>
      <c r="AD576" s="211">
        <v>0</v>
      </c>
      <c r="AE576" s="211">
        <v>9.86</v>
      </c>
      <c r="AF576" s="211">
        <v>-1.3</v>
      </c>
      <c r="AG576" s="204" t="s">
        <v>279</v>
      </c>
      <c r="AH576" s="211">
        <v>0</v>
      </c>
      <c r="AI576" s="211">
        <v>11.01</v>
      </c>
      <c r="AJ576" s="211">
        <v>0</v>
      </c>
      <c r="AK576" s="204" t="str">
        <f t="shared" si="17"/>
        <v>1.00000000</v>
      </c>
      <c r="AL576" s="204">
        <v>0</v>
      </c>
    </row>
    <row r="577" spans="1:38" x14ac:dyDescent="0.2">
      <c r="A577" s="204" t="str">
        <f t="shared" si="20"/>
        <v>0496002599140</v>
      </c>
      <c r="B577" s="204">
        <v>1</v>
      </c>
      <c r="C577" s="204" t="s">
        <v>581</v>
      </c>
      <c r="D577" s="204" t="s">
        <v>582</v>
      </c>
      <c r="E577" s="204" t="s">
        <v>582</v>
      </c>
      <c r="F577" s="204" t="s">
        <v>243</v>
      </c>
      <c r="G577" s="204">
        <v>2323</v>
      </c>
      <c r="H577" s="204" t="s">
        <v>270</v>
      </c>
      <c r="I577" s="204">
        <v>1700</v>
      </c>
      <c r="J577" s="209">
        <v>42460</v>
      </c>
      <c r="K577" s="210">
        <v>0.79791666666666661</v>
      </c>
      <c r="L577" s="209">
        <v>42464</v>
      </c>
      <c r="M577" s="204" t="s">
        <v>271</v>
      </c>
      <c r="N577" s="204" t="s">
        <v>352</v>
      </c>
      <c r="O577" s="204" t="s">
        <v>353</v>
      </c>
      <c r="P577" s="204" t="s">
        <v>343</v>
      </c>
      <c r="Q577" s="204" t="s">
        <v>275</v>
      </c>
      <c r="R577" s="204" t="s">
        <v>602</v>
      </c>
      <c r="S577" s="204" t="s">
        <v>436</v>
      </c>
      <c r="T577" s="204" t="s">
        <v>581</v>
      </c>
      <c r="U577" s="204">
        <v>2323</v>
      </c>
      <c r="V577" s="204" t="s">
        <v>581</v>
      </c>
      <c r="W577" s="204" t="s">
        <v>280</v>
      </c>
      <c r="X577" s="204">
        <v>4.7510000000000003</v>
      </c>
      <c r="Y577" s="211">
        <v>-0.14000000000000001</v>
      </c>
      <c r="Z577" s="211">
        <v>2.0299999999999998</v>
      </c>
      <c r="AA577" s="211">
        <v>9.64</v>
      </c>
      <c r="AB577" s="211">
        <v>-0.87</v>
      </c>
      <c r="AC577" s="211">
        <v>0</v>
      </c>
      <c r="AD577" s="211">
        <v>0</v>
      </c>
      <c r="AE577" s="211">
        <v>8.6300000000000008</v>
      </c>
      <c r="AF577" s="211">
        <v>-1.1399999999999999</v>
      </c>
      <c r="AG577" s="204" t="s">
        <v>279</v>
      </c>
      <c r="AH577" s="211">
        <v>0</v>
      </c>
      <c r="AI577" s="211">
        <v>9.64</v>
      </c>
      <c r="AJ577" s="211">
        <v>0</v>
      </c>
      <c r="AK577" s="204" t="str">
        <f t="shared" si="17"/>
        <v>1.00000000</v>
      </c>
      <c r="AL577" s="204">
        <v>0</v>
      </c>
    </row>
    <row r="578" spans="1:38" x14ac:dyDescent="0.2">
      <c r="A578" s="204" t="str">
        <f t="shared" si="20"/>
        <v>0496002599140</v>
      </c>
      <c r="B578" s="204">
        <v>1</v>
      </c>
      <c r="C578" s="204" t="s">
        <v>581</v>
      </c>
      <c r="D578" s="204" t="s">
        <v>582</v>
      </c>
      <c r="E578" s="204" t="s">
        <v>582</v>
      </c>
      <c r="F578" s="204" t="s">
        <v>243</v>
      </c>
      <c r="G578" s="204">
        <v>2323</v>
      </c>
      <c r="H578" s="204" t="s">
        <v>270</v>
      </c>
      <c r="I578" s="204">
        <v>1700</v>
      </c>
      <c r="J578" s="209">
        <v>42460</v>
      </c>
      <c r="K578" s="210">
        <v>0.7993055555555556</v>
      </c>
      <c r="L578" s="209">
        <v>42464</v>
      </c>
      <c r="M578" s="204" t="s">
        <v>271</v>
      </c>
      <c r="N578" s="204" t="s">
        <v>352</v>
      </c>
      <c r="O578" s="204" t="s">
        <v>353</v>
      </c>
      <c r="P578" s="204" t="s">
        <v>343</v>
      </c>
      <c r="Q578" s="204" t="s">
        <v>275</v>
      </c>
      <c r="R578" s="204" t="s">
        <v>602</v>
      </c>
      <c r="S578" s="204" t="s">
        <v>436</v>
      </c>
      <c r="T578" s="204" t="s">
        <v>581</v>
      </c>
      <c r="U578" s="204">
        <v>2323</v>
      </c>
      <c r="V578" s="204" t="s">
        <v>581</v>
      </c>
      <c r="W578" s="204" t="s">
        <v>280</v>
      </c>
      <c r="X578" s="204">
        <v>13.849</v>
      </c>
      <c r="Y578" s="211">
        <v>-0.42</v>
      </c>
      <c r="Z578" s="211">
        <v>2.0299999999999998</v>
      </c>
      <c r="AA578" s="211">
        <v>28.1</v>
      </c>
      <c r="AB578" s="211">
        <v>-2.5299999999999998</v>
      </c>
      <c r="AC578" s="211">
        <v>0</v>
      </c>
      <c r="AD578" s="211">
        <v>0</v>
      </c>
      <c r="AE578" s="211">
        <v>25.15</v>
      </c>
      <c r="AF578" s="211">
        <v>-3.32</v>
      </c>
      <c r="AG578" s="204" t="s">
        <v>279</v>
      </c>
      <c r="AH578" s="211">
        <v>0</v>
      </c>
      <c r="AI578" s="211">
        <v>28.1</v>
      </c>
      <c r="AJ578" s="211">
        <v>0</v>
      </c>
      <c r="AK578" s="204" t="str">
        <f t="shared" ref="AK578:AK641" si="21">"1.00000000"</f>
        <v>1.00000000</v>
      </c>
      <c r="AL578" s="204">
        <v>0</v>
      </c>
    </row>
    <row r="579" spans="1:38" x14ac:dyDescent="0.2">
      <c r="A579" s="204" t="str">
        <f t="shared" si="20"/>
        <v>0496002599140</v>
      </c>
      <c r="B579" s="204">
        <v>1</v>
      </c>
      <c r="C579" s="204" t="s">
        <v>581</v>
      </c>
      <c r="D579" s="204" t="s">
        <v>582</v>
      </c>
      <c r="E579" s="204" t="s">
        <v>582</v>
      </c>
      <c r="F579" s="204" t="s">
        <v>243</v>
      </c>
      <c r="G579" s="204">
        <v>2323</v>
      </c>
      <c r="H579" s="204" t="s">
        <v>270</v>
      </c>
      <c r="I579" s="204">
        <v>1700</v>
      </c>
      <c r="J579" s="209">
        <v>42460</v>
      </c>
      <c r="K579" s="210">
        <v>0.79999999999999993</v>
      </c>
      <c r="L579" s="209">
        <v>42464</v>
      </c>
      <c r="M579" s="204" t="s">
        <v>271</v>
      </c>
      <c r="N579" s="204" t="s">
        <v>352</v>
      </c>
      <c r="O579" s="204" t="s">
        <v>353</v>
      </c>
      <c r="P579" s="204" t="s">
        <v>343</v>
      </c>
      <c r="Q579" s="204" t="s">
        <v>275</v>
      </c>
      <c r="R579" s="204" t="s">
        <v>602</v>
      </c>
      <c r="S579" s="204" t="s">
        <v>436</v>
      </c>
      <c r="T579" s="204" t="s">
        <v>581</v>
      </c>
      <c r="U579" s="204">
        <v>2323</v>
      </c>
      <c r="V579" s="204" t="s">
        <v>581</v>
      </c>
      <c r="W579" s="204" t="s">
        <v>280</v>
      </c>
      <c r="X579" s="204">
        <v>10.266</v>
      </c>
      <c r="Y579" s="211">
        <v>-0.31</v>
      </c>
      <c r="Z579" s="211">
        <v>2.0299999999999998</v>
      </c>
      <c r="AA579" s="211">
        <v>20.83</v>
      </c>
      <c r="AB579" s="211">
        <v>-1.88</v>
      </c>
      <c r="AC579" s="211">
        <v>0</v>
      </c>
      <c r="AD579" s="211">
        <v>0</v>
      </c>
      <c r="AE579" s="211">
        <v>18.64</v>
      </c>
      <c r="AF579" s="211">
        <v>-2.46</v>
      </c>
      <c r="AG579" s="204" t="s">
        <v>279</v>
      </c>
      <c r="AH579" s="211">
        <v>0</v>
      </c>
      <c r="AI579" s="211">
        <v>20.83</v>
      </c>
      <c r="AJ579" s="211">
        <v>0</v>
      </c>
      <c r="AK579" s="204" t="str">
        <f t="shared" si="21"/>
        <v>1.00000000</v>
      </c>
      <c r="AL579" s="204">
        <v>0</v>
      </c>
    </row>
    <row r="580" spans="1:38" x14ac:dyDescent="0.2">
      <c r="A580" s="204" t="str">
        <f t="shared" si="20"/>
        <v>0496002599140</v>
      </c>
      <c r="B580" s="204">
        <v>1</v>
      </c>
      <c r="C580" s="204" t="s">
        <v>581</v>
      </c>
      <c r="D580" s="204" t="s">
        <v>582</v>
      </c>
      <c r="E580" s="204" t="s">
        <v>582</v>
      </c>
      <c r="F580" s="204" t="s">
        <v>243</v>
      </c>
      <c r="G580" s="204">
        <v>2323</v>
      </c>
      <c r="H580" s="204" t="s">
        <v>270</v>
      </c>
      <c r="I580" s="204">
        <v>1700</v>
      </c>
      <c r="J580" s="209">
        <v>42460</v>
      </c>
      <c r="K580" s="210">
        <v>0.81111111111111101</v>
      </c>
      <c r="L580" s="209">
        <v>42464</v>
      </c>
      <c r="M580" s="204" t="s">
        <v>271</v>
      </c>
      <c r="N580" s="204" t="s">
        <v>352</v>
      </c>
      <c r="O580" s="204" t="s">
        <v>353</v>
      </c>
      <c r="P580" s="204" t="s">
        <v>343</v>
      </c>
      <c r="Q580" s="204" t="s">
        <v>275</v>
      </c>
      <c r="R580" s="204" t="s">
        <v>602</v>
      </c>
      <c r="S580" s="204" t="s">
        <v>436</v>
      </c>
      <c r="T580" s="204" t="s">
        <v>581</v>
      </c>
      <c r="U580" s="204">
        <v>2323</v>
      </c>
      <c r="V580" s="204" t="s">
        <v>581</v>
      </c>
      <c r="W580" s="204" t="s">
        <v>280</v>
      </c>
      <c r="X580" s="204">
        <v>13.798999999999999</v>
      </c>
      <c r="Y580" s="211">
        <v>-0.41</v>
      </c>
      <c r="Z580" s="211">
        <v>2.0299999999999998</v>
      </c>
      <c r="AA580" s="211">
        <v>28</v>
      </c>
      <c r="AB580" s="211">
        <v>-2.5299999999999998</v>
      </c>
      <c r="AC580" s="211">
        <v>0</v>
      </c>
      <c r="AD580" s="211">
        <v>0</v>
      </c>
      <c r="AE580" s="211">
        <v>25.06</v>
      </c>
      <c r="AF580" s="211">
        <v>-3.31</v>
      </c>
      <c r="AG580" s="204" t="s">
        <v>279</v>
      </c>
      <c r="AH580" s="211">
        <v>0</v>
      </c>
      <c r="AI580" s="211">
        <v>28</v>
      </c>
      <c r="AJ580" s="211">
        <v>0</v>
      </c>
      <c r="AK580" s="204" t="str">
        <f t="shared" si="21"/>
        <v>1.00000000</v>
      </c>
      <c r="AL580" s="204">
        <v>0</v>
      </c>
    </row>
    <row r="581" spans="1:38" x14ac:dyDescent="0.2">
      <c r="A581" s="204" t="str">
        <f t="shared" si="20"/>
        <v>0496002599140</v>
      </c>
      <c r="B581" s="204">
        <v>1</v>
      </c>
      <c r="C581" s="204" t="s">
        <v>581</v>
      </c>
      <c r="D581" s="204" t="s">
        <v>582</v>
      </c>
      <c r="E581" s="204" t="s">
        <v>582</v>
      </c>
      <c r="F581" s="204" t="s">
        <v>243</v>
      </c>
      <c r="G581" s="204">
        <v>2323</v>
      </c>
      <c r="H581" s="204" t="s">
        <v>270</v>
      </c>
      <c r="I581" s="204">
        <v>1700</v>
      </c>
      <c r="J581" s="209">
        <v>42460</v>
      </c>
      <c r="K581" s="210">
        <v>0.81319444444444444</v>
      </c>
      <c r="L581" s="209">
        <v>42464</v>
      </c>
      <c r="M581" s="204" t="s">
        <v>271</v>
      </c>
      <c r="N581" s="204" t="s">
        <v>352</v>
      </c>
      <c r="O581" s="204" t="s">
        <v>353</v>
      </c>
      <c r="P581" s="204" t="s">
        <v>343</v>
      </c>
      <c r="Q581" s="204" t="s">
        <v>275</v>
      </c>
      <c r="R581" s="204" t="s">
        <v>602</v>
      </c>
      <c r="S581" s="204" t="s">
        <v>436</v>
      </c>
      <c r="T581" s="204" t="s">
        <v>581</v>
      </c>
      <c r="U581" s="204">
        <v>2323</v>
      </c>
      <c r="V581" s="204" t="s">
        <v>581</v>
      </c>
      <c r="W581" s="204" t="s">
        <v>280</v>
      </c>
      <c r="X581" s="204">
        <v>12.936999999999999</v>
      </c>
      <c r="Y581" s="211">
        <v>-0.39</v>
      </c>
      <c r="Z581" s="211">
        <v>2.0299999999999998</v>
      </c>
      <c r="AA581" s="211">
        <v>26.25</v>
      </c>
      <c r="AB581" s="211">
        <v>-2.37</v>
      </c>
      <c r="AC581" s="211">
        <v>0</v>
      </c>
      <c r="AD581" s="211">
        <v>0</v>
      </c>
      <c r="AE581" s="211">
        <v>23.49</v>
      </c>
      <c r="AF581" s="211">
        <v>-3.1</v>
      </c>
      <c r="AG581" s="204" t="s">
        <v>279</v>
      </c>
      <c r="AH581" s="211">
        <v>0</v>
      </c>
      <c r="AI581" s="211">
        <v>26.25</v>
      </c>
      <c r="AJ581" s="211">
        <v>0</v>
      </c>
      <c r="AK581" s="204" t="str">
        <f t="shared" si="21"/>
        <v>1.00000000</v>
      </c>
      <c r="AL581" s="204">
        <v>0</v>
      </c>
    </row>
    <row r="582" spans="1:38" x14ac:dyDescent="0.2">
      <c r="A582" s="204" t="str">
        <f t="shared" si="20"/>
        <v>0496002599140</v>
      </c>
      <c r="B582" s="204">
        <v>1</v>
      </c>
      <c r="C582" s="204" t="s">
        <v>581</v>
      </c>
      <c r="D582" s="204" t="s">
        <v>582</v>
      </c>
      <c r="E582" s="204" t="s">
        <v>582</v>
      </c>
      <c r="F582" s="204" t="s">
        <v>243</v>
      </c>
      <c r="G582" s="204">
        <v>2323</v>
      </c>
      <c r="H582" s="204" t="s">
        <v>270</v>
      </c>
      <c r="I582" s="204">
        <v>1700</v>
      </c>
      <c r="J582" s="209">
        <v>42461</v>
      </c>
      <c r="K582" s="210">
        <v>0.65902777777777777</v>
      </c>
      <c r="L582" s="209">
        <v>42465</v>
      </c>
      <c r="M582" s="204" t="s">
        <v>606</v>
      </c>
      <c r="N582" s="204" t="s">
        <v>399</v>
      </c>
      <c r="O582" s="204" t="s">
        <v>400</v>
      </c>
      <c r="P582" s="204" t="s">
        <v>274</v>
      </c>
      <c r="Q582" s="204" t="s">
        <v>275</v>
      </c>
      <c r="R582" s="204" t="s">
        <v>401</v>
      </c>
      <c r="S582" s="204" t="s">
        <v>436</v>
      </c>
      <c r="T582" s="204" t="s">
        <v>581</v>
      </c>
      <c r="U582" s="204">
        <v>2323</v>
      </c>
      <c r="V582" s="204" t="s">
        <v>581</v>
      </c>
      <c r="W582" s="204" t="s">
        <v>278</v>
      </c>
      <c r="X582" s="204">
        <v>7.6289999999999996</v>
      </c>
      <c r="Y582" s="211">
        <v>0</v>
      </c>
      <c r="Z582" s="211">
        <v>2.36</v>
      </c>
      <c r="AA582" s="211">
        <v>18</v>
      </c>
      <c r="AB582" s="211">
        <v>-1.4</v>
      </c>
      <c r="AC582" s="211">
        <v>0</v>
      </c>
      <c r="AD582" s="211">
        <v>0</v>
      </c>
      <c r="AE582" s="211">
        <v>16.600000000000001</v>
      </c>
      <c r="AF582" s="211">
        <v>-1.83</v>
      </c>
      <c r="AG582" s="204" t="s">
        <v>279</v>
      </c>
      <c r="AH582" s="211">
        <v>0</v>
      </c>
      <c r="AI582" s="211">
        <v>18</v>
      </c>
      <c r="AJ582" s="211">
        <v>0</v>
      </c>
      <c r="AK582" s="204" t="str">
        <f t="shared" si="21"/>
        <v>1.00000000</v>
      </c>
      <c r="AL582" s="204">
        <v>0</v>
      </c>
    </row>
    <row r="583" spans="1:38" x14ac:dyDescent="0.2">
      <c r="A583" s="204" t="str">
        <f t="shared" si="20"/>
        <v>0496002599140</v>
      </c>
      <c r="B583" s="204">
        <v>1</v>
      </c>
      <c r="C583" s="204" t="s">
        <v>581</v>
      </c>
      <c r="D583" s="204" t="s">
        <v>582</v>
      </c>
      <c r="E583" s="204" t="s">
        <v>582</v>
      </c>
      <c r="F583" s="204" t="s">
        <v>243</v>
      </c>
      <c r="G583" s="204">
        <v>2323</v>
      </c>
      <c r="H583" s="204" t="s">
        <v>270</v>
      </c>
      <c r="I583" s="204">
        <v>1700</v>
      </c>
      <c r="J583" s="209">
        <v>42464</v>
      </c>
      <c r="K583" s="210">
        <v>0.54375000000000007</v>
      </c>
      <c r="L583" s="209">
        <v>42466</v>
      </c>
      <c r="M583" s="204" t="s">
        <v>606</v>
      </c>
      <c r="N583" s="204" t="s">
        <v>399</v>
      </c>
      <c r="O583" s="204" t="s">
        <v>400</v>
      </c>
      <c r="P583" s="204" t="s">
        <v>274</v>
      </c>
      <c r="Q583" s="204" t="s">
        <v>275</v>
      </c>
      <c r="R583" s="204" t="s">
        <v>401</v>
      </c>
      <c r="S583" s="204" t="s">
        <v>436</v>
      </c>
      <c r="T583" s="204" t="s">
        <v>581</v>
      </c>
      <c r="U583" s="204">
        <v>2323</v>
      </c>
      <c r="V583" s="204" t="s">
        <v>581</v>
      </c>
      <c r="W583" s="204" t="s">
        <v>280</v>
      </c>
      <c r="X583" s="204">
        <v>33.104999999999997</v>
      </c>
      <c r="Y583" s="211">
        <v>0</v>
      </c>
      <c r="Z583" s="211">
        <v>2.04</v>
      </c>
      <c r="AA583" s="211">
        <v>67.5</v>
      </c>
      <c r="AB583" s="211">
        <v>-6.06</v>
      </c>
      <c r="AC583" s="211">
        <v>0</v>
      </c>
      <c r="AD583" s="211">
        <v>0</v>
      </c>
      <c r="AE583" s="211">
        <v>61.44</v>
      </c>
      <c r="AF583" s="211">
        <v>-7.95</v>
      </c>
      <c r="AG583" s="204" t="s">
        <v>279</v>
      </c>
      <c r="AH583" s="211">
        <v>0</v>
      </c>
      <c r="AI583" s="211">
        <v>67.5</v>
      </c>
      <c r="AJ583" s="211">
        <v>0</v>
      </c>
      <c r="AK583" s="204" t="str">
        <f t="shared" si="21"/>
        <v>1.00000000</v>
      </c>
      <c r="AL583" s="204">
        <v>0</v>
      </c>
    </row>
    <row r="584" spans="1:38" x14ac:dyDescent="0.2">
      <c r="A584" s="204" t="str">
        <f t="shared" si="20"/>
        <v>0496002599140</v>
      </c>
      <c r="B584" s="204">
        <v>1</v>
      </c>
      <c r="C584" s="204" t="s">
        <v>581</v>
      </c>
      <c r="D584" s="204" t="s">
        <v>582</v>
      </c>
      <c r="E584" s="204" t="s">
        <v>582</v>
      </c>
      <c r="F584" s="204" t="s">
        <v>243</v>
      </c>
      <c r="G584" s="204">
        <v>2323</v>
      </c>
      <c r="H584" s="204" t="s">
        <v>270</v>
      </c>
      <c r="I584" s="204">
        <v>1700</v>
      </c>
      <c r="J584" s="209">
        <v>42465</v>
      </c>
      <c r="K584" s="210">
        <v>0.8125</v>
      </c>
      <c r="L584" s="209">
        <v>42467</v>
      </c>
      <c r="M584" s="204" t="s">
        <v>271</v>
      </c>
      <c r="N584" s="204" t="s">
        <v>352</v>
      </c>
      <c r="O584" s="204" t="s">
        <v>353</v>
      </c>
      <c r="P584" s="204" t="s">
        <v>343</v>
      </c>
      <c r="Q584" s="204" t="s">
        <v>275</v>
      </c>
      <c r="R584" s="204" t="s">
        <v>602</v>
      </c>
      <c r="S584" s="204" t="s">
        <v>436</v>
      </c>
      <c r="T584" s="204" t="s">
        <v>581</v>
      </c>
      <c r="U584" s="204">
        <v>2323</v>
      </c>
      <c r="V584" s="204" t="s">
        <v>581</v>
      </c>
      <c r="W584" s="204" t="s">
        <v>280</v>
      </c>
      <c r="X584" s="204">
        <v>20.196999999999999</v>
      </c>
      <c r="Y584" s="211">
        <v>-0.61</v>
      </c>
      <c r="Z584" s="211">
        <v>1.98</v>
      </c>
      <c r="AA584" s="211">
        <v>39.97</v>
      </c>
      <c r="AB584" s="211">
        <v>-3.7</v>
      </c>
      <c r="AC584" s="211">
        <v>0</v>
      </c>
      <c r="AD584" s="211">
        <v>0</v>
      </c>
      <c r="AE584" s="211">
        <v>35.659999999999997</v>
      </c>
      <c r="AF584" s="211">
        <v>-4.8499999999999996</v>
      </c>
      <c r="AG584" s="204" t="s">
        <v>279</v>
      </c>
      <c r="AH584" s="211">
        <v>0</v>
      </c>
      <c r="AI584" s="211">
        <v>39.97</v>
      </c>
      <c r="AJ584" s="211">
        <v>0</v>
      </c>
      <c r="AK584" s="204" t="str">
        <f t="shared" si="21"/>
        <v>1.00000000</v>
      </c>
      <c r="AL584" s="204">
        <v>0</v>
      </c>
    </row>
    <row r="585" spans="1:38" x14ac:dyDescent="0.2">
      <c r="A585" s="204" t="str">
        <f t="shared" si="20"/>
        <v>0496002599140</v>
      </c>
      <c r="B585" s="204">
        <v>1</v>
      </c>
      <c r="C585" s="204" t="s">
        <v>581</v>
      </c>
      <c r="D585" s="204" t="s">
        <v>582</v>
      </c>
      <c r="E585" s="204" t="s">
        <v>582</v>
      </c>
      <c r="F585" s="204" t="s">
        <v>243</v>
      </c>
      <c r="G585" s="204">
        <v>2323</v>
      </c>
      <c r="H585" s="204" t="s">
        <v>270</v>
      </c>
      <c r="I585" s="204">
        <v>1700</v>
      </c>
      <c r="J585" s="209">
        <v>42465</v>
      </c>
      <c r="K585" s="210">
        <v>0.81458333333333333</v>
      </c>
      <c r="L585" s="209">
        <v>42467</v>
      </c>
      <c r="M585" s="204" t="s">
        <v>271</v>
      </c>
      <c r="N585" s="204" t="s">
        <v>352</v>
      </c>
      <c r="O585" s="204" t="s">
        <v>353</v>
      </c>
      <c r="P585" s="204" t="s">
        <v>343</v>
      </c>
      <c r="Q585" s="204" t="s">
        <v>275</v>
      </c>
      <c r="R585" s="204" t="s">
        <v>602</v>
      </c>
      <c r="S585" s="204" t="s">
        <v>436</v>
      </c>
      <c r="T585" s="204" t="s">
        <v>581</v>
      </c>
      <c r="U585" s="204">
        <v>2323</v>
      </c>
      <c r="V585" s="204" t="s">
        <v>581</v>
      </c>
      <c r="W585" s="204" t="s">
        <v>280</v>
      </c>
      <c r="X585" s="204">
        <v>21.045000000000002</v>
      </c>
      <c r="Y585" s="211">
        <v>-0.63</v>
      </c>
      <c r="Z585" s="211">
        <v>1.98</v>
      </c>
      <c r="AA585" s="211">
        <v>41.65</v>
      </c>
      <c r="AB585" s="211">
        <v>-3.85</v>
      </c>
      <c r="AC585" s="211">
        <v>0</v>
      </c>
      <c r="AD585" s="211">
        <v>0</v>
      </c>
      <c r="AE585" s="211">
        <v>37.17</v>
      </c>
      <c r="AF585" s="211">
        <v>-5.05</v>
      </c>
      <c r="AG585" s="204" t="s">
        <v>279</v>
      </c>
      <c r="AH585" s="211">
        <v>0</v>
      </c>
      <c r="AI585" s="211">
        <v>41.65</v>
      </c>
      <c r="AJ585" s="211">
        <v>0</v>
      </c>
      <c r="AK585" s="204" t="str">
        <f t="shared" si="21"/>
        <v>1.00000000</v>
      </c>
      <c r="AL585" s="204">
        <v>0</v>
      </c>
    </row>
    <row r="586" spans="1:38" x14ac:dyDescent="0.2">
      <c r="A586" s="204" t="str">
        <f t="shared" si="20"/>
        <v>0496002599140</v>
      </c>
      <c r="B586" s="204">
        <v>1</v>
      </c>
      <c r="C586" s="204" t="s">
        <v>581</v>
      </c>
      <c r="D586" s="204" t="s">
        <v>582</v>
      </c>
      <c r="E586" s="204" t="s">
        <v>582</v>
      </c>
      <c r="F586" s="204" t="s">
        <v>243</v>
      </c>
      <c r="G586" s="204">
        <v>2323</v>
      </c>
      <c r="H586" s="204" t="s">
        <v>270</v>
      </c>
      <c r="I586" s="204">
        <v>1700</v>
      </c>
      <c r="J586" s="209">
        <v>42466</v>
      </c>
      <c r="K586" s="210">
        <v>0.76666666666666661</v>
      </c>
      <c r="L586" s="209">
        <v>42468</v>
      </c>
      <c r="M586" s="204" t="s">
        <v>271</v>
      </c>
      <c r="N586" s="204" t="s">
        <v>352</v>
      </c>
      <c r="O586" s="204" t="s">
        <v>353</v>
      </c>
      <c r="P586" s="204" t="s">
        <v>343</v>
      </c>
      <c r="Q586" s="204" t="s">
        <v>275</v>
      </c>
      <c r="R586" s="204" t="s">
        <v>602</v>
      </c>
      <c r="S586" s="204" t="s">
        <v>436</v>
      </c>
      <c r="T586" s="204" t="s">
        <v>581</v>
      </c>
      <c r="U586" s="204">
        <v>2323</v>
      </c>
      <c r="V586" s="204" t="s">
        <v>581</v>
      </c>
      <c r="W586" s="204" t="s">
        <v>280</v>
      </c>
      <c r="X586" s="204">
        <v>20</v>
      </c>
      <c r="Y586" s="211">
        <v>-0.6</v>
      </c>
      <c r="Z586" s="211">
        <v>2</v>
      </c>
      <c r="AA586" s="211">
        <v>39.979999999999997</v>
      </c>
      <c r="AB586" s="211">
        <v>-3.66</v>
      </c>
      <c r="AC586" s="211">
        <v>0</v>
      </c>
      <c r="AD586" s="211">
        <v>0</v>
      </c>
      <c r="AE586" s="211">
        <v>35.72</v>
      </c>
      <c r="AF586" s="211">
        <v>-4.8</v>
      </c>
      <c r="AG586" s="204" t="s">
        <v>279</v>
      </c>
      <c r="AH586" s="211">
        <v>0</v>
      </c>
      <c r="AI586" s="211">
        <v>39.979999999999997</v>
      </c>
      <c r="AJ586" s="211">
        <v>0</v>
      </c>
      <c r="AK586" s="204" t="str">
        <f t="shared" si="21"/>
        <v>1.00000000</v>
      </c>
      <c r="AL586" s="204">
        <v>0</v>
      </c>
    </row>
    <row r="587" spans="1:38" x14ac:dyDescent="0.2">
      <c r="A587" s="204" t="str">
        <f t="shared" si="20"/>
        <v>0496002599140</v>
      </c>
      <c r="B587" s="204">
        <v>1</v>
      </c>
      <c r="C587" s="204" t="s">
        <v>581</v>
      </c>
      <c r="D587" s="204" t="s">
        <v>582</v>
      </c>
      <c r="E587" s="204" t="s">
        <v>582</v>
      </c>
      <c r="F587" s="204" t="s">
        <v>243</v>
      </c>
      <c r="G587" s="204">
        <v>2323</v>
      </c>
      <c r="H587" s="204" t="s">
        <v>270</v>
      </c>
      <c r="I587" s="204">
        <v>1700</v>
      </c>
      <c r="J587" s="209">
        <v>42469</v>
      </c>
      <c r="K587" s="210">
        <v>0.48819444444444443</v>
      </c>
      <c r="L587" s="209">
        <v>42472</v>
      </c>
      <c r="M587" s="204" t="s">
        <v>271</v>
      </c>
      <c r="N587" s="204" t="s">
        <v>352</v>
      </c>
      <c r="O587" s="204" t="s">
        <v>353</v>
      </c>
      <c r="P587" s="204" t="s">
        <v>343</v>
      </c>
      <c r="Q587" s="204" t="s">
        <v>275</v>
      </c>
      <c r="R587" s="204" t="s">
        <v>602</v>
      </c>
      <c r="S587" s="204" t="s">
        <v>436</v>
      </c>
      <c r="T587" s="204" t="s">
        <v>581</v>
      </c>
      <c r="U587" s="204">
        <v>2323</v>
      </c>
      <c r="V587" s="204" t="s">
        <v>581</v>
      </c>
      <c r="W587" s="204" t="s">
        <v>280</v>
      </c>
      <c r="X587" s="204">
        <v>24.486999999999998</v>
      </c>
      <c r="Y587" s="211">
        <v>-0.73</v>
      </c>
      <c r="Z587" s="211">
        <v>2</v>
      </c>
      <c r="AA587" s="211">
        <v>48.95</v>
      </c>
      <c r="AB587" s="211">
        <v>-4.4800000000000004</v>
      </c>
      <c r="AC587" s="211">
        <v>0</v>
      </c>
      <c r="AD587" s="211">
        <v>0</v>
      </c>
      <c r="AE587" s="211">
        <v>43.74</v>
      </c>
      <c r="AF587" s="211">
        <v>-5.88</v>
      </c>
      <c r="AG587" s="204" t="s">
        <v>279</v>
      </c>
      <c r="AH587" s="211">
        <v>0</v>
      </c>
      <c r="AI587" s="211">
        <v>48.95</v>
      </c>
      <c r="AJ587" s="211">
        <v>0</v>
      </c>
      <c r="AK587" s="204" t="str">
        <f t="shared" si="21"/>
        <v>1.00000000</v>
      </c>
      <c r="AL587" s="204">
        <v>0</v>
      </c>
    </row>
    <row r="588" spans="1:38" x14ac:dyDescent="0.2">
      <c r="A588" s="204" t="str">
        <f t="shared" si="20"/>
        <v>0496002599140</v>
      </c>
      <c r="B588" s="204">
        <v>1</v>
      </c>
      <c r="C588" s="204" t="s">
        <v>581</v>
      </c>
      <c r="D588" s="204" t="s">
        <v>582</v>
      </c>
      <c r="E588" s="204" t="s">
        <v>582</v>
      </c>
      <c r="F588" s="204" t="s">
        <v>243</v>
      </c>
      <c r="G588" s="204">
        <v>2323</v>
      </c>
      <c r="H588" s="204" t="s">
        <v>270</v>
      </c>
      <c r="I588" s="204">
        <v>1700</v>
      </c>
      <c r="J588" s="209">
        <v>42469</v>
      </c>
      <c r="K588" s="210">
        <v>0.77452546296296287</v>
      </c>
      <c r="L588" s="209">
        <v>42472</v>
      </c>
      <c r="M588" s="204" t="s">
        <v>396</v>
      </c>
      <c r="N588" s="204" t="s">
        <v>397</v>
      </c>
      <c r="O588" s="204" t="s">
        <v>398</v>
      </c>
      <c r="P588" s="204" t="s">
        <v>343</v>
      </c>
      <c r="Q588" s="204" t="s">
        <v>275</v>
      </c>
      <c r="R588" s="204" t="s">
        <v>686</v>
      </c>
      <c r="S588" s="204" t="s">
        <v>436</v>
      </c>
      <c r="T588" s="204" t="s">
        <v>581</v>
      </c>
      <c r="U588" s="204">
        <v>2323</v>
      </c>
      <c r="V588" s="204" t="s">
        <v>581</v>
      </c>
      <c r="W588" s="204" t="s">
        <v>280</v>
      </c>
      <c r="X588" s="204">
        <v>15.882</v>
      </c>
      <c r="Y588" s="211">
        <v>0</v>
      </c>
      <c r="Z588" s="211">
        <v>2</v>
      </c>
      <c r="AA588" s="211">
        <v>31.75</v>
      </c>
      <c r="AB588" s="211">
        <v>-2.91</v>
      </c>
      <c r="AC588" s="211">
        <v>0</v>
      </c>
      <c r="AD588" s="211">
        <v>0</v>
      </c>
      <c r="AE588" s="211">
        <v>28.84</v>
      </c>
      <c r="AF588" s="211">
        <v>-3.81</v>
      </c>
      <c r="AG588" s="204" t="s">
        <v>279</v>
      </c>
      <c r="AH588" s="211">
        <v>0</v>
      </c>
      <c r="AI588" s="211">
        <v>31.75</v>
      </c>
      <c r="AJ588" s="211">
        <v>0</v>
      </c>
      <c r="AK588" s="204" t="str">
        <f t="shared" si="21"/>
        <v>1.00000000</v>
      </c>
      <c r="AL588" s="204">
        <v>0</v>
      </c>
    </row>
    <row r="589" spans="1:38" x14ac:dyDescent="0.2">
      <c r="A589" s="204" t="str">
        <f t="shared" si="20"/>
        <v>0496002599140</v>
      </c>
      <c r="B589" s="204">
        <v>1</v>
      </c>
      <c r="C589" s="204" t="s">
        <v>581</v>
      </c>
      <c r="D589" s="204" t="s">
        <v>582</v>
      </c>
      <c r="E589" s="204" t="s">
        <v>582</v>
      </c>
      <c r="F589" s="204" t="s">
        <v>243</v>
      </c>
      <c r="G589" s="204">
        <v>2323</v>
      </c>
      <c r="H589" s="204" t="s">
        <v>270</v>
      </c>
      <c r="I589" s="204">
        <v>1700</v>
      </c>
      <c r="J589" s="209">
        <v>42471</v>
      </c>
      <c r="K589" s="210">
        <v>0.49652777777777773</v>
      </c>
      <c r="L589" s="209">
        <v>42473</v>
      </c>
      <c r="M589" s="204" t="s">
        <v>606</v>
      </c>
      <c r="N589" s="204" t="s">
        <v>399</v>
      </c>
      <c r="O589" s="204" t="s">
        <v>400</v>
      </c>
      <c r="P589" s="204" t="s">
        <v>274</v>
      </c>
      <c r="Q589" s="204" t="s">
        <v>275</v>
      </c>
      <c r="R589" s="204" t="s">
        <v>401</v>
      </c>
      <c r="S589" s="204" t="s">
        <v>436</v>
      </c>
      <c r="T589" s="204" t="s">
        <v>581</v>
      </c>
      <c r="U589" s="204">
        <v>2323</v>
      </c>
      <c r="V589" s="204" t="s">
        <v>581</v>
      </c>
      <c r="W589" s="204" t="s">
        <v>280</v>
      </c>
      <c r="X589" s="204">
        <v>27.954000000000001</v>
      </c>
      <c r="Y589" s="211">
        <v>0</v>
      </c>
      <c r="Z589" s="211">
        <v>2.04</v>
      </c>
      <c r="AA589" s="211">
        <v>57</v>
      </c>
      <c r="AB589" s="211">
        <v>-5.12</v>
      </c>
      <c r="AC589" s="211">
        <v>0</v>
      </c>
      <c r="AD589" s="211">
        <v>0</v>
      </c>
      <c r="AE589" s="211">
        <v>51.88</v>
      </c>
      <c r="AF589" s="211">
        <v>-6.71</v>
      </c>
      <c r="AG589" s="204" t="s">
        <v>279</v>
      </c>
      <c r="AH589" s="211">
        <v>0</v>
      </c>
      <c r="AI589" s="211">
        <v>57</v>
      </c>
      <c r="AJ589" s="211">
        <v>0</v>
      </c>
      <c r="AK589" s="204" t="str">
        <f t="shared" si="21"/>
        <v>1.00000000</v>
      </c>
      <c r="AL589" s="204">
        <v>0</v>
      </c>
    </row>
    <row r="590" spans="1:38" x14ac:dyDescent="0.2">
      <c r="A590" s="204" t="str">
        <f t="shared" si="20"/>
        <v>0496002599140</v>
      </c>
      <c r="B590" s="204">
        <v>1</v>
      </c>
      <c r="C590" s="204" t="s">
        <v>581</v>
      </c>
      <c r="D590" s="204" t="s">
        <v>582</v>
      </c>
      <c r="E590" s="204" t="s">
        <v>582</v>
      </c>
      <c r="F590" s="204" t="s">
        <v>243</v>
      </c>
      <c r="G590" s="204">
        <v>2323</v>
      </c>
      <c r="H590" s="204" t="s">
        <v>270</v>
      </c>
      <c r="I590" s="204">
        <v>1700</v>
      </c>
      <c r="J590" s="209">
        <v>42472</v>
      </c>
      <c r="K590" s="210">
        <v>0.82291666666666663</v>
      </c>
      <c r="L590" s="209">
        <v>42474</v>
      </c>
      <c r="M590" s="204" t="s">
        <v>271</v>
      </c>
      <c r="N590" s="204" t="s">
        <v>352</v>
      </c>
      <c r="O590" s="204" t="s">
        <v>353</v>
      </c>
      <c r="P590" s="204" t="s">
        <v>343</v>
      </c>
      <c r="Q590" s="204" t="s">
        <v>275</v>
      </c>
      <c r="R590" s="204" t="s">
        <v>602</v>
      </c>
      <c r="S590" s="204" t="s">
        <v>436</v>
      </c>
      <c r="T590" s="204" t="s">
        <v>581</v>
      </c>
      <c r="U590" s="204">
        <v>2323</v>
      </c>
      <c r="V590" s="204" t="s">
        <v>581</v>
      </c>
      <c r="W590" s="204" t="s">
        <v>280</v>
      </c>
      <c r="X590" s="204">
        <v>20.445</v>
      </c>
      <c r="Y590" s="211">
        <v>-0.61</v>
      </c>
      <c r="Z590" s="211">
        <v>2.09</v>
      </c>
      <c r="AA590" s="211">
        <v>42.71</v>
      </c>
      <c r="AB590" s="211">
        <v>-3.74</v>
      </c>
      <c r="AC590" s="211">
        <v>0</v>
      </c>
      <c r="AD590" s="211">
        <v>0</v>
      </c>
      <c r="AE590" s="211">
        <v>38.36</v>
      </c>
      <c r="AF590" s="211">
        <v>-4.91</v>
      </c>
      <c r="AG590" s="204" t="s">
        <v>279</v>
      </c>
      <c r="AH590" s="211">
        <v>0</v>
      </c>
      <c r="AI590" s="211">
        <v>42.71</v>
      </c>
      <c r="AJ590" s="211">
        <v>0</v>
      </c>
      <c r="AK590" s="204" t="str">
        <f t="shared" si="21"/>
        <v>1.00000000</v>
      </c>
      <c r="AL590" s="204">
        <v>0</v>
      </c>
    </row>
    <row r="591" spans="1:38" x14ac:dyDescent="0.2">
      <c r="A591" s="204" t="str">
        <f t="shared" si="20"/>
        <v>0496002599140</v>
      </c>
      <c r="B591" s="204">
        <v>1</v>
      </c>
      <c r="C591" s="204" t="s">
        <v>581</v>
      </c>
      <c r="D591" s="204" t="s">
        <v>582</v>
      </c>
      <c r="E591" s="204" t="s">
        <v>582</v>
      </c>
      <c r="F591" s="204" t="s">
        <v>243</v>
      </c>
      <c r="G591" s="204">
        <v>2323</v>
      </c>
      <c r="H591" s="204" t="s">
        <v>270</v>
      </c>
      <c r="I591" s="204">
        <v>1700</v>
      </c>
      <c r="J591" s="209">
        <v>42472</v>
      </c>
      <c r="K591" s="210">
        <v>0.82291666666666663</v>
      </c>
      <c r="L591" s="209">
        <v>42474</v>
      </c>
      <c r="M591" s="204" t="s">
        <v>271</v>
      </c>
      <c r="N591" s="204" t="s">
        <v>352</v>
      </c>
      <c r="O591" s="204" t="s">
        <v>353</v>
      </c>
      <c r="P591" s="204" t="s">
        <v>343</v>
      </c>
      <c r="Q591" s="204" t="s">
        <v>275</v>
      </c>
      <c r="R591" s="204" t="s">
        <v>602</v>
      </c>
      <c r="S591" s="204" t="s">
        <v>436</v>
      </c>
      <c r="T591" s="204" t="s">
        <v>581</v>
      </c>
      <c r="U591" s="204">
        <v>2323</v>
      </c>
      <c r="V591" s="204" t="s">
        <v>581</v>
      </c>
      <c r="W591" s="204" t="s">
        <v>280</v>
      </c>
      <c r="X591" s="204">
        <v>22.484000000000002</v>
      </c>
      <c r="Y591" s="211">
        <v>-0.67</v>
      </c>
      <c r="Z591" s="211">
        <v>2.09</v>
      </c>
      <c r="AA591" s="211">
        <v>46.97</v>
      </c>
      <c r="AB591" s="211">
        <v>-4.1100000000000003</v>
      </c>
      <c r="AC591" s="211">
        <v>0</v>
      </c>
      <c r="AD591" s="211">
        <v>0</v>
      </c>
      <c r="AE591" s="211">
        <v>42.19</v>
      </c>
      <c r="AF591" s="211">
        <v>-5.4</v>
      </c>
      <c r="AG591" s="204" t="s">
        <v>279</v>
      </c>
      <c r="AH591" s="211">
        <v>0</v>
      </c>
      <c r="AI591" s="211">
        <v>46.97</v>
      </c>
      <c r="AJ591" s="211">
        <v>0</v>
      </c>
      <c r="AK591" s="204" t="str">
        <f t="shared" si="21"/>
        <v>1.00000000</v>
      </c>
      <c r="AL591" s="204">
        <v>0</v>
      </c>
    </row>
    <row r="592" spans="1:38" x14ac:dyDescent="0.2">
      <c r="A592" s="204" t="str">
        <f t="shared" si="20"/>
        <v>0496002599140</v>
      </c>
      <c r="B592" s="204">
        <v>1</v>
      </c>
      <c r="C592" s="204" t="s">
        <v>581</v>
      </c>
      <c r="D592" s="204" t="s">
        <v>582</v>
      </c>
      <c r="E592" s="204" t="s">
        <v>582</v>
      </c>
      <c r="F592" s="204" t="s">
        <v>243</v>
      </c>
      <c r="G592" s="204">
        <v>2323</v>
      </c>
      <c r="H592" s="204" t="s">
        <v>270</v>
      </c>
      <c r="I592" s="204">
        <v>1700</v>
      </c>
      <c r="J592" s="209">
        <v>42473</v>
      </c>
      <c r="K592" s="210">
        <v>0.82430555555555562</v>
      </c>
      <c r="L592" s="209">
        <v>42475</v>
      </c>
      <c r="M592" s="204" t="s">
        <v>271</v>
      </c>
      <c r="N592" s="204" t="s">
        <v>352</v>
      </c>
      <c r="O592" s="204" t="s">
        <v>353</v>
      </c>
      <c r="P592" s="204" t="s">
        <v>343</v>
      </c>
      <c r="Q592" s="204" t="s">
        <v>275</v>
      </c>
      <c r="R592" s="204" t="s">
        <v>602</v>
      </c>
      <c r="S592" s="204" t="s">
        <v>436</v>
      </c>
      <c r="T592" s="204" t="s">
        <v>581</v>
      </c>
      <c r="U592" s="204">
        <v>2323</v>
      </c>
      <c r="V592" s="204" t="s">
        <v>581</v>
      </c>
      <c r="W592" s="204" t="s">
        <v>280</v>
      </c>
      <c r="X592" s="204">
        <v>5.6509999999999998</v>
      </c>
      <c r="Y592" s="211">
        <v>-0.17</v>
      </c>
      <c r="Z592" s="211">
        <v>2.09</v>
      </c>
      <c r="AA592" s="211">
        <v>11.8</v>
      </c>
      <c r="AB592" s="211">
        <v>-1.03</v>
      </c>
      <c r="AC592" s="211">
        <v>0</v>
      </c>
      <c r="AD592" s="211">
        <v>0</v>
      </c>
      <c r="AE592" s="211">
        <v>10.6</v>
      </c>
      <c r="AF592" s="211">
        <v>-1.36</v>
      </c>
      <c r="AG592" s="204" t="s">
        <v>279</v>
      </c>
      <c r="AH592" s="211">
        <v>0</v>
      </c>
      <c r="AI592" s="211">
        <v>11.8</v>
      </c>
      <c r="AJ592" s="211">
        <v>0</v>
      </c>
      <c r="AK592" s="204" t="str">
        <f t="shared" si="21"/>
        <v>1.00000000</v>
      </c>
      <c r="AL592" s="204">
        <v>0</v>
      </c>
    </row>
    <row r="593" spans="1:38" x14ac:dyDescent="0.2">
      <c r="A593" s="204" t="str">
        <f t="shared" si="20"/>
        <v>0496002599140</v>
      </c>
      <c r="B593" s="204">
        <v>1</v>
      </c>
      <c r="C593" s="204" t="s">
        <v>581</v>
      </c>
      <c r="D593" s="204" t="s">
        <v>582</v>
      </c>
      <c r="E593" s="204" t="s">
        <v>582</v>
      </c>
      <c r="F593" s="204" t="s">
        <v>243</v>
      </c>
      <c r="G593" s="204">
        <v>2323</v>
      </c>
      <c r="H593" s="204" t="s">
        <v>270</v>
      </c>
      <c r="I593" s="204">
        <v>1700</v>
      </c>
      <c r="J593" s="209">
        <v>42473</v>
      </c>
      <c r="K593" s="210">
        <v>0.82708333333333339</v>
      </c>
      <c r="L593" s="209">
        <v>42475</v>
      </c>
      <c r="M593" s="204" t="s">
        <v>271</v>
      </c>
      <c r="N593" s="204" t="s">
        <v>352</v>
      </c>
      <c r="O593" s="204" t="s">
        <v>353</v>
      </c>
      <c r="P593" s="204" t="s">
        <v>343</v>
      </c>
      <c r="Q593" s="204" t="s">
        <v>275</v>
      </c>
      <c r="R593" s="204" t="s">
        <v>602</v>
      </c>
      <c r="S593" s="204" t="s">
        <v>436</v>
      </c>
      <c r="T593" s="204" t="s">
        <v>581</v>
      </c>
      <c r="U593" s="204">
        <v>2323</v>
      </c>
      <c r="V593" s="204" t="s">
        <v>581</v>
      </c>
      <c r="W593" s="204" t="s">
        <v>280</v>
      </c>
      <c r="X593" s="204">
        <v>22.315999999999999</v>
      </c>
      <c r="Y593" s="211">
        <v>-0.67</v>
      </c>
      <c r="Z593" s="211">
        <v>2.09</v>
      </c>
      <c r="AA593" s="211">
        <v>46.62</v>
      </c>
      <c r="AB593" s="211">
        <v>-4.08</v>
      </c>
      <c r="AC593" s="211">
        <v>0</v>
      </c>
      <c r="AD593" s="211">
        <v>0</v>
      </c>
      <c r="AE593" s="211">
        <v>41.87</v>
      </c>
      <c r="AF593" s="211">
        <v>-5.36</v>
      </c>
      <c r="AG593" s="204" t="s">
        <v>279</v>
      </c>
      <c r="AH593" s="211">
        <v>0</v>
      </c>
      <c r="AI593" s="211">
        <v>46.62</v>
      </c>
      <c r="AJ593" s="211">
        <v>0</v>
      </c>
      <c r="AK593" s="204" t="str">
        <f t="shared" si="21"/>
        <v>1.00000000</v>
      </c>
      <c r="AL593" s="204">
        <v>0</v>
      </c>
    </row>
    <row r="594" spans="1:38" x14ac:dyDescent="0.2">
      <c r="A594" s="204" t="str">
        <f t="shared" si="20"/>
        <v>0496002599140</v>
      </c>
      <c r="B594" s="204">
        <v>1</v>
      </c>
      <c r="C594" s="204" t="s">
        <v>581</v>
      </c>
      <c r="D594" s="204" t="s">
        <v>582</v>
      </c>
      <c r="E594" s="204" t="s">
        <v>582</v>
      </c>
      <c r="F594" s="204" t="s">
        <v>243</v>
      </c>
      <c r="G594" s="204">
        <v>2323</v>
      </c>
      <c r="H594" s="204" t="s">
        <v>270</v>
      </c>
      <c r="I594" s="204">
        <v>1700</v>
      </c>
      <c r="J594" s="209">
        <v>42474</v>
      </c>
      <c r="K594" s="210">
        <v>0.84166666666666667</v>
      </c>
      <c r="L594" s="209">
        <v>42478</v>
      </c>
      <c r="M594" s="204" t="s">
        <v>271</v>
      </c>
      <c r="N594" s="204" t="s">
        <v>352</v>
      </c>
      <c r="O594" s="204" t="s">
        <v>353</v>
      </c>
      <c r="P594" s="204" t="s">
        <v>343</v>
      </c>
      <c r="Q594" s="204" t="s">
        <v>275</v>
      </c>
      <c r="R594" s="204" t="s">
        <v>602</v>
      </c>
      <c r="S594" s="204" t="s">
        <v>436</v>
      </c>
      <c r="T594" s="204" t="s">
        <v>581</v>
      </c>
      <c r="U594" s="204">
        <v>2323</v>
      </c>
      <c r="V594" s="204" t="s">
        <v>581</v>
      </c>
      <c r="W594" s="204" t="s">
        <v>280</v>
      </c>
      <c r="X594" s="204">
        <v>18.687999999999999</v>
      </c>
      <c r="Y594" s="211">
        <v>-0.56000000000000005</v>
      </c>
      <c r="Z594" s="211">
        <v>2.09</v>
      </c>
      <c r="AA594" s="211">
        <v>39.04</v>
      </c>
      <c r="AB594" s="211">
        <v>-3.42</v>
      </c>
      <c r="AC594" s="211">
        <v>0</v>
      </c>
      <c r="AD594" s="211">
        <v>0</v>
      </c>
      <c r="AE594" s="211">
        <v>35.06</v>
      </c>
      <c r="AF594" s="211">
        <v>-4.49</v>
      </c>
      <c r="AG594" s="204" t="s">
        <v>279</v>
      </c>
      <c r="AH594" s="211">
        <v>0</v>
      </c>
      <c r="AI594" s="211">
        <v>39.04</v>
      </c>
      <c r="AJ594" s="211">
        <v>0</v>
      </c>
      <c r="AK594" s="204" t="str">
        <f t="shared" si="21"/>
        <v>1.00000000</v>
      </c>
      <c r="AL594" s="204">
        <v>0</v>
      </c>
    </row>
    <row r="595" spans="1:38" x14ac:dyDescent="0.2">
      <c r="A595" s="204" t="str">
        <f t="shared" si="20"/>
        <v>0496002599140</v>
      </c>
      <c r="B595" s="204">
        <v>1</v>
      </c>
      <c r="C595" s="204" t="s">
        <v>581</v>
      </c>
      <c r="D595" s="204" t="s">
        <v>582</v>
      </c>
      <c r="E595" s="204" t="s">
        <v>582</v>
      </c>
      <c r="F595" s="204" t="s">
        <v>243</v>
      </c>
      <c r="G595" s="204">
        <v>2323</v>
      </c>
      <c r="H595" s="204" t="s">
        <v>270</v>
      </c>
      <c r="I595" s="204">
        <v>1700</v>
      </c>
      <c r="J595" s="209">
        <v>42475</v>
      </c>
      <c r="K595" s="210">
        <v>0.7284722222222223</v>
      </c>
      <c r="L595" s="209">
        <v>42479</v>
      </c>
      <c r="M595" s="204" t="s">
        <v>606</v>
      </c>
      <c r="N595" s="204" t="s">
        <v>399</v>
      </c>
      <c r="O595" s="204" t="s">
        <v>400</v>
      </c>
      <c r="P595" s="204" t="s">
        <v>274</v>
      </c>
      <c r="Q595" s="204" t="s">
        <v>275</v>
      </c>
      <c r="R595" s="204" t="s">
        <v>401</v>
      </c>
      <c r="S595" s="204" t="s">
        <v>436</v>
      </c>
      <c r="T595" s="204" t="s">
        <v>581</v>
      </c>
      <c r="U595" s="204">
        <v>2323</v>
      </c>
      <c r="V595" s="204" t="s">
        <v>581</v>
      </c>
      <c r="W595" s="204" t="s">
        <v>280</v>
      </c>
      <c r="X595" s="204">
        <v>23.122</v>
      </c>
      <c r="Y595" s="211">
        <v>0</v>
      </c>
      <c r="Z595" s="211">
        <v>2.12</v>
      </c>
      <c r="AA595" s="211">
        <v>49</v>
      </c>
      <c r="AB595" s="211">
        <v>-4.2300000000000004</v>
      </c>
      <c r="AC595" s="211">
        <v>0</v>
      </c>
      <c r="AD595" s="211">
        <v>0</v>
      </c>
      <c r="AE595" s="211">
        <v>44.77</v>
      </c>
      <c r="AF595" s="211">
        <v>-5.55</v>
      </c>
      <c r="AG595" s="204" t="s">
        <v>279</v>
      </c>
      <c r="AH595" s="211">
        <v>0</v>
      </c>
      <c r="AI595" s="211">
        <v>49</v>
      </c>
      <c r="AJ595" s="211">
        <v>0</v>
      </c>
      <c r="AK595" s="204" t="str">
        <f t="shared" si="21"/>
        <v>1.00000000</v>
      </c>
      <c r="AL595" s="204">
        <v>0</v>
      </c>
    </row>
    <row r="596" spans="1:38" x14ac:dyDescent="0.2">
      <c r="A596" s="204" t="str">
        <f t="shared" si="20"/>
        <v>0496002599140</v>
      </c>
      <c r="B596" s="204">
        <v>1</v>
      </c>
      <c r="C596" s="204" t="s">
        <v>581</v>
      </c>
      <c r="D596" s="204" t="s">
        <v>582</v>
      </c>
      <c r="E596" s="204" t="s">
        <v>582</v>
      </c>
      <c r="F596" s="204" t="s">
        <v>243</v>
      </c>
      <c r="G596" s="204">
        <v>2323</v>
      </c>
      <c r="H596" s="204" t="s">
        <v>270</v>
      </c>
      <c r="I596" s="204">
        <v>1700</v>
      </c>
      <c r="J596" s="209">
        <v>42479</v>
      </c>
      <c r="K596" s="210">
        <v>0.69546296296296306</v>
      </c>
      <c r="L596" s="209">
        <v>42481</v>
      </c>
      <c r="M596" s="204" t="s">
        <v>314</v>
      </c>
      <c r="N596" s="204" t="s">
        <v>415</v>
      </c>
      <c r="O596" s="204" t="s">
        <v>416</v>
      </c>
      <c r="P596" s="204" t="s">
        <v>417</v>
      </c>
      <c r="Q596" s="204" t="s">
        <v>275</v>
      </c>
      <c r="R596" s="204" t="s">
        <v>418</v>
      </c>
      <c r="S596" s="204" t="s">
        <v>436</v>
      </c>
      <c r="T596" s="204" t="s">
        <v>581</v>
      </c>
      <c r="U596" s="204">
        <v>2323</v>
      </c>
      <c r="V596" s="204" t="s">
        <v>581</v>
      </c>
      <c r="W596" s="204" t="s">
        <v>280</v>
      </c>
      <c r="X596" s="204">
        <v>29.821000000000002</v>
      </c>
      <c r="Y596" s="211">
        <v>0</v>
      </c>
      <c r="Z596" s="211">
        <v>2.08</v>
      </c>
      <c r="AA596" s="211">
        <v>62</v>
      </c>
      <c r="AB596" s="211">
        <v>-5.46</v>
      </c>
      <c r="AC596" s="211">
        <v>0</v>
      </c>
      <c r="AD596" s="211">
        <v>0</v>
      </c>
      <c r="AE596" s="211">
        <v>56.54</v>
      </c>
      <c r="AF596" s="211">
        <v>-7.16</v>
      </c>
      <c r="AG596" s="204" t="s">
        <v>279</v>
      </c>
      <c r="AH596" s="211">
        <v>0</v>
      </c>
      <c r="AI596" s="211">
        <v>62</v>
      </c>
      <c r="AJ596" s="211">
        <v>0</v>
      </c>
      <c r="AK596" s="204" t="str">
        <f t="shared" si="21"/>
        <v>1.00000000</v>
      </c>
      <c r="AL596" s="204">
        <v>0</v>
      </c>
    </row>
    <row r="597" spans="1:38" x14ac:dyDescent="0.2">
      <c r="A597" s="204" t="str">
        <f t="shared" si="20"/>
        <v>0496002599140</v>
      </c>
      <c r="B597" s="204">
        <v>1</v>
      </c>
      <c r="C597" s="204" t="s">
        <v>581</v>
      </c>
      <c r="D597" s="204" t="s">
        <v>582</v>
      </c>
      <c r="E597" s="204" t="s">
        <v>582</v>
      </c>
      <c r="F597" s="204" t="s">
        <v>243</v>
      </c>
      <c r="G597" s="204">
        <v>2323</v>
      </c>
      <c r="H597" s="204" t="s">
        <v>270</v>
      </c>
      <c r="I597" s="204">
        <v>1700</v>
      </c>
      <c r="J597" s="209">
        <v>42483</v>
      </c>
      <c r="K597" s="210">
        <v>0.4152777777777778</v>
      </c>
      <c r="L597" s="209">
        <v>42486</v>
      </c>
      <c r="M597" s="204" t="s">
        <v>271</v>
      </c>
      <c r="N597" s="204" t="s">
        <v>352</v>
      </c>
      <c r="O597" s="204" t="s">
        <v>353</v>
      </c>
      <c r="P597" s="204" t="s">
        <v>343</v>
      </c>
      <c r="Q597" s="204" t="s">
        <v>275</v>
      </c>
      <c r="R597" s="204" t="s">
        <v>602</v>
      </c>
      <c r="S597" s="204" t="s">
        <v>436</v>
      </c>
      <c r="T597" s="204" t="s">
        <v>581</v>
      </c>
      <c r="U597" s="204">
        <v>2323</v>
      </c>
      <c r="V597" s="204" t="s">
        <v>581</v>
      </c>
      <c r="W597" s="204" t="s">
        <v>280</v>
      </c>
      <c r="X597" s="204">
        <v>19.518000000000001</v>
      </c>
      <c r="Y597" s="211">
        <v>-0.59</v>
      </c>
      <c r="Z597" s="211">
        <v>2.14</v>
      </c>
      <c r="AA597" s="211">
        <v>41.75</v>
      </c>
      <c r="AB597" s="211">
        <v>-3.57</v>
      </c>
      <c r="AC597" s="211">
        <v>0</v>
      </c>
      <c r="AD597" s="211">
        <v>0</v>
      </c>
      <c r="AE597" s="211">
        <v>37.590000000000003</v>
      </c>
      <c r="AF597" s="211">
        <v>-4.68</v>
      </c>
      <c r="AG597" s="204" t="s">
        <v>279</v>
      </c>
      <c r="AH597" s="211">
        <v>0</v>
      </c>
      <c r="AI597" s="211">
        <v>41.75</v>
      </c>
      <c r="AJ597" s="211">
        <v>0</v>
      </c>
      <c r="AK597" s="204" t="str">
        <f t="shared" si="21"/>
        <v>1.00000000</v>
      </c>
      <c r="AL597" s="204">
        <v>0</v>
      </c>
    </row>
    <row r="598" spans="1:38" x14ac:dyDescent="0.2">
      <c r="A598" s="204" t="str">
        <f t="shared" si="20"/>
        <v>0496002599140</v>
      </c>
      <c r="B598" s="204">
        <v>1</v>
      </c>
      <c r="C598" s="204" t="s">
        <v>581</v>
      </c>
      <c r="D598" s="204" t="s">
        <v>582</v>
      </c>
      <c r="E598" s="204" t="s">
        <v>582</v>
      </c>
      <c r="F598" s="204" t="s">
        <v>243</v>
      </c>
      <c r="G598" s="204">
        <v>2323</v>
      </c>
      <c r="H598" s="204" t="s">
        <v>270</v>
      </c>
      <c r="I598" s="204">
        <v>1700</v>
      </c>
      <c r="J598" s="209">
        <v>42483</v>
      </c>
      <c r="K598" s="210">
        <v>0.4152777777777778</v>
      </c>
      <c r="L598" s="209">
        <v>42486</v>
      </c>
      <c r="M598" s="204" t="s">
        <v>271</v>
      </c>
      <c r="N598" s="204" t="s">
        <v>352</v>
      </c>
      <c r="O598" s="204" t="s">
        <v>353</v>
      </c>
      <c r="P598" s="204" t="s">
        <v>343</v>
      </c>
      <c r="Q598" s="204" t="s">
        <v>275</v>
      </c>
      <c r="R598" s="204" t="s">
        <v>602</v>
      </c>
      <c r="S598" s="204" t="s">
        <v>436</v>
      </c>
      <c r="T598" s="204" t="s">
        <v>581</v>
      </c>
      <c r="U598" s="204">
        <v>2323</v>
      </c>
      <c r="V598" s="204" t="s">
        <v>581</v>
      </c>
      <c r="W598" s="204" t="s">
        <v>280</v>
      </c>
      <c r="X598" s="204">
        <v>20.855</v>
      </c>
      <c r="Y598" s="211">
        <v>-0.63</v>
      </c>
      <c r="Z598" s="211">
        <v>2.14</v>
      </c>
      <c r="AA598" s="211">
        <v>44.61</v>
      </c>
      <c r="AB598" s="211">
        <v>-3.82</v>
      </c>
      <c r="AC598" s="211">
        <v>0</v>
      </c>
      <c r="AD598" s="211">
        <v>0</v>
      </c>
      <c r="AE598" s="211">
        <v>40.159999999999997</v>
      </c>
      <c r="AF598" s="211">
        <v>-5.01</v>
      </c>
      <c r="AG598" s="204" t="s">
        <v>279</v>
      </c>
      <c r="AH598" s="211">
        <v>0</v>
      </c>
      <c r="AI598" s="211">
        <v>44.61</v>
      </c>
      <c r="AJ598" s="211">
        <v>0</v>
      </c>
      <c r="AK598" s="204" t="str">
        <f t="shared" si="21"/>
        <v>1.00000000</v>
      </c>
      <c r="AL598" s="204">
        <v>0</v>
      </c>
    </row>
    <row r="599" spans="1:38" x14ac:dyDescent="0.2">
      <c r="A599" s="204" t="str">
        <f t="shared" si="20"/>
        <v>0496002599140</v>
      </c>
      <c r="B599" s="204">
        <v>1</v>
      </c>
      <c r="C599" s="204" t="s">
        <v>581</v>
      </c>
      <c r="D599" s="204" t="s">
        <v>582</v>
      </c>
      <c r="E599" s="204" t="s">
        <v>582</v>
      </c>
      <c r="F599" s="204" t="s">
        <v>243</v>
      </c>
      <c r="G599" s="204">
        <v>2323</v>
      </c>
      <c r="H599" s="204" t="s">
        <v>270</v>
      </c>
      <c r="I599" s="204">
        <v>1700</v>
      </c>
      <c r="J599" s="209">
        <v>42483</v>
      </c>
      <c r="K599" s="210">
        <v>0.41736111111111113</v>
      </c>
      <c r="L599" s="209">
        <v>42486</v>
      </c>
      <c r="M599" s="204" t="s">
        <v>271</v>
      </c>
      <c r="N599" s="204" t="s">
        <v>352</v>
      </c>
      <c r="O599" s="204" t="s">
        <v>353</v>
      </c>
      <c r="P599" s="204" t="s">
        <v>343</v>
      </c>
      <c r="Q599" s="204" t="s">
        <v>275</v>
      </c>
      <c r="R599" s="204" t="s">
        <v>602</v>
      </c>
      <c r="S599" s="204" t="s">
        <v>436</v>
      </c>
      <c r="T599" s="204" t="s">
        <v>581</v>
      </c>
      <c r="U599" s="204">
        <v>2323</v>
      </c>
      <c r="V599" s="204" t="s">
        <v>581</v>
      </c>
      <c r="W599" s="204" t="s">
        <v>278</v>
      </c>
      <c r="X599" s="204">
        <v>20.609000000000002</v>
      </c>
      <c r="Y599" s="211">
        <v>-0.62</v>
      </c>
      <c r="Z599" s="211">
        <v>2.5099999999999998</v>
      </c>
      <c r="AA599" s="211">
        <v>51.71</v>
      </c>
      <c r="AB599" s="211">
        <v>-3.77</v>
      </c>
      <c r="AC599" s="211">
        <v>0</v>
      </c>
      <c r="AD599" s="211">
        <v>0</v>
      </c>
      <c r="AE599" s="211">
        <v>47.32</v>
      </c>
      <c r="AF599" s="211">
        <v>-4.95</v>
      </c>
      <c r="AG599" s="204" t="s">
        <v>279</v>
      </c>
      <c r="AH599" s="211">
        <v>0</v>
      </c>
      <c r="AI599" s="211">
        <v>51.71</v>
      </c>
      <c r="AJ599" s="211">
        <v>0</v>
      </c>
      <c r="AK599" s="204" t="str">
        <f t="shared" si="21"/>
        <v>1.00000000</v>
      </c>
      <c r="AL599" s="204">
        <v>0</v>
      </c>
    </row>
    <row r="600" spans="1:38" x14ac:dyDescent="0.2">
      <c r="A600" s="204" t="str">
        <f t="shared" si="20"/>
        <v>0496002599140</v>
      </c>
      <c r="B600" s="204">
        <v>1</v>
      </c>
      <c r="C600" s="204" t="s">
        <v>581</v>
      </c>
      <c r="D600" s="204" t="s">
        <v>582</v>
      </c>
      <c r="E600" s="204" t="s">
        <v>582</v>
      </c>
      <c r="F600" s="204" t="s">
        <v>243</v>
      </c>
      <c r="G600" s="204">
        <v>2323</v>
      </c>
      <c r="H600" s="204" t="s">
        <v>270</v>
      </c>
      <c r="I600" s="204">
        <v>1700</v>
      </c>
      <c r="J600" s="209">
        <v>42486</v>
      </c>
      <c r="K600" s="210">
        <v>0.70305555555555566</v>
      </c>
      <c r="L600" s="209">
        <v>42488</v>
      </c>
      <c r="M600" s="204" t="s">
        <v>314</v>
      </c>
      <c r="N600" s="204" t="s">
        <v>415</v>
      </c>
      <c r="O600" s="204" t="s">
        <v>416</v>
      </c>
      <c r="P600" s="204" t="s">
        <v>417</v>
      </c>
      <c r="Q600" s="204" t="s">
        <v>275</v>
      </c>
      <c r="R600" s="204" t="s">
        <v>418</v>
      </c>
      <c r="S600" s="204" t="s">
        <v>436</v>
      </c>
      <c r="T600" s="204" t="s">
        <v>581</v>
      </c>
      <c r="U600" s="204">
        <v>2323</v>
      </c>
      <c r="V600" s="204" t="s">
        <v>581</v>
      </c>
      <c r="W600" s="204" t="s">
        <v>280</v>
      </c>
      <c r="X600" s="204">
        <v>25.01</v>
      </c>
      <c r="Y600" s="211">
        <v>0</v>
      </c>
      <c r="Z600" s="211">
        <v>2.16</v>
      </c>
      <c r="AA600" s="211">
        <v>54</v>
      </c>
      <c r="AB600" s="211">
        <v>-4.58</v>
      </c>
      <c r="AC600" s="211">
        <v>0</v>
      </c>
      <c r="AD600" s="211">
        <v>0</v>
      </c>
      <c r="AE600" s="211">
        <v>49.42</v>
      </c>
      <c r="AF600" s="211">
        <v>-6</v>
      </c>
      <c r="AG600" s="204" t="s">
        <v>279</v>
      </c>
      <c r="AH600" s="211">
        <v>0</v>
      </c>
      <c r="AI600" s="211">
        <v>54</v>
      </c>
      <c r="AJ600" s="211">
        <v>0</v>
      </c>
      <c r="AK600" s="204" t="str">
        <f t="shared" si="21"/>
        <v>1.00000000</v>
      </c>
      <c r="AL600" s="204">
        <v>0</v>
      </c>
    </row>
    <row r="601" spans="1:38" x14ac:dyDescent="0.2">
      <c r="A601" s="204" t="str">
        <f t="shared" si="20"/>
        <v>0496002599140</v>
      </c>
      <c r="B601" s="204">
        <v>1</v>
      </c>
      <c r="C601" s="204" t="s">
        <v>581</v>
      </c>
      <c r="D601" s="204" t="s">
        <v>582</v>
      </c>
      <c r="E601" s="204" t="s">
        <v>582</v>
      </c>
      <c r="F601" s="204" t="s">
        <v>243</v>
      </c>
      <c r="G601" s="204">
        <v>2323</v>
      </c>
      <c r="H601" s="204" t="s">
        <v>270</v>
      </c>
      <c r="I601" s="204">
        <v>1700</v>
      </c>
      <c r="J601" s="209">
        <v>42489</v>
      </c>
      <c r="K601" s="210">
        <v>0.77361111111111114</v>
      </c>
      <c r="L601" s="209">
        <v>42493</v>
      </c>
      <c r="M601" s="204" t="s">
        <v>606</v>
      </c>
      <c r="N601" s="204" t="s">
        <v>399</v>
      </c>
      <c r="O601" s="204" t="s">
        <v>400</v>
      </c>
      <c r="P601" s="204" t="s">
        <v>274</v>
      </c>
      <c r="Q601" s="204" t="s">
        <v>275</v>
      </c>
      <c r="R601" s="204" t="s">
        <v>401</v>
      </c>
      <c r="S601" s="204" t="s">
        <v>436</v>
      </c>
      <c r="T601" s="204" t="s">
        <v>581</v>
      </c>
      <c r="U601" s="204">
        <v>2323</v>
      </c>
      <c r="V601" s="204" t="s">
        <v>581</v>
      </c>
      <c r="W601" s="204" t="s">
        <v>280</v>
      </c>
      <c r="X601" s="204">
        <v>16.224</v>
      </c>
      <c r="Y601" s="211">
        <v>0</v>
      </c>
      <c r="Z601" s="211">
        <v>2.2200000000000002</v>
      </c>
      <c r="AA601" s="211">
        <v>36</v>
      </c>
      <c r="AB601" s="211">
        <v>-2.97</v>
      </c>
      <c r="AC601" s="211">
        <v>0</v>
      </c>
      <c r="AD601" s="211">
        <v>0</v>
      </c>
      <c r="AE601" s="211">
        <v>33.03</v>
      </c>
      <c r="AF601" s="211">
        <v>-3.89</v>
      </c>
      <c r="AG601" s="204" t="s">
        <v>279</v>
      </c>
      <c r="AH601" s="211">
        <v>0</v>
      </c>
      <c r="AI601" s="211">
        <v>36</v>
      </c>
      <c r="AJ601" s="211">
        <v>0</v>
      </c>
      <c r="AK601" s="204" t="str">
        <f t="shared" si="21"/>
        <v>1.00000000</v>
      </c>
      <c r="AL601" s="204">
        <v>0</v>
      </c>
    </row>
    <row r="602" spans="1:38" x14ac:dyDescent="0.2">
      <c r="A602" s="204" t="str">
        <f t="shared" si="20"/>
        <v>0496002599140</v>
      </c>
      <c r="B602" s="204">
        <v>1</v>
      </c>
      <c r="C602" s="204" t="s">
        <v>581</v>
      </c>
      <c r="D602" s="204" t="s">
        <v>582</v>
      </c>
      <c r="E602" s="204" t="s">
        <v>582</v>
      </c>
      <c r="F602" s="204" t="s">
        <v>243</v>
      </c>
      <c r="G602" s="204">
        <v>2323</v>
      </c>
      <c r="H602" s="204" t="s">
        <v>270</v>
      </c>
      <c r="I602" s="204">
        <v>1700</v>
      </c>
      <c r="J602" s="209">
        <v>42491</v>
      </c>
      <c r="K602" s="210">
        <v>0.68611111111111101</v>
      </c>
      <c r="L602" s="209">
        <v>42493</v>
      </c>
      <c r="M602" s="204" t="s">
        <v>271</v>
      </c>
      <c r="N602" s="204" t="s">
        <v>352</v>
      </c>
      <c r="O602" s="204" t="s">
        <v>353</v>
      </c>
      <c r="P602" s="204" t="s">
        <v>343</v>
      </c>
      <c r="Q602" s="204" t="s">
        <v>275</v>
      </c>
      <c r="R602" s="204" t="s">
        <v>602</v>
      </c>
      <c r="S602" s="204" t="s">
        <v>436</v>
      </c>
      <c r="T602" s="204" t="s">
        <v>581</v>
      </c>
      <c r="U602" s="204">
        <v>2323</v>
      </c>
      <c r="V602" s="204" t="s">
        <v>581</v>
      </c>
      <c r="W602" s="204" t="s">
        <v>280</v>
      </c>
      <c r="X602" s="204">
        <v>19.631</v>
      </c>
      <c r="Y602" s="211">
        <v>-0.59</v>
      </c>
      <c r="Z602" s="211">
        <v>2.2000000000000002</v>
      </c>
      <c r="AA602" s="211">
        <v>43.17</v>
      </c>
      <c r="AB602" s="211">
        <v>-3.59</v>
      </c>
      <c r="AC602" s="211">
        <v>0</v>
      </c>
      <c r="AD602" s="211">
        <v>0</v>
      </c>
      <c r="AE602" s="211">
        <v>38.99</v>
      </c>
      <c r="AF602" s="211">
        <v>-4.71</v>
      </c>
      <c r="AG602" s="204" t="s">
        <v>279</v>
      </c>
      <c r="AH602" s="211">
        <v>0</v>
      </c>
      <c r="AI602" s="211">
        <v>43.17</v>
      </c>
      <c r="AJ602" s="211">
        <v>0</v>
      </c>
      <c r="AK602" s="204" t="str">
        <f t="shared" si="21"/>
        <v>1.00000000</v>
      </c>
      <c r="AL602" s="204">
        <v>0</v>
      </c>
    </row>
    <row r="603" spans="1:38" x14ac:dyDescent="0.2">
      <c r="A603" s="204" t="str">
        <f t="shared" si="20"/>
        <v>0496002599140</v>
      </c>
      <c r="B603" s="204">
        <v>1</v>
      </c>
      <c r="C603" s="204" t="s">
        <v>581</v>
      </c>
      <c r="D603" s="204" t="s">
        <v>582</v>
      </c>
      <c r="E603" s="204" t="s">
        <v>582</v>
      </c>
      <c r="F603" s="204" t="s">
        <v>243</v>
      </c>
      <c r="G603" s="204">
        <v>2323</v>
      </c>
      <c r="H603" s="204" t="s">
        <v>270</v>
      </c>
      <c r="I603" s="204">
        <v>1700</v>
      </c>
      <c r="J603" s="209">
        <v>42491</v>
      </c>
      <c r="K603" s="210">
        <v>0.68680555555555556</v>
      </c>
      <c r="L603" s="209">
        <v>42493</v>
      </c>
      <c r="M603" s="204" t="s">
        <v>271</v>
      </c>
      <c r="N603" s="204" t="s">
        <v>352</v>
      </c>
      <c r="O603" s="204" t="s">
        <v>353</v>
      </c>
      <c r="P603" s="204" t="s">
        <v>343</v>
      </c>
      <c r="Q603" s="204" t="s">
        <v>275</v>
      </c>
      <c r="R603" s="204" t="s">
        <v>602</v>
      </c>
      <c r="S603" s="204" t="s">
        <v>436</v>
      </c>
      <c r="T603" s="204" t="s">
        <v>581</v>
      </c>
      <c r="U603" s="204">
        <v>2323</v>
      </c>
      <c r="V603" s="204" t="s">
        <v>581</v>
      </c>
      <c r="W603" s="204" t="s">
        <v>280</v>
      </c>
      <c r="X603" s="204">
        <v>22.532</v>
      </c>
      <c r="Y603" s="211">
        <v>-0.68</v>
      </c>
      <c r="Z603" s="211">
        <v>2.2000000000000002</v>
      </c>
      <c r="AA603" s="211">
        <v>49.55</v>
      </c>
      <c r="AB603" s="211">
        <v>-4.12</v>
      </c>
      <c r="AC603" s="211">
        <v>0</v>
      </c>
      <c r="AD603" s="211">
        <v>0</v>
      </c>
      <c r="AE603" s="211">
        <v>44.75</v>
      </c>
      <c r="AF603" s="211">
        <v>-5.41</v>
      </c>
      <c r="AG603" s="204" t="s">
        <v>279</v>
      </c>
      <c r="AH603" s="211">
        <v>0</v>
      </c>
      <c r="AI603" s="211">
        <v>49.55</v>
      </c>
      <c r="AJ603" s="211">
        <v>0</v>
      </c>
      <c r="AK603" s="204" t="str">
        <f t="shared" si="21"/>
        <v>1.00000000</v>
      </c>
      <c r="AL603" s="204">
        <v>0</v>
      </c>
    </row>
    <row r="604" spans="1:38" x14ac:dyDescent="0.2">
      <c r="A604" s="204" t="str">
        <f t="shared" si="20"/>
        <v>0496002599140</v>
      </c>
      <c r="B604" s="204">
        <v>1</v>
      </c>
      <c r="C604" s="204" t="s">
        <v>581</v>
      </c>
      <c r="D604" s="204" t="s">
        <v>582</v>
      </c>
      <c r="E604" s="204" t="s">
        <v>582</v>
      </c>
      <c r="F604" s="204" t="s">
        <v>243</v>
      </c>
      <c r="G604" s="204">
        <v>2323</v>
      </c>
      <c r="H604" s="204" t="s">
        <v>270</v>
      </c>
      <c r="I604" s="204">
        <v>1700</v>
      </c>
      <c r="J604" s="209">
        <v>42491</v>
      </c>
      <c r="K604" s="210">
        <v>0.68680555555555556</v>
      </c>
      <c r="L604" s="209">
        <v>42493</v>
      </c>
      <c r="M604" s="204" t="s">
        <v>271</v>
      </c>
      <c r="N604" s="204" t="s">
        <v>352</v>
      </c>
      <c r="O604" s="204" t="s">
        <v>353</v>
      </c>
      <c r="P604" s="204" t="s">
        <v>343</v>
      </c>
      <c r="Q604" s="204" t="s">
        <v>275</v>
      </c>
      <c r="R604" s="204" t="s">
        <v>602</v>
      </c>
      <c r="S604" s="204" t="s">
        <v>436</v>
      </c>
      <c r="T604" s="204" t="s">
        <v>581</v>
      </c>
      <c r="U604" s="204">
        <v>2323</v>
      </c>
      <c r="V604" s="204" t="s">
        <v>581</v>
      </c>
      <c r="W604" s="204" t="s">
        <v>280</v>
      </c>
      <c r="X604" s="204">
        <v>21.181999999999999</v>
      </c>
      <c r="Y604" s="211">
        <v>-0.64</v>
      </c>
      <c r="Z604" s="211">
        <v>2.2000000000000002</v>
      </c>
      <c r="AA604" s="211">
        <v>46.58</v>
      </c>
      <c r="AB604" s="211">
        <v>-3.88</v>
      </c>
      <c r="AC604" s="211">
        <v>0</v>
      </c>
      <c r="AD604" s="211">
        <v>0</v>
      </c>
      <c r="AE604" s="211">
        <v>42.06</v>
      </c>
      <c r="AF604" s="211">
        <v>-5.08</v>
      </c>
      <c r="AG604" s="204" t="s">
        <v>279</v>
      </c>
      <c r="AH604" s="211">
        <v>0</v>
      </c>
      <c r="AI604" s="211">
        <v>46.58</v>
      </c>
      <c r="AJ604" s="211">
        <v>0</v>
      </c>
      <c r="AK604" s="204" t="str">
        <f t="shared" si="21"/>
        <v>1.00000000</v>
      </c>
      <c r="AL604" s="204">
        <v>0</v>
      </c>
    </row>
    <row r="605" spans="1:38" x14ac:dyDescent="0.2">
      <c r="A605" s="204" t="str">
        <f t="shared" si="20"/>
        <v>0496002599140</v>
      </c>
      <c r="B605" s="204">
        <v>1</v>
      </c>
      <c r="C605" s="204" t="s">
        <v>581</v>
      </c>
      <c r="D605" s="204" t="s">
        <v>582</v>
      </c>
      <c r="E605" s="204" t="s">
        <v>582</v>
      </c>
      <c r="F605" s="204" t="s">
        <v>243</v>
      </c>
      <c r="G605" s="204">
        <v>2323</v>
      </c>
      <c r="H605" s="204" t="s">
        <v>270</v>
      </c>
      <c r="I605" s="204">
        <v>1700</v>
      </c>
      <c r="J605" s="209">
        <v>42491</v>
      </c>
      <c r="K605" s="210">
        <v>0.6875</v>
      </c>
      <c r="L605" s="209">
        <v>42493</v>
      </c>
      <c r="M605" s="204" t="s">
        <v>271</v>
      </c>
      <c r="N605" s="204" t="s">
        <v>352</v>
      </c>
      <c r="O605" s="204" t="s">
        <v>353</v>
      </c>
      <c r="P605" s="204" t="s">
        <v>343</v>
      </c>
      <c r="Q605" s="204" t="s">
        <v>275</v>
      </c>
      <c r="R605" s="204" t="s">
        <v>602</v>
      </c>
      <c r="S605" s="204" t="s">
        <v>436</v>
      </c>
      <c r="T605" s="204" t="s">
        <v>581</v>
      </c>
      <c r="U605" s="204">
        <v>2323</v>
      </c>
      <c r="V605" s="204" t="s">
        <v>581</v>
      </c>
      <c r="W605" s="204" t="s">
        <v>280</v>
      </c>
      <c r="X605" s="204">
        <v>24.151</v>
      </c>
      <c r="Y605" s="211">
        <v>-0.72</v>
      </c>
      <c r="Z605" s="211">
        <v>2.2000000000000002</v>
      </c>
      <c r="AA605" s="211">
        <v>53.11</v>
      </c>
      <c r="AB605" s="211">
        <v>-4.42</v>
      </c>
      <c r="AC605" s="211">
        <v>0</v>
      </c>
      <c r="AD605" s="211">
        <v>0</v>
      </c>
      <c r="AE605" s="211">
        <v>47.97</v>
      </c>
      <c r="AF605" s="211">
        <v>-5.8</v>
      </c>
      <c r="AG605" s="204" t="s">
        <v>279</v>
      </c>
      <c r="AH605" s="211">
        <v>0</v>
      </c>
      <c r="AI605" s="211">
        <v>53.11</v>
      </c>
      <c r="AJ605" s="211">
        <v>0</v>
      </c>
      <c r="AK605" s="204" t="str">
        <f t="shared" si="21"/>
        <v>1.00000000</v>
      </c>
      <c r="AL605" s="204">
        <v>0</v>
      </c>
    </row>
    <row r="606" spans="1:38" x14ac:dyDescent="0.2">
      <c r="A606" s="204" t="str">
        <f t="shared" ref="A606:A654" si="22">"0496002599173"</f>
        <v>0496002599173</v>
      </c>
      <c r="B606" s="204">
        <v>1</v>
      </c>
      <c r="C606" s="204" t="s">
        <v>585</v>
      </c>
      <c r="D606" s="204" t="s">
        <v>586</v>
      </c>
      <c r="E606" s="204" t="s">
        <v>586</v>
      </c>
      <c r="F606" s="204" t="s">
        <v>243</v>
      </c>
      <c r="G606" s="204">
        <v>5314</v>
      </c>
      <c r="H606" s="204" t="s">
        <v>270</v>
      </c>
      <c r="I606" s="204">
        <v>54500</v>
      </c>
      <c r="J606" s="209">
        <v>42373</v>
      </c>
      <c r="K606" s="210">
        <v>0.44305555555555554</v>
      </c>
      <c r="L606" s="209">
        <v>42375</v>
      </c>
      <c r="M606" s="204" t="s">
        <v>606</v>
      </c>
      <c r="N606" s="204" t="s">
        <v>399</v>
      </c>
      <c r="O606" s="204" t="s">
        <v>400</v>
      </c>
      <c r="P606" s="204" t="s">
        <v>274</v>
      </c>
      <c r="Q606" s="204" t="s">
        <v>275</v>
      </c>
      <c r="R606" s="204" t="s">
        <v>401</v>
      </c>
      <c r="S606" s="204" t="s">
        <v>436</v>
      </c>
      <c r="T606" s="204" t="s">
        <v>587</v>
      </c>
      <c r="U606" s="204">
        <v>5314</v>
      </c>
      <c r="V606" s="204" t="s">
        <v>585</v>
      </c>
      <c r="W606" s="204" t="s">
        <v>280</v>
      </c>
      <c r="X606" s="204">
        <v>26.55</v>
      </c>
      <c r="Y606" s="211">
        <v>0</v>
      </c>
      <c r="Z606" s="211">
        <v>2</v>
      </c>
      <c r="AA606" s="211">
        <v>53.07</v>
      </c>
      <c r="AB606" s="211">
        <v>-4.8600000000000003</v>
      </c>
      <c r="AC606" s="211">
        <v>0</v>
      </c>
      <c r="AD606" s="211">
        <v>0</v>
      </c>
      <c r="AE606" s="211">
        <v>48.21</v>
      </c>
      <c r="AF606" s="211">
        <v>-6.37</v>
      </c>
      <c r="AG606" s="204" t="s">
        <v>279</v>
      </c>
      <c r="AH606" s="211">
        <v>0</v>
      </c>
      <c r="AI606" s="211">
        <v>53.07</v>
      </c>
      <c r="AJ606" s="211">
        <v>0</v>
      </c>
      <c r="AK606" s="204" t="str">
        <f t="shared" si="21"/>
        <v>1.00000000</v>
      </c>
      <c r="AL606" s="204">
        <v>28.3</v>
      </c>
    </row>
    <row r="607" spans="1:38" x14ac:dyDescent="0.2">
      <c r="A607" s="204" t="str">
        <f t="shared" si="22"/>
        <v>0496002599173</v>
      </c>
      <c r="B607" s="204">
        <v>1</v>
      </c>
      <c r="C607" s="204" t="s">
        <v>585</v>
      </c>
      <c r="D607" s="204" t="s">
        <v>586</v>
      </c>
      <c r="E607" s="204" t="s">
        <v>586</v>
      </c>
      <c r="F607" s="204" t="s">
        <v>243</v>
      </c>
      <c r="G607" s="204">
        <v>5314</v>
      </c>
      <c r="H607" s="204" t="s">
        <v>270</v>
      </c>
      <c r="I607" s="204">
        <v>55000</v>
      </c>
      <c r="J607" s="209">
        <v>42384</v>
      </c>
      <c r="K607" s="210">
        <v>0.40347222222222223</v>
      </c>
      <c r="L607" s="209">
        <v>42388</v>
      </c>
      <c r="M607" s="204" t="s">
        <v>606</v>
      </c>
      <c r="N607" s="204" t="s">
        <v>399</v>
      </c>
      <c r="O607" s="204" t="s">
        <v>400</v>
      </c>
      <c r="P607" s="204" t="s">
        <v>274</v>
      </c>
      <c r="Q607" s="204" t="s">
        <v>275</v>
      </c>
      <c r="R607" s="204" t="s">
        <v>401</v>
      </c>
      <c r="S607" s="204" t="s">
        <v>436</v>
      </c>
      <c r="T607" s="204" t="s">
        <v>587</v>
      </c>
      <c r="U607" s="204">
        <v>5314</v>
      </c>
      <c r="V607" s="204" t="s">
        <v>585</v>
      </c>
      <c r="W607" s="204" t="s">
        <v>280</v>
      </c>
      <c r="X607" s="204">
        <v>25.129000000000001</v>
      </c>
      <c r="Y607" s="211">
        <v>0</v>
      </c>
      <c r="Z607" s="211">
        <v>1.92</v>
      </c>
      <c r="AA607" s="211">
        <v>48.22</v>
      </c>
      <c r="AB607" s="211">
        <v>-4.5999999999999996</v>
      </c>
      <c r="AC607" s="211">
        <v>0</v>
      </c>
      <c r="AD607" s="211">
        <v>0</v>
      </c>
      <c r="AE607" s="211">
        <v>43.62</v>
      </c>
      <c r="AF607" s="211">
        <v>-6.03</v>
      </c>
      <c r="AG607" s="204" t="s">
        <v>279</v>
      </c>
      <c r="AH607" s="211">
        <v>0</v>
      </c>
      <c r="AI607" s="211">
        <v>48.22</v>
      </c>
      <c r="AJ607" s="211">
        <v>0</v>
      </c>
      <c r="AK607" s="204" t="str">
        <f t="shared" si="21"/>
        <v>1.00000000</v>
      </c>
      <c r="AL607" s="204">
        <v>19.899999999999999</v>
      </c>
    </row>
    <row r="608" spans="1:38" x14ac:dyDescent="0.2">
      <c r="A608" s="204" t="str">
        <f t="shared" si="22"/>
        <v>0496002599173</v>
      </c>
      <c r="B608" s="204">
        <v>1</v>
      </c>
      <c r="C608" s="204" t="s">
        <v>585</v>
      </c>
      <c r="D608" s="204" t="s">
        <v>586</v>
      </c>
      <c r="E608" s="204" t="s">
        <v>586</v>
      </c>
      <c r="F608" s="204" t="s">
        <v>243</v>
      </c>
      <c r="G608" s="204">
        <v>5314</v>
      </c>
      <c r="H608" s="204" t="s">
        <v>270</v>
      </c>
      <c r="I608" s="204">
        <v>54750</v>
      </c>
      <c r="J608" s="209">
        <v>42398</v>
      </c>
      <c r="K608" s="210">
        <v>0.52638888888888891</v>
      </c>
      <c r="L608" s="209">
        <v>42402</v>
      </c>
      <c r="M608" s="204" t="s">
        <v>606</v>
      </c>
      <c r="N608" s="204" t="s">
        <v>399</v>
      </c>
      <c r="O608" s="204" t="s">
        <v>400</v>
      </c>
      <c r="P608" s="204" t="s">
        <v>274</v>
      </c>
      <c r="Q608" s="204" t="s">
        <v>275</v>
      </c>
      <c r="R608" s="204" t="s">
        <v>401</v>
      </c>
      <c r="S608" s="204" t="s">
        <v>436</v>
      </c>
      <c r="T608" s="204" t="s">
        <v>587</v>
      </c>
      <c r="U608" s="204">
        <v>5314</v>
      </c>
      <c r="V608" s="204" t="s">
        <v>585</v>
      </c>
      <c r="W608" s="204" t="s">
        <v>280</v>
      </c>
      <c r="X608" s="204">
        <v>26.181000000000001</v>
      </c>
      <c r="Y608" s="211">
        <v>0</v>
      </c>
      <c r="Z608" s="211">
        <v>1.88</v>
      </c>
      <c r="AA608" s="211">
        <v>49.19</v>
      </c>
      <c r="AB608" s="211">
        <v>-4.79</v>
      </c>
      <c r="AC608" s="211">
        <v>0</v>
      </c>
      <c r="AD608" s="211">
        <v>0</v>
      </c>
      <c r="AE608" s="211">
        <v>44.4</v>
      </c>
      <c r="AF608" s="211">
        <v>-6.28</v>
      </c>
      <c r="AG608" s="204" t="s">
        <v>279</v>
      </c>
      <c r="AH608" s="211">
        <v>0</v>
      </c>
      <c r="AI608" s="211">
        <v>49.19</v>
      </c>
      <c r="AJ608" s="211">
        <v>0</v>
      </c>
      <c r="AK608" s="204" t="str">
        <f t="shared" si="21"/>
        <v>1.00000000</v>
      </c>
      <c r="AL608" s="204">
        <v>0</v>
      </c>
    </row>
    <row r="609" spans="1:38" x14ac:dyDescent="0.2">
      <c r="A609" s="204" t="str">
        <f t="shared" si="22"/>
        <v>0496002599173</v>
      </c>
      <c r="B609" s="204">
        <v>1</v>
      </c>
      <c r="C609" s="204" t="s">
        <v>585</v>
      </c>
      <c r="D609" s="204" t="s">
        <v>586</v>
      </c>
      <c r="E609" s="204" t="s">
        <v>586</v>
      </c>
      <c r="F609" s="204" t="s">
        <v>243</v>
      </c>
      <c r="G609" s="204">
        <v>5314</v>
      </c>
      <c r="H609" s="204" t="s">
        <v>270</v>
      </c>
      <c r="I609" s="204">
        <v>55137</v>
      </c>
      <c r="J609" s="209">
        <v>42410</v>
      </c>
      <c r="K609" s="210">
        <v>0.57222222222222219</v>
      </c>
      <c r="L609" s="209">
        <v>42412</v>
      </c>
      <c r="M609" s="204" t="s">
        <v>606</v>
      </c>
      <c r="N609" s="204" t="s">
        <v>399</v>
      </c>
      <c r="O609" s="204" t="s">
        <v>400</v>
      </c>
      <c r="P609" s="204" t="s">
        <v>274</v>
      </c>
      <c r="Q609" s="204" t="s">
        <v>275</v>
      </c>
      <c r="R609" s="204" t="s">
        <v>401</v>
      </c>
      <c r="S609" s="204" t="s">
        <v>436</v>
      </c>
      <c r="T609" s="204" t="s">
        <v>587</v>
      </c>
      <c r="U609" s="204">
        <v>5314</v>
      </c>
      <c r="V609" s="204" t="s">
        <v>585</v>
      </c>
      <c r="W609" s="204" t="s">
        <v>280</v>
      </c>
      <c r="X609" s="204">
        <v>29.045999999999999</v>
      </c>
      <c r="Y609" s="211">
        <v>0</v>
      </c>
      <c r="Z609" s="211">
        <v>1.76</v>
      </c>
      <c r="AA609" s="211">
        <v>51.09</v>
      </c>
      <c r="AB609" s="211">
        <v>-5.32</v>
      </c>
      <c r="AC609" s="211">
        <v>0</v>
      </c>
      <c r="AD609" s="211">
        <v>0</v>
      </c>
      <c r="AE609" s="211">
        <v>45.77</v>
      </c>
      <c r="AF609" s="211">
        <v>-6.97</v>
      </c>
      <c r="AG609" s="204" t="s">
        <v>279</v>
      </c>
      <c r="AH609" s="211">
        <v>0</v>
      </c>
      <c r="AI609" s="211">
        <v>51.09</v>
      </c>
      <c r="AJ609" s="211">
        <v>0</v>
      </c>
      <c r="AK609" s="204" t="str">
        <f t="shared" si="21"/>
        <v>1.00000000</v>
      </c>
      <c r="AL609" s="204">
        <v>13.3</v>
      </c>
    </row>
    <row r="610" spans="1:38" x14ac:dyDescent="0.2">
      <c r="A610" s="204" t="str">
        <f t="shared" si="22"/>
        <v>0496002599173</v>
      </c>
      <c r="B610" s="204">
        <v>1</v>
      </c>
      <c r="C610" s="204" t="s">
        <v>585</v>
      </c>
      <c r="D610" s="204" t="s">
        <v>586</v>
      </c>
      <c r="E610" s="204" t="s">
        <v>586</v>
      </c>
      <c r="F610" s="204" t="s">
        <v>243</v>
      </c>
      <c r="G610" s="204">
        <v>5314</v>
      </c>
      <c r="H610" s="204" t="s">
        <v>270</v>
      </c>
      <c r="I610" s="204">
        <v>55444</v>
      </c>
      <c r="J610" s="209">
        <v>42423</v>
      </c>
      <c r="K610" s="210">
        <v>0.3444444444444445</v>
      </c>
      <c r="L610" s="209">
        <v>42425</v>
      </c>
      <c r="M610" s="204" t="s">
        <v>606</v>
      </c>
      <c r="N610" s="204" t="s">
        <v>399</v>
      </c>
      <c r="O610" s="204" t="s">
        <v>400</v>
      </c>
      <c r="P610" s="204" t="s">
        <v>274</v>
      </c>
      <c r="Q610" s="204" t="s">
        <v>275</v>
      </c>
      <c r="R610" s="204" t="s">
        <v>401</v>
      </c>
      <c r="S610" s="204" t="s">
        <v>436</v>
      </c>
      <c r="T610" s="204" t="s">
        <v>587</v>
      </c>
      <c r="U610" s="204">
        <v>5314</v>
      </c>
      <c r="V610" s="204" t="s">
        <v>585</v>
      </c>
      <c r="W610" s="204" t="s">
        <v>280</v>
      </c>
      <c r="X610" s="204">
        <v>24.72</v>
      </c>
      <c r="Y610" s="211">
        <v>0</v>
      </c>
      <c r="Z610" s="211">
        <v>1.7</v>
      </c>
      <c r="AA610" s="211">
        <v>42</v>
      </c>
      <c r="AB610" s="211">
        <v>-4.5199999999999996</v>
      </c>
      <c r="AC610" s="211">
        <v>0</v>
      </c>
      <c r="AD610" s="211">
        <v>0</v>
      </c>
      <c r="AE610" s="211">
        <v>37.479999999999997</v>
      </c>
      <c r="AF610" s="211">
        <v>-5.93</v>
      </c>
      <c r="AG610" s="204" t="s">
        <v>279</v>
      </c>
      <c r="AH610" s="211">
        <v>0</v>
      </c>
      <c r="AI610" s="211">
        <v>42</v>
      </c>
      <c r="AJ610" s="211">
        <v>0</v>
      </c>
      <c r="AK610" s="204" t="str">
        <f t="shared" si="21"/>
        <v>1.00000000</v>
      </c>
      <c r="AL610" s="204">
        <v>12.4</v>
      </c>
    </row>
    <row r="611" spans="1:38" x14ac:dyDescent="0.2">
      <c r="A611" s="204" t="str">
        <f t="shared" si="22"/>
        <v>0496002599173</v>
      </c>
      <c r="B611" s="204">
        <v>1</v>
      </c>
      <c r="C611" s="204" t="s">
        <v>585</v>
      </c>
      <c r="D611" s="204" t="s">
        <v>586</v>
      </c>
      <c r="E611" s="204" t="s">
        <v>586</v>
      </c>
      <c r="F611" s="204" t="s">
        <v>243</v>
      </c>
      <c r="G611" s="204">
        <v>5314</v>
      </c>
      <c r="H611" s="204" t="s">
        <v>270</v>
      </c>
      <c r="I611" s="204">
        <v>55791</v>
      </c>
      <c r="J611" s="209">
        <v>42430</v>
      </c>
      <c r="K611" s="210">
        <v>0.57638888888888895</v>
      </c>
      <c r="L611" s="209">
        <v>42432</v>
      </c>
      <c r="M611" s="204" t="s">
        <v>606</v>
      </c>
      <c r="N611" s="204" t="s">
        <v>399</v>
      </c>
      <c r="O611" s="204" t="s">
        <v>400</v>
      </c>
      <c r="P611" s="204" t="s">
        <v>274</v>
      </c>
      <c r="Q611" s="204" t="s">
        <v>275</v>
      </c>
      <c r="R611" s="204" t="s">
        <v>401</v>
      </c>
      <c r="S611" s="204" t="s">
        <v>436</v>
      </c>
      <c r="T611" s="204" t="s">
        <v>587</v>
      </c>
      <c r="U611" s="204">
        <v>5314</v>
      </c>
      <c r="V611" s="204" t="s">
        <v>585</v>
      </c>
      <c r="W611" s="204" t="s">
        <v>280</v>
      </c>
      <c r="X611" s="204">
        <v>25.492000000000001</v>
      </c>
      <c r="Y611" s="211">
        <v>0</v>
      </c>
      <c r="Z611" s="211">
        <v>1.7</v>
      </c>
      <c r="AA611" s="211">
        <v>43.31</v>
      </c>
      <c r="AB611" s="211">
        <v>-4.67</v>
      </c>
      <c r="AC611" s="211">
        <v>0</v>
      </c>
      <c r="AD611" s="211">
        <v>0</v>
      </c>
      <c r="AE611" s="211">
        <v>38.64</v>
      </c>
      <c r="AF611" s="211">
        <v>-6.12</v>
      </c>
      <c r="AG611" s="204" t="s">
        <v>279</v>
      </c>
      <c r="AH611" s="211">
        <v>0</v>
      </c>
      <c r="AI611" s="211">
        <v>43.31</v>
      </c>
      <c r="AJ611" s="211">
        <v>0</v>
      </c>
      <c r="AK611" s="204" t="str">
        <f t="shared" si="21"/>
        <v>1.00000000</v>
      </c>
      <c r="AL611" s="204">
        <v>13.6</v>
      </c>
    </row>
    <row r="612" spans="1:38" x14ac:dyDescent="0.2">
      <c r="A612" s="204" t="str">
        <f t="shared" si="22"/>
        <v>0496002599173</v>
      </c>
      <c r="B612" s="204">
        <v>1</v>
      </c>
      <c r="C612" s="204" t="s">
        <v>585</v>
      </c>
      <c r="D612" s="204" t="s">
        <v>586</v>
      </c>
      <c r="E612" s="204" t="s">
        <v>586</v>
      </c>
      <c r="F612" s="204" t="s">
        <v>243</v>
      </c>
      <c r="G612" s="204">
        <v>5314</v>
      </c>
      <c r="H612" s="204" t="s">
        <v>270</v>
      </c>
      <c r="I612" s="204">
        <v>56219</v>
      </c>
      <c r="J612" s="209">
        <v>42444</v>
      </c>
      <c r="K612" s="210">
        <v>0.48958333333333331</v>
      </c>
      <c r="L612" s="209">
        <v>42446</v>
      </c>
      <c r="M612" s="204" t="s">
        <v>606</v>
      </c>
      <c r="N612" s="204" t="s">
        <v>399</v>
      </c>
      <c r="O612" s="204" t="s">
        <v>400</v>
      </c>
      <c r="P612" s="204" t="s">
        <v>274</v>
      </c>
      <c r="Q612" s="204" t="s">
        <v>275</v>
      </c>
      <c r="R612" s="204" t="s">
        <v>401</v>
      </c>
      <c r="S612" s="204" t="s">
        <v>436</v>
      </c>
      <c r="T612" s="204" t="s">
        <v>587</v>
      </c>
      <c r="U612" s="204">
        <v>5314</v>
      </c>
      <c r="V612" s="204" t="s">
        <v>585</v>
      </c>
      <c r="W612" s="204" t="s">
        <v>280</v>
      </c>
      <c r="X612" s="204">
        <v>31.786000000000001</v>
      </c>
      <c r="Y612" s="211">
        <v>0</v>
      </c>
      <c r="Z612" s="211">
        <v>1.88</v>
      </c>
      <c r="AA612" s="211">
        <v>59.73</v>
      </c>
      <c r="AB612" s="211">
        <v>-5.82</v>
      </c>
      <c r="AC612" s="211">
        <v>0</v>
      </c>
      <c r="AD612" s="211">
        <v>0</v>
      </c>
      <c r="AE612" s="211">
        <v>53.91</v>
      </c>
      <c r="AF612" s="211">
        <v>-7.63</v>
      </c>
      <c r="AG612" s="204" t="s">
        <v>279</v>
      </c>
      <c r="AH612" s="211">
        <v>0</v>
      </c>
      <c r="AI612" s="211">
        <v>59.73</v>
      </c>
      <c r="AJ612" s="211">
        <v>0</v>
      </c>
      <c r="AK612" s="204" t="str">
        <f t="shared" si="21"/>
        <v>1.00000000</v>
      </c>
      <c r="AL612" s="204">
        <v>13.5</v>
      </c>
    </row>
    <row r="613" spans="1:38" x14ac:dyDescent="0.2">
      <c r="A613" s="204" t="str">
        <f t="shared" si="22"/>
        <v>0496002599173</v>
      </c>
      <c r="B613" s="204">
        <v>1</v>
      </c>
      <c r="C613" s="204" t="s">
        <v>585</v>
      </c>
      <c r="D613" s="204" t="s">
        <v>586</v>
      </c>
      <c r="E613" s="204" t="s">
        <v>586</v>
      </c>
      <c r="F613" s="204" t="s">
        <v>243</v>
      </c>
      <c r="G613" s="204">
        <v>5314</v>
      </c>
      <c r="H613" s="204" t="s">
        <v>270</v>
      </c>
      <c r="I613" s="204">
        <v>56620</v>
      </c>
      <c r="J613" s="209">
        <v>42461</v>
      </c>
      <c r="K613" s="210">
        <v>0.61597222222222225</v>
      </c>
      <c r="L613" s="209">
        <v>42465</v>
      </c>
      <c r="M613" s="204" t="s">
        <v>606</v>
      </c>
      <c r="N613" s="204" t="s">
        <v>399</v>
      </c>
      <c r="O613" s="204" t="s">
        <v>400</v>
      </c>
      <c r="P613" s="204" t="s">
        <v>274</v>
      </c>
      <c r="Q613" s="204" t="s">
        <v>275</v>
      </c>
      <c r="R613" s="204" t="s">
        <v>401</v>
      </c>
      <c r="S613" s="204" t="s">
        <v>436</v>
      </c>
      <c r="T613" s="204" t="s">
        <v>587</v>
      </c>
      <c r="U613" s="204">
        <v>5314</v>
      </c>
      <c r="V613" s="204" t="s">
        <v>585</v>
      </c>
      <c r="W613" s="204" t="s">
        <v>280</v>
      </c>
      <c r="X613" s="204">
        <v>30.452000000000002</v>
      </c>
      <c r="Y613" s="211">
        <v>0</v>
      </c>
      <c r="Z613" s="211">
        <v>2.04</v>
      </c>
      <c r="AA613" s="211">
        <v>62.09</v>
      </c>
      <c r="AB613" s="211">
        <v>-5.57</v>
      </c>
      <c r="AC613" s="211">
        <v>0</v>
      </c>
      <c r="AD613" s="211">
        <v>0</v>
      </c>
      <c r="AE613" s="211">
        <v>56.52</v>
      </c>
      <c r="AF613" s="211">
        <v>-7.31</v>
      </c>
      <c r="AG613" s="204" t="s">
        <v>279</v>
      </c>
      <c r="AH613" s="211">
        <v>0</v>
      </c>
      <c r="AI613" s="211">
        <v>62.09</v>
      </c>
      <c r="AJ613" s="211">
        <v>0</v>
      </c>
      <c r="AK613" s="204" t="str">
        <f t="shared" si="21"/>
        <v>1.00000000</v>
      </c>
      <c r="AL613" s="204">
        <v>13.2</v>
      </c>
    </row>
    <row r="614" spans="1:38" x14ac:dyDescent="0.2">
      <c r="A614" s="204" t="str">
        <f t="shared" si="22"/>
        <v>0496002599173</v>
      </c>
      <c r="B614" s="204">
        <v>1</v>
      </c>
      <c r="C614" s="204" t="s">
        <v>585</v>
      </c>
      <c r="D614" s="204" t="s">
        <v>586</v>
      </c>
      <c r="E614" s="204" t="s">
        <v>586</v>
      </c>
      <c r="F614" s="204" t="s">
        <v>243</v>
      </c>
      <c r="G614" s="204">
        <v>5314</v>
      </c>
      <c r="H614" s="204" t="s">
        <v>270</v>
      </c>
      <c r="I614" s="204">
        <v>57032</v>
      </c>
      <c r="J614" s="209">
        <v>42479</v>
      </c>
      <c r="K614" s="210">
        <v>0.44930555555555557</v>
      </c>
      <c r="L614" s="209">
        <v>42481</v>
      </c>
      <c r="M614" s="204" t="s">
        <v>606</v>
      </c>
      <c r="N614" s="204" t="s">
        <v>399</v>
      </c>
      <c r="O614" s="204" t="s">
        <v>400</v>
      </c>
      <c r="P614" s="204" t="s">
        <v>274</v>
      </c>
      <c r="Q614" s="204" t="s">
        <v>275</v>
      </c>
      <c r="R614" s="204" t="s">
        <v>401</v>
      </c>
      <c r="S614" s="204" t="s">
        <v>436</v>
      </c>
      <c r="T614" s="204" t="s">
        <v>587</v>
      </c>
      <c r="U614" s="204">
        <v>5314</v>
      </c>
      <c r="V614" s="204" t="s">
        <v>585</v>
      </c>
      <c r="W614" s="204" t="s">
        <v>280</v>
      </c>
      <c r="X614" s="204">
        <v>30.478000000000002</v>
      </c>
      <c r="Y614" s="211">
        <v>0</v>
      </c>
      <c r="Z614" s="211">
        <v>2.12</v>
      </c>
      <c r="AA614" s="211">
        <v>64.58</v>
      </c>
      <c r="AB614" s="211">
        <v>-5.58</v>
      </c>
      <c r="AC614" s="211">
        <v>0</v>
      </c>
      <c r="AD614" s="211">
        <v>0</v>
      </c>
      <c r="AE614" s="211">
        <v>59</v>
      </c>
      <c r="AF614" s="211">
        <v>-7.31</v>
      </c>
      <c r="AG614" s="204" t="s">
        <v>279</v>
      </c>
      <c r="AH614" s="211">
        <v>0</v>
      </c>
      <c r="AI614" s="211">
        <v>64.58</v>
      </c>
      <c r="AJ614" s="211">
        <v>0</v>
      </c>
      <c r="AK614" s="204" t="str">
        <f t="shared" si="21"/>
        <v>1.00000000</v>
      </c>
      <c r="AL614" s="204">
        <v>13.5</v>
      </c>
    </row>
    <row r="615" spans="1:38" x14ac:dyDescent="0.2">
      <c r="A615" s="204" t="str">
        <f t="shared" si="22"/>
        <v>0496002599173</v>
      </c>
      <c r="B615" s="204">
        <v>1</v>
      </c>
      <c r="C615" s="204" t="s">
        <v>585</v>
      </c>
      <c r="D615" s="204" t="s">
        <v>586</v>
      </c>
      <c r="E615" s="204" t="s">
        <v>586</v>
      </c>
      <c r="F615" s="204" t="s">
        <v>243</v>
      </c>
      <c r="G615" s="204">
        <v>5314</v>
      </c>
      <c r="H615" s="204" t="s">
        <v>270</v>
      </c>
      <c r="I615" s="204">
        <v>57478</v>
      </c>
      <c r="J615" s="209">
        <v>42492</v>
      </c>
      <c r="K615" s="210">
        <v>0.51944444444444449</v>
      </c>
      <c r="L615" s="209">
        <v>42494</v>
      </c>
      <c r="M615" s="204" t="s">
        <v>606</v>
      </c>
      <c r="N615" s="204" t="s">
        <v>399</v>
      </c>
      <c r="O615" s="204" t="s">
        <v>400</v>
      </c>
      <c r="P615" s="204" t="s">
        <v>274</v>
      </c>
      <c r="Q615" s="204" t="s">
        <v>275</v>
      </c>
      <c r="R615" s="204" t="s">
        <v>401</v>
      </c>
      <c r="S615" s="204" t="s">
        <v>436</v>
      </c>
      <c r="T615" s="204" t="s">
        <v>587</v>
      </c>
      <c r="U615" s="204">
        <v>5314</v>
      </c>
      <c r="V615" s="204" t="s">
        <v>585</v>
      </c>
      <c r="W615" s="204" t="s">
        <v>280</v>
      </c>
      <c r="X615" s="204">
        <v>28.388999999999999</v>
      </c>
      <c r="Y615" s="211">
        <v>0</v>
      </c>
      <c r="Z615" s="211">
        <v>2.2200000000000002</v>
      </c>
      <c r="AA615" s="211">
        <v>63</v>
      </c>
      <c r="AB615" s="211">
        <v>-5.2</v>
      </c>
      <c r="AC615" s="211">
        <v>0</v>
      </c>
      <c r="AD615" s="211">
        <v>0</v>
      </c>
      <c r="AE615" s="211">
        <v>57.8</v>
      </c>
      <c r="AF615" s="211">
        <v>-6.81</v>
      </c>
      <c r="AG615" s="204" t="s">
        <v>279</v>
      </c>
      <c r="AH615" s="211">
        <v>0</v>
      </c>
      <c r="AI615" s="211">
        <v>63</v>
      </c>
      <c r="AJ615" s="211">
        <v>0</v>
      </c>
      <c r="AK615" s="204" t="str">
        <f t="shared" si="21"/>
        <v>1.00000000</v>
      </c>
      <c r="AL615" s="204">
        <v>15.7</v>
      </c>
    </row>
    <row r="616" spans="1:38" x14ac:dyDescent="0.2">
      <c r="A616" s="204" t="str">
        <f t="shared" si="22"/>
        <v>0496002599173</v>
      </c>
      <c r="B616" s="204">
        <v>1</v>
      </c>
      <c r="C616" s="204" t="s">
        <v>585</v>
      </c>
      <c r="D616" s="204" t="s">
        <v>586</v>
      </c>
      <c r="E616" s="204" t="s">
        <v>586</v>
      </c>
      <c r="F616" s="204" t="s">
        <v>243</v>
      </c>
      <c r="G616" s="204">
        <v>5314</v>
      </c>
      <c r="H616" s="204" t="s">
        <v>270</v>
      </c>
      <c r="I616" s="204">
        <v>57933</v>
      </c>
      <c r="J616" s="209">
        <v>42517</v>
      </c>
      <c r="K616" s="210">
        <v>0.51180555555555551</v>
      </c>
      <c r="L616" s="209">
        <v>42521</v>
      </c>
      <c r="M616" s="204" t="s">
        <v>606</v>
      </c>
      <c r="N616" s="204" t="s">
        <v>399</v>
      </c>
      <c r="O616" s="204" t="s">
        <v>400</v>
      </c>
      <c r="P616" s="204" t="s">
        <v>274</v>
      </c>
      <c r="Q616" s="204" t="s">
        <v>275</v>
      </c>
      <c r="R616" s="204" t="s">
        <v>401</v>
      </c>
      <c r="S616" s="204" t="s">
        <v>436</v>
      </c>
      <c r="T616" s="204" t="s">
        <v>587</v>
      </c>
      <c r="U616" s="204">
        <v>5314</v>
      </c>
      <c r="V616" s="204" t="s">
        <v>585</v>
      </c>
      <c r="W616" s="204" t="s">
        <v>280</v>
      </c>
      <c r="X616" s="204">
        <v>31.151</v>
      </c>
      <c r="Y616" s="211">
        <v>0</v>
      </c>
      <c r="Z616" s="211">
        <v>2.2999999999999998</v>
      </c>
      <c r="AA616" s="211">
        <v>71.62</v>
      </c>
      <c r="AB616" s="211">
        <v>-5.7</v>
      </c>
      <c r="AC616" s="211">
        <v>0</v>
      </c>
      <c r="AD616" s="211">
        <v>0</v>
      </c>
      <c r="AE616" s="211">
        <v>65.92</v>
      </c>
      <c r="AF616" s="211">
        <v>-7.48</v>
      </c>
      <c r="AG616" s="204" t="s">
        <v>279</v>
      </c>
      <c r="AH616" s="211">
        <v>0</v>
      </c>
      <c r="AI616" s="211">
        <v>71.62</v>
      </c>
      <c r="AJ616" s="211">
        <v>0</v>
      </c>
      <c r="AK616" s="204" t="str">
        <f t="shared" si="21"/>
        <v>1.00000000</v>
      </c>
      <c r="AL616" s="204">
        <v>14.6</v>
      </c>
    </row>
    <row r="617" spans="1:38" x14ac:dyDescent="0.2">
      <c r="A617" s="204" t="str">
        <f t="shared" si="22"/>
        <v>0496002599173</v>
      </c>
      <c r="B617" s="204">
        <v>1</v>
      </c>
      <c r="C617" s="204" t="s">
        <v>585</v>
      </c>
      <c r="D617" s="204" t="s">
        <v>586</v>
      </c>
      <c r="E617" s="204" t="s">
        <v>586</v>
      </c>
      <c r="F617" s="204" t="s">
        <v>243</v>
      </c>
      <c r="G617" s="204">
        <v>5314</v>
      </c>
      <c r="H617" s="204" t="s">
        <v>270</v>
      </c>
      <c r="I617" s="204">
        <v>58353</v>
      </c>
      <c r="J617" s="209">
        <v>42534</v>
      </c>
      <c r="K617" s="210">
        <v>0.38958333333333334</v>
      </c>
      <c r="L617" s="209">
        <v>42536</v>
      </c>
      <c r="M617" s="204" t="s">
        <v>606</v>
      </c>
      <c r="N617" s="204" t="s">
        <v>399</v>
      </c>
      <c r="O617" s="204" t="s">
        <v>400</v>
      </c>
      <c r="P617" s="204" t="s">
        <v>274</v>
      </c>
      <c r="Q617" s="204" t="s">
        <v>275</v>
      </c>
      <c r="R617" s="204" t="s">
        <v>401</v>
      </c>
      <c r="S617" s="204" t="s">
        <v>436</v>
      </c>
      <c r="T617" s="204" t="s">
        <v>587</v>
      </c>
      <c r="U617" s="204">
        <v>5314</v>
      </c>
      <c r="V617" s="204" t="s">
        <v>585</v>
      </c>
      <c r="W617" s="204" t="s">
        <v>280</v>
      </c>
      <c r="X617" s="204">
        <v>28.21</v>
      </c>
      <c r="Y617" s="211">
        <v>0</v>
      </c>
      <c r="Z617" s="211">
        <v>2.2999999999999998</v>
      </c>
      <c r="AA617" s="211">
        <v>64.849999999999994</v>
      </c>
      <c r="AB617" s="211">
        <v>-5.16</v>
      </c>
      <c r="AC617" s="211">
        <v>0</v>
      </c>
      <c r="AD617" s="211">
        <v>0</v>
      </c>
      <c r="AE617" s="211">
        <v>59.69</v>
      </c>
      <c r="AF617" s="211">
        <v>-6.77</v>
      </c>
      <c r="AG617" s="204" t="s">
        <v>279</v>
      </c>
      <c r="AH617" s="211">
        <v>0</v>
      </c>
      <c r="AI617" s="211">
        <v>64.849999999999994</v>
      </c>
      <c r="AJ617" s="211">
        <v>0</v>
      </c>
      <c r="AK617" s="204" t="str">
        <f t="shared" si="21"/>
        <v>1.00000000</v>
      </c>
      <c r="AL617" s="204">
        <v>14.9</v>
      </c>
    </row>
    <row r="618" spans="1:38" x14ac:dyDescent="0.2">
      <c r="A618" s="204" t="str">
        <f t="shared" si="22"/>
        <v>0496002599173</v>
      </c>
      <c r="B618" s="204">
        <v>1</v>
      </c>
      <c r="C618" s="204" t="s">
        <v>585</v>
      </c>
      <c r="D618" s="204" t="s">
        <v>586</v>
      </c>
      <c r="E618" s="204" t="s">
        <v>586</v>
      </c>
      <c r="F618" s="204" t="s">
        <v>243</v>
      </c>
      <c r="G618" s="204">
        <v>5314</v>
      </c>
      <c r="H618" s="204" t="s">
        <v>270</v>
      </c>
      <c r="I618" s="204">
        <v>58814</v>
      </c>
      <c r="J618" s="209">
        <v>42550</v>
      </c>
      <c r="K618" s="210">
        <v>0.56041666666666667</v>
      </c>
      <c r="L618" s="209">
        <v>42552</v>
      </c>
      <c r="M618" s="204" t="s">
        <v>606</v>
      </c>
      <c r="N618" s="204" t="s">
        <v>399</v>
      </c>
      <c r="O618" s="204" t="s">
        <v>400</v>
      </c>
      <c r="P618" s="204" t="s">
        <v>274</v>
      </c>
      <c r="Q618" s="204" t="s">
        <v>275</v>
      </c>
      <c r="R618" s="204" t="s">
        <v>401</v>
      </c>
      <c r="S618" s="204" t="s">
        <v>436</v>
      </c>
      <c r="T618" s="204" t="s">
        <v>587</v>
      </c>
      <c r="U618" s="204">
        <v>5314</v>
      </c>
      <c r="V618" s="204" t="s">
        <v>585</v>
      </c>
      <c r="W618" s="204" t="s">
        <v>280</v>
      </c>
      <c r="X618" s="204">
        <v>30</v>
      </c>
      <c r="Y618" s="211">
        <v>0</v>
      </c>
      <c r="Z618" s="211">
        <v>2.08</v>
      </c>
      <c r="AA618" s="211">
        <v>62.37</v>
      </c>
      <c r="AB618" s="211">
        <v>-5.49</v>
      </c>
      <c r="AC618" s="211">
        <v>0</v>
      </c>
      <c r="AD618" s="211">
        <v>0</v>
      </c>
      <c r="AE618" s="211">
        <v>56.88</v>
      </c>
      <c r="AF618" s="211">
        <v>-7.2</v>
      </c>
      <c r="AG618" s="204" t="s">
        <v>279</v>
      </c>
      <c r="AH618" s="211">
        <v>0</v>
      </c>
      <c r="AI618" s="211">
        <v>62.37</v>
      </c>
      <c r="AJ618" s="211">
        <v>0</v>
      </c>
      <c r="AK618" s="204" t="str">
        <f t="shared" si="21"/>
        <v>1.00000000</v>
      </c>
      <c r="AL618" s="204">
        <v>15.4</v>
      </c>
    </row>
    <row r="619" spans="1:38" x14ac:dyDescent="0.2">
      <c r="A619" s="204" t="str">
        <f t="shared" si="22"/>
        <v>0496002599173</v>
      </c>
      <c r="B619" s="204">
        <v>2</v>
      </c>
      <c r="C619" s="204" t="s">
        <v>585</v>
      </c>
      <c r="D619" s="204" t="s">
        <v>594</v>
      </c>
      <c r="E619" s="204" t="s">
        <v>594</v>
      </c>
      <c r="F619" s="204" t="s">
        <v>243</v>
      </c>
      <c r="G619" s="204">
        <v>5647</v>
      </c>
      <c r="H619" s="204" t="s">
        <v>270</v>
      </c>
      <c r="I619" s="204">
        <v>105132</v>
      </c>
      <c r="J619" s="209">
        <v>42380</v>
      </c>
      <c r="K619" s="210">
        <v>0.40277777777777773</v>
      </c>
      <c r="L619" s="209">
        <v>42382</v>
      </c>
      <c r="M619" s="204" t="s">
        <v>853</v>
      </c>
      <c r="N619" s="204" t="s">
        <v>588</v>
      </c>
      <c r="O619" s="204" t="s">
        <v>589</v>
      </c>
      <c r="P619" s="204" t="s">
        <v>590</v>
      </c>
      <c r="Q619" s="204" t="s">
        <v>275</v>
      </c>
      <c r="R619" s="204" t="s">
        <v>611</v>
      </c>
      <c r="S619" s="204" t="s">
        <v>436</v>
      </c>
      <c r="T619" s="204" t="s">
        <v>595</v>
      </c>
      <c r="U619" s="204">
        <v>5647</v>
      </c>
      <c r="V619" s="204" t="s">
        <v>585</v>
      </c>
      <c r="W619" s="204" t="s">
        <v>280</v>
      </c>
      <c r="X619" s="204">
        <v>20.117999999999999</v>
      </c>
      <c r="Y619" s="211">
        <v>-1</v>
      </c>
      <c r="Z619" s="211">
        <v>1.86</v>
      </c>
      <c r="AA619" s="211">
        <v>37.4</v>
      </c>
      <c r="AB619" s="211">
        <v>-3.68</v>
      </c>
      <c r="AC619" s="211">
        <v>0</v>
      </c>
      <c r="AD619" s="211">
        <v>0</v>
      </c>
      <c r="AE619" s="211">
        <v>32.72</v>
      </c>
      <c r="AF619" s="211">
        <v>-4.83</v>
      </c>
      <c r="AG619" s="204" t="s">
        <v>279</v>
      </c>
      <c r="AH619" s="211">
        <v>0</v>
      </c>
      <c r="AI619" s="211">
        <v>37.4</v>
      </c>
      <c r="AJ619" s="211">
        <v>0</v>
      </c>
      <c r="AK619" s="204" t="str">
        <f t="shared" si="21"/>
        <v>1.00000000</v>
      </c>
      <c r="AL619" s="204">
        <v>10.7</v>
      </c>
    </row>
    <row r="620" spans="1:38" x14ac:dyDescent="0.2">
      <c r="A620" s="204" t="str">
        <f t="shared" si="22"/>
        <v>0496002599173</v>
      </c>
      <c r="B620" s="204">
        <v>2</v>
      </c>
      <c r="C620" s="204" t="s">
        <v>585</v>
      </c>
      <c r="D620" s="204" t="s">
        <v>594</v>
      </c>
      <c r="E620" s="204" t="s">
        <v>594</v>
      </c>
      <c r="F620" s="204" t="s">
        <v>243</v>
      </c>
      <c r="G620" s="204">
        <v>5647</v>
      </c>
      <c r="H620" s="204" t="s">
        <v>270</v>
      </c>
      <c r="I620" s="204">
        <v>105429</v>
      </c>
      <c r="J620" s="209">
        <v>42383</v>
      </c>
      <c r="K620" s="210">
        <v>0.43888888888888888</v>
      </c>
      <c r="L620" s="209">
        <v>42387</v>
      </c>
      <c r="M620" s="204" t="s">
        <v>853</v>
      </c>
      <c r="N620" s="204" t="s">
        <v>588</v>
      </c>
      <c r="O620" s="204" t="s">
        <v>589</v>
      </c>
      <c r="P620" s="204" t="s">
        <v>590</v>
      </c>
      <c r="Q620" s="204" t="s">
        <v>275</v>
      </c>
      <c r="R620" s="204" t="s">
        <v>611</v>
      </c>
      <c r="S620" s="204" t="s">
        <v>436</v>
      </c>
      <c r="T620" s="204" t="s">
        <v>595</v>
      </c>
      <c r="U620" s="204">
        <v>5647</v>
      </c>
      <c r="V620" s="204" t="s">
        <v>585</v>
      </c>
      <c r="W620" s="204" t="s">
        <v>280</v>
      </c>
      <c r="X620" s="204">
        <v>22.457999999999998</v>
      </c>
      <c r="Y620" s="211">
        <v>-1.1200000000000001</v>
      </c>
      <c r="Z620" s="211">
        <v>1.86</v>
      </c>
      <c r="AA620" s="211">
        <v>41.75</v>
      </c>
      <c r="AB620" s="211">
        <v>-4.1100000000000003</v>
      </c>
      <c r="AC620" s="211">
        <v>0</v>
      </c>
      <c r="AD620" s="211">
        <v>0</v>
      </c>
      <c r="AE620" s="211">
        <v>36.520000000000003</v>
      </c>
      <c r="AF620" s="211">
        <v>-5.39</v>
      </c>
      <c r="AG620" s="204" t="s">
        <v>279</v>
      </c>
      <c r="AH620" s="211">
        <v>0</v>
      </c>
      <c r="AI620" s="211">
        <v>41.75</v>
      </c>
      <c r="AJ620" s="211">
        <v>0</v>
      </c>
      <c r="AK620" s="204" t="str">
        <f t="shared" si="21"/>
        <v>1.00000000</v>
      </c>
      <c r="AL620" s="204">
        <v>13.2</v>
      </c>
    </row>
    <row r="621" spans="1:38" x14ac:dyDescent="0.2">
      <c r="A621" s="204" t="str">
        <f t="shared" si="22"/>
        <v>0496002599173</v>
      </c>
      <c r="B621" s="204">
        <v>2</v>
      </c>
      <c r="C621" s="204" t="s">
        <v>585</v>
      </c>
      <c r="D621" s="204" t="s">
        <v>594</v>
      </c>
      <c r="E621" s="204" t="s">
        <v>594</v>
      </c>
      <c r="F621" s="204" t="s">
        <v>243</v>
      </c>
      <c r="G621" s="204">
        <v>5647</v>
      </c>
      <c r="H621" s="204" t="s">
        <v>270</v>
      </c>
      <c r="I621" s="204">
        <v>105735</v>
      </c>
      <c r="J621" s="209">
        <v>42390</v>
      </c>
      <c r="K621" s="210">
        <v>0.3972222222222222</v>
      </c>
      <c r="L621" s="209">
        <v>42394</v>
      </c>
      <c r="M621" s="204" t="s">
        <v>853</v>
      </c>
      <c r="N621" s="204" t="s">
        <v>588</v>
      </c>
      <c r="O621" s="204" t="s">
        <v>589</v>
      </c>
      <c r="P621" s="204" t="s">
        <v>590</v>
      </c>
      <c r="Q621" s="204" t="s">
        <v>275</v>
      </c>
      <c r="R621" s="204" t="s">
        <v>611</v>
      </c>
      <c r="S621" s="204" t="s">
        <v>436</v>
      </c>
      <c r="T621" s="204" t="s">
        <v>595</v>
      </c>
      <c r="U621" s="204">
        <v>5647</v>
      </c>
      <c r="V621" s="204" t="s">
        <v>585</v>
      </c>
      <c r="W621" s="204" t="s">
        <v>280</v>
      </c>
      <c r="X621" s="204">
        <v>23.382000000000001</v>
      </c>
      <c r="Y621" s="211">
        <v>-1.17</v>
      </c>
      <c r="Z621" s="211">
        <v>1.84</v>
      </c>
      <c r="AA621" s="211">
        <v>43</v>
      </c>
      <c r="AB621" s="211">
        <v>-4.28</v>
      </c>
      <c r="AC621" s="211">
        <v>0</v>
      </c>
      <c r="AD621" s="211">
        <v>0</v>
      </c>
      <c r="AE621" s="211">
        <v>37.549999999999997</v>
      </c>
      <c r="AF621" s="211">
        <v>-5.61</v>
      </c>
      <c r="AG621" s="204" t="s">
        <v>279</v>
      </c>
      <c r="AH621" s="211">
        <v>0</v>
      </c>
      <c r="AI621" s="211">
        <v>43</v>
      </c>
      <c r="AJ621" s="211">
        <v>0</v>
      </c>
      <c r="AK621" s="204" t="str">
        <f t="shared" si="21"/>
        <v>1.00000000</v>
      </c>
      <c r="AL621" s="204">
        <v>13.1</v>
      </c>
    </row>
    <row r="622" spans="1:38" x14ac:dyDescent="0.2">
      <c r="A622" s="204" t="str">
        <f t="shared" si="22"/>
        <v>0496002599173</v>
      </c>
      <c r="B622" s="204">
        <v>2</v>
      </c>
      <c r="C622" s="204" t="s">
        <v>585</v>
      </c>
      <c r="D622" s="204" t="s">
        <v>594</v>
      </c>
      <c r="E622" s="204" t="s">
        <v>594</v>
      </c>
      <c r="F622" s="204" t="s">
        <v>243</v>
      </c>
      <c r="G622" s="204">
        <v>5647</v>
      </c>
      <c r="H622" s="204" t="s">
        <v>270</v>
      </c>
      <c r="I622" s="204">
        <v>106016</v>
      </c>
      <c r="J622" s="209">
        <v>42402</v>
      </c>
      <c r="K622" s="210">
        <v>0.30277777777777776</v>
      </c>
      <c r="L622" s="209">
        <v>42404</v>
      </c>
      <c r="M622" s="204" t="s">
        <v>853</v>
      </c>
      <c r="N622" s="204" t="s">
        <v>272</v>
      </c>
      <c r="O622" s="204" t="s">
        <v>273</v>
      </c>
      <c r="P622" s="204" t="s">
        <v>274</v>
      </c>
      <c r="Q622" s="204" t="s">
        <v>275</v>
      </c>
      <c r="R622" s="204" t="s">
        <v>276</v>
      </c>
      <c r="S622" s="204" t="s">
        <v>436</v>
      </c>
      <c r="T622" s="204" t="s">
        <v>595</v>
      </c>
      <c r="U622" s="204">
        <v>5647</v>
      </c>
      <c r="V622" s="204" t="s">
        <v>585</v>
      </c>
      <c r="W622" s="204" t="s">
        <v>280</v>
      </c>
      <c r="X622" s="204">
        <v>23.795999999999999</v>
      </c>
      <c r="Y622" s="211">
        <v>-0.71</v>
      </c>
      <c r="Z622" s="211">
        <v>1.85</v>
      </c>
      <c r="AA622" s="211">
        <v>44</v>
      </c>
      <c r="AB622" s="211">
        <v>-4.3499999999999996</v>
      </c>
      <c r="AC622" s="211">
        <v>0</v>
      </c>
      <c r="AD622" s="211">
        <v>0</v>
      </c>
      <c r="AE622" s="211">
        <v>38.94</v>
      </c>
      <c r="AF622" s="211">
        <v>-5.71</v>
      </c>
      <c r="AG622" s="204" t="s">
        <v>279</v>
      </c>
      <c r="AH622" s="211">
        <v>0</v>
      </c>
      <c r="AI622" s="211">
        <v>44</v>
      </c>
      <c r="AJ622" s="211">
        <v>0</v>
      </c>
      <c r="AK622" s="204" t="str">
        <f t="shared" si="21"/>
        <v>1.00000000</v>
      </c>
      <c r="AL622" s="204">
        <v>11.8</v>
      </c>
    </row>
    <row r="623" spans="1:38" x14ac:dyDescent="0.2">
      <c r="A623" s="204" t="str">
        <f t="shared" si="22"/>
        <v>0496002599173</v>
      </c>
      <c r="B623" s="204">
        <v>2</v>
      </c>
      <c r="C623" s="204" t="s">
        <v>585</v>
      </c>
      <c r="D623" s="204" t="s">
        <v>594</v>
      </c>
      <c r="E623" s="204" t="s">
        <v>594</v>
      </c>
      <c r="F623" s="204" t="s">
        <v>243</v>
      </c>
      <c r="G623" s="204">
        <v>5647</v>
      </c>
      <c r="H623" s="204" t="s">
        <v>270</v>
      </c>
      <c r="I623" s="204">
        <v>106162</v>
      </c>
      <c r="J623" s="209">
        <v>42404</v>
      </c>
      <c r="K623" s="210">
        <v>0.43611111111111112</v>
      </c>
      <c r="L623" s="209">
        <v>42408</v>
      </c>
      <c r="M623" s="204" t="s">
        <v>606</v>
      </c>
      <c r="N623" s="204" t="s">
        <v>399</v>
      </c>
      <c r="O623" s="204" t="s">
        <v>400</v>
      </c>
      <c r="P623" s="204" t="s">
        <v>274</v>
      </c>
      <c r="Q623" s="204" t="s">
        <v>275</v>
      </c>
      <c r="R623" s="204" t="s">
        <v>401</v>
      </c>
      <c r="S623" s="204" t="s">
        <v>436</v>
      </c>
      <c r="T623" s="204" t="s">
        <v>595</v>
      </c>
      <c r="U623" s="204">
        <v>5647</v>
      </c>
      <c r="V623" s="204" t="s">
        <v>585</v>
      </c>
      <c r="W623" s="204" t="s">
        <v>335</v>
      </c>
      <c r="X623" s="204">
        <v>1.012</v>
      </c>
      <c r="Y623" s="211">
        <v>0</v>
      </c>
      <c r="Z623" s="211">
        <v>1.98</v>
      </c>
      <c r="AA623" s="211">
        <v>2</v>
      </c>
      <c r="AB623" s="211">
        <v>-0.19</v>
      </c>
      <c r="AC623" s="211">
        <v>0</v>
      </c>
      <c r="AD623" s="211">
        <v>0</v>
      </c>
      <c r="AE623" s="211">
        <v>1.81</v>
      </c>
      <c r="AF623" s="211">
        <v>-0.24</v>
      </c>
      <c r="AG623" s="204" t="s">
        <v>279</v>
      </c>
      <c r="AH623" s="211">
        <v>0</v>
      </c>
      <c r="AI623" s="211">
        <v>2</v>
      </c>
      <c r="AJ623" s="211">
        <v>0</v>
      </c>
      <c r="AK623" s="204" t="str">
        <f t="shared" si="21"/>
        <v>1.00000000</v>
      </c>
      <c r="AL623" s="204">
        <v>144.30000000000001</v>
      </c>
    </row>
    <row r="624" spans="1:38" x14ac:dyDescent="0.2">
      <c r="A624" s="204" t="str">
        <f t="shared" si="22"/>
        <v>0496002599173</v>
      </c>
      <c r="B624" s="204">
        <v>2</v>
      </c>
      <c r="C624" s="204" t="s">
        <v>585</v>
      </c>
      <c r="D624" s="204" t="s">
        <v>594</v>
      </c>
      <c r="E624" s="204" t="s">
        <v>594</v>
      </c>
      <c r="F624" s="204" t="s">
        <v>243</v>
      </c>
      <c r="G624" s="204">
        <v>5647</v>
      </c>
      <c r="H624" s="204" t="s">
        <v>270</v>
      </c>
      <c r="I624" s="204">
        <v>106206</v>
      </c>
      <c r="J624" s="209">
        <v>42405</v>
      </c>
      <c r="K624" s="210">
        <v>0.55763888888888891</v>
      </c>
      <c r="L624" s="209">
        <v>42409</v>
      </c>
      <c r="M624" s="204" t="s">
        <v>853</v>
      </c>
      <c r="N624" s="204" t="s">
        <v>454</v>
      </c>
      <c r="O624" s="204" t="s">
        <v>455</v>
      </c>
      <c r="P624" s="204" t="s">
        <v>456</v>
      </c>
      <c r="Q624" s="204" t="s">
        <v>275</v>
      </c>
      <c r="R624" s="204" t="s">
        <v>706</v>
      </c>
      <c r="S624" s="204" t="s">
        <v>436</v>
      </c>
      <c r="T624" s="204" t="s">
        <v>595</v>
      </c>
      <c r="U624" s="204">
        <v>5647</v>
      </c>
      <c r="V624" s="204" t="s">
        <v>585</v>
      </c>
      <c r="W624" s="204" t="s">
        <v>280</v>
      </c>
      <c r="X624" s="204">
        <v>15.632999999999999</v>
      </c>
      <c r="Y624" s="211">
        <v>-0.47</v>
      </c>
      <c r="Z624" s="211">
        <v>1.84</v>
      </c>
      <c r="AA624" s="211">
        <v>28.75</v>
      </c>
      <c r="AB624" s="211">
        <v>-2.86</v>
      </c>
      <c r="AC624" s="211">
        <v>0</v>
      </c>
      <c r="AD624" s="211">
        <v>0</v>
      </c>
      <c r="AE624" s="211">
        <v>25.42</v>
      </c>
      <c r="AF624" s="211">
        <v>-3.75</v>
      </c>
      <c r="AG624" s="204" t="s">
        <v>279</v>
      </c>
      <c r="AH624" s="211">
        <v>0</v>
      </c>
      <c r="AI624" s="211">
        <v>28.75</v>
      </c>
      <c r="AJ624" s="211">
        <v>0</v>
      </c>
      <c r="AK624" s="204" t="str">
        <f t="shared" si="21"/>
        <v>1.00000000</v>
      </c>
      <c r="AL624" s="204">
        <v>2.8</v>
      </c>
    </row>
    <row r="625" spans="1:38" x14ac:dyDescent="0.2">
      <c r="A625" s="204" t="str">
        <f t="shared" si="22"/>
        <v>0496002599173</v>
      </c>
      <c r="B625" s="204">
        <v>2</v>
      </c>
      <c r="C625" s="204" t="s">
        <v>585</v>
      </c>
      <c r="D625" s="204" t="s">
        <v>594</v>
      </c>
      <c r="E625" s="204" t="s">
        <v>594</v>
      </c>
      <c r="F625" s="204" t="s">
        <v>243</v>
      </c>
      <c r="G625" s="204">
        <v>5647</v>
      </c>
      <c r="H625" s="204" t="s">
        <v>270</v>
      </c>
      <c r="I625" s="204">
        <v>106474</v>
      </c>
      <c r="J625" s="209">
        <v>42415</v>
      </c>
      <c r="K625" s="210">
        <v>0.44236111111111115</v>
      </c>
      <c r="L625" s="209">
        <v>42417</v>
      </c>
      <c r="M625" s="204" t="s">
        <v>853</v>
      </c>
      <c r="N625" s="204" t="s">
        <v>588</v>
      </c>
      <c r="O625" s="204" t="s">
        <v>589</v>
      </c>
      <c r="P625" s="204" t="s">
        <v>590</v>
      </c>
      <c r="Q625" s="204" t="s">
        <v>275</v>
      </c>
      <c r="R625" s="204" t="s">
        <v>611</v>
      </c>
      <c r="S625" s="204" t="s">
        <v>436</v>
      </c>
      <c r="T625" s="204" t="s">
        <v>595</v>
      </c>
      <c r="U625" s="204">
        <v>5647</v>
      </c>
      <c r="V625" s="204" t="s">
        <v>585</v>
      </c>
      <c r="W625" s="204" t="s">
        <v>280</v>
      </c>
      <c r="X625" s="204">
        <v>22.117000000000001</v>
      </c>
      <c r="Y625" s="211">
        <v>-1.1000000000000001</v>
      </c>
      <c r="Z625" s="211">
        <v>1.64</v>
      </c>
      <c r="AA625" s="211">
        <v>36.25</v>
      </c>
      <c r="AB625" s="211">
        <v>-4.05</v>
      </c>
      <c r="AC625" s="211">
        <v>0</v>
      </c>
      <c r="AD625" s="211">
        <v>0</v>
      </c>
      <c r="AE625" s="211">
        <v>31.1</v>
      </c>
      <c r="AF625" s="211">
        <v>-5.31</v>
      </c>
      <c r="AG625" s="204" t="s">
        <v>279</v>
      </c>
      <c r="AH625" s="211">
        <v>0</v>
      </c>
      <c r="AI625" s="211">
        <v>36.25</v>
      </c>
      <c r="AJ625" s="211">
        <v>0</v>
      </c>
      <c r="AK625" s="204" t="str">
        <f t="shared" si="21"/>
        <v>1.00000000</v>
      </c>
      <c r="AL625" s="204">
        <v>12.1</v>
      </c>
    </row>
    <row r="626" spans="1:38" x14ac:dyDescent="0.2">
      <c r="A626" s="204" t="str">
        <f t="shared" si="22"/>
        <v>0496002599173</v>
      </c>
      <c r="B626" s="204">
        <v>2</v>
      </c>
      <c r="C626" s="204" t="s">
        <v>585</v>
      </c>
      <c r="D626" s="204" t="s">
        <v>594</v>
      </c>
      <c r="E626" s="204" t="s">
        <v>594</v>
      </c>
      <c r="F626" s="204" t="s">
        <v>243</v>
      </c>
      <c r="G626" s="204">
        <v>5647</v>
      </c>
      <c r="H626" s="204" t="s">
        <v>270</v>
      </c>
      <c r="I626" s="204">
        <v>106718</v>
      </c>
      <c r="J626" s="209">
        <v>42423</v>
      </c>
      <c r="K626" s="210">
        <v>0.41197916666666662</v>
      </c>
      <c r="L626" s="209">
        <v>42425</v>
      </c>
      <c r="M626" s="204" t="s">
        <v>340</v>
      </c>
      <c r="N626" s="204" t="s">
        <v>341</v>
      </c>
      <c r="O626" s="204" t="s">
        <v>342</v>
      </c>
      <c r="P626" s="204" t="s">
        <v>343</v>
      </c>
      <c r="Q626" s="204" t="s">
        <v>275</v>
      </c>
      <c r="R626" s="204" t="s">
        <v>629</v>
      </c>
      <c r="S626" s="204" t="s">
        <v>436</v>
      </c>
      <c r="T626" s="204" t="s">
        <v>595</v>
      </c>
      <c r="U626" s="204">
        <v>5647</v>
      </c>
      <c r="V626" s="204" t="s">
        <v>585</v>
      </c>
      <c r="W626" s="204" t="s">
        <v>280</v>
      </c>
      <c r="X626" s="204">
        <v>21.187000000000001</v>
      </c>
      <c r="Y626" s="211">
        <v>0</v>
      </c>
      <c r="Z626" s="211">
        <v>1.7</v>
      </c>
      <c r="AA626" s="211">
        <v>36</v>
      </c>
      <c r="AB626" s="211">
        <v>-3.88</v>
      </c>
      <c r="AC626" s="211">
        <v>0</v>
      </c>
      <c r="AD626" s="211">
        <v>0</v>
      </c>
      <c r="AE626" s="211">
        <v>32.119999999999997</v>
      </c>
      <c r="AF626" s="211">
        <v>-5.08</v>
      </c>
      <c r="AG626" s="204" t="s">
        <v>279</v>
      </c>
      <c r="AH626" s="211">
        <v>0</v>
      </c>
      <c r="AI626" s="211">
        <v>36</v>
      </c>
      <c r="AJ626" s="211">
        <v>0</v>
      </c>
      <c r="AK626" s="204" t="str">
        <f t="shared" si="21"/>
        <v>1.00000000</v>
      </c>
      <c r="AL626" s="204">
        <v>11.5</v>
      </c>
    </row>
    <row r="627" spans="1:38" x14ac:dyDescent="0.2">
      <c r="A627" s="204" t="str">
        <f t="shared" si="22"/>
        <v>0496002599173</v>
      </c>
      <c r="B627" s="204">
        <v>2</v>
      </c>
      <c r="C627" s="204" t="s">
        <v>585</v>
      </c>
      <c r="D627" s="204" t="s">
        <v>594</v>
      </c>
      <c r="E627" s="204" t="s">
        <v>594</v>
      </c>
      <c r="F627" s="204" t="s">
        <v>243</v>
      </c>
      <c r="G627" s="204">
        <v>5647</v>
      </c>
      <c r="H627" s="204" t="s">
        <v>270</v>
      </c>
      <c r="I627" s="204">
        <v>107021</v>
      </c>
      <c r="J627" s="209">
        <v>42436</v>
      </c>
      <c r="K627" s="210">
        <v>0.39166666666666666</v>
      </c>
      <c r="L627" s="209">
        <v>42438</v>
      </c>
      <c r="M627" s="204" t="s">
        <v>606</v>
      </c>
      <c r="N627" s="204" t="s">
        <v>399</v>
      </c>
      <c r="O627" s="204" t="s">
        <v>400</v>
      </c>
      <c r="P627" s="204" t="s">
        <v>274</v>
      </c>
      <c r="Q627" s="204" t="s">
        <v>275</v>
      </c>
      <c r="R627" s="204" t="s">
        <v>401</v>
      </c>
      <c r="S627" s="204" t="s">
        <v>436</v>
      </c>
      <c r="T627" s="204" t="s">
        <v>595</v>
      </c>
      <c r="U627" s="204">
        <v>5647</v>
      </c>
      <c r="V627" s="204" t="s">
        <v>585</v>
      </c>
      <c r="W627" s="204" t="s">
        <v>280</v>
      </c>
      <c r="X627" s="204">
        <v>24.433</v>
      </c>
      <c r="Y627" s="211">
        <v>0</v>
      </c>
      <c r="Z627" s="211">
        <v>1.72</v>
      </c>
      <c r="AA627" s="211">
        <v>42</v>
      </c>
      <c r="AB627" s="211">
        <v>-4.47</v>
      </c>
      <c r="AC627" s="211">
        <v>0</v>
      </c>
      <c r="AD627" s="211">
        <v>0</v>
      </c>
      <c r="AE627" s="211">
        <v>37.53</v>
      </c>
      <c r="AF627" s="211">
        <v>-5.86</v>
      </c>
      <c r="AG627" s="204" t="s">
        <v>279</v>
      </c>
      <c r="AH627" s="211">
        <v>0</v>
      </c>
      <c r="AI627" s="211">
        <v>42</v>
      </c>
      <c r="AJ627" s="211">
        <v>0</v>
      </c>
      <c r="AK627" s="204" t="str">
        <f t="shared" si="21"/>
        <v>1.00000000</v>
      </c>
      <c r="AL627" s="204">
        <v>12.4</v>
      </c>
    </row>
    <row r="628" spans="1:38" x14ac:dyDescent="0.2">
      <c r="A628" s="204" t="str">
        <f t="shared" si="22"/>
        <v>0496002599173</v>
      </c>
      <c r="B628" s="204">
        <v>2</v>
      </c>
      <c r="C628" s="204" t="s">
        <v>585</v>
      </c>
      <c r="D628" s="204" t="s">
        <v>594</v>
      </c>
      <c r="E628" s="204" t="s">
        <v>594</v>
      </c>
      <c r="F628" s="204" t="s">
        <v>243</v>
      </c>
      <c r="G628" s="204">
        <v>5647</v>
      </c>
      <c r="H628" s="204" t="s">
        <v>270</v>
      </c>
      <c r="I628" s="204">
        <v>107339</v>
      </c>
      <c r="J628" s="209">
        <v>42450</v>
      </c>
      <c r="K628" s="210">
        <v>0.50902777777777775</v>
      </c>
      <c r="L628" s="209">
        <v>42452</v>
      </c>
      <c r="M628" s="204" t="s">
        <v>853</v>
      </c>
      <c r="N628" s="204" t="s">
        <v>454</v>
      </c>
      <c r="O628" s="204" t="s">
        <v>455</v>
      </c>
      <c r="P628" s="204" t="s">
        <v>456</v>
      </c>
      <c r="Q628" s="204" t="s">
        <v>275</v>
      </c>
      <c r="R628" s="204" t="s">
        <v>706</v>
      </c>
      <c r="S628" s="204" t="s">
        <v>436</v>
      </c>
      <c r="T628" s="204" t="s">
        <v>595</v>
      </c>
      <c r="U628" s="204">
        <v>5647</v>
      </c>
      <c r="V628" s="204" t="s">
        <v>585</v>
      </c>
      <c r="W628" s="204" t="s">
        <v>280</v>
      </c>
      <c r="X628" s="204">
        <v>26.329000000000001</v>
      </c>
      <c r="Y628" s="211">
        <v>-0.79</v>
      </c>
      <c r="Z628" s="211">
        <v>1.9</v>
      </c>
      <c r="AA628" s="211">
        <v>50</v>
      </c>
      <c r="AB628" s="211">
        <v>-4.82</v>
      </c>
      <c r="AC628" s="211">
        <v>0</v>
      </c>
      <c r="AD628" s="211">
        <v>0</v>
      </c>
      <c r="AE628" s="211">
        <v>44.39</v>
      </c>
      <c r="AF628" s="211">
        <v>-6.32</v>
      </c>
      <c r="AG628" s="204" t="s">
        <v>279</v>
      </c>
      <c r="AH628" s="211">
        <v>0</v>
      </c>
      <c r="AI628" s="211">
        <v>50</v>
      </c>
      <c r="AJ628" s="211">
        <v>0</v>
      </c>
      <c r="AK628" s="204" t="str">
        <f t="shared" si="21"/>
        <v>1.00000000</v>
      </c>
      <c r="AL628" s="204">
        <v>12.1</v>
      </c>
    </row>
    <row r="629" spans="1:38" x14ac:dyDescent="0.2">
      <c r="A629" s="204" t="str">
        <f t="shared" si="22"/>
        <v>0496002599173</v>
      </c>
      <c r="B629" s="204">
        <v>2</v>
      </c>
      <c r="C629" s="204" t="s">
        <v>585</v>
      </c>
      <c r="D629" s="204" t="s">
        <v>594</v>
      </c>
      <c r="E629" s="204" t="s">
        <v>594</v>
      </c>
      <c r="F629" s="204" t="s">
        <v>243</v>
      </c>
      <c r="G629" s="204">
        <v>5647</v>
      </c>
      <c r="H629" s="204" t="s">
        <v>270</v>
      </c>
      <c r="I629" s="204">
        <v>107574</v>
      </c>
      <c r="J629" s="209">
        <v>42465</v>
      </c>
      <c r="K629" s="210">
        <v>0.65</v>
      </c>
      <c r="L629" s="209">
        <v>42467</v>
      </c>
      <c r="M629" s="204" t="s">
        <v>606</v>
      </c>
      <c r="N629" s="204" t="s">
        <v>399</v>
      </c>
      <c r="O629" s="204" t="s">
        <v>400</v>
      </c>
      <c r="P629" s="204" t="s">
        <v>274</v>
      </c>
      <c r="Q629" s="204" t="s">
        <v>275</v>
      </c>
      <c r="R629" s="204" t="s">
        <v>401</v>
      </c>
      <c r="S629" s="204" t="s">
        <v>436</v>
      </c>
      <c r="T629" s="204" t="s">
        <v>595</v>
      </c>
      <c r="U629" s="204">
        <v>5647</v>
      </c>
      <c r="V629" s="204" t="s">
        <v>585</v>
      </c>
      <c r="W629" s="204" t="s">
        <v>280</v>
      </c>
      <c r="X629" s="204">
        <v>22.388000000000002</v>
      </c>
      <c r="Y629" s="211">
        <v>0</v>
      </c>
      <c r="Z629" s="211">
        <v>2.04</v>
      </c>
      <c r="AA629" s="211">
        <v>45.65</v>
      </c>
      <c r="AB629" s="211">
        <v>-4.0999999999999996</v>
      </c>
      <c r="AC629" s="211">
        <v>0</v>
      </c>
      <c r="AD629" s="211">
        <v>0</v>
      </c>
      <c r="AE629" s="211">
        <v>41.55</v>
      </c>
      <c r="AF629" s="211">
        <v>-5.37</v>
      </c>
      <c r="AG629" s="204" t="s">
        <v>279</v>
      </c>
      <c r="AH629" s="211">
        <v>0</v>
      </c>
      <c r="AI629" s="211">
        <v>45.65</v>
      </c>
      <c r="AJ629" s="211">
        <v>0</v>
      </c>
      <c r="AK629" s="204" t="str">
        <f t="shared" si="21"/>
        <v>1.00000000</v>
      </c>
      <c r="AL629" s="204">
        <v>10.5</v>
      </c>
    </row>
    <row r="630" spans="1:38" x14ac:dyDescent="0.2">
      <c r="A630" s="204" t="str">
        <f t="shared" si="22"/>
        <v>0496002599173</v>
      </c>
      <c r="B630" s="204">
        <v>2</v>
      </c>
      <c r="C630" s="204" t="s">
        <v>585</v>
      </c>
      <c r="D630" s="204" t="s">
        <v>594</v>
      </c>
      <c r="E630" s="204" t="s">
        <v>594</v>
      </c>
      <c r="F630" s="204" t="s">
        <v>243</v>
      </c>
      <c r="G630" s="204">
        <v>5647</v>
      </c>
      <c r="H630" s="204" t="s">
        <v>270</v>
      </c>
      <c r="I630" s="204">
        <v>107828</v>
      </c>
      <c r="J630" s="209">
        <v>42478</v>
      </c>
      <c r="K630" s="210">
        <v>0.62361111111111112</v>
      </c>
      <c r="L630" s="209">
        <v>42480</v>
      </c>
      <c r="M630" s="204" t="s">
        <v>271</v>
      </c>
      <c r="N630" s="204" t="s">
        <v>454</v>
      </c>
      <c r="O630" s="204" t="s">
        <v>455</v>
      </c>
      <c r="P630" s="204" t="s">
        <v>456</v>
      </c>
      <c r="Q630" s="204" t="s">
        <v>275</v>
      </c>
      <c r="R630" s="204" t="s">
        <v>706</v>
      </c>
      <c r="S630" s="204" t="s">
        <v>436</v>
      </c>
      <c r="T630" s="204" t="s">
        <v>595</v>
      </c>
      <c r="U630" s="204">
        <v>5647</v>
      </c>
      <c r="V630" s="204" t="s">
        <v>585</v>
      </c>
      <c r="W630" s="204" t="s">
        <v>280</v>
      </c>
      <c r="X630" s="204">
        <v>22.01</v>
      </c>
      <c r="Y630" s="211">
        <v>-0.66</v>
      </c>
      <c r="Z630" s="211">
        <v>2.1</v>
      </c>
      <c r="AA630" s="211">
        <v>46.2</v>
      </c>
      <c r="AB630" s="211">
        <v>-4.03</v>
      </c>
      <c r="AC630" s="211">
        <v>0</v>
      </c>
      <c r="AD630" s="211">
        <v>0</v>
      </c>
      <c r="AE630" s="211">
        <v>41.51</v>
      </c>
      <c r="AF630" s="211">
        <v>-5.28</v>
      </c>
      <c r="AG630" s="204" t="s">
        <v>279</v>
      </c>
      <c r="AH630" s="211">
        <v>0</v>
      </c>
      <c r="AI630" s="211">
        <v>46.2</v>
      </c>
      <c r="AJ630" s="211">
        <v>0</v>
      </c>
      <c r="AK630" s="204" t="str">
        <f t="shared" si="21"/>
        <v>1.00000000</v>
      </c>
      <c r="AL630" s="204">
        <v>11.5</v>
      </c>
    </row>
    <row r="631" spans="1:38" x14ac:dyDescent="0.2">
      <c r="A631" s="204" t="str">
        <f t="shared" si="22"/>
        <v>0496002599173</v>
      </c>
      <c r="B631" s="204">
        <v>2</v>
      </c>
      <c r="C631" s="204" t="s">
        <v>585</v>
      </c>
      <c r="D631" s="204" t="s">
        <v>594</v>
      </c>
      <c r="E631" s="204" t="s">
        <v>594</v>
      </c>
      <c r="F631" s="204" t="s">
        <v>243</v>
      </c>
      <c r="G631" s="204">
        <v>5647</v>
      </c>
      <c r="H631" s="204" t="s">
        <v>270</v>
      </c>
      <c r="I631" s="204">
        <v>108109</v>
      </c>
      <c r="J631" s="209">
        <v>42493</v>
      </c>
      <c r="K631" s="210">
        <v>0.32361111111111113</v>
      </c>
      <c r="L631" s="209">
        <v>42495</v>
      </c>
      <c r="M631" s="204" t="s">
        <v>606</v>
      </c>
      <c r="N631" s="204" t="s">
        <v>399</v>
      </c>
      <c r="O631" s="204" t="s">
        <v>400</v>
      </c>
      <c r="P631" s="204" t="s">
        <v>274</v>
      </c>
      <c r="Q631" s="204" t="s">
        <v>275</v>
      </c>
      <c r="R631" s="204" t="s">
        <v>401</v>
      </c>
      <c r="S631" s="204" t="s">
        <v>436</v>
      </c>
      <c r="T631" s="204" t="s">
        <v>595</v>
      </c>
      <c r="U631" s="204">
        <v>5647</v>
      </c>
      <c r="V631" s="204" t="s">
        <v>585</v>
      </c>
      <c r="W631" s="204" t="s">
        <v>280</v>
      </c>
      <c r="X631" s="204">
        <v>25.395</v>
      </c>
      <c r="Y631" s="211">
        <v>0</v>
      </c>
      <c r="Z631" s="211">
        <v>2.2200000000000002</v>
      </c>
      <c r="AA631" s="211">
        <v>56.35</v>
      </c>
      <c r="AB631" s="211">
        <v>-4.6500000000000004</v>
      </c>
      <c r="AC631" s="211">
        <v>0</v>
      </c>
      <c r="AD631" s="211">
        <v>0</v>
      </c>
      <c r="AE631" s="211">
        <v>51.7</v>
      </c>
      <c r="AF631" s="211">
        <v>-6.09</v>
      </c>
      <c r="AG631" s="204" t="s">
        <v>279</v>
      </c>
      <c r="AH631" s="211">
        <v>0</v>
      </c>
      <c r="AI631" s="211">
        <v>56.35</v>
      </c>
      <c r="AJ631" s="211">
        <v>0</v>
      </c>
      <c r="AK631" s="204" t="str">
        <f t="shared" si="21"/>
        <v>1.00000000</v>
      </c>
      <c r="AL631" s="204">
        <v>11.1</v>
      </c>
    </row>
    <row r="632" spans="1:38" x14ac:dyDescent="0.2">
      <c r="A632" s="204" t="str">
        <f t="shared" si="22"/>
        <v>0496002599173</v>
      </c>
      <c r="B632" s="204">
        <v>2</v>
      </c>
      <c r="C632" s="204" t="s">
        <v>585</v>
      </c>
      <c r="D632" s="204" t="s">
        <v>594</v>
      </c>
      <c r="E632" s="204" t="s">
        <v>594</v>
      </c>
      <c r="F632" s="204" t="s">
        <v>243</v>
      </c>
      <c r="G632" s="204">
        <v>5647</v>
      </c>
      <c r="H632" s="204" t="s">
        <v>270</v>
      </c>
      <c r="I632" s="204">
        <v>108456</v>
      </c>
      <c r="J632" s="209">
        <v>42510</v>
      </c>
      <c r="K632" s="210">
        <v>0.39166666666666666</v>
      </c>
      <c r="L632" s="209">
        <v>42514</v>
      </c>
      <c r="M632" s="204" t="s">
        <v>271</v>
      </c>
      <c r="N632" s="204" t="s">
        <v>454</v>
      </c>
      <c r="O632" s="204" t="s">
        <v>455</v>
      </c>
      <c r="P632" s="204" t="s">
        <v>456</v>
      </c>
      <c r="Q632" s="204" t="s">
        <v>275</v>
      </c>
      <c r="R632" s="204" t="s">
        <v>706</v>
      </c>
      <c r="S632" s="204" t="s">
        <v>436</v>
      </c>
      <c r="T632" s="204" t="s">
        <v>595</v>
      </c>
      <c r="U632" s="204">
        <v>5647</v>
      </c>
      <c r="V632" s="204" t="s">
        <v>585</v>
      </c>
      <c r="W632" s="204" t="s">
        <v>280</v>
      </c>
      <c r="X632" s="204">
        <v>26.686</v>
      </c>
      <c r="Y632" s="211">
        <v>-0.8</v>
      </c>
      <c r="Z632" s="211">
        <v>2.2400000000000002</v>
      </c>
      <c r="AA632" s="211">
        <v>59.75</v>
      </c>
      <c r="AB632" s="211">
        <v>-4.88</v>
      </c>
      <c r="AC632" s="211">
        <v>0</v>
      </c>
      <c r="AD632" s="211">
        <v>0</v>
      </c>
      <c r="AE632" s="211">
        <v>54.07</v>
      </c>
      <c r="AF632" s="211">
        <v>-6.4</v>
      </c>
      <c r="AG632" s="204" t="s">
        <v>279</v>
      </c>
      <c r="AH632" s="211">
        <v>0</v>
      </c>
      <c r="AI632" s="211">
        <v>59.75</v>
      </c>
      <c r="AJ632" s="211">
        <v>0</v>
      </c>
      <c r="AK632" s="204" t="str">
        <f t="shared" si="21"/>
        <v>1.00000000</v>
      </c>
      <c r="AL632" s="204">
        <v>13</v>
      </c>
    </row>
    <row r="633" spans="1:38" x14ac:dyDescent="0.2">
      <c r="A633" s="204" t="str">
        <f t="shared" si="22"/>
        <v>0496002599173</v>
      </c>
      <c r="B633" s="204">
        <v>2</v>
      </c>
      <c r="C633" s="204" t="s">
        <v>585</v>
      </c>
      <c r="D633" s="204" t="s">
        <v>594</v>
      </c>
      <c r="E633" s="204" t="s">
        <v>594</v>
      </c>
      <c r="F633" s="204" t="s">
        <v>243</v>
      </c>
      <c r="G633" s="204">
        <v>5647</v>
      </c>
      <c r="H633" s="204" t="s">
        <v>270</v>
      </c>
      <c r="I633" s="204">
        <v>108773</v>
      </c>
      <c r="J633" s="209">
        <v>42541</v>
      </c>
      <c r="K633" s="210">
        <v>0.59444444444444444</v>
      </c>
      <c r="L633" s="209">
        <v>42543</v>
      </c>
      <c r="M633" s="204" t="s">
        <v>271</v>
      </c>
      <c r="N633" s="204" t="s">
        <v>454</v>
      </c>
      <c r="O633" s="204" t="s">
        <v>455</v>
      </c>
      <c r="P633" s="204" t="s">
        <v>456</v>
      </c>
      <c r="Q633" s="204" t="s">
        <v>275</v>
      </c>
      <c r="R633" s="204" t="s">
        <v>706</v>
      </c>
      <c r="S633" s="204" t="s">
        <v>436</v>
      </c>
      <c r="T633" s="204" t="s">
        <v>595</v>
      </c>
      <c r="U633" s="204">
        <v>5647</v>
      </c>
      <c r="V633" s="204" t="s">
        <v>585</v>
      </c>
      <c r="W633" s="204" t="s">
        <v>280</v>
      </c>
      <c r="X633" s="204">
        <v>25.606000000000002</v>
      </c>
      <c r="Y633" s="211">
        <v>-0.77</v>
      </c>
      <c r="Z633" s="211">
        <v>2.35</v>
      </c>
      <c r="AA633" s="211">
        <v>60.15</v>
      </c>
      <c r="AB633" s="211">
        <v>-4.6900000000000004</v>
      </c>
      <c r="AC633" s="211">
        <v>0</v>
      </c>
      <c r="AD633" s="211">
        <v>0</v>
      </c>
      <c r="AE633" s="211">
        <v>54.69</v>
      </c>
      <c r="AF633" s="211">
        <v>-6.15</v>
      </c>
      <c r="AG633" s="204" t="s">
        <v>279</v>
      </c>
      <c r="AH633" s="211">
        <v>0</v>
      </c>
      <c r="AI633" s="211">
        <v>60.15</v>
      </c>
      <c r="AJ633" s="211">
        <v>0</v>
      </c>
      <c r="AK633" s="204" t="str">
        <f t="shared" si="21"/>
        <v>1.00000000</v>
      </c>
      <c r="AL633" s="204">
        <v>12.4</v>
      </c>
    </row>
    <row r="634" spans="1:38" x14ac:dyDescent="0.2">
      <c r="A634" s="204" t="str">
        <f t="shared" si="22"/>
        <v>0496002599173</v>
      </c>
      <c r="B634" s="204">
        <v>2</v>
      </c>
      <c r="C634" s="204" t="s">
        <v>585</v>
      </c>
      <c r="D634" s="204" t="s">
        <v>594</v>
      </c>
      <c r="E634" s="204" t="s">
        <v>594</v>
      </c>
      <c r="F634" s="204" t="s">
        <v>243</v>
      </c>
      <c r="G634" s="204">
        <v>5647</v>
      </c>
      <c r="H634" s="204" t="s">
        <v>270</v>
      </c>
      <c r="I634" s="204">
        <v>109103</v>
      </c>
      <c r="J634" s="209">
        <v>42551</v>
      </c>
      <c r="K634" s="210">
        <v>0.39374999999999999</v>
      </c>
      <c r="L634" s="209">
        <v>42555</v>
      </c>
      <c r="M634" s="204" t="s">
        <v>271</v>
      </c>
      <c r="N634" s="204" t="s">
        <v>588</v>
      </c>
      <c r="O634" s="204" t="s">
        <v>589</v>
      </c>
      <c r="P634" s="204" t="s">
        <v>590</v>
      </c>
      <c r="Q634" s="204" t="s">
        <v>275</v>
      </c>
      <c r="R634" s="204" t="s">
        <v>611</v>
      </c>
      <c r="S634" s="204" t="s">
        <v>436</v>
      </c>
      <c r="T634" s="204" t="s">
        <v>595</v>
      </c>
      <c r="U634" s="204">
        <v>5647</v>
      </c>
      <c r="V634" s="204" t="s">
        <v>585</v>
      </c>
      <c r="W634" s="204" t="s">
        <v>280</v>
      </c>
      <c r="X634" s="204">
        <v>24.478000000000002</v>
      </c>
      <c r="Y634" s="211">
        <v>-1.22</v>
      </c>
      <c r="Z634" s="211">
        <v>2.16</v>
      </c>
      <c r="AA634" s="211">
        <v>52.85</v>
      </c>
      <c r="AB634" s="211">
        <v>-4.4800000000000004</v>
      </c>
      <c r="AC634" s="211">
        <v>0</v>
      </c>
      <c r="AD634" s="211">
        <v>0</v>
      </c>
      <c r="AE634" s="211">
        <v>47.15</v>
      </c>
      <c r="AF634" s="211">
        <v>-5.87</v>
      </c>
      <c r="AG634" s="204" t="s">
        <v>279</v>
      </c>
      <c r="AH634" s="211">
        <v>0</v>
      </c>
      <c r="AI634" s="211">
        <v>52.85</v>
      </c>
      <c r="AJ634" s="211">
        <v>0</v>
      </c>
      <c r="AK634" s="204" t="str">
        <f t="shared" si="21"/>
        <v>1.00000000</v>
      </c>
      <c r="AL634" s="204">
        <v>13.5</v>
      </c>
    </row>
    <row r="635" spans="1:38" x14ac:dyDescent="0.2">
      <c r="A635" s="204" t="str">
        <f t="shared" si="22"/>
        <v>0496002599173</v>
      </c>
      <c r="B635" s="204">
        <v>3</v>
      </c>
      <c r="C635" s="204" t="s">
        <v>585</v>
      </c>
      <c r="D635" s="204" t="s">
        <v>628</v>
      </c>
      <c r="E635" s="204" t="s">
        <v>628</v>
      </c>
      <c r="F635" s="204" t="s">
        <v>243</v>
      </c>
      <c r="G635" s="204">
        <v>5738</v>
      </c>
      <c r="H635" s="204" t="s">
        <v>270</v>
      </c>
      <c r="I635" s="204">
        <v>104389</v>
      </c>
      <c r="J635" s="209">
        <v>42372</v>
      </c>
      <c r="K635" s="210">
        <v>0.48402777777777778</v>
      </c>
      <c r="L635" s="209">
        <v>42374</v>
      </c>
      <c r="M635" s="204" t="s">
        <v>325</v>
      </c>
      <c r="N635" s="204" t="s">
        <v>326</v>
      </c>
      <c r="O635" s="204" t="s">
        <v>1091</v>
      </c>
      <c r="P635" s="204" t="s">
        <v>1092</v>
      </c>
      <c r="Q635" s="204" t="s">
        <v>466</v>
      </c>
      <c r="R635" s="204" t="s">
        <v>1093</v>
      </c>
      <c r="S635" s="204" t="s">
        <v>436</v>
      </c>
      <c r="T635" s="204" t="s">
        <v>630</v>
      </c>
      <c r="U635" s="204">
        <v>5738</v>
      </c>
      <c r="V635" s="204" t="s">
        <v>585</v>
      </c>
      <c r="W635" s="204" t="s">
        <v>280</v>
      </c>
      <c r="X635" s="204">
        <v>24.295999999999999</v>
      </c>
      <c r="Y635" s="211">
        <v>0</v>
      </c>
      <c r="Z635" s="211">
        <v>1.96</v>
      </c>
      <c r="AA635" s="211">
        <v>47.6</v>
      </c>
      <c r="AB635" s="211">
        <v>-4.45</v>
      </c>
      <c r="AC635" s="211">
        <v>0</v>
      </c>
      <c r="AD635" s="211">
        <v>0</v>
      </c>
      <c r="AE635" s="211">
        <v>43.15</v>
      </c>
      <c r="AF635" s="211">
        <v>-5.39</v>
      </c>
      <c r="AG635" s="204" t="s">
        <v>279</v>
      </c>
      <c r="AH635" s="211">
        <v>0</v>
      </c>
      <c r="AI635" s="211">
        <v>47.6</v>
      </c>
      <c r="AJ635" s="211">
        <v>0</v>
      </c>
      <c r="AK635" s="204" t="str">
        <f t="shared" si="21"/>
        <v>1.00000000</v>
      </c>
      <c r="AL635" s="204">
        <v>12.7</v>
      </c>
    </row>
    <row r="636" spans="1:38" x14ac:dyDescent="0.2">
      <c r="A636" s="204" t="str">
        <f t="shared" si="22"/>
        <v>0496002599173</v>
      </c>
      <c r="B636" s="204">
        <v>3</v>
      </c>
      <c r="C636" s="204" t="s">
        <v>585</v>
      </c>
      <c r="D636" s="204" t="s">
        <v>628</v>
      </c>
      <c r="E636" s="204" t="s">
        <v>628</v>
      </c>
      <c r="F636" s="204" t="s">
        <v>243</v>
      </c>
      <c r="G636" s="204">
        <v>5738</v>
      </c>
      <c r="H636" s="204" t="s">
        <v>270</v>
      </c>
      <c r="I636" s="204">
        <v>104669</v>
      </c>
      <c r="J636" s="209">
        <v>42388</v>
      </c>
      <c r="K636" s="210">
        <v>0.375</v>
      </c>
      <c r="L636" s="209">
        <v>42390</v>
      </c>
      <c r="M636" s="204" t="s">
        <v>853</v>
      </c>
      <c r="N636" s="204" t="s">
        <v>454</v>
      </c>
      <c r="O636" s="204" t="s">
        <v>455</v>
      </c>
      <c r="P636" s="204" t="s">
        <v>456</v>
      </c>
      <c r="Q636" s="204" t="s">
        <v>275</v>
      </c>
      <c r="R636" s="204" t="s">
        <v>706</v>
      </c>
      <c r="S636" s="204" t="s">
        <v>436</v>
      </c>
      <c r="T636" s="204" t="s">
        <v>630</v>
      </c>
      <c r="U636" s="204">
        <v>5738</v>
      </c>
      <c r="V636" s="204" t="s">
        <v>585</v>
      </c>
      <c r="W636" s="204" t="s">
        <v>280</v>
      </c>
      <c r="X636" s="204">
        <v>26.231000000000002</v>
      </c>
      <c r="Y636" s="211">
        <v>-0.79</v>
      </c>
      <c r="Z636" s="211">
        <v>1.93</v>
      </c>
      <c r="AA636" s="211">
        <v>50.6</v>
      </c>
      <c r="AB636" s="211">
        <v>-4.8</v>
      </c>
      <c r="AC636" s="211">
        <v>0</v>
      </c>
      <c r="AD636" s="211">
        <v>0</v>
      </c>
      <c r="AE636" s="211">
        <v>45.01</v>
      </c>
      <c r="AF636" s="211">
        <v>-6.3</v>
      </c>
      <c r="AG636" s="204" t="s">
        <v>279</v>
      </c>
      <c r="AH636" s="211">
        <v>0</v>
      </c>
      <c r="AI636" s="211">
        <v>50.6</v>
      </c>
      <c r="AJ636" s="211">
        <v>0</v>
      </c>
      <c r="AK636" s="204" t="str">
        <f t="shared" si="21"/>
        <v>1.00000000</v>
      </c>
      <c r="AL636" s="204">
        <v>10.7</v>
      </c>
    </row>
    <row r="637" spans="1:38" x14ac:dyDescent="0.2">
      <c r="A637" s="204" t="str">
        <f t="shared" si="22"/>
        <v>0496002599173</v>
      </c>
      <c r="B637" s="204">
        <v>3</v>
      </c>
      <c r="C637" s="204" t="s">
        <v>585</v>
      </c>
      <c r="D637" s="204" t="s">
        <v>628</v>
      </c>
      <c r="E637" s="204" t="s">
        <v>628</v>
      </c>
      <c r="F637" s="204" t="s">
        <v>243</v>
      </c>
      <c r="G637" s="204">
        <v>5738</v>
      </c>
      <c r="H637" s="204" t="s">
        <v>270</v>
      </c>
      <c r="I637" s="204">
        <v>105011</v>
      </c>
      <c r="J637" s="209">
        <v>42391</v>
      </c>
      <c r="K637" s="210">
        <v>0.69791666666666663</v>
      </c>
      <c r="L637" s="209">
        <v>42395</v>
      </c>
      <c r="M637" s="204" t="s">
        <v>325</v>
      </c>
      <c r="N637" s="204" t="s">
        <v>326</v>
      </c>
      <c r="O637" s="204" t="s">
        <v>1091</v>
      </c>
      <c r="P637" s="204" t="s">
        <v>1092</v>
      </c>
      <c r="Q637" s="204" t="s">
        <v>466</v>
      </c>
      <c r="R637" s="204" t="s">
        <v>1093</v>
      </c>
      <c r="S637" s="204" t="s">
        <v>436</v>
      </c>
      <c r="T637" s="204" t="s">
        <v>630</v>
      </c>
      <c r="U637" s="204">
        <v>5738</v>
      </c>
      <c r="V637" s="204" t="s">
        <v>585</v>
      </c>
      <c r="W637" s="204" t="s">
        <v>280</v>
      </c>
      <c r="X637" s="204">
        <v>26.643000000000001</v>
      </c>
      <c r="Y637" s="211">
        <v>0</v>
      </c>
      <c r="Z637" s="211">
        <v>1.9</v>
      </c>
      <c r="AA637" s="211">
        <v>50.6</v>
      </c>
      <c r="AB637" s="211">
        <v>-4.88</v>
      </c>
      <c r="AC637" s="211">
        <v>0</v>
      </c>
      <c r="AD637" s="211">
        <v>0</v>
      </c>
      <c r="AE637" s="211">
        <v>45.72</v>
      </c>
      <c r="AF637" s="211">
        <v>-5.91</v>
      </c>
      <c r="AG637" s="204" t="s">
        <v>279</v>
      </c>
      <c r="AH637" s="211">
        <v>0</v>
      </c>
      <c r="AI637" s="211">
        <v>50.6</v>
      </c>
      <c r="AJ637" s="211">
        <v>0</v>
      </c>
      <c r="AK637" s="204" t="str">
        <f t="shared" si="21"/>
        <v>1.00000000</v>
      </c>
      <c r="AL637" s="204">
        <v>12.8</v>
      </c>
    </row>
    <row r="638" spans="1:38" x14ac:dyDescent="0.2">
      <c r="A638" s="204" t="str">
        <f t="shared" si="22"/>
        <v>0496002599173</v>
      </c>
      <c r="B638" s="204">
        <v>3</v>
      </c>
      <c r="C638" s="204" t="s">
        <v>585</v>
      </c>
      <c r="D638" s="204" t="s">
        <v>628</v>
      </c>
      <c r="E638" s="204" t="s">
        <v>628</v>
      </c>
      <c r="F638" s="204" t="s">
        <v>243</v>
      </c>
      <c r="G638" s="204">
        <v>5738</v>
      </c>
      <c r="H638" s="204" t="s">
        <v>270</v>
      </c>
      <c r="I638" s="204">
        <v>105357</v>
      </c>
      <c r="J638" s="209">
        <v>42403</v>
      </c>
      <c r="K638" s="210">
        <v>0.38680555555555557</v>
      </c>
      <c r="L638" s="209">
        <v>42405</v>
      </c>
      <c r="M638" s="204" t="s">
        <v>853</v>
      </c>
      <c r="N638" s="204" t="s">
        <v>454</v>
      </c>
      <c r="O638" s="204" t="s">
        <v>455</v>
      </c>
      <c r="P638" s="204" t="s">
        <v>456</v>
      </c>
      <c r="Q638" s="204" t="s">
        <v>275</v>
      </c>
      <c r="R638" s="204" t="s">
        <v>706</v>
      </c>
      <c r="S638" s="204" t="s">
        <v>436</v>
      </c>
      <c r="T638" s="204" t="s">
        <v>630</v>
      </c>
      <c r="U638" s="204">
        <v>5738</v>
      </c>
      <c r="V638" s="204" t="s">
        <v>585</v>
      </c>
      <c r="W638" s="204" t="s">
        <v>280</v>
      </c>
      <c r="X638" s="204">
        <v>27.513999999999999</v>
      </c>
      <c r="Y638" s="211">
        <v>-0.83</v>
      </c>
      <c r="Z638" s="211">
        <v>1.84</v>
      </c>
      <c r="AA638" s="211">
        <v>50.6</v>
      </c>
      <c r="AB638" s="211">
        <v>-5.04</v>
      </c>
      <c r="AC638" s="211">
        <v>0</v>
      </c>
      <c r="AD638" s="211">
        <v>0</v>
      </c>
      <c r="AE638" s="211">
        <v>44.73</v>
      </c>
      <c r="AF638" s="211">
        <v>-6.6</v>
      </c>
      <c r="AG638" s="204" t="s">
        <v>279</v>
      </c>
      <c r="AH638" s="211">
        <v>0</v>
      </c>
      <c r="AI638" s="211">
        <v>50.6</v>
      </c>
      <c r="AJ638" s="211">
        <v>0</v>
      </c>
      <c r="AK638" s="204" t="str">
        <f t="shared" si="21"/>
        <v>1.00000000</v>
      </c>
      <c r="AL638" s="204">
        <v>12.6</v>
      </c>
    </row>
    <row r="639" spans="1:38" x14ac:dyDescent="0.2">
      <c r="A639" s="204" t="str">
        <f t="shared" si="22"/>
        <v>0496002599173</v>
      </c>
      <c r="B639" s="204">
        <v>3</v>
      </c>
      <c r="C639" s="204" t="s">
        <v>585</v>
      </c>
      <c r="D639" s="204" t="s">
        <v>628</v>
      </c>
      <c r="E639" s="204" t="s">
        <v>628</v>
      </c>
      <c r="F639" s="204" t="s">
        <v>243</v>
      </c>
      <c r="G639" s="204">
        <v>5738</v>
      </c>
      <c r="H639" s="204" t="s">
        <v>270</v>
      </c>
      <c r="I639" s="204">
        <v>105697</v>
      </c>
      <c r="J639" s="209">
        <v>42410</v>
      </c>
      <c r="K639" s="210">
        <v>0.65625</v>
      </c>
      <c r="L639" s="209">
        <v>42412</v>
      </c>
      <c r="M639" s="204" t="s">
        <v>853</v>
      </c>
      <c r="N639" s="204" t="s">
        <v>454</v>
      </c>
      <c r="O639" s="204" t="s">
        <v>886</v>
      </c>
      <c r="P639" s="204" t="s">
        <v>778</v>
      </c>
      <c r="Q639" s="204" t="s">
        <v>275</v>
      </c>
      <c r="R639" s="204" t="s">
        <v>887</v>
      </c>
      <c r="S639" s="204" t="s">
        <v>436</v>
      </c>
      <c r="T639" s="204" t="s">
        <v>630</v>
      </c>
      <c r="U639" s="204">
        <v>5738</v>
      </c>
      <c r="V639" s="204" t="s">
        <v>585</v>
      </c>
      <c r="W639" s="204" t="s">
        <v>280</v>
      </c>
      <c r="X639" s="204">
        <v>27.06</v>
      </c>
      <c r="Y639" s="211">
        <v>-1.35</v>
      </c>
      <c r="Z639" s="211">
        <v>1.76</v>
      </c>
      <c r="AA639" s="211">
        <v>47.6</v>
      </c>
      <c r="AB639" s="211">
        <v>-4.95</v>
      </c>
      <c r="AC639" s="211">
        <v>0</v>
      </c>
      <c r="AD639" s="211">
        <v>0</v>
      </c>
      <c r="AE639" s="211">
        <v>41.3</v>
      </c>
      <c r="AF639" s="211">
        <v>-6.49</v>
      </c>
      <c r="AG639" s="204" t="s">
        <v>279</v>
      </c>
      <c r="AH639" s="211">
        <v>0</v>
      </c>
      <c r="AI639" s="211">
        <v>47.6</v>
      </c>
      <c r="AJ639" s="211">
        <v>0</v>
      </c>
      <c r="AK639" s="204" t="str">
        <f t="shared" si="21"/>
        <v>1.00000000</v>
      </c>
      <c r="AL639" s="204">
        <v>12.6</v>
      </c>
    </row>
    <row r="640" spans="1:38" x14ac:dyDescent="0.2">
      <c r="A640" s="204" t="str">
        <f t="shared" si="22"/>
        <v>0496002599173</v>
      </c>
      <c r="B640" s="204">
        <v>3</v>
      </c>
      <c r="C640" s="204" t="s">
        <v>585</v>
      </c>
      <c r="D640" s="204" t="s">
        <v>628</v>
      </c>
      <c r="E640" s="204" t="s">
        <v>628</v>
      </c>
      <c r="F640" s="204" t="s">
        <v>243</v>
      </c>
      <c r="G640" s="204">
        <v>5738</v>
      </c>
      <c r="H640" s="204" t="s">
        <v>270</v>
      </c>
      <c r="I640" s="204">
        <v>105997</v>
      </c>
      <c r="J640" s="209">
        <v>42413</v>
      </c>
      <c r="K640" s="210">
        <v>0.49374999999999997</v>
      </c>
      <c r="L640" s="209">
        <v>42416</v>
      </c>
      <c r="M640" s="204" t="s">
        <v>853</v>
      </c>
      <c r="N640" s="204" t="s">
        <v>454</v>
      </c>
      <c r="O640" s="204" t="s">
        <v>455</v>
      </c>
      <c r="P640" s="204" t="s">
        <v>456</v>
      </c>
      <c r="Q640" s="204" t="s">
        <v>275</v>
      </c>
      <c r="R640" s="204" t="s">
        <v>706</v>
      </c>
      <c r="S640" s="204" t="s">
        <v>436</v>
      </c>
      <c r="T640" s="204" t="s">
        <v>630</v>
      </c>
      <c r="U640" s="204">
        <v>5738</v>
      </c>
      <c r="V640" s="204" t="s">
        <v>585</v>
      </c>
      <c r="W640" s="204" t="s">
        <v>280</v>
      </c>
      <c r="X640" s="204">
        <v>25.300999999999998</v>
      </c>
      <c r="Y640" s="211">
        <v>-0.76</v>
      </c>
      <c r="Z640" s="211">
        <v>1.74</v>
      </c>
      <c r="AA640" s="211">
        <v>44</v>
      </c>
      <c r="AB640" s="211">
        <v>-4.63</v>
      </c>
      <c r="AC640" s="211">
        <v>0</v>
      </c>
      <c r="AD640" s="211">
        <v>0</v>
      </c>
      <c r="AE640" s="211">
        <v>38.61</v>
      </c>
      <c r="AF640" s="211">
        <v>-6.07</v>
      </c>
      <c r="AG640" s="204" t="s">
        <v>279</v>
      </c>
      <c r="AH640" s="211">
        <v>0</v>
      </c>
      <c r="AI640" s="211">
        <v>44</v>
      </c>
      <c r="AJ640" s="211">
        <v>0</v>
      </c>
      <c r="AK640" s="204" t="str">
        <f t="shared" si="21"/>
        <v>1.00000000</v>
      </c>
      <c r="AL640" s="204">
        <v>11.9</v>
      </c>
    </row>
    <row r="641" spans="1:38" x14ac:dyDescent="0.2">
      <c r="A641" s="204" t="str">
        <f t="shared" si="22"/>
        <v>0496002599173</v>
      </c>
      <c r="B641" s="204">
        <v>3</v>
      </c>
      <c r="C641" s="204" t="s">
        <v>585</v>
      </c>
      <c r="D641" s="204" t="s">
        <v>628</v>
      </c>
      <c r="E641" s="204" t="s">
        <v>628</v>
      </c>
      <c r="F641" s="204" t="s">
        <v>243</v>
      </c>
      <c r="G641" s="204">
        <v>5738</v>
      </c>
      <c r="H641" s="204" t="s">
        <v>270</v>
      </c>
      <c r="I641" s="204">
        <v>106248</v>
      </c>
      <c r="J641" s="209">
        <v>42415</v>
      </c>
      <c r="K641" s="210">
        <v>0.55347222222222225</v>
      </c>
      <c r="L641" s="209">
        <v>42417</v>
      </c>
      <c r="M641" s="204" t="s">
        <v>853</v>
      </c>
      <c r="N641" s="204" t="s">
        <v>352</v>
      </c>
      <c r="O641" s="204" t="s">
        <v>353</v>
      </c>
      <c r="P641" s="204" t="s">
        <v>343</v>
      </c>
      <c r="Q641" s="204" t="s">
        <v>275</v>
      </c>
      <c r="R641" s="204" t="s">
        <v>602</v>
      </c>
      <c r="S641" s="204" t="s">
        <v>436</v>
      </c>
      <c r="T641" s="204" t="s">
        <v>630</v>
      </c>
      <c r="U641" s="204">
        <v>5738</v>
      </c>
      <c r="V641" s="204" t="s">
        <v>585</v>
      </c>
      <c r="W641" s="204" t="s">
        <v>280</v>
      </c>
      <c r="X641" s="204">
        <v>27.183</v>
      </c>
      <c r="Y641" s="211">
        <v>-0.82</v>
      </c>
      <c r="Z641" s="211">
        <v>1.73</v>
      </c>
      <c r="AA641" s="211">
        <v>47</v>
      </c>
      <c r="AB641" s="211">
        <v>-4.97</v>
      </c>
      <c r="AC641" s="211">
        <v>0</v>
      </c>
      <c r="AD641" s="211">
        <v>0</v>
      </c>
      <c r="AE641" s="211">
        <v>41.21</v>
      </c>
      <c r="AF641" s="211">
        <v>-6.52</v>
      </c>
      <c r="AG641" s="204" t="s">
        <v>279</v>
      </c>
      <c r="AH641" s="211">
        <v>0</v>
      </c>
      <c r="AI641" s="211">
        <v>47</v>
      </c>
      <c r="AJ641" s="211">
        <v>0</v>
      </c>
      <c r="AK641" s="204" t="str">
        <f t="shared" si="21"/>
        <v>1.00000000</v>
      </c>
      <c r="AL641" s="204">
        <v>9.1999999999999993</v>
      </c>
    </row>
    <row r="642" spans="1:38" x14ac:dyDescent="0.2">
      <c r="A642" s="204" t="str">
        <f t="shared" si="22"/>
        <v>0496002599173</v>
      </c>
      <c r="B642" s="204">
        <v>3</v>
      </c>
      <c r="C642" s="204" t="s">
        <v>585</v>
      </c>
      <c r="D642" s="204" t="s">
        <v>628</v>
      </c>
      <c r="E642" s="204" t="s">
        <v>628</v>
      </c>
      <c r="F642" s="204" t="s">
        <v>243</v>
      </c>
      <c r="G642" s="204">
        <v>5738</v>
      </c>
      <c r="H642" s="204" t="s">
        <v>270</v>
      </c>
      <c r="I642" s="204">
        <v>106470</v>
      </c>
      <c r="J642" s="209">
        <v>42429</v>
      </c>
      <c r="K642" s="210">
        <v>0.67569444444444438</v>
      </c>
      <c r="L642" s="209">
        <v>42431</v>
      </c>
      <c r="M642" s="204" t="s">
        <v>606</v>
      </c>
      <c r="N642" s="204" t="s">
        <v>399</v>
      </c>
      <c r="O642" s="204" t="s">
        <v>400</v>
      </c>
      <c r="P642" s="204" t="s">
        <v>274</v>
      </c>
      <c r="Q642" s="204" t="s">
        <v>275</v>
      </c>
      <c r="R642" s="204" t="s">
        <v>401</v>
      </c>
      <c r="S642" s="204" t="s">
        <v>436</v>
      </c>
      <c r="T642" s="204" t="s">
        <v>630</v>
      </c>
      <c r="U642" s="204">
        <v>5738</v>
      </c>
      <c r="V642" s="204" t="s">
        <v>585</v>
      </c>
      <c r="W642" s="204" t="s">
        <v>280</v>
      </c>
      <c r="X642" s="204">
        <v>23.898</v>
      </c>
      <c r="Y642" s="211">
        <v>0</v>
      </c>
      <c r="Z642" s="211">
        <v>1.7</v>
      </c>
      <c r="AA642" s="211">
        <v>40.6</v>
      </c>
      <c r="AB642" s="211">
        <v>-4.37</v>
      </c>
      <c r="AC642" s="211">
        <v>0</v>
      </c>
      <c r="AD642" s="211">
        <v>0</v>
      </c>
      <c r="AE642" s="211">
        <v>36.229999999999997</v>
      </c>
      <c r="AF642" s="211">
        <v>-5.74</v>
      </c>
      <c r="AG642" s="204" t="s">
        <v>279</v>
      </c>
      <c r="AH642" s="211">
        <v>0</v>
      </c>
      <c r="AI642" s="211">
        <v>40.6</v>
      </c>
      <c r="AJ642" s="211">
        <v>0</v>
      </c>
      <c r="AK642" s="204" t="str">
        <f t="shared" ref="AK642:AK654" si="23">"1.00000000"</f>
        <v>1.00000000</v>
      </c>
      <c r="AL642" s="204">
        <v>13.8</v>
      </c>
    </row>
    <row r="643" spans="1:38" x14ac:dyDescent="0.2">
      <c r="A643" s="204" t="str">
        <f t="shared" si="22"/>
        <v>0496002599173</v>
      </c>
      <c r="B643" s="204">
        <v>3</v>
      </c>
      <c r="C643" s="204" t="s">
        <v>585</v>
      </c>
      <c r="D643" s="204" t="s">
        <v>628</v>
      </c>
      <c r="E643" s="204" t="s">
        <v>628</v>
      </c>
      <c r="F643" s="204" t="s">
        <v>243</v>
      </c>
      <c r="G643" s="204">
        <v>5738</v>
      </c>
      <c r="H643" s="204" t="s">
        <v>270</v>
      </c>
      <c r="I643" s="204">
        <v>106840</v>
      </c>
      <c r="J643" s="209">
        <v>42433</v>
      </c>
      <c r="K643" s="210">
        <v>0.57013888888888886</v>
      </c>
      <c r="L643" s="209">
        <v>42437</v>
      </c>
      <c r="M643" s="204" t="s">
        <v>853</v>
      </c>
      <c r="N643" s="204" t="s">
        <v>588</v>
      </c>
      <c r="O643" s="204" t="s">
        <v>589</v>
      </c>
      <c r="P643" s="204" t="s">
        <v>590</v>
      </c>
      <c r="Q643" s="204" t="s">
        <v>275</v>
      </c>
      <c r="R643" s="204" t="s">
        <v>611</v>
      </c>
      <c r="S643" s="204" t="s">
        <v>436</v>
      </c>
      <c r="T643" s="204" t="s">
        <v>630</v>
      </c>
      <c r="U643" s="204">
        <v>5738</v>
      </c>
      <c r="V643" s="204" t="s">
        <v>585</v>
      </c>
      <c r="W643" s="204" t="s">
        <v>280</v>
      </c>
      <c r="X643" s="204">
        <v>27.097000000000001</v>
      </c>
      <c r="Y643" s="211">
        <v>-1.35</v>
      </c>
      <c r="Z643" s="211">
        <v>1.61</v>
      </c>
      <c r="AA643" s="211">
        <v>43.6</v>
      </c>
      <c r="AB643" s="211">
        <v>-4.96</v>
      </c>
      <c r="AC643" s="211">
        <v>0</v>
      </c>
      <c r="AD643" s="211">
        <v>0</v>
      </c>
      <c r="AE643" s="211">
        <v>37.29</v>
      </c>
      <c r="AF643" s="211">
        <v>-6.5</v>
      </c>
      <c r="AG643" s="204" t="s">
        <v>279</v>
      </c>
      <c r="AH643" s="211">
        <v>0</v>
      </c>
      <c r="AI643" s="211">
        <v>43.6</v>
      </c>
      <c r="AJ643" s="211">
        <v>0</v>
      </c>
      <c r="AK643" s="204" t="str">
        <f t="shared" si="23"/>
        <v>1.00000000</v>
      </c>
      <c r="AL643" s="204">
        <v>9.6999999999999993</v>
      </c>
    </row>
    <row r="644" spans="1:38" x14ac:dyDescent="0.2">
      <c r="A644" s="204" t="str">
        <f t="shared" si="22"/>
        <v>0496002599173</v>
      </c>
      <c r="B644" s="204">
        <v>3</v>
      </c>
      <c r="C644" s="204" t="s">
        <v>585</v>
      </c>
      <c r="D644" s="204" t="s">
        <v>628</v>
      </c>
      <c r="E644" s="204" t="s">
        <v>628</v>
      </c>
      <c r="F644" s="204" t="s">
        <v>243</v>
      </c>
      <c r="G644" s="204">
        <v>5738</v>
      </c>
      <c r="H644" s="204" t="s">
        <v>270</v>
      </c>
      <c r="I644" s="204">
        <v>107233</v>
      </c>
      <c r="J644" s="209">
        <v>42443</v>
      </c>
      <c r="K644" s="210">
        <v>0.37847222222222227</v>
      </c>
      <c r="L644" s="209">
        <v>42445</v>
      </c>
      <c r="M644" s="204" t="s">
        <v>853</v>
      </c>
      <c r="N644" s="204" t="s">
        <v>454</v>
      </c>
      <c r="O644" s="204" t="s">
        <v>455</v>
      </c>
      <c r="P644" s="204" t="s">
        <v>456</v>
      </c>
      <c r="Q644" s="204" t="s">
        <v>275</v>
      </c>
      <c r="R644" s="204" t="s">
        <v>706</v>
      </c>
      <c r="S644" s="204" t="s">
        <v>436</v>
      </c>
      <c r="T644" s="204" t="s">
        <v>630</v>
      </c>
      <c r="U644" s="204">
        <v>5738</v>
      </c>
      <c r="V644" s="204" t="s">
        <v>585</v>
      </c>
      <c r="W644" s="204" t="s">
        <v>280</v>
      </c>
      <c r="X644" s="204">
        <v>28.143000000000001</v>
      </c>
      <c r="Y644" s="211">
        <v>-0.84</v>
      </c>
      <c r="Z644" s="211">
        <v>1.87</v>
      </c>
      <c r="AA644" s="211">
        <v>52.6</v>
      </c>
      <c r="AB644" s="211">
        <v>-5.15</v>
      </c>
      <c r="AC644" s="211">
        <v>0</v>
      </c>
      <c r="AD644" s="211">
        <v>0</v>
      </c>
      <c r="AE644" s="211">
        <v>46.61</v>
      </c>
      <c r="AF644" s="211">
        <v>-6.75</v>
      </c>
      <c r="AG644" s="204" t="s">
        <v>279</v>
      </c>
      <c r="AH644" s="211">
        <v>0</v>
      </c>
      <c r="AI644" s="211">
        <v>52.6</v>
      </c>
      <c r="AJ644" s="211">
        <v>0</v>
      </c>
      <c r="AK644" s="204" t="str">
        <f t="shared" si="23"/>
        <v>1.00000000</v>
      </c>
      <c r="AL644" s="204">
        <v>14</v>
      </c>
    </row>
    <row r="645" spans="1:38" x14ac:dyDescent="0.2">
      <c r="A645" s="204" t="str">
        <f t="shared" si="22"/>
        <v>0496002599173</v>
      </c>
      <c r="B645" s="204">
        <v>3</v>
      </c>
      <c r="C645" s="204" t="s">
        <v>585</v>
      </c>
      <c r="D645" s="204" t="s">
        <v>628</v>
      </c>
      <c r="E645" s="204" t="s">
        <v>628</v>
      </c>
      <c r="F645" s="204" t="s">
        <v>243</v>
      </c>
      <c r="G645" s="204">
        <v>5738</v>
      </c>
      <c r="H645" s="204" t="s">
        <v>270</v>
      </c>
      <c r="I645" s="204">
        <v>107529</v>
      </c>
      <c r="J645" s="209">
        <v>42451</v>
      </c>
      <c r="K645" s="210">
        <v>0.65277777777777779</v>
      </c>
      <c r="L645" s="209">
        <v>42453</v>
      </c>
      <c r="M645" s="204" t="s">
        <v>606</v>
      </c>
      <c r="N645" s="204" t="s">
        <v>399</v>
      </c>
      <c r="O645" s="204" t="s">
        <v>400</v>
      </c>
      <c r="P645" s="204" t="s">
        <v>274</v>
      </c>
      <c r="Q645" s="204" t="s">
        <v>275</v>
      </c>
      <c r="R645" s="204" t="s">
        <v>401</v>
      </c>
      <c r="S645" s="204" t="s">
        <v>436</v>
      </c>
      <c r="T645" s="204" t="s">
        <v>630</v>
      </c>
      <c r="U645" s="204">
        <v>5738</v>
      </c>
      <c r="V645" s="204" t="s">
        <v>585</v>
      </c>
      <c r="W645" s="204" t="s">
        <v>280</v>
      </c>
      <c r="X645" s="204">
        <v>25.064</v>
      </c>
      <c r="Y645" s="211">
        <v>0</v>
      </c>
      <c r="Z645" s="211">
        <v>1.94</v>
      </c>
      <c r="AA645" s="211">
        <v>48.6</v>
      </c>
      <c r="AB645" s="211">
        <v>-4.59</v>
      </c>
      <c r="AC645" s="211">
        <v>0</v>
      </c>
      <c r="AD645" s="211">
        <v>0</v>
      </c>
      <c r="AE645" s="211">
        <v>44.01</v>
      </c>
      <c r="AF645" s="211">
        <v>-6.02</v>
      </c>
      <c r="AG645" s="204" t="s">
        <v>279</v>
      </c>
      <c r="AH645" s="211">
        <v>0</v>
      </c>
      <c r="AI645" s="211">
        <v>48.6</v>
      </c>
      <c r="AJ645" s="211">
        <v>0</v>
      </c>
      <c r="AK645" s="204" t="str">
        <f t="shared" si="23"/>
        <v>1.00000000</v>
      </c>
      <c r="AL645" s="204">
        <v>11.8</v>
      </c>
    </row>
    <row r="646" spans="1:38" x14ac:dyDescent="0.2">
      <c r="A646" s="204" t="str">
        <f t="shared" si="22"/>
        <v>0496002599173</v>
      </c>
      <c r="B646" s="204">
        <v>3</v>
      </c>
      <c r="C646" s="204" t="s">
        <v>585</v>
      </c>
      <c r="D646" s="204" t="s">
        <v>628</v>
      </c>
      <c r="E646" s="204" t="s">
        <v>628</v>
      </c>
      <c r="F646" s="204" t="s">
        <v>243</v>
      </c>
      <c r="G646" s="204">
        <v>5738</v>
      </c>
      <c r="H646" s="204" t="s">
        <v>270</v>
      </c>
      <c r="I646" s="204">
        <v>107863</v>
      </c>
      <c r="J646" s="209">
        <v>42454</v>
      </c>
      <c r="K646" s="210">
        <v>0.66875000000000007</v>
      </c>
      <c r="L646" s="209">
        <v>42458</v>
      </c>
      <c r="M646" s="204" t="s">
        <v>606</v>
      </c>
      <c r="N646" s="204" t="s">
        <v>399</v>
      </c>
      <c r="O646" s="204" t="s">
        <v>400</v>
      </c>
      <c r="P646" s="204" t="s">
        <v>274</v>
      </c>
      <c r="Q646" s="204" t="s">
        <v>275</v>
      </c>
      <c r="R646" s="204" t="s">
        <v>401</v>
      </c>
      <c r="S646" s="204" t="s">
        <v>436</v>
      </c>
      <c r="T646" s="204" t="s">
        <v>630</v>
      </c>
      <c r="U646" s="204">
        <v>5738</v>
      </c>
      <c r="V646" s="204" t="s">
        <v>585</v>
      </c>
      <c r="W646" s="204" t="s">
        <v>280</v>
      </c>
      <c r="X646" s="204">
        <v>24.013999999999999</v>
      </c>
      <c r="Y646" s="211">
        <v>0</v>
      </c>
      <c r="Z646" s="211">
        <v>2</v>
      </c>
      <c r="AA646" s="211">
        <v>48</v>
      </c>
      <c r="AB646" s="211">
        <v>-4.3899999999999997</v>
      </c>
      <c r="AC646" s="211">
        <v>0</v>
      </c>
      <c r="AD646" s="211">
        <v>0</v>
      </c>
      <c r="AE646" s="211">
        <v>43.61</v>
      </c>
      <c r="AF646" s="211">
        <v>-5.76</v>
      </c>
      <c r="AG646" s="204" t="s">
        <v>279</v>
      </c>
      <c r="AH646" s="211">
        <v>0</v>
      </c>
      <c r="AI646" s="211">
        <v>48</v>
      </c>
      <c r="AJ646" s="211">
        <v>0</v>
      </c>
      <c r="AK646" s="204" t="str">
        <f t="shared" si="23"/>
        <v>1.00000000</v>
      </c>
      <c r="AL646" s="204">
        <v>13.9</v>
      </c>
    </row>
    <row r="647" spans="1:38" x14ac:dyDescent="0.2">
      <c r="A647" s="204" t="str">
        <f t="shared" si="22"/>
        <v>0496002599173</v>
      </c>
      <c r="B647" s="204">
        <v>3</v>
      </c>
      <c r="C647" s="204" t="s">
        <v>585</v>
      </c>
      <c r="D647" s="204" t="s">
        <v>628</v>
      </c>
      <c r="E647" s="204" t="s">
        <v>628</v>
      </c>
      <c r="F647" s="204" t="s">
        <v>243</v>
      </c>
      <c r="G647" s="204">
        <v>5738</v>
      </c>
      <c r="H647" s="204" t="s">
        <v>270</v>
      </c>
      <c r="I647" s="204">
        <v>108183</v>
      </c>
      <c r="J647" s="209">
        <v>42466</v>
      </c>
      <c r="K647" s="210">
        <v>0.5444444444444444</v>
      </c>
      <c r="L647" s="209">
        <v>42468</v>
      </c>
      <c r="M647" s="204" t="s">
        <v>271</v>
      </c>
      <c r="N647" s="204" t="s">
        <v>352</v>
      </c>
      <c r="O647" s="204" t="s">
        <v>353</v>
      </c>
      <c r="P647" s="204" t="s">
        <v>343</v>
      </c>
      <c r="Q647" s="204" t="s">
        <v>275</v>
      </c>
      <c r="R647" s="204" t="s">
        <v>602</v>
      </c>
      <c r="S647" s="204" t="s">
        <v>436</v>
      </c>
      <c r="T647" s="204" t="s">
        <v>630</v>
      </c>
      <c r="U647" s="204">
        <v>5738</v>
      </c>
      <c r="V647" s="204" t="s">
        <v>585</v>
      </c>
      <c r="W647" s="204" t="s">
        <v>280</v>
      </c>
      <c r="X647" s="204">
        <v>27.312999999999999</v>
      </c>
      <c r="Y647" s="211">
        <v>-0.82</v>
      </c>
      <c r="Z647" s="211">
        <v>2</v>
      </c>
      <c r="AA647" s="211">
        <v>54.6</v>
      </c>
      <c r="AB647" s="211">
        <v>-5</v>
      </c>
      <c r="AC647" s="211">
        <v>0</v>
      </c>
      <c r="AD647" s="211">
        <v>0</v>
      </c>
      <c r="AE647" s="211">
        <v>48.78</v>
      </c>
      <c r="AF647" s="211">
        <v>-6.56</v>
      </c>
      <c r="AG647" s="204" t="s">
        <v>279</v>
      </c>
      <c r="AH647" s="211">
        <v>0</v>
      </c>
      <c r="AI647" s="211">
        <v>54.6</v>
      </c>
      <c r="AJ647" s="211">
        <v>0</v>
      </c>
      <c r="AK647" s="204" t="str">
        <f t="shared" si="23"/>
        <v>1.00000000</v>
      </c>
      <c r="AL647" s="204">
        <v>11.7</v>
      </c>
    </row>
    <row r="648" spans="1:38" x14ac:dyDescent="0.2">
      <c r="A648" s="204" t="str">
        <f t="shared" si="22"/>
        <v>0496002599173</v>
      </c>
      <c r="B648" s="204">
        <v>3</v>
      </c>
      <c r="C648" s="204" t="s">
        <v>585</v>
      </c>
      <c r="D648" s="204" t="s">
        <v>628</v>
      </c>
      <c r="E648" s="204" t="s">
        <v>628</v>
      </c>
      <c r="F648" s="204" t="s">
        <v>243</v>
      </c>
      <c r="G648" s="204">
        <v>5738</v>
      </c>
      <c r="H648" s="204" t="s">
        <v>270</v>
      </c>
      <c r="I648" s="204">
        <v>108573</v>
      </c>
      <c r="J648" s="209">
        <v>42492</v>
      </c>
      <c r="K648" s="210">
        <v>0.42152777777777778</v>
      </c>
      <c r="L648" s="209">
        <v>42494</v>
      </c>
      <c r="M648" s="204" t="s">
        <v>271</v>
      </c>
      <c r="N648" s="204" t="s">
        <v>588</v>
      </c>
      <c r="O648" s="204" t="s">
        <v>589</v>
      </c>
      <c r="P648" s="204" t="s">
        <v>590</v>
      </c>
      <c r="Q648" s="204" t="s">
        <v>275</v>
      </c>
      <c r="R648" s="204" t="s">
        <v>611</v>
      </c>
      <c r="S648" s="204" t="s">
        <v>436</v>
      </c>
      <c r="T648" s="204" t="s">
        <v>630</v>
      </c>
      <c r="U648" s="204">
        <v>5738</v>
      </c>
      <c r="V648" s="204" t="s">
        <v>585</v>
      </c>
      <c r="W648" s="204" t="s">
        <v>280</v>
      </c>
      <c r="X648" s="204">
        <v>28.661000000000001</v>
      </c>
      <c r="Y648" s="211">
        <v>-1.43</v>
      </c>
      <c r="Z648" s="211">
        <v>2.13</v>
      </c>
      <c r="AA648" s="211">
        <v>61.02</v>
      </c>
      <c r="AB648" s="211">
        <v>-5.24</v>
      </c>
      <c r="AC648" s="211">
        <v>0</v>
      </c>
      <c r="AD648" s="211">
        <v>0</v>
      </c>
      <c r="AE648" s="211">
        <v>54.35</v>
      </c>
      <c r="AF648" s="211">
        <v>-6.88</v>
      </c>
      <c r="AG648" s="204" t="s">
        <v>279</v>
      </c>
      <c r="AH648" s="211">
        <v>0</v>
      </c>
      <c r="AI648" s="211">
        <v>61.02</v>
      </c>
      <c r="AJ648" s="211">
        <v>0</v>
      </c>
      <c r="AK648" s="204" t="str">
        <f t="shared" si="23"/>
        <v>1.00000000</v>
      </c>
      <c r="AL648" s="204">
        <v>13.6</v>
      </c>
    </row>
    <row r="649" spans="1:38" x14ac:dyDescent="0.2">
      <c r="A649" s="204" t="str">
        <f t="shared" si="22"/>
        <v>0496002599173</v>
      </c>
      <c r="B649" s="204">
        <v>3</v>
      </c>
      <c r="C649" s="204" t="s">
        <v>585</v>
      </c>
      <c r="D649" s="204" t="s">
        <v>628</v>
      </c>
      <c r="E649" s="204" t="s">
        <v>628</v>
      </c>
      <c r="F649" s="204" t="s">
        <v>243</v>
      </c>
      <c r="G649" s="204">
        <v>5738</v>
      </c>
      <c r="H649" s="204" t="s">
        <v>270</v>
      </c>
      <c r="I649" s="204">
        <v>109024</v>
      </c>
      <c r="J649" s="209">
        <v>42496</v>
      </c>
      <c r="K649" s="210">
        <v>0.3743055555555555</v>
      </c>
      <c r="L649" s="209">
        <v>42500</v>
      </c>
      <c r="M649" s="204" t="s">
        <v>271</v>
      </c>
      <c r="N649" s="204" t="s">
        <v>454</v>
      </c>
      <c r="O649" s="204" t="s">
        <v>455</v>
      </c>
      <c r="P649" s="204" t="s">
        <v>456</v>
      </c>
      <c r="Q649" s="204" t="s">
        <v>275</v>
      </c>
      <c r="R649" s="204" t="s">
        <v>706</v>
      </c>
      <c r="S649" s="204" t="s">
        <v>436</v>
      </c>
      <c r="T649" s="204" t="s">
        <v>630</v>
      </c>
      <c r="U649" s="204">
        <v>5738</v>
      </c>
      <c r="V649" s="204" t="s">
        <v>585</v>
      </c>
      <c r="W649" s="204" t="s">
        <v>280</v>
      </c>
      <c r="X649" s="204">
        <v>28.012</v>
      </c>
      <c r="Y649" s="211">
        <v>-0.84</v>
      </c>
      <c r="Z649" s="211">
        <v>2.2000000000000002</v>
      </c>
      <c r="AA649" s="211">
        <v>61.6</v>
      </c>
      <c r="AB649" s="211">
        <v>-5.13</v>
      </c>
      <c r="AC649" s="211">
        <v>0</v>
      </c>
      <c r="AD649" s="211">
        <v>0</v>
      </c>
      <c r="AE649" s="211">
        <v>55.63</v>
      </c>
      <c r="AF649" s="211">
        <v>-6.72</v>
      </c>
      <c r="AG649" s="204" t="s">
        <v>279</v>
      </c>
      <c r="AH649" s="211">
        <v>0</v>
      </c>
      <c r="AI649" s="211">
        <v>61.6</v>
      </c>
      <c r="AJ649" s="211">
        <v>0</v>
      </c>
      <c r="AK649" s="204" t="str">
        <f t="shared" si="23"/>
        <v>1.00000000</v>
      </c>
      <c r="AL649" s="204">
        <v>16.100000000000001</v>
      </c>
    </row>
    <row r="650" spans="1:38" x14ac:dyDescent="0.2">
      <c r="A650" s="204" t="str">
        <f t="shared" si="22"/>
        <v>0496002599173</v>
      </c>
      <c r="B650" s="204">
        <v>3</v>
      </c>
      <c r="C650" s="204" t="s">
        <v>585</v>
      </c>
      <c r="D650" s="204" t="s">
        <v>628</v>
      </c>
      <c r="E650" s="204" t="s">
        <v>628</v>
      </c>
      <c r="F650" s="204" t="s">
        <v>243</v>
      </c>
      <c r="G650" s="204">
        <v>5738</v>
      </c>
      <c r="H650" s="204" t="s">
        <v>270</v>
      </c>
      <c r="I650" s="204">
        <v>109377</v>
      </c>
      <c r="J650" s="209">
        <v>42513</v>
      </c>
      <c r="K650" s="210">
        <v>0.34722222222222227</v>
      </c>
      <c r="L650" s="209">
        <v>42515</v>
      </c>
      <c r="M650" s="204" t="s">
        <v>271</v>
      </c>
      <c r="N650" s="204" t="s">
        <v>272</v>
      </c>
      <c r="O650" s="204" t="s">
        <v>273</v>
      </c>
      <c r="P650" s="204" t="s">
        <v>274</v>
      </c>
      <c r="Q650" s="204" t="s">
        <v>275</v>
      </c>
      <c r="R650" s="204" t="s">
        <v>276</v>
      </c>
      <c r="S650" s="204" t="s">
        <v>436</v>
      </c>
      <c r="T650" s="204" t="s">
        <v>630</v>
      </c>
      <c r="U650" s="204">
        <v>5738</v>
      </c>
      <c r="V650" s="204" t="s">
        <v>585</v>
      </c>
      <c r="W650" s="204" t="s">
        <v>280</v>
      </c>
      <c r="X650" s="204">
        <v>27.588999999999999</v>
      </c>
      <c r="Y650" s="211">
        <v>-0.83</v>
      </c>
      <c r="Z650" s="211">
        <v>2.27</v>
      </c>
      <c r="AA650" s="211">
        <v>62.6</v>
      </c>
      <c r="AB650" s="211">
        <v>-5.05</v>
      </c>
      <c r="AC650" s="211">
        <v>0</v>
      </c>
      <c r="AD650" s="211">
        <v>0</v>
      </c>
      <c r="AE650" s="211">
        <v>56.72</v>
      </c>
      <c r="AF650" s="211">
        <v>-6.62</v>
      </c>
      <c r="AG650" s="204" t="s">
        <v>279</v>
      </c>
      <c r="AH650" s="211">
        <v>0</v>
      </c>
      <c r="AI650" s="211">
        <v>62.6</v>
      </c>
      <c r="AJ650" s="211">
        <v>0</v>
      </c>
      <c r="AK650" s="204" t="str">
        <f t="shared" si="23"/>
        <v>1.00000000</v>
      </c>
      <c r="AL650" s="204">
        <v>12.8</v>
      </c>
    </row>
    <row r="651" spans="1:38" x14ac:dyDescent="0.2">
      <c r="A651" s="204" t="str">
        <f t="shared" si="22"/>
        <v>0496002599173</v>
      </c>
      <c r="B651" s="204">
        <v>3</v>
      </c>
      <c r="C651" s="204" t="s">
        <v>585</v>
      </c>
      <c r="D651" s="204" t="s">
        <v>628</v>
      </c>
      <c r="E651" s="204" t="s">
        <v>628</v>
      </c>
      <c r="F651" s="204" t="s">
        <v>243</v>
      </c>
      <c r="G651" s="204">
        <v>5738</v>
      </c>
      <c r="H651" s="204" t="s">
        <v>270</v>
      </c>
      <c r="I651" s="204">
        <v>109703</v>
      </c>
      <c r="J651" s="209">
        <v>42515</v>
      </c>
      <c r="K651" s="210">
        <v>0.6743055555555556</v>
      </c>
      <c r="L651" s="209">
        <v>42517</v>
      </c>
      <c r="M651" s="204" t="s">
        <v>606</v>
      </c>
      <c r="N651" s="204" t="s">
        <v>399</v>
      </c>
      <c r="O651" s="204" t="s">
        <v>400</v>
      </c>
      <c r="P651" s="204" t="s">
        <v>274</v>
      </c>
      <c r="Q651" s="204" t="s">
        <v>275</v>
      </c>
      <c r="R651" s="204" t="s">
        <v>401</v>
      </c>
      <c r="S651" s="204" t="s">
        <v>436</v>
      </c>
      <c r="T651" s="204" t="s">
        <v>630</v>
      </c>
      <c r="U651" s="204">
        <v>5738</v>
      </c>
      <c r="V651" s="204" t="s">
        <v>585</v>
      </c>
      <c r="W651" s="204" t="s">
        <v>280</v>
      </c>
      <c r="X651" s="204">
        <v>23.748999999999999</v>
      </c>
      <c r="Y651" s="211">
        <v>0</v>
      </c>
      <c r="Z651" s="211">
        <v>2.2999999999999998</v>
      </c>
      <c r="AA651" s="211">
        <v>54.6</v>
      </c>
      <c r="AB651" s="211">
        <v>-4.3499999999999996</v>
      </c>
      <c r="AC651" s="211">
        <v>0</v>
      </c>
      <c r="AD651" s="211">
        <v>0</v>
      </c>
      <c r="AE651" s="211">
        <v>50.25</v>
      </c>
      <c r="AF651" s="211">
        <v>-5.7</v>
      </c>
      <c r="AG651" s="204" t="s">
        <v>279</v>
      </c>
      <c r="AH651" s="211">
        <v>0</v>
      </c>
      <c r="AI651" s="211">
        <v>54.6</v>
      </c>
      <c r="AJ651" s="211">
        <v>0</v>
      </c>
      <c r="AK651" s="204" t="str">
        <f t="shared" si="23"/>
        <v>1.00000000</v>
      </c>
      <c r="AL651" s="204">
        <v>13.7</v>
      </c>
    </row>
    <row r="652" spans="1:38" x14ac:dyDescent="0.2">
      <c r="A652" s="204" t="str">
        <f t="shared" si="22"/>
        <v>0496002599173</v>
      </c>
      <c r="B652" s="204">
        <v>3</v>
      </c>
      <c r="C652" s="204" t="s">
        <v>585</v>
      </c>
      <c r="D652" s="204" t="s">
        <v>628</v>
      </c>
      <c r="E652" s="204" t="s">
        <v>628</v>
      </c>
      <c r="F652" s="204" t="s">
        <v>243</v>
      </c>
      <c r="G652" s="204">
        <v>5738</v>
      </c>
      <c r="H652" s="204" t="s">
        <v>270</v>
      </c>
      <c r="I652" s="204">
        <v>110050</v>
      </c>
      <c r="J652" s="209">
        <v>42518</v>
      </c>
      <c r="K652" s="210">
        <v>0.47361111111111115</v>
      </c>
      <c r="L652" s="209">
        <v>42521</v>
      </c>
      <c r="M652" s="204" t="s">
        <v>775</v>
      </c>
      <c r="N652" s="204" t="s">
        <v>776</v>
      </c>
      <c r="O652" s="204" t="s">
        <v>777</v>
      </c>
      <c r="P652" s="204" t="s">
        <v>778</v>
      </c>
      <c r="Q652" s="204" t="s">
        <v>275</v>
      </c>
      <c r="R652" s="204" t="s">
        <v>897</v>
      </c>
      <c r="S652" s="204" t="s">
        <v>436</v>
      </c>
      <c r="T652" s="204" t="s">
        <v>630</v>
      </c>
      <c r="U652" s="204">
        <v>5738</v>
      </c>
      <c r="V652" s="204" t="s">
        <v>585</v>
      </c>
      <c r="W652" s="204" t="s">
        <v>280</v>
      </c>
      <c r="X652" s="204">
        <v>24.619</v>
      </c>
      <c r="Y652" s="211">
        <v>0</v>
      </c>
      <c r="Z652" s="211">
        <v>2.2999999999999998</v>
      </c>
      <c r="AA652" s="211">
        <v>56.6</v>
      </c>
      <c r="AB652" s="211">
        <v>-4.51</v>
      </c>
      <c r="AC652" s="211">
        <v>0</v>
      </c>
      <c r="AD652" s="211">
        <v>0</v>
      </c>
      <c r="AE652" s="211">
        <v>52.09</v>
      </c>
      <c r="AF652" s="211">
        <v>-5.91</v>
      </c>
      <c r="AG652" s="204" t="s">
        <v>279</v>
      </c>
      <c r="AH652" s="211">
        <v>0</v>
      </c>
      <c r="AI652" s="211">
        <v>56.6</v>
      </c>
      <c r="AJ652" s="211">
        <v>0</v>
      </c>
      <c r="AK652" s="204" t="str">
        <f t="shared" si="23"/>
        <v>1.00000000</v>
      </c>
      <c r="AL652" s="204">
        <v>14.1</v>
      </c>
    </row>
    <row r="653" spans="1:38" x14ac:dyDescent="0.2">
      <c r="A653" s="204" t="str">
        <f t="shared" si="22"/>
        <v>0496002599173</v>
      </c>
      <c r="B653" s="204">
        <v>3</v>
      </c>
      <c r="C653" s="204" t="s">
        <v>585</v>
      </c>
      <c r="D653" s="204" t="s">
        <v>628</v>
      </c>
      <c r="E653" s="204" t="s">
        <v>628</v>
      </c>
      <c r="F653" s="204" t="s">
        <v>243</v>
      </c>
      <c r="G653" s="204">
        <v>5738</v>
      </c>
      <c r="H653" s="204" t="s">
        <v>270</v>
      </c>
      <c r="I653" s="204">
        <v>110444</v>
      </c>
      <c r="J653" s="209">
        <v>42523</v>
      </c>
      <c r="K653" s="210">
        <v>0.37986111111111115</v>
      </c>
      <c r="L653" s="209">
        <v>42527</v>
      </c>
      <c r="M653" s="204" t="s">
        <v>271</v>
      </c>
      <c r="N653" s="204" t="s">
        <v>588</v>
      </c>
      <c r="O653" s="204" t="s">
        <v>589</v>
      </c>
      <c r="P653" s="204" t="s">
        <v>590</v>
      </c>
      <c r="Q653" s="204" t="s">
        <v>275</v>
      </c>
      <c r="R653" s="204" t="s">
        <v>611</v>
      </c>
      <c r="S653" s="204" t="s">
        <v>436</v>
      </c>
      <c r="T653" s="204" t="s">
        <v>630</v>
      </c>
      <c r="U653" s="204">
        <v>5738</v>
      </c>
      <c r="V653" s="204" t="s">
        <v>585</v>
      </c>
      <c r="W653" s="204" t="s">
        <v>280</v>
      </c>
      <c r="X653" s="204">
        <v>25.449000000000002</v>
      </c>
      <c r="Y653" s="211">
        <v>-1.27</v>
      </c>
      <c r="Z653" s="211">
        <v>2.2799999999999998</v>
      </c>
      <c r="AA653" s="211">
        <v>58</v>
      </c>
      <c r="AB653" s="211">
        <v>-4.66</v>
      </c>
      <c r="AC653" s="211">
        <v>0</v>
      </c>
      <c r="AD653" s="211">
        <v>0</v>
      </c>
      <c r="AE653" s="211">
        <v>52.07</v>
      </c>
      <c r="AF653" s="211">
        <v>-6.11</v>
      </c>
      <c r="AG653" s="204" t="s">
        <v>279</v>
      </c>
      <c r="AH653" s="211">
        <v>0</v>
      </c>
      <c r="AI653" s="211">
        <v>58</v>
      </c>
      <c r="AJ653" s="211">
        <v>0</v>
      </c>
      <c r="AK653" s="204" t="str">
        <f t="shared" si="23"/>
        <v>1.00000000</v>
      </c>
      <c r="AL653" s="204">
        <v>15.5</v>
      </c>
    </row>
    <row r="654" spans="1:38" x14ac:dyDescent="0.2">
      <c r="A654" s="204" t="str">
        <f t="shared" si="22"/>
        <v>0496002599173</v>
      </c>
      <c r="B654" s="204">
        <v>3</v>
      </c>
      <c r="C654" s="204" t="s">
        <v>585</v>
      </c>
      <c r="D654" s="204" t="s">
        <v>628</v>
      </c>
      <c r="E654" s="204" t="s">
        <v>628</v>
      </c>
      <c r="F654" s="204" t="s">
        <v>243</v>
      </c>
      <c r="G654" s="204">
        <v>5738</v>
      </c>
      <c r="H654" s="204" t="s">
        <v>270</v>
      </c>
      <c r="I654" s="204">
        <v>110845</v>
      </c>
      <c r="J654" s="209">
        <v>42541</v>
      </c>
      <c r="K654" s="210">
        <v>0.30416666666666664</v>
      </c>
      <c r="L654" s="209">
        <v>42543</v>
      </c>
      <c r="M654" s="204" t="s">
        <v>606</v>
      </c>
      <c r="N654" s="204" t="s">
        <v>399</v>
      </c>
      <c r="O654" s="204" t="s">
        <v>400</v>
      </c>
      <c r="P654" s="204" t="s">
        <v>274</v>
      </c>
      <c r="Q654" s="204" t="s">
        <v>275</v>
      </c>
      <c r="R654" s="204" t="s">
        <v>401</v>
      </c>
      <c r="S654" s="204" t="s">
        <v>436</v>
      </c>
      <c r="T654" s="204" t="s">
        <v>630</v>
      </c>
      <c r="U654" s="204">
        <v>5738</v>
      </c>
      <c r="V654" s="204" t="s">
        <v>585</v>
      </c>
      <c r="W654" s="204" t="s">
        <v>280</v>
      </c>
      <c r="X654" s="204">
        <v>27.966999999999999</v>
      </c>
      <c r="Y654" s="211">
        <v>0</v>
      </c>
      <c r="Z654" s="211">
        <v>2.2999999999999998</v>
      </c>
      <c r="AA654" s="211">
        <v>64.3</v>
      </c>
      <c r="AB654" s="211">
        <v>-5.12</v>
      </c>
      <c r="AC654" s="211">
        <v>0</v>
      </c>
      <c r="AD654" s="211">
        <v>0</v>
      </c>
      <c r="AE654" s="211">
        <v>59.18</v>
      </c>
      <c r="AF654" s="211">
        <v>-6.71</v>
      </c>
      <c r="AG654" s="204" t="s">
        <v>279</v>
      </c>
      <c r="AH654" s="211">
        <v>0</v>
      </c>
      <c r="AI654" s="211">
        <v>64.3</v>
      </c>
      <c r="AJ654" s="211">
        <v>0</v>
      </c>
      <c r="AK654" s="204" t="str">
        <f t="shared" si="23"/>
        <v>1.00000000</v>
      </c>
      <c r="AL654" s="204">
        <v>14.3</v>
      </c>
    </row>
    <row r="655" spans="1:38" x14ac:dyDescent="0.2">
      <c r="X655" s="204">
        <f>SUM(X2:X654)</f>
        <v>8454.0329999999976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pageSetUpPr fitToPage="1"/>
  </sheetPr>
  <dimension ref="A1:K1740"/>
  <sheetViews>
    <sheetView workbookViewId="0">
      <pane xSplit="1" ySplit="1" topLeftCell="B912" activePane="bottomRight" state="frozen"/>
      <selection pane="topRight" activeCell="B1" sqref="B1"/>
      <selection pane="bottomLeft" activeCell="A2" sqref="A2"/>
      <selection pane="bottomRight" activeCell="H858" sqref="H858"/>
    </sheetView>
  </sheetViews>
  <sheetFormatPr baseColWidth="10" defaultColWidth="8.83203125" defaultRowHeight="13" outlineLevelRow="1" outlineLevelCol="1" x14ac:dyDescent="0.15"/>
  <cols>
    <col min="1" max="1" width="7.6640625" style="259" customWidth="1"/>
    <col min="2" max="2" width="8.1640625" style="468" customWidth="1"/>
    <col min="3" max="3" width="19.1640625" style="259" customWidth="1"/>
    <col min="4" max="4" width="14.6640625" style="259" bestFit="1" customWidth="1"/>
    <col min="5" max="6" width="6.1640625" style="259" customWidth="1" outlineLevel="1"/>
    <col min="7" max="7" width="8" style="259" customWidth="1"/>
    <col min="8" max="8" width="13.33203125" style="259" customWidth="1"/>
    <col min="9" max="9" width="8.83203125" style="319" bestFit="1" customWidth="1"/>
    <col min="10" max="16384" width="8.83203125" style="259"/>
  </cols>
  <sheetData>
    <row r="1" spans="1:8" s="537" customFormat="1" ht="26.5" customHeight="1" x14ac:dyDescent="0.15">
      <c r="A1" s="536" t="s">
        <v>223</v>
      </c>
      <c r="B1" s="536" t="s">
        <v>1374</v>
      </c>
      <c r="C1" s="536" t="s">
        <v>1223</v>
      </c>
      <c r="D1" s="536" t="s">
        <v>1142</v>
      </c>
      <c r="E1" s="536" t="s">
        <v>1124</v>
      </c>
      <c r="F1" s="536" t="s">
        <v>1123</v>
      </c>
      <c r="G1" s="536" t="s">
        <v>1375</v>
      </c>
      <c r="H1" s="536" t="s">
        <v>115</v>
      </c>
    </row>
    <row r="3" spans="1:8" s="275" customFormat="1" x14ac:dyDescent="0.15">
      <c r="B3" s="479"/>
    </row>
    <row r="4" spans="1:8" s="275" customFormat="1" x14ac:dyDescent="0.15">
      <c r="A4" s="287" t="s">
        <v>1376</v>
      </c>
      <c r="B4" s="538"/>
      <c r="C4" s="287" t="s">
        <v>1377</v>
      </c>
      <c r="D4" s="287" t="s">
        <v>1378</v>
      </c>
      <c r="E4" s="287"/>
      <c r="F4" s="287">
        <v>50.5</v>
      </c>
      <c r="G4" s="287"/>
      <c r="H4" s="287"/>
    </row>
    <row r="5" spans="1:8" s="275" customFormat="1" x14ac:dyDescent="0.15">
      <c r="A5" s="287" t="s">
        <v>1379</v>
      </c>
      <c r="B5" s="538"/>
      <c r="C5" s="287" t="s">
        <v>1380</v>
      </c>
      <c r="D5" s="287" t="s">
        <v>1381</v>
      </c>
      <c r="E5" s="287"/>
      <c r="F5" s="287">
        <v>531.70000000000005</v>
      </c>
      <c r="G5" s="287"/>
      <c r="H5" s="287"/>
    </row>
    <row r="6" spans="1:8" s="275" customFormat="1" x14ac:dyDescent="0.15">
      <c r="A6" s="287" t="s">
        <v>1382</v>
      </c>
      <c r="B6" s="538"/>
      <c r="C6" s="287" t="s">
        <v>1383</v>
      </c>
      <c r="D6" s="287" t="s">
        <v>1384</v>
      </c>
      <c r="E6" s="287"/>
      <c r="F6" s="287">
        <v>24.2</v>
      </c>
      <c r="G6" s="287"/>
      <c r="H6" s="287"/>
    </row>
    <row r="7" spans="1:8" s="275" customFormat="1" x14ac:dyDescent="0.15">
      <c r="A7" s="287" t="s">
        <v>1385</v>
      </c>
      <c r="B7" s="538"/>
      <c r="C7" s="287" t="s">
        <v>1386</v>
      </c>
      <c r="D7" s="287" t="s">
        <v>1387</v>
      </c>
      <c r="E7" s="287"/>
      <c r="F7" s="287">
        <v>78.2</v>
      </c>
      <c r="G7" s="287"/>
      <c r="H7" s="287"/>
    </row>
    <row r="8" spans="1:8" s="275" customFormat="1" x14ac:dyDescent="0.15">
      <c r="A8" s="287" t="s">
        <v>1388</v>
      </c>
      <c r="B8" s="538"/>
      <c r="C8" s="287" t="s">
        <v>1284</v>
      </c>
      <c r="D8" s="287" t="s">
        <v>1285</v>
      </c>
      <c r="E8" s="287"/>
      <c r="F8" s="287">
        <v>49</v>
      </c>
      <c r="G8" s="287"/>
      <c r="H8" s="287"/>
    </row>
    <row r="9" spans="1:8" s="275" customFormat="1" x14ac:dyDescent="0.15">
      <c r="A9" s="287" t="s">
        <v>1389</v>
      </c>
      <c r="B9" s="538"/>
      <c r="C9" s="287" t="s">
        <v>1390</v>
      </c>
      <c r="D9" s="287" t="s">
        <v>1391</v>
      </c>
      <c r="E9" s="287"/>
      <c r="F9" s="287">
        <v>277.5</v>
      </c>
      <c r="G9" s="287"/>
      <c r="H9" s="287"/>
    </row>
    <row r="10" spans="1:8" s="275" customFormat="1" x14ac:dyDescent="0.15">
      <c r="A10" s="287" t="s">
        <v>1392</v>
      </c>
      <c r="B10" s="538"/>
      <c r="C10" s="287" t="s">
        <v>1390</v>
      </c>
      <c r="D10" s="287" t="s">
        <v>1393</v>
      </c>
      <c r="E10" s="287"/>
      <c r="F10" s="287">
        <v>268.60000000000002</v>
      </c>
      <c r="G10" s="287"/>
      <c r="H10" s="287"/>
    </row>
    <row r="11" spans="1:8" s="275" customFormat="1" x14ac:dyDescent="0.15">
      <c r="A11" s="287" t="s">
        <v>1376</v>
      </c>
      <c r="B11" s="538"/>
      <c r="C11" s="287" t="s">
        <v>1377</v>
      </c>
      <c r="D11" s="287" t="s">
        <v>1378</v>
      </c>
      <c r="E11" s="287"/>
      <c r="F11" s="287">
        <v>115.2</v>
      </c>
      <c r="G11" s="287"/>
      <c r="H11" s="287"/>
    </row>
    <row r="12" spans="1:8" s="275" customFormat="1" x14ac:dyDescent="0.15">
      <c r="A12" s="287" t="s">
        <v>1382</v>
      </c>
      <c r="B12" s="538"/>
      <c r="C12" s="287" t="s">
        <v>1383</v>
      </c>
      <c r="D12" s="287" t="s">
        <v>1384</v>
      </c>
      <c r="E12" s="287"/>
      <c r="F12" s="287">
        <v>48.7</v>
      </c>
      <c r="G12" s="287"/>
      <c r="H12" s="287"/>
    </row>
    <row r="13" spans="1:8" s="275" customFormat="1" x14ac:dyDescent="0.15">
      <c r="A13" s="287" t="s">
        <v>1379</v>
      </c>
      <c r="B13" s="538"/>
      <c r="C13" s="287" t="s">
        <v>1380</v>
      </c>
      <c r="D13" s="287" t="s">
        <v>1381</v>
      </c>
      <c r="E13" s="287"/>
      <c r="F13" s="287">
        <v>348.4</v>
      </c>
      <c r="G13" s="287"/>
      <c r="H13" s="287"/>
    </row>
    <row r="14" spans="1:8" s="275" customFormat="1" x14ac:dyDescent="0.15">
      <c r="A14" s="287" t="s">
        <v>1385</v>
      </c>
      <c r="B14" s="538"/>
      <c r="C14" s="287" t="s">
        <v>1386</v>
      </c>
      <c r="D14" s="287" t="s">
        <v>1387</v>
      </c>
      <c r="E14" s="287"/>
      <c r="F14" s="287">
        <v>139.19999999999999</v>
      </c>
      <c r="G14" s="287"/>
      <c r="H14" s="287"/>
    </row>
    <row r="15" spans="1:8" s="275" customFormat="1" x14ac:dyDescent="0.15">
      <c r="A15" s="287" t="s">
        <v>1388</v>
      </c>
      <c r="B15" s="538"/>
      <c r="C15" s="287" t="s">
        <v>1284</v>
      </c>
      <c r="D15" s="287" t="s">
        <v>1285</v>
      </c>
      <c r="E15" s="287"/>
      <c r="F15" s="287">
        <v>89.4</v>
      </c>
      <c r="G15" s="287"/>
      <c r="H15" s="287"/>
    </row>
    <row r="16" spans="1:8" s="275" customFormat="1" x14ac:dyDescent="0.15">
      <c r="A16" s="275" t="s">
        <v>1394</v>
      </c>
      <c r="B16" s="479"/>
      <c r="C16" s="287" t="s">
        <v>1395</v>
      </c>
      <c r="D16" s="275" t="s">
        <v>1396</v>
      </c>
      <c r="F16" s="275">
        <v>199.2</v>
      </c>
    </row>
    <row r="17" spans="1:8" s="290" customFormat="1" ht="14" thickBot="1" x14ac:dyDescent="0.2">
      <c r="B17" s="478"/>
      <c r="C17" s="326" t="s">
        <v>1397</v>
      </c>
      <c r="F17" s="326">
        <f>SUM(F4:F16)</f>
        <v>2219.8000000000006</v>
      </c>
      <c r="H17" s="327">
        <v>7643.0700000000006</v>
      </c>
    </row>
    <row r="18" spans="1:8" s="275" customFormat="1" ht="14" thickTop="1" x14ac:dyDescent="0.15">
      <c r="B18" s="479"/>
    </row>
    <row r="19" spans="1:8" s="275" customFormat="1" x14ac:dyDescent="0.15">
      <c r="A19" s="287" t="s">
        <v>1398</v>
      </c>
      <c r="B19" s="538"/>
      <c r="C19" s="287" t="s">
        <v>1399</v>
      </c>
      <c r="D19" s="287" t="s">
        <v>1276</v>
      </c>
      <c r="E19" s="287"/>
      <c r="F19" s="287">
        <v>200</v>
      </c>
      <c r="G19" s="287"/>
      <c r="H19" s="287"/>
    </row>
    <row r="20" spans="1:8" s="275" customFormat="1" x14ac:dyDescent="0.15">
      <c r="A20" s="287" t="s">
        <v>1379</v>
      </c>
      <c r="B20" s="538"/>
      <c r="C20" s="287" t="s">
        <v>1380</v>
      </c>
      <c r="D20" s="287" t="s">
        <v>1381</v>
      </c>
      <c r="E20" s="287"/>
      <c r="F20" s="287">
        <v>233.1</v>
      </c>
      <c r="G20" s="287"/>
      <c r="H20" s="287"/>
    </row>
    <row r="21" spans="1:8" s="275" customFormat="1" x14ac:dyDescent="0.15">
      <c r="A21" s="287" t="s">
        <v>1389</v>
      </c>
      <c r="B21" s="538"/>
      <c r="C21" s="287" t="s">
        <v>1390</v>
      </c>
      <c r="D21" s="287" t="s">
        <v>1391</v>
      </c>
      <c r="E21" s="287"/>
      <c r="F21" s="287">
        <v>150</v>
      </c>
      <c r="G21" s="287"/>
      <c r="H21" s="287"/>
    </row>
    <row r="22" spans="1:8" s="275" customFormat="1" x14ac:dyDescent="0.15">
      <c r="A22" s="287" t="s">
        <v>1392</v>
      </c>
      <c r="B22" s="538"/>
      <c r="C22" s="287" t="s">
        <v>1390</v>
      </c>
      <c r="D22" s="287" t="s">
        <v>1393</v>
      </c>
      <c r="E22" s="287"/>
      <c r="F22" s="287">
        <v>150</v>
      </c>
      <c r="G22" s="287"/>
      <c r="H22" s="287"/>
    </row>
    <row r="23" spans="1:8" s="275" customFormat="1" x14ac:dyDescent="0.15">
      <c r="A23" s="287" t="s">
        <v>1400</v>
      </c>
      <c r="B23" s="538"/>
      <c r="C23" s="287" t="s">
        <v>1401</v>
      </c>
      <c r="D23" s="287" t="s">
        <v>1316</v>
      </c>
      <c r="E23" s="287"/>
      <c r="F23" s="287">
        <f>130.3+97.3</f>
        <v>227.60000000000002</v>
      </c>
      <c r="G23" s="287"/>
      <c r="H23" s="287"/>
    </row>
    <row r="24" spans="1:8" s="275" customFormat="1" x14ac:dyDescent="0.15">
      <c r="A24" s="287" t="s">
        <v>1379</v>
      </c>
      <c r="B24" s="538"/>
      <c r="C24" s="287" t="s">
        <v>1380</v>
      </c>
      <c r="D24" s="287" t="s">
        <v>1381</v>
      </c>
      <c r="E24" s="287"/>
      <c r="F24" s="287">
        <v>200.3</v>
      </c>
      <c r="G24" s="287"/>
      <c r="H24" s="287"/>
    </row>
    <row r="25" spans="1:8" s="290" customFormat="1" ht="14" thickBot="1" x14ac:dyDescent="0.2">
      <c r="B25" s="478"/>
      <c r="C25" s="326" t="s">
        <v>1402</v>
      </c>
      <c r="F25" s="326">
        <f>SUM(F19:F24)</f>
        <v>1161</v>
      </c>
      <c r="H25" s="327">
        <v>4132.7099999999991</v>
      </c>
    </row>
    <row r="26" spans="1:8" s="275" customFormat="1" ht="14" thickTop="1" x14ac:dyDescent="0.15">
      <c r="B26" s="479"/>
    </row>
    <row r="27" spans="1:8" s="275" customFormat="1" x14ac:dyDescent="0.15">
      <c r="B27" s="479"/>
    </row>
    <row r="28" spans="1:8" s="275" customFormat="1" x14ac:dyDescent="0.15">
      <c r="A28" s="287" t="s">
        <v>1379</v>
      </c>
      <c r="B28" s="538"/>
      <c r="C28" s="287" t="s">
        <v>1380</v>
      </c>
      <c r="D28" s="287" t="s">
        <v>1381</v>
      </c>
      <c r="E28" s="287"/>
      <c r="F28" s="287">
        <v>180.3</v>
      </c>
      <c r="G28" s="287"/>
      <c r="H28" s="287"/>
    </row>
    <row r="29" spans="1:8" s="290" customFormat="1" ht="14" thickBot="1" x14ac:dyDescent="0.2">
      <c r="B29" s="478"/>
      <c r="C29" s="326" t="s">
        <v>1403</v>
      </c>
      <c r="F29" s="326">
        <f>SUM(F28)</f>
        <v>180.3</v>
      </c>
      <c r="H29" s="327">
        <v>558.75</v>
      </c>
    </row>
    <row r="30" spans="1:8" s="275" customFormat="1" ht="14" thickTop="1" x14ac:dyDescent="0.15">
      <c r="B30" s="479"/>
    </row>
    <row r="32" spans="1:8" s="275" customFormat="1" x14ac:dyDescent="0.15">
      <c r="A32" s="287" t="s">
        <v>1385</v>
      </c>
      <c r="B32" s="538"/>
      <c r="C32" s="287" t="s">
        <v>1386</v>
      </c>
      <c r="D32" s="287" t="s">
        <v>1387</v>
      </c>
      <c r="E32" s="287"/>
      <c r="F32" s="287">
        <v>201.3</v>
      </c>
      <c r="G32" s="287"/>
      <c r="H32" s="287"/>
    </row>
    <row r="33" spans="1:8" s="275" customFormat="1" x14ac:dyDescent="0.15">
      <c r="A33" s="287" t="s">
        <v>1389</v>
      </c>
      <c r="B33" s="538"/>
      <c r="C33" s="287" t="s">
        <v>1390</v>
      </c>
      <c r="D33" s="287" t="s">
        <v>1391</v>
      </c>
      <c r="E33" s="287"/>
      <c r="F33" s="287">
        <v>50.7</v>
      </c>
      <c r="G33" s="287"/>
      <c r="H33" s="287"/>
    </row>
    <row r="34" spans="1:8" s="275" customFormat="1" x14ac:dyDescent="0.15">
      <c r="A34" s="287" t="s">
        <v>1388</v>
      </c>
      <c r="B34" s="538"/>
      <c r="C34" s="287" t="s">
        <v>1284</v>
      </c>
      <c r="D34" s="287" t="s">
        <v>1285</v>
      </c>
      <c r="E34" s="287"/>
      <c r="F34" s="287">
        <v>96.9</v>
      </c>
      <c r="G34" s="287"/>
      <c r="H34" s="287"/>
    </row>
    <row r="35" spans="1:8" s="275" customFormat="1" x14ac:dyDescent="0.15">
      <c r="A35" s="287" t="s">
        <v>1392</v>
      </c>
      <c r="B35" s="538"/>
      <c r="C35" s="287" t="s">
        <v>1390</v>
      </c>
      <c r="D35" s="287" t="s">
        <v>1393</v>
      </c>
      <c r="E35" s="287"/>
      <c r="F35" s="287">
        <v>100.2</v>
      </c>
      <c r="G35" s="287"/>
      <c r="H35" s="287"/>
    </row>
    <row r="36" spans="1:8" s="290" customFormat="1" ht="14" thickBot="1" x14ac:dyDescent="0.2">
      <c r="B36" s="478"/>
      <c r="C36" s="326" t="s">
        <v>1177</v>
      </c>
      <c r="F36" s="326">
        <f>SUM(F32:F35)</f>
        <v>449.09999999999997</v>
      </c>
      <c r="H36" s="327">
        <v>1369.3</v>
      </c>
    </row>
    <row r="37" spans="1:8" s="275" customFormat="1" ht="14" thickTop="1" x14ac:dyDescent="0.15">
      <c r="B37" s="479"/>
    </row>
    <row r="38" spans="1:8" s="275" customFormat="1" x14ac:dyDescent="0.15">
      <c r="A38" s="287" t="s">
        <v>1379</v>
      </c>
      <c r="B38" s="538"/>
      <c r="C38" s="287" t="s">
        <v>1380</v>
      </c>
      <c r="D38" s="287" t="s">
        <v>1381</v>
      </c>
      <c r="E38" s="287"/>
      <c r="F38" s="287">
        <v>155.69999999999999</v>
      </c>
      <c r="G38" s="287"/>
      <c r="H38" s="287"/>
    </row>
    <row r="39" spans="1:8" s="275" customFormat="1" x14ac:dyDescent="0.15">
      <c r="A39" s="287" t="s">
        <v>1379</v>
      </c>
      <c r="B39" s="538"/>
      <c r="C39" s="287" t="s">
        <v>1380</v>
      </c>
      <c r="D39" s="287" t="s">
        <v>1381</v>
      </c>
      <c r="E39" s="287"/>
      <c r="F39" s="287">
        <v>330</v>
      </c>
      <c r="G39" s="287"/>
      <c r="H39" s="287"/>
    </row>
    <row r="40" spans="1:8" s="275" customFormat="1" x14ac:dyDescent="0.15">
      <c r="A40" s="287" t="s">
        <v>1379</v>
      </c>
      <c r="B40" s="538"/>
      <c r="C40" s="287" t="s">
        <v>1380</v>
      </c>
      <c r="D40" s="287" t="s">
        <v>1381</v>
      </c>
      <c r="E40" s="287"/>
      <c r="F40" s="287">
        <v>162.9</v>
      </c>
      <c r="G40" s="287"/>
      <c r="H40" s="287"/>
    </row>
    <row r="41" spans="1:8" s="290" customFormat="1" ht="14" thickBot="1" x14ac:dyDescent="0.2">
      <c r="B41" s="478"/>
      <c r="C41" s="326" t="s">
        <v>1145</v>
      </c>
      <c r="F41" s="326">
        <f>SUM(F38:F40)</f>
        <v>648.6</v>
      </c>
      <c r="G41" s="539"/>
      <c r="H41" s="327">
        <v>2128.9699999999998</v>
      </c>
    </row>
    <row r="42" spans="1:8" s="275" customFormat="1" ht="14" thickTop="1" x14ac:dyDescent="0.15">
      <c r="B42" s="479"/>
      <c r="G42" s="539"/>
    </row>
    <row r="43" spans="1:8" s="275" customFormat="1" x14ac:dyDescent="0.15">
      <c r="B43" s="479"/>
      <c r="G43" s="539"/>
    </row>
    <row r="44" spans="1:8" s="275" customFormat="1" x14ac:dyDescent="0.15">
      <c r="A44" s="287" t="s">
        <v>1379</v>
      </c>
      <c r="B44" s="538"/>
      <c r="C44" s="287" t="s">
        <v>1380</v>
      </c>
      <c r="D44" s="287" t="s">
        <v>1381</v>
      </c>
      <c r="E44" s="287"/>
      <c r="F44" s="287">
        <v>329.9</v>
      </c>
      <c r="G44" s="539"/>
      <c r="H44" s="287"/>
    </row>
    <row r="45" spans="1:8" s="275" customFormat="1" x14ac:dyDescent="0.15">
      <c r="A45" s="275" t="s">
        <v>1400</v>
      </c>
      <c r="B45" s="479"/>
      <c r="C45" s="287" t="s">
        <v>1401</v>
      </c>
      <c r="D45" s="275" t="s">
        <v>1316</v>
      </c>
      <c r="F45" s="275">
        <v>8.8000000000000007</v>
      </c>
      <c r="G45" s="539"/>
    </row>
    <row r="46" spans="1:8" s="275" customFormat="1" x14ac:dyDescent="0.15">
      <c r="A46" s="287" t="s">
        <v>1392</v>
      </c>
      <c r="B46" s="538"/>
      <c r="C46" s="287" t="s">
        <v>1390</v>
      </c>
      <c r="D46" s="287" t="s">
        <v>1393</v>
      </c>
      <c r="E46" s="287"/>
      <c r="F46" s="287">
        <v>202.2</v>
      </c>
      <c r="G46" s="539"/>
      <c r="H46" s="287"/>
    </row>
    <row r="47" spans="1:8" s="275" customFormat="1" x14ac:dyDescent="0.15">
      <c r="A47" s="287" t="s">
        <v>1379</v>
      </c>
      <c r="B47" s="538"/>
      <c r="C47" s="287" t="s">
        <v>1380</v>
      </c>
      <c r="D47" s="287" t="s">
        <v>1381</v>
      </c>
      <c r="E47" s="287"/>
      <c r="F47" s="287">
        <v>327.2</v>
      </c>
      <c r="G47" s="539"/>
      <c r="H47" s="287"/>
    </row>
    <row r="48" spans="1:8" s="290" customFormat="1" ht="14" thickBot="1" x14ac:dyDescent="0.2">
      <c r="B48" s="478"/>
      <c r="C48" s="326" t="s">
        <v>1148</v>
      </c>
      <c r="F48" s="326">
        <f>SUM(F44:F47)</f>
        <v>868.09999999999991</v>
      </c>
      <c r="G48" s="539"/>
      <c r="H48" s="327">
        <v>3016.8499999999995</v>
      </c>
    </row>
    <row r="49" spans="1:9" s="275" customFormat="1" ht="14" thickTop="1" x14ac:dyDescent="0.15">
      <c r="B49" s="479"/>
      <c r="G49" s="539"/>
    </row>
    <row r="50" spans="1:9" s="275" customFormat="1" x14ac:dyDescent="0.15">
      <c r="A50" s="370" t="s">
        <v>1376</v>
      </c>
      <c r="B50" s="540"/>
      <c r="C50" s="371" t="s">
        <v>1377</v>
      </c>
      <c r="D50" s="371" t="s">
        <v>1378</v>
      </c>
      <c r="E50" s="541">
        <v>3.49</v>
      </c>
      <c r="F50" s="541">
        <v>81.5</v>
      </c>
      <c r="G50" s="542"/>
      <c r="H50" s="373">
        <v>284.44</v>
      </c>
    </row>
    <row r="51" spans="1:9" s="275" customFormat="1" x14ac:dyDescent="0.15">
      <c r="A51" s="374" t="s">
        <v>1404</v>
      </c>
      <c r="B51" s="538"/>
      <c r="C51" s="287" t="s">
        <v>1405</v>
      </c>
      <c r="D51" s="287" t="s">
        <v>1280</v>
      </c>
      <c r="E51" s="359"/>
      <c r="F51" s="359"/>
      <c r="G51" s="543"/>
      <c r="H51" s="375">
        <v>0</v>
      </c>
    </row>
    <row r="52" spans="1:9" s="275" customFormat="1" x14ac:dyDescent="0.15">
      <c r="A52" s="374" t="s">
        <v>1382</v>
      </c>
      <c r="B52" s="538"/>
      <c r="C52" s="287" t="s">
        <v>1383</v>
      </c>
      <c r="D52" s="287" t="s">
        <v>1384</v>
      </c>
      <c r="E52" s="359">
        <v>3.49</v>
      </c>
      <c r="F52" s="359">
        <v>4.5999999999999996</v>
      </c>
      <c r="G52" s="543"/>
      <c r="H52" s="375">
        <v>16.05</v>
      </c>
    </row>
    <row r="53" spans="1:9" s="275" customFormat="1" x14ac:dyDescent="0.15">
      <c r="A53" s="374" t="s">
        <v>1385</v>
      </c>
      <c r="B53" s="538"/>
      <c r="C53" s="287" t="s">
        <v>1386</v>
      </c>
      <c r="D53" s="287" t="s">
        <v>1387</v>
      </c>
      <c r="E53" s="359">
        <v>3.49</v>
      </c>
      <c r="F53" s="359">
        <v>98.9</v>
      </c>
      <c r="G53" s="543"/>
      <c r="H53" s="375">
        <v>345.16</v>
      </c>
    </row>
    <row r="54" spans="1:9" s="275" customFormat="1" x14ac:dyDescent="0.15">
      <c r="A54" s="374" t="s">
        <v>1388</v>
      </c>
      <c r="B54" s="538"/>
      <c r="C54" s="287" t="s">
        <v>1284</v>
      </c>
      <c r="D54" s="287" t="s">
        <v>1285</v>
      </c>
      <c r="E54" s="359">
        <v>3.49</v>
      </c>
      <c r="F54" s="359">
        <v>32</v>
      </c>
      <c r="G54" s="543"/>
      <c r="H54" s="375">
        <v>111.68</v>
      </c>
    </row>
    <row r="55" spans="1:9" s="275" customFormat="1" x14ac:dyDescent="0.15">
      <c r="A55" s="374" t="s">
        <v>1389</v>
      </c>
      <c r="B55" s="538"/>
      <c r="C55" s="287" t="s">
        <v>1390</v>
      </c>
      <c r="D55" s="287" t="s">
        <v>1391</v>
      </c>
      <c r="E55" s="359">
        <v>3.49</v>
      </c>
      <c r="F55" s="359">
        <v>165.6</v>
      </c>
      <c r="G55" s="543"/>
      <c r="H55" s="375">
        <v>616.96</v>
      </c>
    </row>
    <row r="56" spans="1:9" s="275" customFormat="1" x14ac:dyDescent="0.15">
      <c r="A56" s="374" t="s">
        <v>1379</v>
      </c>
      <c r="B56" s="538"/>
      <c r="C56" s="287" t="s">
        <v>1380</v>
      </c>
      <c r="D56" s="287" t="s">
        <v>1381</v>
      </c>
      <c r="E56" s="287">
        <v>3.6</v>
      </c>
      <c r="F56" s="287">
        <v>167</v>
      </c>
      <c r="G56" s="543"/>
      <c r="H56" s="375">
        <v>528.84</v>
      </c>
    </row>
    <row r="57" spans="1:9" s="275" customFormat="1" x14ac:dyDescent="0.15">
      <c r="A57" s="374" t="s">
        <v>1392</v>
      </c>
      <c r="B57" s="538"/>
      <c r="C57" s="287" t="s">
        <v>1390</v>
      </c>
      <c r="D57" s="287" t="s">
        <v>1393</v>
      </c>
      <c r="E57" s="287">
        <v>3.49</v>
      </c>
      <c r="F57" s="287">
        <v>143.5</v>
      </c>
      <c r="G57" s="543"/>
      <c r="H57" s="375">
        <v>500.82</v>
      </c>
    </row>
    <row r="58" spans="1:9" s="275" customFormat="1" x14ac:dyDescent="0.15">
      <c r="A58" s="376" t="s">
        <v>1400</v>
      </c>
      <c r="B58" s="544"/>
      <c r="C58" s="287" t="s">
        <v>1401</v>
      </c>
      <c r="D58" s="359" t="s">
        <v>1316</v>
      </c>
      <c r="E58" s="359"/>
      <c r="F58" s="359"/>
      <c r="G58" s="543"/>
      <c r="H58" s="375">
        <v>0</v>
      </c>
    </row>
    <row r="59" spans="1:9" s="290" customFormat="1" ht="14" thickBot="1" x14ac:dyDescent="0.2">
      <c r="A59" s="545"/>
      <c r="B59" s="475"/>
      <c r="C59" s="326" t="s">
        <v>1406</v>
      </c>
      <c r="D59" s="511"/>
      <c r="E59" s="511"/>
      <c r="F59" s="326">
        <f>SUM(F50:F58)</f>
        <v>693.1</v>
      </c>
      <c r="G59" s="543"/>
      <c r="H59" s="546">
        <v>2403.9499999999998</v>
      </c>
      <c r="I59" s="492">
        <f>H59-SUM(H50:H58)</f>
        <v>0</v>
      </c>
    </row>
    <row r="60" spans="1:9" s="275" customFormat="1" ht="14" thickTop="1" x14ac:dyDescent="0.15">
      <c r="A60" s="376"/>
      <c r="B60" s="544"/>
      <c r="C60" s="359"/>
      <c r="D60" s="359"/>
      <c r="E60" s="359"/>
      <c r="F60" s="359"/>
      <c r="G60" s="543"/>
      <c r="H60" s="547"/>
    </row>
    <row r="61" spans="1:9" s="275" customFormat="1" x14ac:dyDescent="0.15">
      <c r="A61" s="376"/>
      <c r="B61" s="544"/>
      <c r="C61" s="359"/>
      <c r="D61" s="378" t="s">
        <v>1407</v>
      </c>
      <c r="E61" s="359"/>
      <c r="F61" s="359"/>
      <c r="G61" s="543"/>
      <c r="H61" s="547"/>
    </row>
    <row r="62" spans="1:9" s="275" customFormat="1" x14ac:dyDescent="0.15">
      <c r="A62" s="376"/>
      <c r="B62" s="544"/>
      <c r="C62" s="359"/>
      <c r="D62" s="378" t="s">
        <v>1408</v>
      </c>
      <c r="E62" s="359"/>
      <c r="F62" s="359"/>
      <c r="G62" s="543"/>
      <c r="H62" s="547"/>
    </row>
    <row r="63" spans="1:9" s="275" customFormat="1" x14ac:dyDescent="0.15">
      <c r="A63" s="376"/>
      <c r="B63" s="544"/>
      <c r="C63" s="359"/>
      <c r="D63" s="379">
        <v>41204</v>
      </c>
      <c r="E63" s="359"/>
      <c r="F63" s="359"/>
      <c r="G63" s="543"/>
      <c r="H63" s="547"/>
    </row>
    <row r="64" spans="1:9" s="275" customFormat="1" x14ac:dyDescent="0.15">
      <c r="A64" s="376"/>
      <c r="B64" s="544"/>
      <c r="C64" s="359"/>
      <c r="D64" s="359"/>
      <c r="E64" s="359"/>
      <c r="F64" s="359"/>
      <c r="G64" s="543"/>
      <c r="H64" s="547"/>
    </row>
    <row r="65" spans="1:8" s="275" customFormat="1" x14ac:dyDescent="0.15">
      <c r="A65" s="374" t="s">
        <v>1376</v>
      </c>
      <c r="B65" s="538"/>
      <c r="C65" s="287" t="s">
        <v>1377</v>
      </c>
      <c r="D65" s="287" t="s">
        <v>1378</v>
      </c>
      <c r="E65" s="287">
        <v>3.6</v>
      </c>
      <c r="F65" s="287">
        <v>52.8</v>
      </c>
      <c r="G65" s="543">
        <v>41206</v>
      </c>
      <c r="H65" s="381">
        <v>190.08</v>
      </c>
    </row>
    <row r="66" spans="1:8" s="275" customFormat="1" x14ac:dyDescent="0.15">
      <c r="A66" s="374" t="s">
        <v>1404</v>
      </c>
      <c r="B66" s="538"/>
      <c r="C66" s="287" t="s">
        <v>1405</v>
      </c>
      <c r="D66" s="287" t="s">
        <v>1280</v>
      </c>
      <c r="E66" s="287"/>
      <c r="F66" s="287"/>
      <c r="G66" s="543"/>
      <c r="H66" s="381">
        <v>0</v>
      </c>
    </row>
    <row r="67" spans="1:8" s="275" customFormat="1" x14ac:dyDescent="0.15">
      <c r="A67" s="374" t="s">
        <v>1382</v>
      </c>
      <c r="B67" s="538"/>
      <c r="C67" s="287" t="s">
        <v>1383</v>
      </c>
      <c r="D67" s="287" t="s">
        <v>1384</v>
      </c>
      <c r="E67" s="287">
        <v>3.6</v>
      </c>
      <c r="F67" s="287">
        <v>6.9</v>
      </c>
      <c r="G67" s="543">
        <v>41206</v>
      </c>
      <c r="H67" s="381">
        <v>24.84</v>
      </c>
    </row>
    <row r="68" spans="1:8" s="275" customFormat="1" x14ac:dyDescent="0.15">
      <c r="A68" s="374" t="s">
        <v>1385</v>
      </c>
      <c r="B68" s="538"/>
      <c r="C68" s="287" t="s">
        <v>1386</v>
      </c>
      <c r="D68" s="287" t="s">
        <v>1387</v>
      </c>
      <c r="E68" s="287">
        <v>3.6</v>
      </c>
      <c r="F68" s="287">
        <v>101.3</v>
      </c>
      <c r="G68" s="543">
        <v>41206</v>
      </c>
      <c r="H68" s="381">
        <v>364.68</v>
      </c>
    </row>
    <row r="69" spans="1:8" s="275" customFormat="1" x14ac:dyDescent="0.15">
      <c r="A69" s="374" t="s">
        <v>1388</v>
      </c>
      <c r="B69" s="538"/>
      <c r="C69" s="287" t="s">
        <v>1284</v>
      </c>
      <c r="D69" s="287" t="s">
        <v>1285</v>
      </c>
      <c r="E69" s="287">
        <v>3.6</v>
      </c>
      <c r="F69" s="287">
        <v>58.5</v>
      </c>
      <c r="G69" s="543">
        <v>41206</v>
      </c>
      <c r="H69" s="381">
        <v>210.6</v>
      </c>
    </row>
    <row r="70" spans="1:8" s="275" customFormat="1" x14ac:dyDescent="0.15">
      <c r="A70" s="374" t="s">
        <v>1389</v>
      </c>
      <c r="B70" s="538"/>
      <c r="C70" s="287" t="s">
        <v>1390</v>
      </c>
      <c r="D70" s="287" t="s">
        <v>1391</v>
      </c>
      <c r="E70" s="287">
        <v>3.6</v>
      </c>
      <c r="F70" s="287">
        <v>138.19999999999999</v>
      </c>
      <c r="G70" s="543">
        <v>41206</v>
      </c>
      <c r="H70" s="381">
        <v>497.52</v>
      </c>
    </row>
    <row r="71" spans="1:8" s="275" customFormat="1" x14ac:dyDescent="0.15">
      <c r="A71" s="374" t="s">
        <v>1379</v>
      </c>
      <c r="B71" s="538"/>
      <c r="C71" s="287" t="s">
        <v>1380</v>
      </c>
      <c r="D71" s="287" t="s">
        <v>1381</v>
      </c>
      <c r="E71" s="287"/>
      <c r="F71" s="287"/>
      <c r="G71" s="543"/>
      <c r="H71" s="381">
        <v>0</v>
      </c>
    </row>
    <row r="72" spans="1:8" s="275" customFormat="1" x14ac:dyDescent="0.15">
      <c r="A72" s="374" t="s">
        <v>1392</v>
      </c>
      <c r="B72" s="538"/>
      <c r="C72" s="287" t="s">
        <v>1390</v>
      </c>
      <c r="D72" s="287" t="s">
        <v>1393</v>
      </c>
      <c r="E72" s="287">
        <v>3.6</v>
      </c>
      <c r="F72" s="287">
        <v>166.3</v>
      </c>
      <c r="G72" s="543">
        <v>41206</v>
      </c>
      <c r="H72" s="381">
        <v>598.67999999999995</v>
      </c>
    </row>
    <row r="73" spans="1:8" s="275" customFormat="1" x14ac:dyDescent="0.15">
      <c r="A73" s="374" t="s">
        <v>1400</v>
      </c>
      <c r="B73" s="538"/>
      <c r="C73" s="287" t="s">
        <v>1401</v>
      </c>
      <c r="D73" s="287" t="s">
        <v>1316</v>
      </c>
      <c r="E73" s="287"/>
      <c r="F73" s="287"/>
      <c r="G73" s="543"/>
      <c r="H73" s="381">
        <v>0</v>
      </c>
    </row>
    <row r="74" spans="1:8" s="275" customFormat="1" ht="14" thickBot="1" x14ac:dyDescent="0.2">
      <c r="A74" s="548"/>
      <c r="B74" s="474"/>
      <c r="C74" s="291" t="s">
        <v>1406</v>
      </c>
      <c r="D74" s="293"/>
      <c r="E74" s="293"/>
      <c r="F74" s="291">
        <f>SUM(F65:F73)</f>
        <v>524</v>
      </c>
      <c r="G74" s="543"/>
      <c r="H74" s="389">
        <v>1886.4</v>
      </c>
    </row>
    <row r="75" spans="1:8" s="275" customFormat="1" ht="14" thickTop="1" x14ac:dyDescent="0.15">
      <c r="A75" s="374"/>
      <c r="B75" s="538"/>
      <c r="C75" s="287"/>
      <c r="D75" s="287"/>
      <c r="E75" s="287"/>
      <c r="F75" s="287"/>
      <c r="G75" s="543"/>
      <c r="H75" s="549"/>
    </row>
    <row r="76" spans="1:8" s="275" customFormat="1" x14ac:dyDescent="0.15">
      <c r="A76" s="374"/>
      <c r="B76" s="538"/>
      <c r="C76" s="287"/>
      <c r="D76" s="378" t="s">
        <v>1407</v>
      </c>
      <c r="E76" s="287"/>
      <c r="F76" s="287"/>
      <c r="G76" s="543"/>
      <c r="H76" s="549"/>
    </row>
    <row r="77" spans="1:8" s="275" customFormat="1" x14ac:dyDescent="0.15">
      <c r="A77" s="374"/>
      <c r="B77" s="538"/>
      <c r="C77" s="287"/>
      <c r="D77" s="378" t="s">
        <v>1408</v>
      </c>
      <c r="E77" s="287"/>
      <c r="F77" s="287"/>
      <c r="G77" s="543"/>
      <c r="H77" s="549"/>
    </row>
    <row r="78" spans="1:8" s="275" customFormat="1" x14ac:dyDescent="0.15">
      <c r="A78" s="374"/>
      <c r="B78" s="538"/>
      <c r="C78" s="287"/>
      <c r="D78" s="386">
        <v>41212</v>
      </c>
      <c r="E78" s="287"/>
      <c r="F78" s="287"/>
      <c r="G78" s="543"/>
      <c r="H78" s="549"/>
    </row>
    <row r="79" spans="1:8" s="275" customFormat="1" x14ac:dyDescent="0.15">
      <c r="A79" s="376"/>
      <c r="B79" s="544"/>
      <c r="C79" s="359"/>
      <c r="D79" s="359"/>
      <c r="E79" s="359"/>
      <c r="F79" s="359"/>
      <c r="G79" s="543"/>
      <c r="H79" s="547"/>
    </row>
    <row r="80" spans="1:8" s="275" customFormat="1" x14ac:dyDescent="0.15">
      <c r="A80" s="374" t="s">
        <v>1400</v>
      </c>
      <c r="B80" s="538"/>
      <c r="C80" s="287" t="s">
        <v>1401</v>
      </c>
      <c r="D80" s="287" t="s">
        <v>1316</v>
      </c>
      <c r="E80" s="287">
        <v>3.6</v>
      </c>
      <c r="F80" s="287">
        <v>143.4</v>
      </c>
      <c r="G80" s="543">
        <v>41208</v>
      </c>
      <c r="H80" s="381">
        <v>516.24</v>
      </c>
    </row>
    <row r="81" spans="1:8" s="275" customFormat="1" ht="14" thickBot="1" x14ac:dyDescent="0.2">
      <c r="A81" s="548"/>
      <c r="B81" s="474"/>
      <c r="C81" s="291" t="s">
        <v>1406</v>
      </c>
      <c r="D81" s="293"/>
      <c r="E81" s="293"/>
      <c r="F81" s="291">
        <f>SUM(F80:F80)</f>
        <v>143.4</v>
      </c>
      <c r="G81" s="543"/>
      <c r="H81" s="389">
        <v>516.24</v>
      </c>
    </row>
    <row r="82" spans="1:8" s="275" customFormat="1" ht="14" thickTop="1" x14ac:dyDescent="0.15">
      <c r="A82" s="374"/>
      <c r="B82" s="538"/>
      <c r="C82" s="287"/>
      <c r="D82" s="287"/>
      <c r="E82" s="287"/>
      <c r="F82" s="287"/>
      <c r="G82" s="543"/>
      <c r="H82" s="549"/>
    </row>
    <row r="83" spans="1:8" s="275" customFormat="1" x14ac:dyDescent="0.15">
      <c r="A83" s="374"/>
      <c r="B83" s="538"/>
      <c r="C83" s="287"/>
      <c r="D83" s="378" t="s">
        <v>1407</v>
      </c>
      <c r="E83" s="287"/>
      <c r="F83" s="287"/>
      <c r="G83" s="543"/>
      <c r="H83" s="549"/>
    </row>
    <row r="84" spans="1:8" s="275" customFormat="1" x14ac:dyDescent="0.15">
      <c r="A84" s="374"/>
      <c r="B84" s="538"/>
      <c r="C84" s="287"/>
      <c r="D84" s="378" t="s">
        <v>1408</v>
      </c>
      <c r="E84" s="287"/>
      <c r="F84" s="287"/>
      <c r="G84" s="543"/>
      <c r="H84" s="549"/>
    </row>
    <row r="85" spans="1:8" s="275" customFormat="1" x14ac:dyDescent="0.15">
      <c r="A85" s="374"/>
      <c r="B85" s="538"/>
      <c r="C85" s="287"/>
      <c r="D85" s="386">
        <v>41213</v>
      </c>
      <c r="E85" s="287"/>
      <c r="F85" s="287"/>
      <c r="G85" s="543"/>
      <c r="H85" s="549"/>
    </row>
    <row r="86" spans="1:8" s="275" customFormat="1" x14ac:dyDescent="0.15">
      <c r="A86" s="376"/>
      <c r="B86" s="544"/>
      <c r="C86" s="359"/>
      <c r="D86" s="359"/>
      <c r="E86" s="359"/>
      <c r="F86" s="359"/>
      <c r="G86" s="543"/>
      <c r="H86" s="547"/>
    </row>
    <row r="87" spans="1:8" s="275" customFormat="1" ht="14" thickBot="1" x14ac:dyDescent="0.2">
      <c r="A87" s="387"/>
      <c r="B87" s="550"/>
      <c r="C87" s="326" t="s">
        <v>1154</v>
      </c>
      <c r="D87" s="388"/>
      <c r="E87" s="388"/>
      <c r="F87" s="291">
        <f>SUM(F59,F74,F81)</f>
        <v>1360.5</v>
      </c>
      <c r="G87" s="551"/>
      <c r="H87" s="389">
        <v>4806.59</v>
      </c>
    </row>
    <row r="88" spans="1:8" s="275" customFormat="1" ht="14" thickTop="1" x14ac:dyDescent="0.15">
      <c r="B88" s="479"/>
      <c r="G88" s="539"/>
    </row>
    <row r="89" spans="1:8" s="275" customFormat="1" x14ac:dyDescent="0.15">
      <c r="A89" s="370" t="s">
        <v>1376</v>
      </c>
      <c r="B89" s="540">
        <v>28431</v>
      </c>
      <c r="C89" s="371" t="s">
        <v>1377</v>
      </c>
      <c r="D89" s="371" t="s">
        <v>1378</v>
      </c>
      <c r="E89" s="371">
        <v>3.4099599999999999</v>
      </c>
      <c r="F89" s="371">
        <v>109.4</v>
      </c>
      <c r="G89" s="542">
        <v>41228</v>
      </c>
      <c r="H89" s="391">
        <v>373.05</v>
      </c>
    </row>
    <row r="90" spans="1:8" s="275" customFormat="1" x14ac:dyDescent="0.15">
      <c r="A90" s="374" t="s">
        <v>1376</v>
      </c>
      <c r="B90" s="538">
        <v>30191</v>
      </c>
      <c r="C90" s="287" t="s">
        <v>1377</v>
      </c>
      <c r="D90" s="287" t="s">
        <v>1378</v>
      </c>
      <c r="E90" s="287">
        <v>3.4799600000000002</v>
      </c>
      <c r="F90" s="287">
        <v>112.8</v>
      </c>
      <c r="G90" s="543">
        <v>41240</v>
      </c>
      <c r="H90" s="381">
        <v>392.54</v>
      </c>
    </row>
    <row r="91" spans="1:8" s="275" customFormat="1" x14ac:dyDescent="0.15">
      <c r="A91" s="374" t="s">
        <v>1404</v>
      </c>
      <c r="B91" s="538"/>
      <c r="C91" s="287" t="s">
        <v>1405</v>
      </c>
      <c r="D91" s="287" t="s">
        <v>1280</v>
      </c>
      <c r="E91" s="287"/>
      <c r="F91" s="287"/>
      <c r="G91" s="543"/>
      <c r="H91" s="381">
        <v>0</v>
      </c>
    </row>
    <row r="92" spans="1:8" s="275" customFormat="1" x14ac:dyDescent="0.15">
      <c r="A92" s="374" t="s">
        <v>1382</v>
      </c>
      <c r="B92" s="538">
        <v>28430</v>
      </c>
      <c r="C92" s="287" t="s">
        <v>1383</v>
      </c>
      <c r="D92" s="287" t="s">
        <v>1384</v>
      </c>
      <c r="E92" s="287">
        <v>3.4100600000000001</v>
      </c>
      <c r="F92" s="287">
        <v>52.7</v>
      </c>
      <c r="G92" s="543">
        <v>41228</v>
      </c>
      <c r="H92" s="381">
        <v>179.71</v>
      </c>
    </row>
    <row r="93" spans="1:8" s="275" customFormat="1" x14ac:dyDescent="0.15">
      <c r="A93" s="374" t="s">
        <v>1382</v>
      </c>
      <c r="B93" s="538">
        <v>30189</v>
      </c>
      <c r="C93" s="287" t="s">
        <v>1383</v>
      </c>
      <c r="D93" s="287" t="s">
        <v>1384</v>
      </c>
      <c r="E93" s="287">
        <v>3.47993</v>
      </c>
      <c r="F93" s="287">
        <v>60.3</v>
      </c>
      <c r="G93" s="543">
        <v>41240</v>
      </c>
      <c r="H93" s="381">
        <v>209.84</v>
      </c>
    </row>
    <row r="94" spans="1:8" s="275" customFormat="1" x14ac:dyDescent="0.15">
      <c r="A94" s="374" t="s">
        <v>1385</v>
      </c>
      <c r="B94" s="538">
        <v>28414</v>
      </c>
      <c r="C94" s="287" t="s">
        <v>1386</v>
      </c>
      <c r="D94" s="287" t="s">
        <v>1387</v>
      </c>
      <c r="E94" s="287">
        <v>3.40998</v>
      </c>
      <c r="F94" s="287">
        <v>175.3</v>
      </c>
      <c r="G94" s="543">
        <v>41228</v>
      </c>
      <c r="H94" s="381">
        <v>597.77</v>
      </c>
    </row>
    <row r="95" spans="1:8" s="275" customFormat="1" x14ac:dyDescent="0.15">
      <c r="A95" s="374" t="s">
        <v>1385</v>
      </c>
      <c r="B95" s="538">
        <v>30182</v>
      </c>
      <c r="C95" s="287" t="s">
        <v>1386</v>
      </c>
      <c r="D95" s="287" t="s">
        <v>1387</v>
      </c>
      <c r="E95" s="287">
        <v>3.48001</v>
      </c>
      <c r="F95" s="287">
        <v>138.6</v>
      </c>
      <c r="G95" s="543">
        <v>41240</v>
      </c>
      <c r="H95" s="381">
        <v>482.33</v>
      </c>
    </row>
    <row r="96" spans="1:8" s="275" customFormat="1" x14ac:dyDescent="0.15">
      <c r="A96" s="374" t="s">
        <v>1388</v>
      </c>
      <c r="B96" s="538">
        <v>28407</v>
      </c>
      <c r="C96" s="287" t="s">
        <v>1284</v>
      </c>
      <c r="D96" s="287" t="s">
        <v>1285</v>
      </c>
      <c r="E96" s="287">
        <v>3.41</v>
      </c>
      <c r="F96" s="287">
        <v>98</v>
      </c>
      <c r="G96" s="543">
        <v>41228</v>
      </c>
      <c r="H96" s="381">
        <v>334.18</v>
      </c>
    </row>
    <row r="97" spans="1:8" s="275" customFormat="1" x14ac:dyDescent="0.15">
      <c r="A97" s="374" t="s">
        <v>1388</v>
      </c>
      <c r="B97" s="538">
        <v>30177</v>
      </c>
      <c r="C97" s="287" t="s">
        <v>1284</v>
      </c>
      <c r="D97" s="287" t="s">
        <v>1285</v>
      </c>
      <c r="E97" s="287">
        <v>3.4799799999999999</v>
      </c>
      <c r="F97" s="287">
        <v>88.4</v>
      </c>
      <c r="G97" s="543">
        <v>41240</v>
      </c>
      <c r="H97" s="381">
        <v>307.63</v>
      </c>
    </row>
    <row r="98" spans="1:8" s="275" customFormat="1" x14ac:dyDescent="0.15">
      <c r="A98" s="374" t="s">
        <v>1389</v>
      </c>
      <c r="B98" s="538">
        <v>28408</v>
      </c>
      <c r="C98" s="287" t="s">
        <v>1390</v>
      </c>
      <c r="D98" s="287" t="s">
        <v>1391</v>
      </c>
      <c r="E98" s="287">
        <v>3.4100199999999998</v>
      </c>
      <c r="F98" s="287">
        <v>191.7</v>
      </c>
      <c r="G98" s="543">
        <v>41228</v>
      </c>
      <c r="H98" s="381">
        <v>653.70000000000005</v>
      </c>
    </row>
    <row r="99" spans="1:8" s="275" customFormat="1" x14ac:dyDescent="0.15">
      <c r="A99" s="374" t="s">
        <v>1389</v>
      </c>
      <c r="B99" s="538">
        <v>30178</v>
      </c>
      <c r="C99" s="287" t="s">
        <v>1390</v>
      </c>
      <c r="D99" s="287" t="s">
        <v>1391</v>
      </c>
      <c r="E99" s="287">
        <v>3.4800200000000001</v>
      </c>
      <c r="F99" s="287">
        <v>223.2</v>
      </c>
      <c r="G99" s="543">
        <v>41240</v>
      </c>
      <c r="H99" s="381">
        <v>776.74</v>
      </c>
    </row>
    <row r="100" spans="1:8" s="275" customFormat="1" x14ac:dyDescent="0.15">
      <c r="A100" s="374" t="s">
        <v>1379</v>
      </c>
      <c r="B100" s="538">
        <v>27866</v>
      </c>
      <c r="C100" s="287" t="s">
        <v>1380</v>
      </c>
      <c r="D100" s="287" t="s">
        <v>1381</v>
      </c>
      <c r="E100" s="287">
        <v>3.4899900000000001</v>
      </c>
      <c r="F100" s="287">
        <v>167.8</v>
      </c>
      <c r="G100" s="543">
        <v>41213</v>
      </c>
      <c r="H100" s="381">
        <v>585.62</v>
      </c>
    </row>
    <row r="101" spans="1:8" s="275" customFormat="1" x14ac:dyDescent="0.15">
      <c r="A101" s="374" t="s">
        <v>1379</v>
      </c>
      <c r="B101" s="538">
        <v>29756</v>
      </c>
      <c r="C101" s="287" t="s">
        <v>1380</v>
      </c>
      <c r="D101" s="287" t="s">
        <v>1381</v>
      </c>
      <c r="E101" s="287">
        <v>3.48001</v>
      </c>
      <c r="F101" s="287">
        <v>352.6</v>
      </c>
      <c r="G101" s="543">
        <v>41234</v>
      </c>
      <c r="H101" s="381">
        <v>1263.2299999999998</v>
      </c>
    </row>
    <row r="102" spans="1:8" s="275" customFormat="1" x14ac:dyDescent="0.15">
      <c r="A102" s="374" t="s">
        <v>1392</v>
      </c>
      <c r="B102" s="538">
        <v>28409</v>
      </c>
      <c r="C102" s="287" t="s">
        <v>1390</v>
      </c>
      <c r="D102" s="287" t="s">
        <v>1393</v>
      </c>
      <c r="E102" s="287">
        <v>3.4099900000000001</v>
      </c>
      <c r="F102" s="287">
        <v>271.2</v>
      </c>
      <c r="G102" s="543">
        <v>41228</v>
      </c>
      <c r="H102" s="381">
        <v>924.79</v>
      </c>
    </row>
    <row r="103" spans="1:8" s="275" customFormat="1" x14ac:dyDescent="0.15">
      <c r="A103" s="374" t="s">
        <v>1392</v>
      </c>
      <c r="B103" s="538">
        <v>30179</v>
      </c>
      <c r="C103" s="287" t="s">
        <v>1390</v>
      </c>
      <c r="D103" s="287" t="s">
        <v>1393</v>
      </c>
      <c r="E103" s="287">
        <v>3.48001</v>
      </c>
      <c r="F103" s="287">
        <v>168.6</v>
      </c>
      <c r="G103" s="543">
        <v>41240</v>
      </c>
      <c r="H103" s="381">
        <v>586.73</v>
      </c>
    </row>
    <row r="104" spans="1:8" s="275" customFormat="1" x14ac:dyDescent="0.15">
      <c r="A104" s="374" t="s">
        <v>1400</v>
      </c>
      <c r="B104" s="538">
        <v>30391</v>
      </c>
      <c r="C104" s="287" t="s">
        <v>1401</v>
      </c>
      <c r="D104" s="287" t="s">
        <v>1316</v>
      </c>
      <c r="E104" s="287">
        <v>3.4800300000000002</v>
      </c>
      <c r="F104" s="287">
        <v>155.19999999999999</v>
      </c>
      <c r="G104" s="543">
        <v>41240</v>
      </c>
      <c r="H104" s="381">
        <v>540.1</v>
      </c>
    </row>
    <row r="105" spans="1:8" s="275" customFormat="1" ht="14" thickBot="1" x14ac:dyDescent="0.2">
      <c r="A105" s="548"/>
      <c r="B105" s="474"/>
      <c r="C105" s="291" t="s">
        <v>1406</v>
      </c>
      <c r="D105" s="293"/>
      <c r="E105" s="293"/>
      <c r="F105" s="291">
        <f>SUM(F89:F104)</f>
        <v>2365.8000000000002</v>
      </c>
      <c r="G105" s="543"/>
      <c r="H105" s="389">
        <v>8207.9599999999991</v>
      </c>
    </row>
    <row r="106" spans="1:8" s="275" customFormat="1" ht="14" thickTop="1" x14ac:dyDescent="0.15">
      <c r="A106" s="374"/>
      <c r="B106" s="538"/>
      <c r="C106" s="287"/>
      <c r="D106" s="287"/>
      <c r="E106" s="287"/>
      <c r="F106" s="287"/>
      <c r="G106" s="543"/>
      <c r="H106" s="549"/>
    </row>
    <row r="107" spans="1:8" s="275" customFormat="1" x14ac:dyDescent="0.15">
      <c r="A107" s="374"/>
      <c r="B107" s="538"/>
      <c r="C107" s="287"/>
      <c r="D107" s="378" t="s">
        <v>1407</v>
      </c>
      <c r="E107" s="287"/>
      <c r="F107" s="287"/>
      <c r="G107" s="543"/>
      <c r="H107" s="549"/>
    </row>
    <row r="108" spans="1:8" s="275" customFormat="1" x14ac:dyDescent="0.15">
      <c r="A108" s="374"/>
      <c r="B108" s="538"/>
      <c r="C108" s="287"/>
      <c r="D108" s="378" t="s">
        <v>1408</v>
      </c>
      <c r="E108" s="287"/>
      <c r="F108" s="287"/>
      <c r="G108" s="543"/>
      <c r="H108" s="549"/>
    </row>
    <row r="109" spans="1:8" s="275" customFormat="1" x14ac:dyDescent="0.15">
      <c r="A109" s="374"/>
      <c r="B109" s="538"/>
      <c r="C109" s="287"/>
      <c r="D109" s="386">
        <v>41254</v>
      </c>
      <c r="E109" s="287"/>
      <c r="F109" s="287"/>
      <c r="G109" s="543"/>
      <c r="H109" s="549"/>
    </row>
    <row r="110" spans="1:8" s="275" customFormat="1" x14ac:dyDescent="0.15">
      <c r="A110" s="399"/>
      <c r="B110" s="552"/>
      <c r="C110" s="400"/>
      <c r="D110" s="400"/>
      <c r="E110" s="400"/>
      <c r="F110" s="400"/>
      <c r="G110" s="553"/>
      <c r="H110" s="554"/>
    </row>
    <row r="111" spans="1:8" s="275" customFormat="1" ht="14" thickBot="1" x14ac:dyDescent="0.2">
      <c r="A111" s="387"/>
      <c r="B111" s="550"/>
      <c r="C111" s="326" t="s">
        <v>1164</v>
      </c>
      <c r="D111" s="388"/>
      <c r="E111" s="388"/>
      <c r="F111" s="291">
        <f>SUM(F105)</f>
        <v>2365.8000000000002</v>
      </c>
      <c r="G111" s="551"/>
      <c r="H111" s="389">
        <v>8207.9599999999991</v>
      </c>
    </row>
    <row r="112" spans="1:8" s="275" customFormat="1" ht="14" thickTop="1" x14ac:dyDescent="0.15">
      <c r="B112" s="479"/>
      <c r="G112" s="539"/>
    </row>
    <row r="113" spans="1:8" s="275" customFormat="1" x14ac:dyDescent="0.15">
      <c r="A113" s="370" t="s">
        <v>1376</v>
      </c>
      <c r="B113" s="540">
        <v>31155</v>
      </c>
      <c r="C113" s="371" t="s">
        <v>1377</v>
      </c>
      <c r="D113" s="371" t="s">
        <v>1378</v>
      </c>
      <c r="E113" s="371">
        <v>3.32999</v>
      </c>
      <c r="F113" s="371">
        <v>129.69999999999999</v>
      </c>
      <c r="G113" s="542">
        <v>41254</v>
      </c>
      <c r="H113" s="391">
        <v>431.9</v>
      </c>
    </row>
    <row r="114" spans="1:8" s="275" customFormat="1" x14ac:dyDescent="0.15">
      <c r="A114" s="374" t="s">
        <v>1376</v>
      </c>
      <c r="B114" s="538">
        <v>32174</v>
      </c>
      <c r="C114" s="287" t="s">
        <v>1377</v>
      </c>
      <c r="D114" s="287" t="s">
        <v>1378</v>
      </c>
      <c r="E114" s="287">
        <v>3.43</v>
      </c>
      <c r="F114" s="287">
        <v>164</v>
      </c>
      <c r="G114" s="543">
        <v>41269</v>
      </c>
      <c r="H114" s="381">
        <v>562.52</v>
      </c>
    </row>
    <row r="115" spans="1:8" s="275" customFormat="1" x14ac:dyDescent="0.15">
      <c r="A115" s="374" t="s">
        <v>1404</v>
      </c>
      <c r="B115" s="538"/>
      <c r="C115" s="287" t="s">
        <v>1405</v>
      </c>
      <c r="D115" s="287" t="s">
        <v>1280</v>
      </c>
      <c r="E115" s="287"/>
      <c r="F115" s="287"/>
      <c r="G115" s="543"/>
      <c r="H115" s="381">
        <v>0</v>
      </c>
    </row>
    <row r="116" spans="1:8" s="275" customFormat="1" x14ac:dyDescent="0.15">
      <c r="A116" s="374" t="s">
        <v>1382</v>
      </c>
      <c r="B116" s="538">
        <v>31154</v>
      </c>
      <c r="C116" s="287" t="s">
        <v>1383</v>
      </c>
      <c r="D116" s="287" t="s">
        <v>1384</v>
      </c>
      <c r="E116" s="287">
        <v>3.3300299999999998</v>
      </c>
      <c r="F116" s="287">
        <v>72.599999999999994</v>
      </c>
      <c r="G116" s="543">
        <v>41254</v>
      </c>
      <c r="H116" s="381">
        <v>241.76</v>
      </c>
    </row>
    <row r="117" spans="1:8" s="275" customFormat="1" x14ac:dyDescent="0.15">
      <c r="A117" s="374" t="s">
        <v>1382</v>
      </c>
      <c r="B117" s="538">
        <v>32172</v>
      </c>
      <c r="C117" s="287" t="s">
        <v>1383</v>
      </c>
      <c r="D117" s="287" t="s">
        <v>1384</v>
      </c>
      <c r="E117" s="287">
        <v>3.43004</v>
      </c>
      <c r="F117" s="287">
        <v>98.2</v>
      </c>
      <c r="G117" s="543">
        <v>41269</v>
      </c>
      <c r="H117" s="381">
        <v>336.83</v>
      </c>
    </row>
    <row r="118" spans="1:8" s="275" customFormat="1" x14ac:dyDescent="0.15">
      <c r="A118" s="374" t="s">
        <v>1385</v>
      </c>
      <c r="B118" s="538">
        <v>30995</v>
      </c>
      <c r="C118" s="287" t="s">
        <v>1386</v>
      </c>
      <c r="D118" s="287" t="s">
        <v>1387</v>
      </c>
      <c r="E118" s="287">
        <v>3.4300199999999998</v>
      </c>
      <c r="F118" s="287">
        <v>83.6</v>
      </c>
      <c r="G118" s="543">
        <v>41247</v>
      </c>
      <c r="H118" s="381">
        <v>286.75</v>
      </c>
    </row>
    <row r="119" spans="1:8" s="275" customFormat="1" x14ac:dyDescent="0.15">
      <c r="A119" s="374" t="s">
        <v>1385</v>
      </c>
      <c r="B119" s="538">
        <v>31808</v>
      </c>
      <c r="C119" s="287" t="s">
        <v>1386</v>
      </c>
      <c r="D119" s="287" t="s">
        <v>1387</v>
      </c>
      <c r="E119" s="287">
        <v>3.32999</v>
      </c>
      <c r="F119" s="287">
        <v>150.4</v>
      </c>
      <c r="G119" s="543">
        <v>41261</v>
      </c>
      <c r="H119" s="381">
        <v>500.83</v>
      </c>
    </row>
    <row r="120" spans="1:8" s="275" customFormat="1" x14ac:dyDescent="0.15">
      <c r="A120" s="374" t="s">
        <v>1385</v>
      </c>
      <c r="B120" s="538">
        <v>32520</v>
      </c>
      <c r="C120" s="287" t="s">
        <v>1386</v>
      </c>
      <c r="D120" s="287" t="s">
        <v>1387</v>
      </c>
      <c r="E120" s="287">
        <v>3.42998</v>
      </c>
      <c r="F120" s="287">
        <v>103.4</v>
      </c>
      <c r="G120" s="543">
        <v>41269</v>
      </c>
      <c r="H120" s="381">
        <v>354.66</v>
      </c>
    </row>
    <row r="121" spans="1:8" s="275" customFormat="1" x14ac:dyDescent="0.15">
      <c r="A121" s="374" t="s">
        <v>1388</v>
      </c>
      <c r="B121" s="538">
        <v>30990</v>
      </c>
      <c r="C121" s="287" t="s">
        <v>1284</v>
      </c>
      <c r="D121" s="287" t="s">
        <v>1285</v>
      </c>
      <c r="E121" s="287">
        <v>3.3299599999999998</v>
      </c>
      <c r="F121" s="287">
        <v>96.8</v>
      </c>
      <c r="G121" s="543">
        <v>41254</v>
      </c>
      <c r="H121" s="381">
        <v>322.33999999999997</v>
      </c>
    </row>
    <row r="122" spans="1:8" s="275" customFormat="1" x14ac:dyDescent="0.15">
      <c r="A122" s="374" t="s">
        <v>1388</v>
      </c>
      <c r="B122" s="538">
        <v>32040</v>
      </c>
      <c r="C122" s="287" t="s">
        <v>1284</v>
      </c>
      <c r="D122" s="287" t="s">
        <v>1285</v>
      </c>
      <c r="E122" s="287">
        <v>3.4299900000000001</v>
      </c>
      <c r="F122" s="287">
        <v>111.7</v>
      </c>
      <c r="G122" s="543">
        <v>41269</v>
      </c>
      <c r="H122" s="381">
        <v>383.13</v>
      </c>
    </row>
    <row r="123" spans="1:8" s="275" customFormat="1" x14ac:dyDescent="0.15">
      <c r="A123" s="374" t="s">
        <v>1389</v>
      </c>
      <c r="B123" s="538">
        <v>30991</v>
      </c>
      <c r="C123" s="287" t="s">
        <v>1390</v>
      </c>
      <c r="D123" s="287" t="s">
        <v>1391</v>
      </c>
      <c r="E123" s="287">
        <v>3.43004</v>
      </c>
      <c r="F123" s="287">
        <v>107.2</v>
      </c>
      <c r="G123" s="543">
        <v>41247</v>
      </c>
      <c r="H123" s="381">
        <v>367.7</v>
      </c>
    </row>
    <row r="124" spans="1:8" s="275" customFormat="1" x14ac:dyDescent="0.15">
      <c r="A124" s="374" t="s">
        <v>1389</v>
      </c>
      <c r="B124" s="538">
        <v>31805</v>
      </c>
      <c r="C124" s="287" t="s">
        <v>1390</v>
      </c>
      <c r="D124" s="287" t="s">
        <v>1391</v>
      </c>
      <c r="E124" s="287">
        <v>3.3299699999999999</v>
      </c>
      <c r="F124" s="287">
        <v>104.1</v>
      </c>
      <c r="G124" s="543">
        <v>41254</v>
      </c>
      <c r="H124" s="381">
        <v>346.65</v>
      </c>
    </row>
    <row r="125" spans="1:8" s="275" customFormat="1" x14ac:dyDescent="0.15">
      <c r="A125" s="374" t="s">
        <v>1389</v>
      </c>
      <c r="B125" s="538">
        <v>32041</v>
      </c>
      <c r="C125" s="287" t="s">
        <v>1390</v>
      </c>
      <c r="D125" s="287" t="s">
        <v>1391</v>
      </c>
      <c r="E125" s="287">
        <v>3.3300100000000001</v>
      </c>
      <c r="F125" s="287">
        <v>109.3</v>
      </c>
      <c r="G125" s="543">
        <v>41261</v>
      </c>
      <c r="H125" s="381">
        <v>363.97</v>
      </c>
    </row>
    <row r="126" spans="1:8" s="275" customFormat="1" x14ac:dyDescent="0.15">
      <c r="A126" s="374" t="s">
        <v>1389</v>
      </c>
      <c r="B126" s="538">
        <v>1254</v>
      </c>
      <c r="C126" s="287" t="s">
        <v>1390</v>
      </c>
      <c r="D126" s="287" t="s">
        <v>1391</v>
      </c>
      <c r="E126" s="287"/>
      <c r="F126" s="287"/>
      <c r="G126" s="543">
        <v>41262</v>
      </c>
      <c r="H126" s="381">
        <v>15.71</v>
      </c>
    </row>
    <row r="127" spans="1:8" s="275" customFormat="1" x14ac:dyDescent="0.15">
      <c r="A127" s="374" t="s">
        <v>1389</v>
      </c>
      <c r="B127" s="538">
        <v>125</v>
      </c>
      <c r="C127" s="287" t="s">
        <v>1390</v>
      </c>
      <c r="D127" s="287" t="s">
        <v>1391</v>
      </c>
      <c r="E127" s="287"/>
      <c r="F127" s="287"/>
      <c r="G127" s="543">
        <v>41274</v>
      </c>
      <c r="H127" s="381">
        <v>15.71</v>
      </c>
    </row>
    <row r="128" spans="1:8" s="275" customFormat="1" x14ac:dyDescent="0.15">
      <c r="A128" s="374" t="s">
        <v>1379</v>
      </c>
      <c r="B128" s="538">
        <v>31157</v>
      </c>
      <c r="C128" s="287" t="s">
        <v>1380</v>
      </c>
      <c r="D128" s="287" t="s">
        <v>1381</v>
      </c>
      <c r="E128" s="287">
        <v>3.3300100000000001</v>
      </c>
      <c r="F128" s="287">
        <v>298.60000000000002</v>
      </c>
      <c r="G128" s="543">
        <v>41254</v>
      </c>
      <c r="H128" s="381">
        <v>994.34</v>
      </c>
    </row>
    <row r="129" spans="1:8" s="275" customFormat="1" x14ac:dyDescent="0.15">
      <c r="A129" s="374" t="s">
        <v>1379</v>
      </c>
      <c r="B129" s="538">
        <v>522</v>
      </c>
      <c r="C129" s="287" t="s">
        <v>1380</v>
      </c>
      <c r="D129" s="287" t="s">
        <v>1381</v>
      </c>
      <c r="E129" s="287"/>
      <c r="F129" s="287"/>
      <c r="G129" s="543">
        <v>41257</v>
      </c>
      <c r="H129" s="381">
        <v>94.26</v>
      </c>
    </row>
    <row r="130" spans="1:8" s="275" customFormat="1" x14ac:dyDescent="0.15">
      <c r="A130" s="374" t="s">
        <v>1392</v>
      </c>
      <c r="B130" s="538">
        <v>30992</v>
      </c>
      <c r="C130" s="287" t="s">
        <v>1390</v>
      </c>
      <c r="D130" s="287" t="s">
        <v>1393</v>
      </c>
      <c r="E130" s="287">
        <v>3.42997</v>
      </c>
      <c r="F130" s="287">
        <v>114.8</v>
      </c>
      <c r="G130" s="543">
        <v>41247</v>
      </c>
      <c r="H130" s="381">
        <v>393.76</v>
      </c>
    </row>
    <row r="131" spans="1:8" s="275" customFormat="1" x14ac:dyDescent="0.15">
      <c r="A131" s="374" t="s">
        <v>1392</v>
      </c>
      <c r="B131" s="538">
        <v>31806</v>
      </c>
      <c r="C131" s="287" t="s">
        <v>1390</v>
      </c>
      <c r="D131" s="287" t="s">
        <v>1393</v>
      </c>
      <c r="E131" s="287">
        <v>3.3299799999999999</v>
      </c>
      <c r="F131" s="287">
        <v>105.4</v>
      </c>
      <c r="G131" s="543">
        <v>41254</v>
      </c>
      <c r="H131" s="381">
        <v>350.98</v>
      </c>
    </row>
    <row r="132" spans="1:8" s="275" customFormat="1" x14ac:dyDescent="0.15">
      <c r="A132" s="374" t="s">
        <v>1392</v>
      </c>
      <c r="B132" s="538">
        <v>32042</v>
      </c>
      <c r="C132" s="287" t="s">
        <v>1390</v>
      </c>
      <c r="D132" s="287" t="s">
        <v>1393</v>
      </c>
      <c r="E132" s="287">
        <v>3.3299599999999998</v>
      </c>
      <c r="F132" s="287">
        <v>112.8</v>
      </c>
      <c r="G132" s="543">
        <v>41261</v>
      </c>
      <c r="H132" s="381">
        <v>375.62</v>
      </c>
    </row>
    <row r="133" spans="1:8" s="275" customFormat="1" x14ac:dyDescent="0.15">
      <c r="A133" s="374" t="s">
        <v>1392</v>
      </c>
      <c r="B133" s="538">
        <v>32518</v>
      </c>
      <c r="C133" s="287" t="s">
        <v>1390</v>
      </c>
      <c r="D133" s="287" t="s">
        <v>1393</v>
      </c>
      <c r="E133" s="287">
        <v>3.43005</v>
      </c>
      <c r="F133" s="287">
        <v>95.5</v>
      </c>
      <c r="G133" s="543">
        <v>41269</v>
      </c>
      <c r="H133" s="381">
        <v>327.57</v>
      </c>
    </row>
    <row r="134" spans="1:8" s="275" customFormat="1" x14ac:dyDescent="0.15">
      <c r="A134" s="374" t="s">
        <v>1392</v>
      </c>
      <c r="B134" s="538">
        <v>4521</v>
      </c>
      <c r="C134" s="287" t="s">
        <v>1390</v>
      </c>
      <c r="D134" s="287" t="s">
        <v>1393</v>
      </c>
      <c r="E134" s="287"/>
      <c r="F134" s="287"/>
      <c r="G134" s="543">
        <v>41262</v>
      </c>
      <c r="H134" s="381">
        <v>15.71</v>
      </c>
    </row>
    <row r="135" spans="1:8" s="275" customFormat="1" x14ac:dyDescent="0.15">
      <c r="A135" s="374" t="s">
        <v>1392</v>
      </c>
      <c r="B135" s="538">
        <v>126</v>
      </c>
      <c r="C135" s="287" t="s">
        <v>1390</v>
      </c>
      <c r="D135" s="287" t="s">
        <v>1393</v>
      </c>
      <c r="E135" s="287"/>
      <c r="F135" s="287"/>
      <c r="G135" s="543">
        <v>41274</v>
      </c>
      <c r="H135" s="381">
        <v>15.71</v>
      </c>
    </row>
    <row r="136" spans="1:8" s="275" customFormat="1" x14ac:dyDescent="0.15">
      <c r="A136" s="374" t="s">
        <v>1400</v>
      </c>
      <c r="B136" s="538">
        <v>32301</v>
      </c>
      <c r="C136" s="287" t="s">
        <v>1401</v>
      </c>
      <c r="D136" s="287" t="s">
        <v>1316</v>
      </c>
      <c r="E136" s="287">
        <v>3.4299900000000001</v>
      </c>
      <c r="F136" s="287">
        <v>196.7</v>
      </c>
      <c r="G136" s="543">
        <v>41269</v>
      </c>
      <c r="H136" s="381">
        <v>674.68</v>
      </c>
    </row>
    <row r="137" spans="1:8" s="275" customFormat="1" ht="14" thickBot="1" x14ac:dyDescent="0.2">
      <c r="A137" s="548"/>
      <c r="B137" s="474"/>
      <c r="C137" s="291" t="s">
        <v>1409</v>
      </c>
      <c r="D137" s="293"/>
      <c r="E137" s="293"/>
      <c r="F137" s="291">
        <f>SUM(F113:F136)</f>
        <v>2254.7999999999997</v>
      </c>
      <c r="G137" s="543"/>
      <c r="H137" s="389">
        <v>7773.0900000000011</v>
      </c>
    </row>
    <row r="138" spans="1:8" s="275" customFormat="1" ht="14" thickTop="1" x14ac:dyDescent="0.15">
      <c r="A138" s="374"/>
      <c r="B138" s="538"/>
      <c r="C138" s="287"/>
      <c r="D138" s="287"/>
      <c r="E138" s="287"/>
      <c r="F138" s="287"/>
      <c r="G138" s="543"/>
      <c r="H138" s="549"/>
    </row>
    <row r="139" spans="1:8" s="275" customFormat="1" x14ac:dyDescent="0.15">
      <c r="A139" s="374"/>
      <c r="B139" s="538"/>
      <c r="C139" s="287"/>
      <c r="D139" s="378" t="s">
        <v>1407</v>
      </c>
      <c r="E139" s="287"/>
      <c r="F139" s="287"/>
      <c r="G139" s="543"/>
      <c r="H139" s="549"/>
    </row>
    <row r="140" spans="1:8" s="275" customFormat="1" x14ac:dyDescent="0.15">
      <c r="A140" s="374"/>
      <c r="B140" s="538"/>
      <c r="C140" s="287"/>
      <c r="D140" s="378" t="s">
        <v>1408</v>
      </c>
      <c r="E140" s="287"/>
      <c r="F140" s="287"/>
      <c r="G140" s="543"/>
      <c r="H140" s="549"/>
    </row>
    <row r="141" spans="1:8" s="275" customFormat="1" x14ac:dyDescent="0.15">
      <c r="A141" s="374"/>
      <c r="B141" s="538"/>
      <c r="C141" s="287"/>
      <c r="D141" s="386">
        <v>41284</v>
      </c>
      <c r="E141" s="287"/>
      <c r="F141" s="287"/>
      <c r="G141" s="543"/>
      <c r="H141" s="549"/>
    </row>
    <row r="142" spans="1:8" s="275" customFormat="1" x14ac:dyDescent="0.15">
      <c r="A142" s="399"/>
      <c r="B142" s="552"/>
      <c r="C142" s="400"/>
      <c r="D142" s="400"/>
      <c r="E142" s="400"/>
      <c r="F142" s="400"/>
      <c r="G142" s="553"/>
      <c r="H142" s="554"/>
    </row>
    <row r="143" spans="1:8" s="275" customFormat="1" x14ac:dyDescent="0.15">
      <c r="B143" s="479"/>
      <c r="G143" s="539"/>
    </row>
    <row r="144" spans="1:8" s="295" customFormat="1" x14ac:dyDescent="0.15">
      <c r="A144" s="370" t="s">
        <v>1376</v>
      </c>
      <c r="B144" s="540">
        <v>33062</v>
      </c>
      <c r="C144" s="371" t="s">
        <v>1377</v>
      </c>
      <c r="D144" s="371" t="s">
        <v>1378</v>
      </c>
      <c r="E144" s="371">
        <v>3.5299800000000001</v>
      </c>
      <c r="F144" s="371">
        <v>126.4</v>
      </c>
      <c r="G144" s="542">
        <v>41277</v>
      </c>
      <c r="H144" s="391">
        <v>446.19</v>
      </c>
    </row>
    <row r="145" spans="1:8" s="295" customFormat="1" x14ac:dyDescent="0.15">
      <c r="A145" s="374" t="s">
        <v>1376</v>
      </c>
      <c r="B145" s="538">
        <v>33735</v>
      </c>
      <c r="C145" s="287" t="s">
        <v>1377</v>
      </c>
      <c r="D145" s="287" t="s">
        <v>1378</v>
      </c>
      <c r="E145" s="287">
        <v>3.4990000000000001</v>
      </c>
      <c r="F145" s="287">
        <v>170.3</v>
      </c>
      <c r="G145" s="543">
        <v>41291</v>
      </c>
      <c r="H145" s="381">
        <v>595.88</v>
      </c>
    </row>
    <row r="146" spans="1:8" s="295" customFormat="1" x14ac:dyDescent="0.15">
      <c r="A146" s="374" t="s">
        <v>1376</v>
      </c>
      <c r="B146" s="538">
        <v>34620</v>
      </c>
      <c r="C146" s="287" t="s">
        <v>1377</v>
      </c>
      <c r="D146" s="287" t="s">
        <v>1378</v>
      </c>
      <c r="E146" s="287">
        <v>3.4990000000000001</v>
      </c>
      <c r="F146" s="287">
        <v>120.2</v>
      </c>
      <c r="G146" s="543">
        <v>41298</v>
      </c>
      <c r="H146" s="381">
        <v>420.58</v>
      </c>
    </row>
    <row r="147" spans="1:8" s="275" customFormat="1" x14ac:dyDescent="0.15">
      <c r="A147" s="374" t="s">
        <v>1404</v>
      </c>
      <c r="B147" s="538"/>
      <c r="C147" s="287" t="s">
        <v>1405</v>
      </c>
      <c r="D147" s="287" t="s">
        <v>1280</v>
      </c>
      <c r="E147" s="395"/>
      <c r="F147" s="395"/>
      <c r="G147" s="555"/>
      <c r="H147" s="381">
        <v>0</v>
      </c>
    </row>
    <row r="148" spans="1:8" s="295" customFormat="1" x14ac:dyDescent="0.15">
      <c r="A148" s="374" t="s">
        <v>1382</v>
      </c>
      <c r="B148" s="538">
        <v>33060</v>
      </c>
      <c r="C148" s="287" t="s">
        <v>1383</v>
      </c>
      <c r="D148" s="287" t="s">
        <v>1384</v>
      </c>
      <c r="E148" s="287">
        <v>3.5300600000000002</v>
      </c>
      <c r="F148" s="287">
        <v>67.2</v>
      </c>
      <c r="G148" s="543">
        <v>41277</v>
      </c>
      <c r="H148" s="381">
        <v>237.22</v>
      </c>
    </row>
    <row r="149" spans="1:8" s="295" customFormat="1" x14ac:dyDescent="0.15">
      <c r="A149" s="374" t="s">
        <v>1382</v>
      </c>
      <c r="B149" s="538">
        <v>33734</v>
      </c>
      <c r="C149" s="287" t="s">
        <v>1383</v>
      </c>
      <c r="D149" s="287" t="s">
        <v>1384</v>
      </c>
      <c r="E149" s="287">
        <v>3.49899</v>
      </c>
      <c r="F149" s="287">
        <v>99</v>
      </c>
      <c r="G149" s="543">
        <v>41291</v>
      </c>
      <c r="H149" s="381">
        <v>346.4</v>
      </c>
    </row>
    <row r="150" spans="1:8" s="295" customFormat="1" x14ac:dyDescent="0.15">
      <c r="A150" s="374" t="s">
        <v>1382</v>
      </c>
      <c r="B150" s="538">
        <v>34619</v>
      </c>
      <c r="C150" s="287" t="s">
        <v>1383</v>
      </c>
      <c r="D150" s="287" t="s">
        <v>1384</v>
      </c>
      <c r="E150" s="287">
        <v>3.4990700000000001</v>
      </c>
      <c r="F150" s="287">
        <v>64.400000000000006</v>
      </c>
      <c r="G150" s="543">
        <v>41298</v>
      </c>
      <c r="H150" s="381">
        <v>225.34</v>
      </c>
    </row>
    <row r="151" spans="1:8" s="295" customFormat="1" x14ac:dyDescent="0.15">
      <c r="A151" s="374" t="s">
        <v>1385</v>
      </c>
      <c r="B151" s="538">
        <v>33052</v>
      </c>
      <c r="C151" s="287" t="s">
        <v>1386</v>
      </c>
      <c r="D151" s="287" t="s">
        <v>1387</v>
      </c>
      <c r="E151" s="287">
        <v>3.5299700000000001</v>
      </c>
      <c r="F151" s="287">
        <v>105.1</v>
      </c>
      <c r="G151" s="543">
        <v>41277</v>
      </c>
      <c r="H151" s="381">
        <v>371</v>
      </c>
    </row>
    <row r="152" spans="1:8" s="295" customFormat="1" x14ac:dyDescent="0.15">
      <c r="A152" s="374" t="s">
        <v>1385</v>
      </c>
      <c r="B152" s="538">
        <v>33727</v>
      </c>
      <c r="C152" s="287" t="s">
        <v>1386</v>
      </c>
      <c r="D152" s="287" t="s">
        <v>1387</v>
      </c>
      <c r="E152" s="287">
        <v>3.5299800000000001</v>
      </c>
      <c r="F152" s="287">
        <v>99.4</v>
      </c>
      <c r="G152" s="543">
        <v>41284</v>
      </c>
      <c r="H152" s="381">
        <v>350.88</v>
      </c>
    </row>
    <row r="153" spans="1:8" s="295" customFormat="1" x14ac:dyDescent="0.15">
      <c r="A153" s="374" t="s">
        <v>1385</v>
      </c>
      <c r="B153" s="538">
        <v>34042</v>
      </c>
      <c r="C153" s="287" t="s">
        <v>1386</v>
      </c>
      <c r="D153" s="287" t="s">
        <v>1387</v>
      </c>
      <c r="E153" s="287">
        <v>3.4990299999999999</v>
      </c>
      <c r="F153" s="287">
        <v>72.2</v>
      </c>
      <c r="G153" s="543">
        <v>41291</v>
      </c>
      <c r="H153" s="381">
        <v>252.63</v>
      </c>
    </row>
    <row r="154" spans="1:8" s="295" customFormat="1" x14ac:dyDescent="0.15">
      <c r="A154" s="374" t="s">
        <v>1385</v>
      </c>
      <c r="B154" s="538">
        <v>34613</v>
      </c>
      <c r="C154" s="287" t="s">
        <v>1386</v>
      </c>
      <c r="D154" s="287" t="s">
        <v>1387</v>
      </c>
      <c r="E154" s="287">
        <v>3.4990199999999998</v>
      </c>
      <c r="F154" s="287">
        <v>112.1</v>
      </c>
      <c r="G154" s="543">
        <v>41298</v>
      </c>
      <c r="H154" s="381">
        <v>392.24</v>
      </c>
    </row>
    <row r="155" spans="1:8" s="295" customFormat="1" x14ac:dyDescent="0.15">
      <c r="A155" s="374" t="s">
        <v>1388</v>
      </c>
      <c r="B155" s="538">
        <v>33048</v>
      </c>
      <c r="C155" s="287" t="s">
        <v>1284</v>
      </c>
      <c r="D155" s="287" t="s">
        <v>1285</v>
      </c>
      <c r="E155" s="287">
        <v>3.5299700000000001</v>
      </c>
      <c r="F155" s="287">
        <v>69.400000000000006</v>
      </c>
      <c r="G155" s="543">
        <v>41277</v>
      </c>
      <c r="H155" s="381">
        <v>244.98</v>
      </c>
    </row>
    <row r="156" spans="1:8" s="295" customFormat="1" x14ac:dyDescent="0.15">
      <c r="A156" s="374" t="s">
        <v>1388</v>
      </c>
      <c r="B156" s="538">
        <v>33721</v>
      </c>
      <c r="C156" s="287" t="s">
        <v>1284</v>
      </c>
      <c r="D156" s="287" t="s">
        <v>1285</v>
      </c>
      <c r="E156" s="287">
        <v>3.5300600000000002</v>
      </c>
      <c r="F156" s="287">
        <v>66.2</v>
      </c>
      <c r="G156" s="543">
        <v>41284</v>
      </c>
      <c r="H156" s="381">
        <v>233.69</v>
      </c>
    </row>
    <row r="157" spans="1:8" s="295" customFormat="1" x14ac:dyDescent="0.15">
      <c r="A157" s="374" t="s">
        <v>1388</v>
      </c>
      <c r="B157" s="538">
        <v>34037</v>
      </c>
      <c r="C157" s="287" t="s">
        <v>1284</v>
      </c>
      <c r="D157" s="287" t="s">
        <v>1285</v>
      </c>
      <c r="E157" s="287">
        <v>3.4989400000000002</v>
      </c>
      <c r="F157" s="287">
        <v>56.8</v>
      </c>
      <c r="G157" s="543">
        <v>41291</v>
      </c>
      <c r="H157" s="381">
        <v>198.74</v>
      </c>
    </row>
    <row r="158" spans="1:8" s="295" customFormat="1" x14ac:dyDescent="0.15">
      <c r="A158" s="374" t="s">
        <v>1388</v>
      </c>
      <c r="B158" s="538">
        <v>34608</v>
      </c>
      <c r="C158" s="287" t="s">
        <v>1284</v>
      </c>
      <c r="D158" s="287" t="s">
        <v>1285</v>
      </c>
      <c r="E158" s="287">
        <v>3.49905</v>
      </c>
      <c r="F158" s="287">
        <v>73.5</v>
      </c>
      <c r="G158" s="543">
        <v>41298</v>
      </c>
      <c r="H158" s="381">
        <v>257.18</v>
      </c>
    </row>
    <row r="159" spans="1:8" s="295" customFormat="1" x14ac:dyDescent="0.15">
      <c r="A159" s="374" t="s">
        <v>1389</v>
      </c>
      <c r="B159" s="538">
        <v>33255</v>
      </c>
      <c r="C159" s="287" t="s">
        <v>1390</v>
      </c>
      <c r="D159" s="287" t="s">
        <v>1391</v>
      </c>
      <c r="E159" s="287">
        <v>3.5299700000000001</v>
      </c>
      <c r="F159" s="287">
        <v>137.80000000000001</v>
      </c>
      <c r="G159" s="543">
        <v>41277</v>
      </c>
      <c r="H159" s="381">
        <v>486.43</v>
      </c>
    </row>
    <row r="160" spans="1:8" s="295" customFormat="1" x14ac:dyDescent="0.15">
      <c r="A160" s="374" t="s">
        <v>1389</v>
      </c>
      <c r="B160" s="538">
        <v>33723</v>
      </c>
      <c r="C160" s="287" t="s">
        <v>1390</v>
      </c>
      <c r="D160" s="287" t="s">
        <v>1391</v>
      </c>
      <c r="E160" s="287">
        <v>3.53</v>
      </c>
      <c r="F160" s="287">
        <v>132</v>
      </c>
      <c r="G160" s="543">
        <v>41284</v>
      </c>
      <c r="H160" s="381">
        <v>465.96</v>
      </c>
    </row>
    <row r="161" spans="1:8" s="295" customFormat="1" x14ac:dyDescent="0.15">
      <c r="A161" s="374" t="s">
        <v>1389</v>
      </c>
      <c r="B161" s="538">
        <v>34038</v>
      </c>
      <c r="C161" s="287" t="s">
        <v>1390</v>
      </c>
      <c r="D161" s="287" t="s">
        <v>1391</v>
      </c>
      <c r="E161" s="287">
        <v>3.4990299999999999</v>
      </c>
      <c r="F161" s="287">
        <v>103.3</v>
      </c>
      <c r="G161" s="543">
        <v>41291</v>
      </c>
      <c r="H161" s="381">
        <v>361.45</v>
      </c>
    </row>
    <row r="162" spans="1:8" s="295" customFormat="1" x14ac:dyDescent="0.15">
      <c r="A162" s="374" t="s">
        <v>1389</v>
      </c>
      <c r="B162" s="538">
        <v>34609</v>
      </c>
      <c r="C162" s="287" t="s">
        <v>1390</v>
      </c>
      <c r="D162" s="287" t="s">
        <v>1391</v>
      </c>
      <c r="E162" s="287">
        <v>3.4990000000000001</v>
      </c>
      <c r="F162" s="287">
        <v>139.69999999999999</v>
      </c>
      <c r="G162" s="543">
        <v>41298</v>
      </c>
      <c r="H162" s="381">
        <v>488.81</v>
      </c>
    </row>
    <row r="163" spans="1:8" s="295" customFormat="1" x14ac:dyDescent="0.15">
      <c r="A163" s="374" t="s">
        <v>1389</v>
      </c>
      <c r="B163" s="538">
        <v>7944</v>
      </c>
      <c r="C163" s="287" t="s">
        <v>1390</v>
      </c>
      <c r="D163" s="287" t="s">
        <v>1391</v>
      </c>
      <c r="E163" s="287"/>
      <c r="F163" s="287"/>
      <c r="G163" s="543">
        <v>41295</v>
      </c>
      <c r="H163" s="381">
        <v>15.71</v>
      </c>
    </row>
    <row r="164" spans="1:8" s="295" customFormat="1" x14ac:dyDescent="0.15">
      <c r="A164" s="374" t="s">
        <v>1389</v>
      </c>
      <c r="B164" s="538">
        <v>7559</v>
      </c>
      <c r="C164" s="287" t="s">
        <v>1390</v>
      </c>
      <c r="D164" s="287" t="s">
        <v>1391</v>
      </c>
      <c r="E164" s="287"/>
      <c r="F164" s="287"/>
      <c r="G164" s="543">
        <v>41302</v>
      </c>
      <c r="H164" s="381">
        <v>8.1100000000000012</v>
      </c>
    </row>
    <row r="165" spans="1:8" s="295" customFormat="1" x14ac:dyDescent="0.15">
      <c r="A165" s="374" t="s">
        <v>1379</v>
      </c>
      <c r="B165" s="538">
        <v>32526</v>
      </c>
      <c r="C165" s="287" t="s">
        <v>1380</v>
      </c>
      <c r="D165" s="287" t="s">
        <v>1381</v>
      </c>
      <c r="E165" s="287">
        <v>3.53</v>
      </c>
      <c r="F165" s="287">
        <v>474.7</v>
      </c>
      <c r="G165" s="543">
        <v>41276</v>
      </c>
      <c r="H165" s="381">
        <v>1675.69</v>
      </c>
    </row>
    <row r="166" spans="1:8" s="295" customFormat="1" x14ac:dyDescent="0.15">
      <c r="A166" s="374" t="s">
        <v>1379</v>
      </c>
      <c r="B166" s="538">
        <v>34142</v>
      </c>
      <c r="C166" s="287" t="s">
        <v>1380</v>
      </c>
      <c r="D166" s="287" t="s">
        <v>1381</v>
      </c>
      <c r="E166" s="287">
        <v>3.4990100000000002</v>
      </c>
      <c r="F166" s="287">
        <v>504.04</v>
      </c>
      <c r="G166" s="543">
        <v>41298</v>
      </c>
      <c r="H166" s="381">
        <v>1764.9</v>
      </c>
    </row>
    <row r="167" spans="1:8" s="295" customFormat="1" x14ac:dyDescent="0.15">
      <c r="A167" s="374" t="s">
        <v>1392</v>
      </c>
      <c r="B167" s="538">
        <v>933049</v>
      </c>
      <c r="C167" s="287" t="s">
        <v>1390</v>
      </c>
      <c r="D167" s="287" t="s">
        <v>1393</v>
      </c>
      <c r="E167" s="287">
        <v>3.53003</v>
      </c>
      <c r="F167" s="287">
        <v>122.2</v>
      </c>
      <c r="G167" s="543">
        <v>41277</v>
      </c>
      <c r="H167" s="381">
        <v>431.37</v>
      </c>
    </row>
    <row r="168" spans="1:8" s="295" customFormat="1" x14ac:dyDescent="0.15">
      <c r="A168" s="374" t="s">
        <v>1392</v>
      </c>
      <c r="B168" s="538">
        <v>33724</v>
      </c>
      <c r="C168" s="287" t="s">
        <v>1390</v>
      </c>
      <c r="D168" s="287" t="s">
        <v>1393</v>
      </c>
      <c r="E168" s="287">
        <v>3.5300099999999999</v>
      </c>
      <c r="F168" s="287">
        <v>130.30000000000001</v>
      </c>
      <c r="G168" s="543">
        <v>41284</v>
      </c>
      <c r="H168" s="381">
        <v>459.96</v>
      </c>
    </row>
    <row r="169" spans="1:8" s="295" customFormat="1" x14ac:dyDescent="0.15">
      <c r="A169" s="374" t="s">
        <v>1392</v>
      </c>
      <c r="B169" s="538">
        <v>34039</v>
      </c>
      <c r="C169" s="287" t="s">
        <v>1390</v>
      </c>
      <c r="D169" s="287" t="s">
        <v>1393</v>
      </c>
      <c r="E169" s="287">
        <v>3.4989499999999998</v>
      </c>
      <c r="F169" s="287">
        <v>86.1</v>
      </c>
      <c r="G169" s="543">
        <v>41291</v>
      </c>
      <c r="H169" s="381">
        <v>301.26</v>
      </c>
    </row>
    <row r="170" spans="1:8" s="295" customFormat="1" x14ac:dyDescent="0.15">
      <c r="A170" s="374" t="s">
        <v>1392</v>
      </c>
      <c r="B170" s="538">
        <v>34610</v>
      </c>
      <c r="C170" s="287" t="s">
        <v>1390</v>
      </c>
      <c r="D170" s="287" t="s">
        <v>1393</v>
      </c>
      <c r="E170" s="287">
        <v>3.49899</v>
      </c>
      <c r="F170" s="287">
        <v>138.19999999999999</v>
      </c>
      <c r="G170" s="543">
        <v>41298</v>
      </c>
      <c r="H170" s="381">
        <v>483.56</v>
      </c>
    </row>
    <row r="171" spans="1:8" s="295" customFormat="1" x14ac:dyDescent="0.15">
      <c r="A171" s="374" t="s">
        <v>1392</v>
      </c>
      <c r="B171" s="538">
        <v>458</v>
      </c>
      <c r="C171" s="287" t="s">
        <v>1390</v>
      </c>
      <c r="D171" s="287" t="s">
        <v>1393</v>
      </c>
      <c r="E171" s="287"/>
      <c r="F171" s="287"/>
      <c r="G171" s="543">
        <v>41612</v>
      </c>
      <c r="H171" s="381">
        <v>15.71</v>
      </c>
    </row>
    <row r="172" spans="1:8" s="295" customFormat="1" x14ac:dyDescent="0.15">
      <c r="A172" s="374" t="s">
        <v>1392</v>
      </c>
      <c r="B172" s="538">
        <v>7588</v>
      </c>
      <c r="C172" s="287" t="s">
        <v>1390</v>
      </c>
      <c r="D172" s="287" t="s">
        <v>1393</v>
      </c>
      <c r="E172" s="287"/>
      <c r="F172" s="287"/>
      <c r="G172" s="543">
        <v>41282</v>
      </c>
      <c r="H172" s="381">
        <v>15.71</v>
      </c>
    </row>
    <row r="173" spans="1:8" s="295" customFormat="1" x14ac:dyDescent="0.15">
      <c r="A173" s="374" t="s">
        <v>1392</v>
      </c>
      <c r="B173" s="538">
        <v>3661</v>
      </c>
      <c r="C173" s="287" t="s">
        <v>1390</v>
      </c>
      <c r="D173" s="287" t="s">
        <v>1393</v>
      </c>
      <c r="E173" s="287"/>
      <c r="F173" s="287"/>
      <c r="G173" s="543">
        <v>41290</v>
      </c>
      <c r="H173" s="381">
        <v>15.71</v>
      </c>
    </row>
    <row r="174" spans="1:8" s="295" customFormat="1" x14ac:dyDescent="0.15">
      <c r="A174" s="374" t="s">
        <v>1392</v>
      </c>
      <c r="B174" s="538">
        <v>4885</v>
      </c>
      <c r="C174" s="287" t="s">
        <v>1390</v>
      </c>
      <c r="D174" s="287" t="s">
        <v>1393</v>
      </c>
      <c r="E174" s="287"/>
      <c r="F174" s="287"/>
      <c r="G174" s="543">
        <v>41302</v>
      </c>
      <c r="H174" s="381">
        <v>15.71</v>
      </c>
    </row>
    <row r="175" spans="1:8" s="295" customFormat="1" x14ac:dyDescent="0.15">
      <c r="A175" s="374" t="s">
        <v>1400</v>
      </c>
      <c r="B175" s="538">
        <v>33696</v>
      </c>
      <c r="C175" s="287" t="s">
        <v>1401</v>
      </c>
      <c r="D175" s="287" t="s">
        <v>1316</v>
      </c>
      <c r="E175" s="287">
        <v>3.53003</v>
      </c>
      <c r="F175" s="287">
        <v>139.19999999999999</v>
      </c>
      <c r="G175" s="543">
        <v>41285</v>
      </c>
      <c r="H175" s="381">
        <v>491.38</v>
      </c>
    </row>
    <row r="176" spans="1:8" s="295" customFormat="1" x14ac:dyDescent="0.15">
      <c r="A176" s="374" t="s">
        <v>1400</v>
      </c>
      <c r="B176" s="538">
        <v>34588</v>
      </c>
      <c r="C176" s="287" t="s">
        <v>1401</v>
      </c>
      <c r="D176" s="287" t="s">
        <v>1316</v>
      </c>
      <c r="E176" s="287">
        <v>3.49898</v>
      </c>
      <c r="F176" s="287">
        <v>107.8</v>
      </c>
      <c r="G176" s="543">
        <v>41298</v>
      </c>
      <c r="H176" s="381">
        <v>377.19</v>
      </c>
    </row>
    <row r="177" spans="1:8" s="275" customFormat="1" ht="14" thickBot="1" x14ac:dyDescent="0.2">
      <c r="A177" s="548"/>
      <c r="B177" s="474"/>
      <c r="C177" s="291" t="s">
        <v>1168</v>
      </c>
      <c r="D177" s="293"/>
      <c r="E177" s="293"/>
      <c r="F177" s="291">
        <f>SUM(F144:F176)</f>
        <v>3517.5399999999995</v>
      </c>
      <c r="G177" s="543"/>
      <c r="H177" s="389">
        <v>12447.57</v>
      </c>
    </row>
    <row r="178" spans="1:8" s="275" customFormat="1" ht="14" thickTop="1" x14ac:dyDescent="0.15">
      <c r="A178" s="374"/>
      <c r="B178" s="538"/>
      <c r="C178" s="287"/>
      <c r="D178" s="287"/>
      <c r="E178" s="287"/>
      <c r="F178" s="287"/>
      <c r="G178" s="543"/>
      <c r="H178" s="549"/>
    </row>
    <row r="179" spans="1:8" s="275" customFormat="1" x14ac:dyDescent="0.15">
      <c r="A179" s="374"/>
      <c r="B179" s="538"/>
      <c r="C179" s="287"/>
      <c r="D179" s="378" t="s">
        <v>1407</v>
      </c>
      <c r="E179" s="287"/>
      <c r="F179" s="287"/>
      <c r="G179" s="543"/>
      <c r="H179" s="549"/>
    </row>
    <row r="180" spans="1:8" s="275" customFormat="1" x14ac:dyDescent="0.15">
      <c r="A180" s="374"/>
      <c r="B180" s="538"/>
      <c r="C180" s="287"/>
      <c r="D180" s="378" t="s">
        <v>1408</v>
      </c>
      <c r="E180" s="287"/>
      <c r="F180" s="287"/>
      <c r="G180" s="543"/>
      <c r="H180" s="549"/>
    </row>
    <row r="181" spans="1:8" s="275" customFormat="1" x14ac:dyDescent="0.15">
      <c r="A181" s="374"/>
      <c r="B181" s="538"/>
      <c r="C181" s="287"/>
      <c r="D181" s="386">
        <v>41317</v>
      </c>
      <c r="E181" s="287"/>
      <c r="F181" s="287"/>
      <c r="G181" s="543"/>
      <c r="H181" s="549"/>
    </row>
    <row r="182" spans="1:8" s="275" customFormat="1" x14ac:dyDescent="0.15">
      <c r="A182" s="399"/>
      <c r="B182" s="552"/>
      <c r="C182" s="400"/>
      <c r="D182" s="400"/>
      <c r="E182" s="400"/>
      <c r="F182" s="400"/>
      <c r="G182" s="553"/>
      <c r="H182" s="554"/>
    </row>
    <row r="183" spans="1:8" s="275" customFormat="1" x14ac:dyDescent="0.15">
      <c r="B183" s="479"/>
      <c r="G183" s="539"/>
    </row>
    <row r="184" spans="1:8" s="295" customFormat="1" x14ac:dyDescent="0.15">
      <c r="A184" s="370" t="s">
        <v>1376</v>
      </c>
      <c r="B184" s="540">
        <v>35289</v>
      </c>
      <c r="C184" s="371" t="s">
        <v>1377</v>
      </c>
      <c r="D184" s="371" t="s">
        <v>1378</v>
      </c>
      <c r="E184" s="371">
        <v>3.66899</v>
      </c>
      <c r="F184" s="371">
        <v>297.60000000000002</v>
      </c>
      <c r="G184" s="542">
        <v>41316</v>
      </c>
      <c r="H184" s="391">
        <v>1091.8900000000001</v>
      </c>
    </row>
    <row r="185" spans="1:8" s="295" customFormat="1" x14ac:dyDescent="0.15">
      <c r="A185" s="374" t="s">
        <v>1376</v>
      </c>
      <c r="B185" s="538">
        <v>36175</v>
      </c>
      <c r="C185" s="287" t="s">
        <v>1377</v>
      </c>
      <c r="D185" s="287" t="s">
        <v>1378</v>
      </c>
      <c r="E185" s="287">
        <v>3.6690200000000002</v>
      </c>
      <c r="F185" s="287">
        <v>194.3</v>
      </c>
      <c r="G185" s="543">
        <v>41331</v>
      </c>
      <c r="H185" s="381">
        <v>712.89</v>
      </c>
    </row>
    <row r="186" spans="1:8" s="295" customFormat="1" x14ac:dyDescent="0.15">
      <c r="A186" s="374" t="s">
        <v>1382</v>
      </c>
      <c r="B186" s="538">
        <v>35288</v>
      </c>
      <c r="C186" s="287" t="s">
        <v>1383</v>
      </c>
      <c r="D186" s="287" t="s">
        <v>1384</v>
      </c>
      <c r="E186" s="287">
        <v>3.6690100000000001</v>
      </c>
      <c r="F186" s="287">
        <v>175.2</v>
      </c>
      <c r="G186" s="543">
        <v>41316</v>
      </c>
      <c r="H186" s="381">
        <v>642.80999999999995</v>
      </c>
    </row>
    <row r="187" spans="1:8" s="295" customFormat="1" x14ac:dyDescent="0.15">
      <c r="A187" s="374" t="s">
        <v>1382</v>
      </c>
      <c r="B187" s="538">
        <v>36174</v>
      </c>
      <c r="C187" s="287" t="s">
        <v>1383</v>
      </c>
      <c r="D187" s="287" t="s">
        <v>1384</v>
      </c>
      <c r="E187" s="287">
        <v>3.6690299999999998</v>
      </c>
      <c r="F187" s="287">
        <v>124</v>
      </c>
      <c r="G187" s="543">
        <v>41331</v>
      </c>
      <c r="H187" s="381">
        <v>454.96</v>
      </c>
    </row>
    <row r="188" spans="1:8" s="295" customFormat="1" x14ac:dyDescent="0.15">
      <c r="A188" s="374" t="s">
        <v>1385</v>
      </c>
      <c r="B188" s="538">
        <v>35279</v>
      </c>
      <c r="C188" s="287" t="s">
        <v>1386</v>
      </c>
      <c r="D188" s="287" t="s">
        <v>1387</v>
      </c>
      <c r="E188" s="287">
        <v>3.52901</v>
      </c>
      <c r="F188" s="287">
        <v>125.8</v>
      </c>
      <c r="G188" s="543">
        <v>41306</v>
      </c>
      <c r="H188" s="381">
        <v>443.95</v>
      </c>
    </row>
    <row r="189" spans="1:8" s="295" customFormat="1" x14ac:dyDescent="0.15">
      <c r="A189" s="374" t="s">
        <v>1385</v>
      </c>
      <c r="B189" s="538">
        <v>35529</v>
      </c>
      <c r="C189" s="287" t="s">
        <v>1386</v>
      </c>
      <c r="D189" s="287" t="s">
        <v>1387</v>
      </c>
      <c r="E189" s="287">
        <v>3.669</v>
      </c>
      <c r="F189" s="287">
        <v>168.4</v>
      </c>
      <c r="G189" s="543">
        <v>41317</v>
      </c>
      <c r="H189" s="381">
        <v>617.86</v>
      </c>
    </row>
    <row r="190" spans="1:8" s="295" customFormat="1" x14ac:dyDescent="0.15">
      <c r="A190" s="374" t="s">
        <v>1385</v>
      </c>
      <c r="B190" s="538">
        <v>36316</v>
      </c>
      <c r="C190" s="287" t="s">
        <v>1386</v>
      </c>
      <c r="D190" s="287" t="s">
        <v>1387</v>
      </c>
      <c r="E190" s="287">
        <v>3.6689699999999998</v>
      </c>
      <c r="F190" s="287">
        <v>89.9</v>
      </c>
      <c r="G190" s="543">
        <v>41324</v>
      </c>
      <c r="H190" s="381">
        <v>329.84</v>
      </c>
    </row>
    <row r="191" spans="1:8" s="295" customFormat="1" x14ac:dyDescent="0.15">
      <c r="A191" s="374" t="s">
        <v>1385</v>
      </c>
      <c r="B191" s="538">
        <v>36859</v>
      </c>
      <c r="C191" s="287" t="s">
        <v>1386</v>
      </c>
      <c r="D191" s="287" t="s">
        <v>1387</v>
      </c>
      <c r="E191" s="287">
        <v>3.6689600000000002</v>
      </c>
      <c r="F191" s="287">
        <v>82.8</v>
      </c>
      <c r="G191" s="543">
        <v>41331</v>
      </c>
      <c r="H191" s="381">
        <v>303.79000000000002</v>
      </c>
    </row>
    <row r="192" spans="1:8" s="295" customFormat="1" x14ac:dyDescent="0.15">
      <c r="A192" s="374" t="s">
        <v>1388</v>
      </c>
      <c r="B192" s="538">
        <v>35274</v>
      </c>
      <c r="C192" s="287" t="s">
        <v>1284</v>
      </c>
      <c r="D192" s="287" t="s">
        <v>1285</v>
      </c>
      <c r="E192" s="287">
        <v>3.52901</v>
      </c>
      <c r="F192" s="287">
        <v>74.8</v>
      </c>
      <c r="G192" s="543">
        <v>41306</v>
      </c>
      <c r="H192" s="381">
        <v>263.97000000000003</v>
      </c>
    </row>
    <row r="193" spans="1:8" s="295" customFormat="1" x14ac:dyDescent="0.15">
      <c r="A193" s="374" t="s">
        <v>1388</v>
      </c>
      <c r="B193" s="538">
        <v>35524</v>
      </c>
      <c r="C193" s="287" t="s">
        <v>1284</v>
      </c>
      <c r="D193" s="287" t="s">
        <v>1285</v>
      </c>
      <c r="E193" s="287">
        <v>3.6689699999999998</v>
      </c>
      <c r="F193" s="287">
        <v>95.4</v>
      </c>
      <c r="G193" s="543">
        <v>41316</v>
      </c>
      <c r="H193" s="381">
        <v>350.02</v>
      </c>
    </row>
    <row r="194" spans="1:8" s="295" customFormat="1" x14ac:dyDescent="0.15">
      <c r="A194" s="374" t="s">
        <v>1388</v>
      </c>
      <c r="B194" s="538">
        <v>36165</v>
      </c>
      <c r="C194" s="287" t="s">
        <v>1284</v>
      </c>
      <c r="D194" s="287" t="s">
        <v>1285</v>
      </c>
      <c r="E194" s="287">
        <v>3.6689600000000002</v>
      </c>
      <c r="F194" s="287">
        <v>65.400000000000006</v>
      </c>
      <c r="G194" s="543">
        <v>41324</v>
      </c>
      <c r="H194" s="381">
        <v>239.95</v>
      </c>
    </row>
    <row r="195" spans="1:8" s="295" customFormat="1" x14ac:dyDescent="0.15">
      <c r="A195" s="374" t="s">
        <v>1388</v>
      </c>
      <c r="B195" s="538">
        <v>36854</v>
      </c>
      <c r="C195" s="287" t="s">
        <v>1284</v>
      </c>
      <c r="D195" s="287" t="s">
        <v>1285</v>
      </c>
      <c r="E195" s="287">
        <v>3.6689500000000002</v>
      </c>
      <c r="F195" s="287">
        <v>54.1</v>
      </c>
      <c r="G195" s="543">
        <v>41331</v>
      </c>
      <c r="H195" s="381">
        <v>198.49</v>
      </c>
    </row>
    <row r="196" spans="1:8" s="295" customFormat="1" x14ac:dyDescent="0.15">
      <c r="A196" s="374" t="s">
        <v>1389</v>
      </c>
      <c r="B196" s="538">
        <v>35275</v>
      </c>
      <c r="C196" s="287" t="s">
        <v>1390</v>
      </c>
      <c r="D196" s="287" t="s">
        <v>1391</v>
      </c>
      <c r="E196" s="287">
        <v>3.52902</v>
      </c>
      <c r="F196" s="287">
        <v>136.80000000000001</v>
      </c>
      <c r="G196" s="543">
        <v>41306</v>
      </c>
      <c r="H196" s="381">
        <v>482.77</v>
      </c>
    </row>
    <row r="197" spans="1:8" s="295" customFormat="1" x14ac:dyDescent="0.15">
      <c r="A197" s="374" t="s">
        <v>1389</v>
      </c>
      <c r="B197" s="538">
        <v>1</v>
      </c>
      <c r="C197" s="287" t="s">
        <v>1390</v>
      </c>
      <c r="D197" s="287" t="s">
        <v>1391</v>
      </c>
      <c r="E197" s="287">
        <v>3.4299599999999999</v>
      </c>
      <c r="F197" s="287">
        <v>103.8</v>
      </c>
      <c r="G197" s="543">
        <v>41312</v>
      </c>
      <c r="H197" s="381">
        <v>356.03</v>
      </c>
    </row>
    <row r="198" spans="1:8" s="295" customFormat="1" x14ac:dyDescent="0.15">
      <c r="A198" s="374" t="s">
        <v>1389</v>
      </c>
      <c r="B198" s="538">
        <v>1588</v>
      </c>
      <c r="C198" s="287" t="s">
        <v>1390</v>
      </c>
      <c r="D198" s="287" t="s">
        <v>1391</v>
      </c>
      <c r="E198" s="287"/>
      <c r="F198" s="287"/>
      <c r="G198" s="543">
        <v>41313</v>
      </c>
      <c r="H198" s="381">
        <v>16.47</v>
      </c>
    </row>
    <row r="199" spans="1:8" s="295" customFormat="1" x14ac:dyDescent="0.15">
      <c r="A199" s="374" t="s">
        <v>1389</v>
      </c>
      <c r="B199" s="538">
        <v>35525</v>
      </c>
      <c r="C199" s="287" t="s">
        <v>1390</v>
      </c>
      <c r="D199" s="287" t="s">
        <v>1391</v>
      </c>
      <c r="E199" s="287">
        <v>3.66899</v>
      </c>
      <c r="F199" s="287">
        <v>196.4</v>
      </c>
      <c r="G199" s="543">
        <v>41316</v>
      </c>
      <c r="H199" s="381">
        <v>720.59</v>
      </c>
    </row>
    <row r="200" spans="1:8" s="295" customFormat="1" x14ac:dyDescent="0.15">
      <c r="A200" s="374" t="s">
        <v>1389</v>
      </c>
      <c r="B200" s="538">
        <v>36166</v>
      </c>
      <c r="C200" s="287" t="s">
        <v>1390</v>
      </c>
      <c r="D200" s="287" t="s">
        <v>1391</v>
      </c>
      <c r="E200" s="287">
        <v>3.6690299999999998</v>
      </c>
      <c r="F200" s="287">
        <v>159.5</v>
      </c>
      <c r="G200" s="543">
        <v>41324</v>
      </c>
      <c r="H200" s="381">
        <v>585.21</v>
      </c>
    </row>
    <row r="201" spans="1:8" s="295" customFormat="1" x14ac:dyDescent="0.15">
      <c r="A201" s="374" t="s">
        <v>1389</v>
      </c>
      <c r="B201" s="538">
        <v>1443</v>
      </c>
      <c r="C201" s="287" t="s">
        <v>1390</v>
      </c>
      <c r="D201" s="287" t="s">
        <v>1391</v>
      </c>
      <c r="E201" s="287"/>
      <c r="F201" s="287"/>
      <c r="G201" s="543">
        <v>41327</v>
      </c>
      <c r="H201" s="381">
        <v>16.47</v>
      </c>
    </row>
    <row r="202" spans="1:8" s="295" customFormat="1" x14ac:dyDescent="0.15">
      <c r="A202" s="374" t="s">
        <v>1389</v>
      </c>
      <c r="B202" s="538">
        <v>36855</v>
      </c>
      <c r="C202" s="287" t="s">
        <v>1390</v>
      </c>
      <c r="D202" s="287" t="s">
        <v>1391</v>
      </c>
      <c r="E202" s="287">
        <v>3.6690299999999998</v>
      </c>
      <c r="F202" s="287">
        <v>119.8</v>
      </c>
      <c r="G202" s="543">
        <v>41331</v>
      </c>
      <c r="H202" s="381">
        <v>439.55</v>
      </c>
    </row>
    <row r="203" spans="1:8" s="295" customFormat="1" x14ac:dyDescent="0.15">
      <c r="A203" s="374" t="s">
        <v>1379</v>
      </c>
      <c r="B203" s="538">
        <v>35535</v>
      </c>
      <c r="C203" s="287" t="s">
        <v>1380</v>
      </c>
      <c r="D203" s="287" t="s">
        <v>1381</v>
      </c>
      <c r="E203" s="287">
        <v>3.6690100000000001</v>
      </c>
      <c r="F203" s="287">
        <v>535</v>
      </c>
      <c r="G203" s="543">
        <v>41318</v>
      </c>
      <c r="H203" s="381">
        <v>1962.92</v>
      </c>
    </row>
    <row r="204" spans="1:8" s="295" customFormat="1" x14ac:dyDescent="0.15">
      <c r="A204" s="374" t="s">
        <v>1379</v>
      </c>
      <c r="B204" s="538">
        <v>34142</v>
      </c>
      <c r="C204" s="287" t="s">
        <v>1380</v>
      </c>
      <c r="D204" s="287" t="s">
        <v>1381</v>
      </c>
      <c r="E204" s="287"/>
      <c r="F204" s="287"/>
      <c r="G204" s="543">
        <v>41318</v>
      </c>
      <c r="H204" s="381">
        <v>47.13</v>
      </c>
    </row>
    <row r="205" spans="1:8" s="295" customFormat="1" x14ac:dyDescent="0.15">
      <c r="A205" s="374" t="s">
        <v>1392</v>
      </c>
      <c r="B205" s="538">
        <v>35276</v>
      </c>
      <c r="C205" s="287" t="s">
        <v>1390</v>
      </c>
      <c r="D205" s="287" t="s">
        <v>1393</v>
      </c>
      <c r="E205" s="287">
        <v>3.5289700000000002</v>
      </c>
      <c r="F205" s="287">
        <v>145.30000000000001</v>
      </c>
      <c r="G205" s="543">
        <v>41306</v>
      </c>
      <c r="H205" s="381">
        <v>512.76</v>
      </c>
    </row>
    <row r="206" spans="1:8" s="295" customFormat="1" x14ac:dyDescent="0.15">
      <c r="A206" s="374" t="s">
        <v>1392</v>
      </c>
      <c r="B206" s="538">
        <v>1599</v>
      </c>
      <c r="C206" s="287" t="s">
        <v>1390</v>
      </c>
      <c r="D206" s="287" t="s">
        <v>1393</v>
      </c>
      <c r="E206" s="287"/>
      <c r="F206" s="287"/>
      <c r="G206" s="543">
        <v>41313</v>
      </c>
      <c r="H206" s="381">
        <v>16.47</v>
      </c>
    </row>
    <row r="207" spans="1:8" s="295" customFormat="1" x14ac:dyDescent="0.15">
      <c r="A207" s="374" t="s">
        <v>1392</v>
      </c>
      <c r="B207" s="538">
        <v>35526</v>
      </c>
      <c r="C207" s="287" t="s">
        <v>1390</v>
      </c>
      <c r="D207" s="287" t="s">
        <v>1393</v>
      </c>
      <c r="E207" s="287">
        <v>3.6689799999999999</v>
      </c>
      <c r="F207" s="287">
        <v>202.1</v>
      </c>
      <c r="G207" s="543">
        <v>41316</v>
      </c>
      <c r="H207" s="381">
        <v>741.5</v>
      </c>
    </row>
    <row r="208" spans="1:8" s="295" customFormat="1" x14ac:dyDescent="0.15">
      <c r="A208" s="374" t="s">
        <v>1392</v>
      </c>
      <c r="B208" s="538">
        <v>36167</v>
      </c>
      <c r="C208" s="287" t="s">
        <v>1390</v>
      </c>
      <c r="D208" s="287" t="s">
        <v>1393</v>
      </c>
      <c r="E208" s="287">
        <v>3.6690299999999998</v>
      </c>
      <c r="F208" s="287">
        <v>156.6</v>
      </c>
      <c r="G208" s="543">
        <v>41324</v>
      </c>
      <c r="H208" s="381">
        <v>574.57000000000005</v>
      </c>
    </row>
    <row r="209" spans="1:8" s="295" customFormat="1" x14ac:dyDescent="0.15">
      <c r="A209" s="374" t="s">
        <v>1392</v>
      </c>
      <c r="B209" s="538">
        <v>1650</v>
      </c>
      <c r="C209" s="287" t="s">
        <v>1390</v>
      </c>
      <c r="D209" s="287" t="s">
        <v>1393</v>
      </c>
      <c r="E209" s="287"/>
      <c r="F209" s="287"/>
      <c r="G209" s="543">
        <v>41327</v>
      </c>
      <c r="H209" s="381">
        <v>16.47</v>
      </c>
    </row>
    <row r="210" spans="1:8" s="295" customFormat="1" x14ac:dyDescent="0.15">
      <c r="A210" s="374" t="s">
        <v>1392</v>
      </c>
      <c r="B210" s="538">
        <v>36856</v>
      </c>
      <c r="C210" s="287" t="s">
        <v>1390</v>
      </c>
      <c r="D210" s="287" t="s">
        <v>1393</v>
      </c>
      <c r="E210" s="287">
        <v>3.669</v>
      </c>
      <c r="F210" s="287">
        <v>110</v>
      </c>
      <c r="G210" s="543">
        <v>41331</v>
      </c>
      <c r="H210" s="381">
        <v>403.59</v>
      </c>
    </row>
    <row r="211" spans="1:8" s="295" customFormat="1" x14ac:dyDescent="0.15">
      <c r="A211" s="374" t="s">
        <v>1400</v>
      </c>
      <c r="B211" s="538">
        <v>35711</v>
      </c>
      <c r="C211" s="287" t="s">
        <v>1401</v>
      </c>
      <c r="D211" s="287" t="s">
        <v>1316</v>
      </c>
      <c r="E211" s="287">
        <v>3.6690200000000002</v>
      </c>
      <c r="F211" s="287">
        <v>186.6</v>
      </c>
      <c r="G211" s="543">
        <v>41321</v>
      </c>
      <c r="H211" s="381">
        <v>684.61</v>
      </c>
    </row>
    <row r="212" spans="1:8" s="275" customFormat="1" ht="14" thickBot="1" x14ac:dyDescent="0.2">
      <c r="A212" s="548"/>
      <c r="B212" s="474"/>
      <c r="C212" s="291" t="s">
        <v>1169</v>
      </c>
      <c r="D212" s="293"/>
      <c r="E212" s="293"/>
      <c r="F212" s="291">
        <f>SUM(F184:F211)</f>
        <v>3599.6</v>
      </c>
      <c r="G212" s="543"/>
      <c r="H212" s="389">
        <v>13227.53</v>
      </c>
    </row>
    <row r="213" spans="1:8" s="275" customFormat="1" ht="14" thickTop="1" x14ac:dyDescent="0.15">
      <c r="A213" s="374"/>
      <c r="B213" s="538"/>
      <c r="C213" s="287"/>
      <c r="D213" s="287"/>
      <c r="E213" s="287"/>
      <c r="F213" s="287"/>
      <c r="G213" s="543"/>
      <c r="H213" s="549"/>
    </row>
    <row r="214" spans="1:8" s="275" customFormat="1" x14ac:dyDescent="0.15">
      <c r="A214" s="374"/>
      <c r="B214" s="538"/>
      <c r="C214" s="287"/>
      <c r="D214" s="378" t="s">
        <v>1407</v>
      </c>
      <c r="E214" s="287"/>
      <c r="F214" s="287"/>
      <c r="G214" s="543"/>
      <c r="H214" s="549"/>
    </row>
    <row r="215" spans="1:8" s="275" customFormat="1" x14ac:dyDescent="0.15">
      <c r="A215" s="374"/>
      <c r="B215" s="538"/>
      <c r="C215" s="287"/>
      <c r="D215" s="378" t="s">
        <v>1408</v>
      </c>
      <c r="E215" s="287"/>
      <c r="F215" s="287"/>
      <c r="G215" s="543"/>
      <c r="H215" s="549"/>
    </row>
    <row r="216" spans="1:8" s="275" customFormat="1" x14ac:dyDescent="0.15">
      <c r="A216" s="374"/>
      <c r="B216" s="538"/>
      <c r="C216" s="287"/>
      <c r="D216" s="386">
        <v>41339</v>
      </c>
      <c r="E216" s="287"/>
      <c r="F216" s="287"/>
      <c r="G216" s="543"/>
      <c r="H216" s="549"/>
    </row>
    <row r="217" spans="1:8" s="275" customFormat="1" x14ac:dyDescent="0.15">
      <c r="A217" s="399"/>
      <c r="B217" s="552"/>
      <c r="C217" s="400"/>
      <c r="D217" s="400"/>
      <c r="E217" s="400"/>
      <c r="F217" s="400"/>
      <c r="G217" s="553"/>
      <c r="H217" s="554"/>
    </row>
    <row r="218" spans="1:8" s="275" customFormat="1" x14ac:dyDescent="0.15">
      <c r="B218" s="479"/>
      <c r="G218" s="539"/>
    </row>
    <row r="219" spans="1:8" s="295" customFormat="1" x14ac:dyDescent="0.15">
      <c r="A219" s="370" t="s">
        <v>1376</v>
      </c>
      <c r="B219" s="540">
        <v>170</v>
      </c>
      <c r="C219" s="371" t="s">
        <v>1377</v>
      </c>
      <c r="D219" s="371" t="s">
        <v>1378</v>
      </c>
      <c r="E219" s="371">
        <v>3.3820199999999998</v>
      </c>
      <c r="F219" s="371">
        <v>141.80000000000001</v>
      </c>
      <c r="G219" s="542">
        <v>41345</v>
      </c>
      <c r="H219" s="391">
        <v>479.57</v>
      </c>
    </row>
    <row r="220" spans="1:8" s="295" customFormat="1" x14ac:dyDescent="0.15">
      <c r="A220" s="374" t="s">
        <v>1376</v>
      </c>
      <c r="B220" s="538">
        <v>36175</v>
      </c>
      <c r="C220" s="287" t="s">
        <v>1377</v>
      </c>
      <c r="D220" s="287" t="s">
        <v>1378</v>
      </c>
      <c r="E220" s="287">
        <v>3.2795299999999998</v>
      </c>
      <c r="F220" s="287">
        <v>161.19999999999999</v>
      </c>
      <c r="G220" s="543">
        <v>41359</v>
      </c>
      <c r="H220" s="381">
        <v>528.66</v>
      </c>
    </row>
    <row r="221" spans="1:8" s="295" customFormat="1" x14ac:dyDescent="0.15">
      <c r="A221" s="374" t="s">
        <v>1382</v>
      </c>
      <c r="B221" s="538">
        <v>169</v>
      </c>
      <c r="C221" s="287" t="s">
        <v>1383</v>
      </c>
      <c r="D221" s="287" t="s">
        <v>1384</v>
      </c>
      <c r="E221" s="287">
        <v>3.3820100000000002</v>
      </c>
      <c r="F221" s="287">
        <v>88.4</v>
      </c>
      <c r="G221" s="543">
        <v>41345</v>
      </c>
      <c r="H221" s="381">
        <v>298.97000000000003</v>
      </c>
    </row>
    <row r="222" spans="1:8" s="295" customFormat="1" x14ac:dyDescent="0.15">
      <c r="A222" s="374" t="s">
        <v>1382</v>
      </c>
      <c r="B222" s="538">
        <v>943</v>
      </c>
      <c r="C222" s="287" t="s">
        <v>1383</v>
      </c>
      <c r="D222" s="287" t="s">
        <v>1384</v>
      </c>
      <c r="E222" s="287">
        <v>3.2794599999999998</v>
      </c>
      <c r="F222" s="287">
        <v>95.9</v>
      </c>
      <c r="G222" s="543">
        <v>41359</v>
      </c>
      <c r="H222" s="381">
        <v>314.5</v>
      </c>
    </row>
    <row r="223" spans="1:8" s="295" customFormat="1" x14ac:dyDescent="0.15">
      <c r="A223" s="374" t="s">
        <v>1385</v>
      </c>
      <c r="B223" s="538">
        <v>37242</v>
      </c>
      <c r="C223" s="287" t="s">
        <v>1386</v>
      </c>
      <c r="D223" s="287" t="s">
        <v>1387</v>
      </c>
      <c r="E223" s="287">
        <v>3.3820000000000001</v>
      </c>
      <c r="F223" s="287">
        <v>142.80000000000001</v>
      </c>
      <c r="G223" s="543">
        <v>41345</v>
      </c>
      <c r="H223" s="381">
        <v>482.95</v>
      </c>
    </row>
    <row r="224" spans="1:8" s="295" customFormat="1" x14ac:dyDescent="0.15">
      <c r="A224" s="374" t="s">
        <v>1385</v>
      </c>
      <c r="B224" s="538">
        <v>676</v>
      </c>
      <c r="C224" s="287" t="s">
        <v>1386</v>
      </c>
      <c r="D224" s="287" t="s">
        <v>1387</v>
      </c>
      <c r="E224" s="287">
        <v>3.33995</v>
      </c>
      <c r="F224" s="287">
        <v>80.599999999999994</v>
      </c>
      <c r="G224" s="543">
        <v>41352</v>
      </c>
      <c r="H224" s="381">
        <v>269.2</v>
      </c>
    </row>
    <row r="225" spans="1:8" s="295" customFormat="1" x14ac:dyDescent="0.15">
      <c r="A225" s="374" t="s">
        <v>1385</v>
      </c>
      <c r="B225" s="538">
        <v>1114</v>
      </c>
      <c r="C225" s="287" t="s">
        <v>1386</v>
      </c>
      <c r="D225" s="287" t="s">
        <v>1387</v>
      </c>
      <c r="E225" s="287">
        <v>3.2794500000000002</v>
      </c>
      <c r="F225" s="287">
        <v>79.3</v>
      </c>
      <c r="G225" s="543">
        <v>41359</v>
      </c>
      <c r="H225" s="381">
        <v>260.06</v>
      </c>
    </row>
    <row r="226" spans="1:8" s="295" customFormat="1" x14ac:dyDescent="0.15">
      <c r="A226" s="374" t="s">
        <v>1388</v>
      </c>
      <c r="B226" s="538">
        <v>972</v>
      </c>
      <c r="C226" s="287" t="s">
        <v>1284</v>
      </c>
      <c r="D226" s="287" t="s">
        <v>1285</v>
      </c>
      <c r="E226" s="287">
        <v>3.3399700000000001</v>
      </c>
      <c r="F226" s="287">
        <v>152.1</v>
      </c>
      <c r="G226" s="543">
        <v>41352</v>
      </c>
      <c r="H226" s="381">
        <v>508.01</v>
      </c>
    </row>
    <row r="227" spans="1:8" s="295" customFormat="1" x14ac:dyDescent="0.15">
      <c r="A227" s="374" t="s">
        <v>1389</v>
      </c>
      <c r="B227" s="538">
        <v>37238</v>
      </c>
      <c r="C227" s="287" t="s">
        <v>1390</v>
      </c>
      <c r="D227" s="287" t="s">
        <v>1391</v>
      </c>
      <c r="E227" s="287">
        <v>3.3819900000000001</v>
      </c>
      <c r="F227" s="287">
        <v>212.7</v>
      </c>
      <c r="G227" s="543">
        <v>41345</v>
      </c>
      <c r="H227" s="381">
        <v>719.35</v>
      </c>
    </row>
    <row r="228" spans="1:8" s="295" customFormat="1" x14ac:dyDescent="0.15">
      <c r="A228" s="374" t="s">
        <v>1389</v>
      </c>
      <c r="B228" s="538">
        <v>672</v>
      </c>
      <c r="C228" s="287" t="s">
        <v>1390</v>
      </c>
      <c r="D228" s="287" t="s">
        <v>1391</v>
      </c>
      <c r="E228" s="287">
        <v>352.7</v>
      </c>
      <c r="F228" s="287">
        <v>105.6</v>
      </c>
      <c r="G228" s="543">
        <v>41352</v>
      </c>
      <c r="H228" s="381">
        <v>352.7</v>
      </c>
    </row>
    <row r="229" spans="1:8" s="295" customFormat="1" x14ac:dyDescent="0.15">
      <c r="A229" s="374" t="s">
        <v>1389</v>
      </c>
      <c r="B229" s="538">
        <v>1110</v>
      </c>
      <c r="C229" s="287" t="s">
        <v>1390</v>
      </c>
      <c r="D229" s="287" t="s">
        <v>1391</v>
      </c>
      <c r="E229" s="287">
        <v>3.2795000000000001</v>
      </c>
      <c r="F229" s="287">
        <v>108.8</v>
      </c>
      <c r="G229" s="543">
        <v>41359</v>
      </c>
      <c r="H229" s="381">
        <v>356.81</v>
      </c>
    </row>
    <row r="230" spans="1:8" s="295" customFormat="1" x14ac:dyDescent="0.15">
      <c r="A230" s="374" t="s">
        <v>1379</v>
      </c>
      <c r="B230" s="538">
        <v>37023</v>
      </c>
      <c r="C230" s="287" t="s">
        <v>1380</v>
      </c>
      <c r="D230" s="287" t="s">
        <v>1381</v>
      </c>
      <c r="E230" s="287">
        <v>3.3894899999999999</v>
      </c>
      <c r="F230" s="287">
        <v>598.6</v>
      </c>
      <c r="G230" s="543">
        <v>41340</v>
      </c>
      <c r="H230" s="381">
        <v>2028.95</v>
      </c>
    </row>
    <row r="231" spans="1:8" s="295" customFormat="1" x14ac:dyDescent="0.15">
      <c r="A231" s="374" t="s">
        <v>1379</v>
      </c>
      <c r="B231" s="538">
        <v>946</v>
      </c>
      <c r="C231" s="287" t="s">
        <v>1380</v>
      </c>
      <c r="D231" s="287" t="s">
        <v>1381</v>
      </c>
      <c r="E231" s="287">
        <v>3.2795000000000001</v>
      </c>
      <c r="F231" s="287">
        <v>496.1</v>
      </c>
      <c r="G231" s="543">
        <v>41359</v>
      </c>
      <c r="H231" s="381">
        <v>1626.96</v>
      </c>
    </row>
    <row r="232" spans="1:8" s="295" customFormat="1" x14ac:dyDescent="0.15">
      <c r="A232" s="374" t="s">
        <v>1392</v>
      </c>
      <c r="B232" s="538">
        <v>37239</v>
      </c>
      <c r="C232" s="287" t="s">
        <v>1390</v>
      </c>
      <c r="D232" s="287" t="s">
        <v>1393</v>
      </c>
      <c r="E232" s="287">
        <v>3.3819900000000001</v>
      </c>
      <c r="F232" s="287">
        <v>216</v>
      </c>
      <c r="G232" s="543">
        <v>41345</v>
      </c>
      <c r="H232" s="381">
        <v>730.51</v>
      </c>
    </row>
    <row r="233" spans="1:8" s="295" customFormat="1" x14ac:dyDescent="0.15">
      <c r="A233" s="374" t="s">
        <v>1392</v>
      </c>
      <c r="B233" s="538">
        <v>673</v>
      </c>
      <c r="C233" s="287" t="s">
        <v>1390</v>
      </c>
      <c r="D233" s="287" t="s">
        <v>1393</v>
      </c>
      <c r="E233" s="287">
        <v>3.34</v>
      </c>
      <c r="F233" s="287">
        <v>125</v>
      </c>
      <c r="G233" s="543">
        <v>41352</v>
      </c>
      <c r="H233" s="381">
        <v>417.5</v>
      </c>
    </row>
    <row r="234" spans="1:8" s="295" customFormat="1" x14ac:dyDescent="0.15">
      <c r="A234" s="374" t="s">
        <v>1392</v>
      </c>
      <c r="B234" s="538">
        <v>1111</v>
      </c>
      <c r="C234" s="287" t="s">
        <v>1390</v>
      </c>
      <c r="D234" s="287" t="s">
        <v>1393</v>
      </c>
      <c r="E234" s="287">
        <v>3.27948</v>
      </c>
      <c r="F234" s="287">
        <v>116.5</v>
      </c>
      <c r="G234" s="543">
        <v>41359</v>
      </c>
      <c r="H234" s="381">
        <v>382.06</v>
      </c>
    </row>
    <row r="235" spans="1:8" s="295" customFormat="1" x14ac:dyDescent="0.15">
      <c r="A235" s="374" t="s">
        <v>1400</v>
      </c>
      <c r="B235" s="538">
        <v>247</v>
      </c>
      <c r="C235" s="287" t="s">
        <v>1401</v>
      </c>
      <c r="D235" s="287" t="s">
        <v>1316</v>
      </c>
      <c r="E235" s="287">
        <v>3.3820100000000002</v>
      </c>
      <c r="F235" s="287">
        <v>157.9</v>
      </c>
      <c r="G235" s="543">
        <v>41345</v>
      </c>
      <c r="H235" s="381">
        <v>534.02</v>
      </c>
    </row>
    <row r="236" spans="1:8" s="275" customFormat="1" ht="14" thickBot="1" x14ac:dyDescent="0.2">
      <c r="A236" s="548"/>
      <c r="B236" s="474"/>
      <c r="C236" s="291" t="s">
        <v>1171</v>
      </c>
      <c r="D236" s="293"/>
      <c r="E236" s="293"/>
      <c r="F236" s="291">
        <f>SUM(F219:F235)</f>
        <v>3079.2999999999997</v>
      </c>
      <c r="G236" s="543"/>
      <c r="H236" s="389">
        <v>10290.780000000001</v>
      </c>
    </row>
    <row r="237" spans="1:8" s="275" customFormat="1" ht="14" thickTop="1" x14ac:dyDescent="0.15">
      <c r="A237" s="374"/>
      <c r="B237" s="538"/>
      <c r="C237" s="287"/>
      <c r="D237" s="287"/>
      <c r="E237" s="287"/>
      <c r="F237" s="287"/>
      <c r="G237" s="543"/>
      <c r="H237" s="549"/>
    </row>
    <row r="238" spans="1:8" s="275" customFormat="1" x14ac:dyDescent="0.15">
      <c r="A238" s="374"/>
      <c r="B238" s="538"/>
      <c r="C238" s="287"/>
      <c r="D238" s="378" t="s">
        <v>1407</v>
      </c>
      <c r="E238" s="287"/>
      <c r="F238" s="287"/>
      <c r="G238" s="543"/>
      <c r="H238" s="549"/>
    </row>
    <row r="239" spans="1:8" s="275" customFormat="1" x14ac:dyDescent="0.15">
      <c r="A239" s="374"/>
      <c r="B239" s="538"/>
      <c r="C239" s="287"/>
      <c r="D239" s="378" t="s">
        <v>1408</v>
      </c>
      <c r="E239" s="287"/>
      <c r="F239" s="287"/>
      <c r="G239" s="543"/>
      <c r="H239" s="549"/>
    </row>
    <row r="240" spans="1:8" s="275" customFormat="1" x14ac:dyDescent="0.15">
      <c r="A240" s="374"/>
      <c r="B240" s="538"/>
      <c r="C240" s="287"/>
      <c r="D240" s="386">
        <v>41369</v>
      </c>
      <c r="E240" s="287"/>
      <c r="F240" s="287"/>
      <c r="G240" s="543"/>
      <c r="H240" s="549"/>
    </row>
    <row r="241" spans="1:8" s="275" customFormat="1" x14ac:dyDescent="0.15">
      <c r="A241" s="399"/>
      <c r="B241" s="552"/>
      <c r="C241" s="400"/>
      <c r="D241" s="400"/>
      <c r="E241" s="400"/>
      <c r="F241" s="400"/>
      <c r="G241" s="553"/>
      <c r="H241" s="554"/>
    </row>
    <row r="242" spans="1:8" s="275" customFormat="1" x14ac:dyDescent="0.15">
      <c r="B242" s="479"/>
      <c r="G242" s="539"/>
    </row>
    <row r="243" spans="1:8" s="295" customFormat="1" x14ac:dyDescent="0.15">
      <c r="A243" s="370" t="s">
        <v>1376</v>
      </c>
      <c r="B243" s="540">
        <v>1545</v>
      </c>
      <c r="C243" s="371" t="s">
        <v>1377</v>
      </c>
      <c r="D243" s="371" t="s">
        <v>1378</v>
      </c>
      <c r="E243" s="371">
        <v>3.2360000000000002</v>
      </c>
      <c r="F243" s="371">
        <v>117.5</v>
      </c>
      <c r="G243" s="542">
        <v>41373</v>
      </c>
      <c r="H243" s="391">
        <v>380.23</v>
      </c>
    </row>
    <row r="244" spans="1:8" s="295" customFormat="1" x14ac:dyDescent="0.15">
      <c r="A244" s="374" t="s">
        <v>1376</v>
      </c>
      <c r="B244" s="538">
        <v>2308</v>
      </c>
      <c r="C244" s="287" t="s">
        <v>1377</v>
      </c>
      <c r="D244" s="287" t="s">
        <v>1378</v>
      </c>
      <c r="E244" s="287">
        <v>3.0715400000000002</v>
      </c>
      <c r="F244" s="287">
        <v>77.3</v>
      </c>
      <c r="G244" s="543">
        <v>41387</v>
      </c>
      <c r="H244" s="381">
        <v>237.43</v>
      </c>
    </row>
    <row r="245" spans="1:8" s="295" customFormat="1" x14ac:dyDescent="0.15">
      <c r="A245" s="374" t="s">
        <v>1382</v>
      </c>
      <c r="B245" s="538">
        <v>1544</v>
      </c>
      <c r="C245" s="287" t="s">
        <v>1383</v>
      </c>
      <c r="D245" s="287" t="s">
        <v>1384</v>
      </c>
      <c r="E245" s="287">
        <v>3.2359200000000001</v>
      </c>
      <c r="F245" s="287">
        <v>52.9</v>
      </c>
      <c r="G245" s="543">
        <v>41373</v>
      </c>
      <c r="H245" s="381">
        <v>171.18</v>
      </c>
    </row>
    <row r="246" spans="1:8" s="295" customFormat="1" x14ac:dyDescent="0.15">
      <c r="A246" s="374" t="s">
        <v>1382</v>
      </c>
      <c r="B246" s="538">
        <v>2307</v>
      </c>
      <c r="C246" s="287" t="s">
        <v>1383</v>
      </c>
      <c r="D246" s="287" t="s">
        <v>1384</v>
      </c>
      <c r="E246" s="287">
        <v>3.07213</v>
      </c>
      <c r="F246" s="287">
        <v>6.1</v>
      </c>
      <c r="G246" s="543">
        <v>41387</v>
      </c>
      <c r="H246" s="381">
        <v>18.739999999999998</v>
      </c>
    </row>
    <row r="247" spans="1:8" s="295" customFormat="1" x14ac:dyDescent="0.15">
      <c r="A247" s="374" t="s">
        <v>1385</v>
      </c>
      <c r="B247" s="538">
        <v>1536</v>
      </c>
      <c r="C247" s="287" t="s">
        <v>1386</v>
      </c>
      <c r="D247" s="287" t="s">
        <v>1387</v>
      </c>
      <c r="E247" s="287">
        <v>3.2359900000000001</v>
      </c>
      <c r="F247" s="287">
        <v>118.1</v>
      </c>
      <c r="G247" s="543">
        <v>41373</v>
      </c>
      <c r="H247" s="381">
        <v>382.17</v>
      </c>
    </row>
    <row r="248" spans="1:8" s="295" customFormat="1" x14ac:dyDescent="0.15">
      <c r="A248" s="374" t="s">
        <v>1385</v>
      </c>
      <c r="B248" s="538">
        <v>2102</v>
      </c>
      <c r="C248" s="287" t="s">
        <v>1386</v>
      </c>
      <c r="D248" s="287" t="s">
        <v>1387</v>
      </c>
      <c r="E248" s="287">
        <v>3.0715300000000001</v>
      </c>
      <c r="F248" s="287">
        <v>101.5</v>
      </c>
      <c r="G248" s="543">
        <v>41387</v>
      </c>
      <c r="H248" s="381">
        <v>311.76</v>
      </c>
    </row>
    <row r="249" spans="1:8" s="295" customFormat="1" x14ac:dyDescent="0.15">
      <c r="A249" s="374" t="s">
        <v>1388</v>
      </c>
      <c r="B249" s="538">
        <v>2179</v>
      </c>
      <c r="C249" s="287" t="s">
        <v>1284</v>
      </c>
      <c r="D249" s="287" t="s">
        <v>1285</v>
      </c>
      <c r="E249" s="287">
        <v>3.0945299999999998</v>
      </c>
      <c r="F249" s="287">
        <v>150</v>
      </c>
      <c r="G249" s="543">
        <v>41380</v>
      </c>
      <c r="H249" s="381">
        <v>464.18</v>
      </c>
    </row>
    <row r="250" spans="1:8" s="295" customFormat="1" x14ac:dyDescent="0.15">
      <c r="A250" s="374" t="s">
        <v>1389</v>
      </c>
      <c r="B250" s="538">
        <v>1532</v>
      </c>
      <c r="C250" s="287" t="s">
        <v>1390</v>
      </c>
      <c r="D250" s="287" t="s">
        <v>1391</v>
      </c>
      <c r="E250" s="287">
        <v>3.2359800000000001</v>
      </c>
      <c r="F250" s="287">
        <v>179.8</v>
      </c>
      <c r="G250" s="543">
        <v>41373</v>
      </c>
      <c r="H250" s="381">
        <v>581.83000000000004</v>
      </c>
    </row>
    <row r="251" spans="1:8" s="295" customFormat="1" x14ac:dyDescent="0.15">
      <c r="A251" s="374" t="s">
        <v>1389</v>
      </c>
      <c r="B251" s="538">
        <v>2098</v>
      </c>
      <c r="C251" s="287" t="s">
        <v>1390</v>
      </c>
      <c r="D251" s="287" t="s">
        <v>1391</v>
      </c>
      <c r="E251" s="287">
        <v>3.0715300000000001</v>
      </c>
      <c r="F251" s="287">
        <v>152.80000000000001</v>
      </c>
      <c r="G251" s="543">
        <v>41387</v>
      </c>
      <c r="H251" s="381">
        <v>469.33</v>
      </c>
    </row>
    <row r="252" spans="1:8" s="295" customFormat="1" x14ac:dyDescent="0.15">
      <c r="A252" s="374" t="s">
        <v>1379</v>
      </c>
      <c r="B252" s="538">
        <v>1903</v>
      </c>
      <c r="C252" s="287" t="s">
        <v>1380</v>
      </c>
      <c r="D252" s="287" t="s">
        <v>1381</v>
      </c>
      <c r="E252" s="287">
        <v>3.0694900000000001</v>
      </c>
      <c r="F252" s="287">
        <v>464.8</v>
      </c>
      <c r="G252" s="543">
        <v>41381</v>
      </c>
      <c r="H252" s="381">
        <v>1426.7</v>
      </c>
    </row>
    <row r="253" spans="1:8" s="295" customFormat="1" x14ac:dyDescent="0.15">
      <c r="A253" s="374" t="s">
        <v>1392</v>
      </c>
      <c r="B253" s="538">
        <v>1533</v>
      </c>
      <c r="C253" s="287" t="s">
        <v>1390</v>
      </c>
      <c r="D253" s="287" t="s">
        <v>1393</v>
      </c>
      <c r="E253" s="287">
        <v>3.2359800000000001</v>
      </c>
      <c r="F253" s="287">
        <v>177.6</v>
      </c>
      <c r="G253" s="543">
        <v>41373</v>
      </c>
      <c r="H253" s="381">
        <v>574.71</v>
      </c>
    </row>
    <row r="254" spans="1:8" s="295" customFormat="1" x14ac:dyDescent="0.15">
      <c r="A254" s="374" t="s">
        <v>1392</v>
      </c>
      <c r="B254" s="538">
        <v>2099</v>
      </c>
      <c r="C254" s="287" t="s">
        <v>1390</v>
      </c>
      <c r="D254" s="287" t="s">
        <v>1393</v>
      </c>
      <c r="E254" s="287">
        <v>3.0714899999999998</v>
      </c>
      <c r="F254" s="287">
        <v>144.5</v>
      </c>
      <c r="G254" s="543">
        <v>41387</v>
      </c>
      <c r="H254" s="381">
        <v>443.83</v>
      </c>
    </row>
    <row r="255" spans="1:8" s="295" customFormat="1" x14ac:dyDescent="0.15">
      <c r="A255" s="374" t="s">
        <v>1400</v>
      </c>
      <c r="B255" s="538">
        <v>1626</v>
      </c>
      <c r="C255" s="287" t="s">
        <v>1401</v>
      </c>
      <c r="D255" s="287" t="s">
        <v>1316</v>
      </c>
      <c r="E255" s="287">
        <v>3.2359900000000001</v>
      </c>
      <c r="F255" s="287">
        <v>163.1</v>
      </c>
      <c r="G255" s="543">
        <v>41373</v>
      </c>
      <c r="H255" s="381">
        <v>527.79</v>
      </c>
    </row>
    <row r="256" spans="1:8" s="275" customFormat="1" ht="14" thickBot="1" x14ac:dyDescent="0.2">
      <c r="A256" s="548"/>
      <c r="B256" s="474"/>
      <c r="C256" s="291" t="s">
        <v>1172</v>
      </c>
      <c r="D256" s="293"/>
      <c r="E256" s="293"/>
      <c r="F256" s="291">
        <f>SUM(F243:F255)</f>
        <v>1905.9999999999998</v>
      </c>
      <c r="G256" s="543"/>
      <c r="H256" s="389">
        <v>5989.880000000001</v>
      </c>
    </row>
    <row r="257" spans="1:8" s="275" customFormat="1" ht="14" thickTop="1" x14ac:dyDescent="0.15">
      <c r="A257" s="374"/>
      <c r="B257" s="538"/>
      <c r="C257" s="287"/>
      <c r="D257" s="287"/>
      <c r="E257" s="287"/>
      <c r="F257" s="287"/>
      <c r="G257" s="543"/>
      <c r="H257" s="549"/>
    </row>
    <row r="258" spans="1:8" s="275" customFormat="1" x14ac:dyDescent="0.15">
      <c r="A258" s="374"/>
      <c r="B258" s="538"/>
      <c r="C258" s="287"/>
      <c r="D258" s="378" t="s">
        <v>1407</v>
      </c>
      <c r="E258" s="287"/>
      <c r="F258" s="287"/>
      <c r="G258" s="543"/>
      <c r="H258" s="549"/>
    </row>
    <row r="259" spans="1:8" s="275" customFormat="1" x14ac:dyDescent="0.15">
      <c r="A259" s="374"/>
      <c r="B259" s="538"/>
      <c r="C259" s="287"/>
      <c r="D259" s="378" t="s">
        <v>1408</v>
      </c>
      <c r="E259" s="287"/>
      <c r="F259" s="287"/>
      <c r="G259" s="543"/>
      <c r="H259" s="549"/>
    </row>
    <row r="260" spans="1:8" s="275" customFormat="1" x14ac:dyDescent="0.15">
      <c r="A260" s="374"/>
      <c r="B260" s="538"/>
      <c r="C260" s="287"/>
      <c r="D260" s="386">
        <v>41400</v>
      </c>
      <c r="E260" s="287"/>
      <c r="F260" s="287"/>
      <c r="G260" s="543"/>
      <c r="H260" s="549"/>
    </row>
    <row r="261" spans="1:8" s="275" customFormat="1" x14ac:dyDescent="0.15">
      <c r="A261" s="399"/>
      <c r="B261" s="552"/>
      <c r="C261" s="400"/>
      <c r="D261" s="400"/>
      <c r="E261" s="400"/>
      <c r="F261" s="400"/>
      <c r="G261" s="553"/>
      <c r="H261" s="554"/>
    </row>
    <row r="262" spans="1:8" s="275" customFormat="1" x14ac:dyDescent="0.15">
      <c r="B262" s="479"/>
      <c r="G262" s="539"/>
    </row>
    <row r="263" spans="1:8" s="295" customFormat="1" x14ac:dyDescent="0.15">
      <c r="A263" s="370" t="s">
        <v>1379</v>
      </c>
      <c r="B263" s="540">
        <v>2717</v>
      </c>
      <c r="C263" s="371" t="s">
        <v>1380</v>
      </c>
      <c r="D263" s="371" t="s">
        <v>1381</v>
      </c>
      <c r="E263" s="371">
        <v>3.1915</v>
      </c>
      <c r="F263" s="371">
        <v>349.5</v>
      </c>
      <c r="G263" s="542">
        <v>41402</v>
      </c>
      <c r="H263" s="391">
        <v>1115.43</v>
      </c>
    </row>
    <row r="264" spans="1:8" s="295" customFormat="1" x14ac:dyDescent="0.15">
      <c r="A264" s="374" t="s">
        <v>1379</v>
      </c>
      <c r="B264" s="538">
        <v>3096</v>
      </c>
      <c r="C264" s="287" t="s">
        <v>1380</v>
      </c>
      <c r="D264" s="287" t="s">
        <v>1381</v>
      </c>
      <c r="E264" s="287">
        <v>3.0964900000000002</v>
      </c>
      <c r="F264" s="287">
        <v>222.1</v>
      </c>
      <c r="G264" s="543">
        <v>41422</v>
      </c>
      <c r="H264" s="381">
        <v>687.73</v>
      </c>
    </row>
    <row r="265" spans="1:8" s="295" customFormat="1" x14ac:dyDescent="0.15">
      <c r="A265" s="374" t="s">
        <v>1400</v>
      </c>
      <c r="B265" s="538">
        <v>3008</v>
      </c>
      <c r="C265" s="287" t="s">
        <v>1401</v>
      </c>
      <c r="D265" s="287" t="s">
        <v>1316</v>
      </c>
      <c r="E265" s="287">
        <v>3.1225100000000001</v>
      </c>
      <c r="F265" s="287">
        <v>104.4</v>
      </c>
      <c r="G265" s="543">
        <v>41411</v>
      </c>
      <c r="H265" s="381">
        <v>325.99</v>
      </c>
    </row>
    <row r="266" spans="1:8" s="275" customFormat="1" ht="14" thickBot="1" x14ac:dyDescent="0.2">
      <c r="A266" s="548"/>
      <c r="B266" s="474"/>
      <c r="C266" s="291" t="s">
        <v>1173</v>
      </c>
      <c r="D266" s="293"/>
      <c r="E266" s="293"/>
      <c r="F266" s="291">
        <f>SUM(F263:F265)</f>
        <v>676</v>
      </c>
      <c r="G266" s="543"/>
      <c r="H266" s="389">
        <v>2129.15</v>
      </c>
    </row>
    <row r="267" spans="1:8" s="275" customFormat="1" ht="14" thickTop="1" x14ac:dyDescent="0.15">
      <c r="A267" s="374"/>
      <c r="B267" s="538"/>
      <c r="C267" s="287"/>
      <c r="D267" s="287"/>
      <c r="E267" s="287"/>
      <c r="F267" s="287"/>
      <c r="G267" s="543"/>
      <c r="H267" s="549"/>
    </row>
    <row r="268" spans="1:8" s="275" customFormat="1" x14ac:dyDescent="0.15">
      <c r="A268" s="374"/>
      <c r="B268" s="538"/>
      <c r="C268" s="287"/>
      <c r="D268" s="378" t="s">
        <v>1407</v>
      </c>
      <c r="E268" s="287"/>
      <c r="F268" s="287"/>
      <c r="G268" s="543"/>
      <c r="H268" s="549"/>
    </row>
    <row r="269" spans="1:8" s="275" customFormat="1" x14ac:dyDescent="0.15">
      <c r="A269" s="374"/>
      <c r="B269" s="538"/>
      <c r="C269" s="287"/>
      <c r="D269" s="378" t="s">
        <v>1408</v>
      </c>
      <c r="E269" s="287"/>
      <c r="F269" s="287"/>
      <c r="G269" s="543"/>
      <c r="H269" s="549"/>
    </row>
    <row r="270" spans="1:8" s="275" customFormat="1" x14ac:dyDescent="0.15">
      <c r="A270" s="374"/>
      <c r="B270" s="538"/>
      <c r="C270" s="287"/>
      <c r="D270" s="386">
        <v>41432</v>
      </c>
      <c r="E270" s="287"/>
      <c r="F270" s="287"/>
      <c r="G270" s="543"/>
      <c r="H270" s="549"/>
    </row>
    <row r="271" spans="1:8" s="275" customFormat="1" x14ac:dyDescent="0.15">
      <c r="A271" s="399"/>
      <c r="B271" s="552"/>
      <c r="C271" s="400"/>
      <c r="D271" s="400"/>
      <c r="E271" s="400"/>
      <c r="F271" s="400"/>
      <c r="G271" s="553"/>
      <c r="H271" s="554"/>
    </row>
    <row r="272" spans="1:8" ht="14" thickBot="1" x14ac:dyDescent="0.2">
      <c r="G272" s="556"/>
    </row>
    <row r="273" spans="1:11" s="275" customFormat="1" ht="31" thickBot="1" x14ac:dyDescent="0.35">
      <c r="A273" s="767" t="s">
        <v>1137</v>
      </c>
      <c r="B273" s="768"/>
      <c r="C273" s="768"/>
      <c r="D273" s="768"/>
      <c r="E273" s="768"/>
      <c r="F273" s="768"/>
      <c r="G273" s="768"/>
      <c r="H273" s="769"/>
      <c r="I273" s="289"/>
      <c r="J273" s="289"/>
      <c r="K273" s="289"/>
    </row>
    <row r="274" spans="1:11" s="275" customFormat="1" x14ac:dyDescent="0.15">
      <c r="B274" s="479"/>
      <c r="G274" s="539"/>
    </row>
    <row r="275" spans="1:11" s="295" customFormat="1" x14ac:dyDescent="0.15">
      <c r="A275" s="370" t="s">
        <v>1385</v>
      </c>
      <c r="B275" s="540">
        <v>2696</v>
      </c>
      <c r="C275" s="371" t="s">
        <v>1386</v>
      </c>
      <c r="D275" s="371" t="s">
        <v>1387</v>
      </c>
      <c r="E275" s="371">
        <v>3.11951</v>
      </c>
      <c r="F275" s="371">
        <v>214.2</v>
      </c>
      <c r="G275" s="542">
        <v>41457</v>
      </c>
      <c r="H275" s="391">
        <v>668.2</v>
      </c>
    </row>
    <row r="276" spans="1:11" s="295" customFormat="1" x14ac:dyDescent="0.15">
      <c r="A276" s="374" t="s">
        <v>1389</v>
      </c>
      <c r="B276" s="538">
        <v>2692</v>
      </c>
      <c r="C276" s="287" t="s">
        <v>1390</v>
      </c>
      <c r="D276" s="287" t="s">
        <v>1391</v>
      </c>
      <c r="E276" s="287">
        <v>3.11951</v>
      </c>
      <c r="F276" s="287">
        <v>313.10000000000002</v>
      </c>
      <c r="G276" s="543">
        <v>41457</v>
      </c>
      <c r="H276" s="381">
        <v>976.72</v>
      </c>
    </row>
    <row r="277" spans="1:11" s="295" customFormat="1" x14ac:dyDescent="0.15">
      <c r="A277" s="374" t="s">
        <v>1379</v>
      </c>
      <c r="B277" s="538">
        <v>3436</v>
      </c>
      <c r="C277" s="287" t="s">
        <v>1380</v>
      </c>
      <c r="D277" s="287" t="s">
        <v>1381</v>
      </c>
      <c r="E277" s="287">
        <v>3.1195200000000001</v>
      </c>
      <c r="F277" s="287">
        <v>255.7</v>
      </c>
      <c r="G277" s="543">
        <v>41457</v>
      </c>
      <c r="H277" s="381">
        <v>797.66</v>
      </c>
    </row>
    <row r="278" spans="1:11" s="295" customFormat="1" x14ac:dyDescent="0.15">
      <c r="A278" s="374" t="s">
        <v>1392</v>
      </c>
      <c r="B278" s="538">
        <v>2693</v>
      </c>
      <c r="C278" s="287" t="s">
        <v>1390</v>
      </c>
      <c r="D278" s="287" t="s">
        <v>1393</v>
      </c>
      <c r="E278" s="287">
        <v>3.11951</v>
      </c>
      <c r="F278" s="287">
        <v>310.10000000000002</v>
      </c>
      <c r="G278" s="543">
        <v>41457</v>
      </c>
      <c r="H278" s="381">
        <v>967.36</v>
      </c>
    </row>
    <row r="279" spans="1:11" s="275" customFormat="1" ht="14" thickBot="1" x14ac:dyDescent="0.2">
      <c r="A279" s="548"/>
      <c r="B279" s="474"/>
      <c r="C279" s="291" t="s">
        <v>1177</v>
      </c>
      <c r="D279" s="293"/>
      <c r="E279" s="293"/>
      <c r="F279" s="291">
        <f>SUM(F275:F278)</f>
        <v>1093.0999999999999</v>
      </c>
      <c r="G279" s="543"/>
      <c r="H279" s="389">
        <v>3409.94</v>
      </c>
    </row>
    <row r="280" spans="1:11" s="275" customFormat="1" ht="14" thickTop="1" x14ac:dyDescent="0.15">
      <c r="A280" s="374"/>
      <c r="B280" s="538"/>
      <c r="C280" s="287"/>
      <c r="D280" s="287"/>
      <c r="E280" s="287"/>
      <c r="F280" s="287"/>
      <c r="G280" s="543"/>
      <c r="H280" s="549"/>
    </row>
    <row r="281" spans="1:11" s="275" customFormat="1" x14ac:dyDescent="0.15">
      <c r="A281" s="374"/>
      <c r="B281" s="538"/>
      <c r="C281" s="287"/>
      <c r="D281" s="378" t="s">
        <v>1407</v>
      </c>
      <c r="E281" s="287"/>
      <c r="F281" s="287"/>
      <c r="G281" s="543"/>
      <c r="H281" s="549"/>
    </row>
    <row r="282" spans="1:11" s="275" customFormat="1" x14ac:dyDescent="0.15">
      <c r="A282" s="374"/>
      <c r="B282" s="538"/>
      <c r="C282" s="287"/>
      <c r="D282" s="378" t="s">
        <v>1408</v>
      </c>
      <c r="E282" s="287"/>
      <c r="F282" s="287"/>
      <c r="G282" s="543"/>
      <c r="H282" s="549"/>
    </row>
    <row r="283" spans="1:11" s="275" customFormat="1" x14ac:dyDescent="0.15">
      <c r="A283" s="409"/>
      <c r="B283" s="557"/>
      <c r="C283" s="410"/>
      <c r="D283" s="558">
        <v>41492</v>
      </c>
      <c r="E283" s="410"/>
      <c r="F283" s="410"/>
      <c r="G283" s="553"/>
      <c r="H283" s="559"/>
    </row>
    <row r="284" spans="1:11" s="275" customFormat="1" x14ac:dyDescent="0.15">
      <c r="B284" s="479"/>
      <c r="G284" s="539"/>
    </row>
    <row r="285" spans="1:11" s="295" customFormat="1" x14ac:dyDescent="0.15">
      <c r="A285" s="370" t="s">
        <v>1389</v>
      </c>
      <c r="B285" s="540">
        <v>3721</v>
      </c>
      <c r="C285" s="371" t="s">
        <v>1390</v>
      </c>
      <c r="D285" s="371" t="s">
        <v>1391</v>
      </c>
      <c r="E285" s="371">
        <v>3.3278799999999999</v>
      </c>
      <c r="F285" s="371">
        <v>26.9</v>
      </c>
      <c r="G285" s="542">
        <v>41513</v>
      </c>
      <c r="H285" s="391">
        <v>89.52</v>
      </c>
    </row>
    <row r="286" spans="1:11" s="295" customFormat="1" x14ac:dyDescent="0.15">
      <c r="A286" s="374" t="s">
        <v>1379</v>
      </c>
      <c r="B286" s="538">
        <v>3732</v>
      </c>
      <c r="C286" s="287" t="s">
        <v>1380</v>
      </c>
      <c r="D286" s="287" t="s">
        <v>1381</v>
      </c>
      <c r="E286" s="287">
        <v>3.2444799999999998</v>
      </c>
      <c r="F286" s="287">
        <v>329.1</v>
      </c>
      <c r="G286" s="543">
        <v>41498</v>
      </c>
      <c r="H286" s="381">
        <v>1067.76</v>
      </c>
    </row>
    <row r="287" spans="1:11" s="295" customFormat="1" x14ac:dyDescent="0.15">
      <c r="A287" s="374" t="s">
        <v>1392</v>
      </c>
      <c r="B287" s="538">
        <v>3722</v>
      </c>
      <c r="C287" s="287" t="s">
        <v>1390</v>
      </c>
      <c r="D287" s="287" t="s">
        <v>1393</v>
      </c>
      <c r="E287" s="287">
        <v>3.32795</v>
      </c>
      <c r="F287" s="287">
        <v>48.3</v>
      </c>
      <c r="G287" s="543">
        <v>41513</v>
      </c>
      <c r="H287" s="381">
        <v>160.74</v>
      </c>
    </row>
    <row r="288" spans="1:11" s="275" customFormat="1" ht="14" thickBot="1" x14ac:dyDescent="0.2">
      <c r="A288" s="548"/>
      <c r="B288" s="474"/>
      <c r="C288" s="291" t="s">
        <v>1145</v>
      </c>
      <c r="D288" s="293"/>
      <c r="E288" s="293"/>
      <c r="F288" s="291">
        <f>SUM(F285:F287)</f>
        <v>404.3</v>
      </c>
      <c r="G288" s="543"/>
      <c r="H288" s="389">
        <v>1318.02</v>
      </c>
    </row>
    <row r="289" spans="1:8" s="275" customFormat="1" ht="14" thickTop="1" x14ac:dyDescent="0.15">
      <c r="A289" s="374"/>
      <c r="B289" s="538"/>
      <c r="C289" s="287"/>
      <c r="D289" s="287"/>
      <c r="E289" s="287"/>
      <c r="F289" s="287"/>
      <c r="G289" s="543"/>
      <c r="H289" s="549"/>
    </row>
    <row r="290" spans="1:8" s="275" customFormat="1" x14ac:dyDescent="0.15">
      <c r="A290" s="374"/>
      <c r="B290" s="538"/>
      <c r="C290" s="287"/>
      <c r="D290" s="378" t="s">
        <v>1407</v>
      </c>
      <c r="E290" s="287"/>
      <c r="F290" s="287"/>
      <c r="G290" s="543"/>
      <c r="H290" s="549"/>
    </row>
    <row r="291" spans="1:8" s="275" customFormat="1" x14ac:dyDescent="0.15">
      <c r="A291" s="374"/>
      <c r="B291" s="538"/>
      <c r="C291" s="287"/>
      <c r="D291" s="378" t="s">
        <v>1408</v>
      </c>
      <c r="E291" s="287"/>
      <c r="F291" s="287"/>
      <c r="G291" s="543"/>
      <c r="H291" s="549"/>
    </row>
    <row r="292" spans="1:8" s="275" customFormat="1" x14ac:dyDescent="0.15">
      <c r="A292" s="409"/>
      <c r="B292" s="557"/>
      <c r="C292" s="410"/>
      <c r="D292" s="558">
        <v>41522</v>
      </c>
      <c r="E292" s="410"/>
      <c r="F292" s="410"/>
      <c r="G292" s="553"/>
      <c r="H292" s="559"/>
    </row>
    <row r="293" spans="1:8" s="275" customFormat="1" x14ac:dyDescent="0.15">
      <c r="B293" s="479"/>
      <c r="G293" s="539"/>
    </row>
    <row r="294" spans="1:8" s="295" customFormat="1" x14ac:dyDescent="0.15">
      <c r="A294" s="370" t="s">
        <v>1379</v>
      </c>
      <c r="B294" s="540">
        <v>4305</v>
      </c>
      <c r="C294" s="371" t="s">
        <v>1380</v>
      </c>
      <c r="D294" s="371" t="s">
        <v>1381</v>
      </c>
      <c r="E294" s="371">
        <v>3.3665099999999999</v>
      </c>
      <c r="F294" s="371">
        <v>212</v>
      </c>
      <c r="G294" s="542">
        <v>41527</v>
      </c>
      <c r="H294" s="391">
        <v>713.7</v>
      </c>
    </row>
    <row r="295" spans="1:8" s="275" customFormat="1" ht="14" thickBot="1" x14ac:dyDescent="0.2">
      <c r="A295" s="548"/>
      <c r="B295" s="474"/>
      <c r="C295" s="291" t="s">
        <v>1148</v>
      </c>
      <c r="D295" s="293"/>
      <c r="E295" s="293"/>
      <c r="F295" s="291">
        <f>SUM(F294:F294)</f>
        <v>212</v>
      </c>
      <c r="G295" s="543"/>
      <c r="H295" s="389">
        <v>713.7</v>
      </c>
    </row>
    <row r="296" spans="1:8" s="275" customFormat="1" ht="14" thickTop="1" x14ac:dyDescent="0.15">
      <c r="A296" s="374"/>
      <c r="B296" s="538"/>
      <c r="C296" s="287"/>
      <c r="D296" s="287"/>
      <c r="E296" s="287"/>
      <c r="F296" s="287"/>
      <c r="G296" s="543"/>
      <c r="H296" s="549"/>
    </row>
    <row r="297" spans="1:8" s="275" customFormat="1" x14ac:dyDescent="0.15">
      <c r="A297" s="374"/>
      <c r="B297" s="538"/>
      <c r="C297" s="287"/>
      <c r="D297" s="378" t="s">
        <v>1407</v>
      </c>
      <c r="E297" s="287"/>
      <c r="F297" s="287"/>
      <c r="G297" s="543"/>
      <c r="H297" s="549"/>
    </row>
    <row r="298" spans="1:8" s="275" customFormat="1" x14ac:dyDescent="0.15">
      <c r="A298" s="374"/>
      <c r="B298" s="538"/>
      <c r="C298" s="287"/>
      <c r="D298" s="378" t="s">
        <v>1408</v>
      </c>
      <c r="E298" s="287"/>
      <c r="F298" s="287"/>
      <c r="G298" s="543"/>
      <c r="H298" s="549"/>
    </row>
    <row r="299" spans="1:8" s="275" customFormat="1" x14ac:dyDescent="0.15">
      <c r="A299" s="409"/>
      <c r="B299" s="557"/>
      <c r="C299" s="410"/>
      <c r="D299" s="558">
        <v>41554</v>
      </c>
      <c r="E299" s="410"/>
      <c r="F299" s="410"/>
      <c r="G299" s="553"/>
      <c r="H299" s="559"/>
    </row>
    <row r="300" spans="1:8" s="275" customFormat="1" x14ac:dyDescent="0.15">
      <c r="B300" s="479"/>
      <c r="G300" s="539"/>
    </row>
    <row r="301" spans="1:8" s="295" customFormat="1" x14ac:dyDescent="0.15">
      <c r="A301" s="370" t="s">
        <v>1376</v>
      </c>
      <c r="B301" s="540">
        <v>2715</v>
      </c>
      <c r="C301" s="371" t="s">
        <v>1410</v>
      </c>
      <c r="D301" s="371" t="s">
        <v>1378</v>
      </c>
      <c r="E301" s="371">
        <v>3.3059799999999999</v>
      </c>
      <c r="F301" s="371">
        <v>132</v>
      </c>
      <c r="G301" s="542">
        <v>41557</v>
      </c>
      <c r="H301" s="391">
        <v>436.39</v>
      </c>
    </row>
    <row r="302" spans="1:8" s="295" customFormat="1" x14ac:dyDescent="0.15">
      <c r="A302" s="374" t="s">
        <v>1385</v>
      </c>
      <c r="B302" s="538">
        <v>3724</v>
      </c>
      <c r="C302" s="287" t="s">
        <v>1386</v>
      </c>
      <c r="D302" s="287" t="s">
        <v>1387</v>
      </c>
      <c r="E302" s="287">
        <v>3.306</v>
      </c>
      <c r="F302" s="287">
        <v>201.8</v>
      </c>
      <c r="G302" s="543">
        <v>41557</v>
      </c>
      <c r="H302" s="381">
        <v>667.15</v>
      </c>
    </row>
    <row r="303" spans="1:8" s="295" customFormat="1" x14ac:dyDescent="0.15">
      <c r="A303" s="374" t="s">
        <v>1389</v>
      </c>
      <c r="B303" s="538">
        <v>4307</v>
      </c>
      <c r="C303" s="287" t="s">
        <v>1390</v>
      </c>
      <c r="D303" s="287" t="s">
        <v>1391</v>
      </c>
      <c r="E303" s="287">
        <v>3.3059799999999999</v>
      </c>
      <c r="F303" s="287">
        <v>205.7</v>
      </c>
      <c r="G303" s="543">
        <v>41557</v>
      </c>
      <c r="H303" s="381">
        <v>680.04</v>
      </c>
    </row>
    <row r="304" spans="1:8" s="295" customFormat="1" x14ac:dyDescent="0.15">
      <c r="A304" s="374" t="s">
        <v>1379</v>
      </c>
      <c r="B304" s="538">
        <v>4576</v>
      </c>
      <c r="C304" s="287" t="s">
        <v>1380</v>
      </c>
      <c r="D304" s="287" t="s">
        <v>1381</v>
      </c>
      <c r="E304" s="287">
        <v>3.2985000000000002</v>
      </c>
      <c r="F304" s="287">
        <v>219.5</v>
      </c>
      <c r="G304" s="543">
        <v>41555</v>
      </c>
      <c r="H304" s="381">
        <v>724.02</v>
      </c>
    </row>
    <row r="305" spans="1:8" s="295" customFormat="1" x14ac:dyDescent="0.15">
      <c r="A305" s="374" t="s">
        <v>1392</v>
      </c>
      <c r="B305" s="538">
        <v>4308</v>
      </c>
      <c r="C305" s="287" t="s">
        <v>1390</v>
      </c>
      <c r="D305" s="287" t="s">
        <v>1393</v>
      </c>
      <c r="E305" s="287">
        <v>3.3060100000000001</v>
      </c>
      <c r="F305" s="287">
        <v>272.8</v>
      </c>
      <c r="G305" s="543">
        <v>41557</v>
      </c>
      <c r="H305" s="381">
        <v>901.88</v>
      </c>
    </row>
    <row r="306" spans="1:8" s="295" customFormat="1" x14ac:dyDescent="0.15">
      <c r="A306" s="374" t="s">
        <v>1400</v>
      </c>
      <c r="B306" s="538">
        <v>4285</v>
      </c>
      <c r="C306" s="287" t="s">
        <v>1315</v>
      </c>
      <c r="D306" s="287" t="s">
        <v>1316</v>
      </c>
      <c r="E306" s="287">
        <v>3.3150499999999998</v>
      </c>
      <c r="F306" s="287">
        <v>77.099999999999994</v>
      </c>
      <c r="G306" s="543">
        <v>41562</v>
      </c>
      <c r="H306" s="381">
        <v>255.59</v>
      </c>
    </row>
    <row r="307" spans="1:8" s="275" customFormat="1" ht="14" thickBot="1" x14ac:dyDescent="0.2">
      <c r="A307" s="548"/>
      <c r="B307" s="474"/>
      <c r="C307" s="291" t="s">
        <v>1154</v>
      </c>
      <c r="D307" s="293"/>
      <c r="E307" s="293"/>
      <c r="F307" s="291">
        <f>SUM(F301:F306)</f>
        <v>1108.8999999999999</v>
      </c>
      <c r="G307" s="543"/>
      <c r="H307" s="389">
        <v>3665.07</v>
      </c>
    </row>
    <row r="308" spans="1:8" s="275" customFormat="1" ht="14" thickTop="1" x14ac:dyDescent="0.15">
      <c r="A308" s="374"/>
      <c r="B308" s="538"/>
      <c r="C308" s="287"/>
      <c r="D308" s="287"/>
      <c r="E308" s="287"/>
      <c r="F308" s="287"/>
      <c r="G308" s="543"/>
      <c r="H308" s="549"/>
    </row>
    <row r="309" spans="1:8" s="275" customFormat="1" x14ac:dyDescent="0.15">
      <c r="A309" s="374"/>
      <c r="B309" s="538"/>
      <c r="C309" s="287"/>
      <c r="D309" s="378" t="s">
        <v>1407</v>
      </c>
      <c r="E309" s="287"/>
      <c r="F309" s="287"/>
      <c r="G309" s="543"/>
      <c r="H309" s="549"/>
    </row>
    <row r="310" spans="1:8" s="275" customFormat="1" x14ac:dyDescent="0.15">
      <c r="A310" s="374"/>
      <c r="B310" s="538"/>
      <c r="C310" s="287"/>
      <c r="D310" s="378" t="s">
        <v>1408</v>
      </c>
      <c r="E310" s="287"/>
      <c r="F310" s="287"/>
      <c r="G310" s="543"/>
      <c r="H310" s="549"/>
    </row>
    <row r="311" spans="1:8" s="275" customFormat="1" x14ac:dyDescent="0.15">
      <c r="A311" s="409"/>
      <c r="B311" s="557"/>
      <c r="C311" s="410"/>
      <c r="D311" s="558">
        <v>41578</v>
      </c>
      <c r="E311" s="410"/>
      <c r="F311" s="410"/>
      <c r="G311" s="553"/>
      <c r="H311" s="559"/>
    </row>
    <row r="312" spans="1:8" s="275" customFormat="1" x14ac:dyDescent="0.15">
      <c r="B312" s="479"/>
      <c r="G312" s="539"/>
    </row>
    <row r="313" spans="1:8" s="295" customFormat="1" x14ac:dyDescent="0.15">
      <c r="A313" s="370" t="s">
        <v>1376</v>
      </c>
      <c r="B313" s="540">
        <v>5527</v>
      </c>
      <c r="C313" s="371" t="s">
        <v>1410</v>
      </c>
      <c r="D313" s="371" t="s">
        <v>1378</v>
      </c>
      <c r="E313" s="371">
        <v>3.2115300000000002</v>
      </c>
      <c r="F313" s="371">
        <v>119.7</v>
      </c>
      <c r="G313" s="542">
        <v>41583</v>
      </c>
      <c r="H313" s="391">
        <v>384.42</v>
      </c>
    </row>
    <row r="314" spans="1:8" s="295" customFormat="1" x14ac:dyDescent="0.15">
      <c r="A314" s="374" t="s">
        <v>1376</v>
      </c>
      <c r="B314" s="538">
        <v>6331</v>
      </c>
      <c r="C314" s="287" t="s">
        <v>1410</v>
      </c>
      <c r="D314" s="287" t="s">
        <v>1378</v>
      </c>
      <c r="E314" s="287">
        <v>3.2809900000000001</v>
      </c>
      <c r="F314" s="287">
        <v>95.2</v>
      </c>
      <c r="G314" s="543">
        <v>41597</v>
      </c>
      <c r="H314" s="381">
        <v>312.35000000000002</v>
      </c>
    </row>
    <row r="315" spans="1:8" s="295" customFormat="1" x14ac:dyDescent="0.15">
      <c r="A315" s="374" t="s">
        <v>1382</v>
      </c>
      <c r="B315" s="538">
        <v>2714</v>
      </c>
      <c r="C315" s="287" t="s">
        <v>1383</v>
      </c>
      <c r="D315" s="287" t="s">
        <v>1384</v>
      </c>
      <c r="E315" s="287">
        <v>3.21143</v>
      </c>
      <c r="F315" s="287">
        <v>63</v>
      </c>
      <c r="G315" s="543">
        <v>41583</v>
      </c>
      <c r="H315" s="381">
        <v>202.32</v>
      </c>
    </row>
    <row r="316" spans="1:8" s="295" customFormat="1" x14ac:dyDescent="0.15">
      <c r="A316" s="374" t="s">
        <v>1382</v>
      </c>
      <c r="B316" s="538">
        <v>6330</v>
      </c>
      <c r="C316" s="287" t="s">
        <v>1383</v>
      </c>
      <c r="D316" s="287" t="s">
        <v>1384</v>
      </c>
      <c r="E316" s="287">
        <v>3.4255300000000002</v>
      </c>
      <c r="F316" s="287">
        <v>98.7</v>
      </c>
      <c r="G316" s="543">
        <v>41605</v>
      </c>
      <c r="H316" s="381">
        <v>338.1</v>
      </c>
    </row>
    <row r="317" spans="1:8" s="295" customFormat="1" x14ac:dyDescent="0.15">
      <c r="A317" s="374" t="s">
        <v>1385</v>
      </c>
      <c r="B317" s="538">
        <v>5366</v>
      </c>
      <c r="C317" s="287" t="s">
        <v>1386</v>
      </c>
      <c r="D317" s="287" t="s">
        <v>1387</v>
      </c>
      <c r="E317" s="287">
        <v>3.2115</v>
      </c>
      <c r="F317" s="287">
        <v>144.30000000000001</v>
      </c>
      <c r="G317" s="543">
        <v>41583</v>
      </c>
      <c r="H317" s="381">
        <v>463.42</v>
      </c>
    </row>
    <row r="318" spans="1:8" s="295" customFormat="1" x14ac:dyDescent="0.15">
      <c r="A318" s="374" t="s">
        <v>1385</v>
      </c>
      <c r="B318" s="538">
        <v>6215</v>
      </c>
      <c r="C318" s="287" t="s">
        <v>1386</v>
      </c>
      <c r="D318" s="287" t="s">
        <v>1387</v>
      </c>
      <c r="E318" s="287">
        <v>3.2810000000000001</v>
      </c>
      <c r="F318" s="287">
        <v>119.5</v>
      </c>
      <c r="G318" s="543">
        <v>41597</v>
      </c>
      <c r="H318" s="381">
        <v>392.08</v>
      </c>
    </row>
    <row r="319" spans="1:8" s="295" customFormat="1" x14ac:dyDescent="0.15">
      <c r="A319" s="374" t="s">
        <v>1385</v>
      </c>
      <c r="B319" s="538">
        <v>6889</v>
      </c>
      <c r="C319" s="287" t="s">
        <v>1386</v>
      </c>
      <c r="D319" s="287" t="s">
        <v>1387</v>
      </c>
      <c r="E319" s="287">
        <v>3.4255300000000002</v>
      </c>
      <c r="F319" s="287">
        <v>99.5</v>
      </c>
      <c r="G319" s="543">
        <v>41605</v>
      </c>
      <c r="H319" s="381">
        <v>340.84</v>
      </c>
    </row>
    <row r="320" spans="1:8" s="295" customFormat="1" x14ac:dyDescent="0.15">
      <c r="A320" s="374" t="s">
        <v>1389</v>
      </c>
      <c r="B320" s="538">
        <v>5363</v>
      </c>
      <c r="C320" s="287" t="s">
        <v>1390</v>
      </c>
      <c r="D320" s="287" t="s">
        <v>1391</v>
      </c>
      <c r="E320" s="287">
        <v>3.2115100000000001</v>
      </c>
      <c r="F320" s="287">
        <v>218</v>
      </c>
      <c r="G320" s="543">
        <v>41583</v>
      </c>
      <c r="H320" s="381">
        <v>700.11</v>
      </c>
    </row>
    <row r="321" spans="1:8" s="295" customFormat="1" x14ac:dyDescent="0.15">
      <c r="A321" s="374" t="s">
        <v>1389</v>
      </c>
      <c r="B321" s="538">
        <v>6429</v>
      </c>
      <c r="C321" s="287" t="s">
        <v>1390</v>
      </c>
      <c r="D321" s="287" t="s">
        <v>1391</v>
      </c>
      <c r="E321" s="287"/>
      <c r="F321" s="287"/>
      <c r="G321" s="543">
        <v>41590</v>
      </c>
      <c r="H321" s="381">
        <v>16.47</v>
      </c>
    </row>
    <row r="322" spans="1:8" s="295" customFormat="1" x14ac:dyDescent="0.15">
      <c r="A322" s="374" t="s">
        <v>1389</v>
      </c>
      <c r="B322" s="538">
        <v>6211</v>
      </c>
      <c r="C322" s="287" t="s">
        <v>1390</v>
      </c>
      <c r="D322" s="287" t="s">
        <v>1391</v>
      </c>
      <c r="E322" s="287">
        <v>3.2810199999999998</v>
      </c>
      <c r="F322" s="287">
        <v>140.69999999999999</v>
      </c>
      <c r="G322" s="543">
        <v>41597</v>
      </c>
      <c r="H322" s="381">
        <v>461.64</v>
      </c>
    </row>
    <row r="323" spans="1:8" s="295" customFormat="1" x14ac:dyDescent="0.15">
      <c r="A323" s="374" t="s">
        <v>1389</v>
      </c>
      <c r="B323" s="538">
        <v>6426</v>
      </c>
      <c r="C323" s="287" t="s">
        <v>1390</v>
      </c>
      <c r="D323" s="287" t="s">
        <v>1391</v>
      </c>
      <c r="E323" s="287"/>
      <c r="F323" s="287"/>
      <c r="G323" s="543">
        <v>41598</v>
      </c>
      <c r="H323" s="381">
        <v>16.47</v>
      </c>
    </row>
    <row r="324" spans="1:8" s="295" customFormat="1" x14ac:dyDescent="0.15">
      <c r="A324" s="374" t="s">
        <v>1389</v>
      </c>
      <c r="B324" s="538">
        <v>6885</v>
      </c>
      <c r="C324" s="287" t="s">
        <v>1390</v>
      </c>
      <c r="D324" s="287" t="s">
        <v>1391</v>
      </c>
      <c r="E324" s="287">
        <v>3.4255399999999998</v>
      </c>
      <c r="F324" s="287">
        <v>97.1</v>
      </c>
      <c r="G324" s="543">
        <v>41605</v>
      </c>
      <c r="H324" s="381">
        <v>332.62</v>
      </c>
    </row>
    <row r="325" spans="1:8" s="295" customFormat="1" x14ac:dyDescent="0.15">
      <c r="A325" s="374" t="s">
        <v>1389</v>
      </c>
      <c r="B325" s="538">
        <v>6155</v>
      </c>
      <c r="C325" s="287" t="s">
        <v>1390</v>
      </c>
      <c r="D325" s="287" t="s">
        <v>1391</v>
      </c>
      <c r="E325" s="287"/>
      <c r="F325" s="287"/>
      <c r="G325" s="543">
        <v>41607</v>
      </c>
      <c r="H325" s="381">
        <v>16.47</v>
      </c>
    </row>
    <row r="326" spans="1:8" s="295" customFormat="1" x14ac:dyDescent="0.15">
      <c r="A326" s="374" t="s">
        <v>1379</v>
      </c>
      <c r="B326" s="538">
        <v>5530</v>
      </c>
      <c r="C326" s="287" t="s">
        <v>1380</v>
      </c>
      <c r="D326" s="287" t="s">
        <v>1381</v>
      </c>
      <c r="E326" s="287">
        <v>3.2115</v>
      </c>
      <c r="F326" s="287">
        <v>221.7</v>
      </c>
      <c r="G326" s="543">
        <v>41583</v>
      </c>
      <c r="H326" s="381">
        <v>711.99</v>
      </c>
    </row>
    <row r="327" spans="1:8" s="295" customFormat="1" x14ac:dyDescent="0.15">
      <c r="A327" s="374" t="s">
        <v>1379</v>
      </c>
      <c r="B327" s="538">
        <v>6567</v>
      </c>
      <c r="C327" s="287" t="s">
        <v>1380</v>
      </c>
      <c r="D327" s="287" t="s">
        <v>1381</v>
      </c>
      <c r="E327" s="287">
        <v>3.4255100000000001</v>
      </c>
      <c r="F327" s="287">
        <v>237.6</v>
      </c>
      <c r="G327" s="543">
        <v>41605</v>
      </c>
      <c r="H327" s="381">
        <v>813.9</v>
      </c>
    </row>
    <row r="328" spans="1:8" s="295" customFormat="1" x14ac:dyDescent="0.15">
      <c r="A328" s="374" t="s">
        <v>1379</v>
      </c>
      <c r="B328" s="538">
        <v>5167</v>
      </c>
      <c r="C328" s="287" t="s">
        <v>1380</v>
      </c>
      <c r="D328" s="287" t="s">
        <v>1381</v>
      </c>
      <c r="E328" s="287"/>
      <c r="F328" s="287"/>
      <c r="G328" s="543">
        <v>41607</v>
      </c>
      <c r="H328" s="381">
        <v>16.47</v>
      </c>
    </row>
    <row r="329" spans="1:8" s="295" customFormat="1" x14ac:dyDescent="0.15">
      <c r="A329" s="374" t="s">
        <v>1392</v>
      </c>
      <c r="B329" s="538">
        <v>5364</v>
      </c>
      <c r="C329" s="287" t="s">
        <v>1390</v>
      </c>
      <c r="D329" s="287" t="s">
        <v>1393</v>
      </c>
      <c r="E329" s="287">
        <v>3.2115200000000002</v>
      </c>
      <c r="F329" s="287">
        <v>269.2</v>
      </c>
      <c r="G329" s="543">
        <v>41583</v>
      </c>
      <c r="H329" s="381">
        <v>864.54</v>
      </c>
    </row>
    <row r="330" spans="1:8" s="295" customFormat="1" x14ac:dyDescent="0.15">
      <c r="A330" s="374" t="s">
        <v>1392</v>
      </c>
      <c r="B330" s="538">
        <v>6426</v>
      </c>
      <c r="C330" s="287" t="s">
        <v>1390</v>
      </c>
      <c r="D330" s="287" t="s">
        <v>1393</v>
      </c>
      <c r="E330" s="287"/>
      <c r="F330" s="287"/>
      <c r="G330" s="543">
        <v>41590</v>
      </c>
      <c r="H330" s="381">
        <v>16.47</v>
      </c>
    </row>
    <row r="331" spans="1:8" s="295" customFormat="1" x14ac:dyDescent="0.15">
      <c r="A331" s="374" t="s">
        <v>1392</v>
      </c>
      <c r="B331" s="538">
        <v>6212</v>
      </c>
      <c r="C331" s="287" t="s">
        <v>1390</v>
      </c>
      <c r="D331" s="287" t="s">
        <v>1393</v>
      </c>
      <c r="E331" s="287">
        <v>3.2810199999999998</v>
      </c>
      <c r="F331" s="287">
        <v>182.8</v>
      </c>
      <c r="G331" s="543">
        <v>41597</v>
      </c>
      <c r="H331" s="381">
        <v>599.77</v>
      </c>
    </row>
    <row r="332" spans="1:8" s="295" customFormat="1" x14ac:dyDescent="0.15">
      <c r="A332" s="374" t="s">
        <v>1392</v>
      </c>
      <c r="B332" s="538">
        <v>6456</v>
      </c>
      <c r="C332" s="287" t="s">
        <v>1390</v>
      </c>
      <c r="D332" s="287" t="s">
        <v>1393</v>
      </c>
      <c r="E332" s="287"/>
      <c r="F332" s="287"/>
      <c r="G332" s="543">
        <v>41598</v>
      </c>
      <c r="H332" s="381">
        <v>16.47</v>
      </c>
    </row>
    <row r="333" spans="1:8" s="295" customFormat="1" x14ac:dyDescent="0.15">
      <c r="A333" s="374" t="s">
        <v>1392</v>
      </c>
      <c r="B333" s="538">
        <v>6886</v>
      </c>
      <c r="C333" s="287" t="s">
        <v>1390</v>
      </c>
      <c r="D333" s="287" t="s">
        <v>1393</v>
      </c>
      <c r="E333" s="287">
        <v>3.4254899999999999</v>
      </c>
      <c r="F333" s="287">
        <v>123.6</v>
      </c>
      <c r="G333" s="543">
        <v>41605</v>
      </c>
      <c r="H333" s="381">
        <v>423.39</v>
      </c>
    </row>
    <row r="334" spans="1:8" s="295" customFormat="1" x14ac:dyDescent="0.15">
      <c r="A334" s="374" t="s">
        <v>1392</v>
      </c>
      <c r="B334" s="538">
        <v>6156</v>
      </c>
      <c r="C334" s="287" t="s">
        <v>1390</v>
      </c>
      <c r="D334" s="287" t="s">
        <v>1393</v>
      </c>
      <c r="E334" s="287"/>
      <c r="F334" s="287"/>
      <c r="G334" s="543">
        <v>41607</v>
      </c>
      <c r="H334" s="381">
        <v>16.47</v>
      </c>
    </row>
    <row r="335" spans="1:8" s="295" customFormat="1" x14ac:dyDescent="0.15">
      <c r="A335" s="374" t="s">
        <v>1400</v>
      </c>
      <c r="B335" s="538">
        <v>6319</v>
      </c>
      <c r="C335" s="287" t="s">
        <v>1315</v>
      </c>
      <c r="D335" s="287" t="s">
        <v>1316</v>
      </c>
      <c r="E335" s="287">
        <v>3.2854399999999999</v>
      </c>
      <c r="F335" s="287">
        <v>57</v>
      </c>
      <c r="G335" s="543">
        <v>41593</v>
      </c>
      <c r="H335" s="381">
        <v>187.27</v>
      </c>
    </row>
    <row r="336" spans="1:8" s="275" customFormat="1" ht="14" thickBot="1" x14ac:dyDescent="0.2">
      <c r="A336" s="548"/>
      <c r="B336" s="474"/>
      <c r="C336" s="291" t="s">
        <v>1164</v>
      </c>
      <c r="D336" s="293"/>
      <c r="E336" s="293"/>
      <c r="F336" s="291">
        <f>SUM(F313:F335)</f>
        <v>2287.6</v>
      </c>
      <c r="G336" s="543"/>
      <c r="H336" s="389">
        <v>7644.0499999999993</v>
      </c>
    </row>
    <row r="337" spans="1:8" s="275" customFormat="1" ht="14" thickTop="1" x14ac:dyDescent="0.15">
      <c r="A337" s="374"/>
      <c r="B337" s="538"/>
      <c r="C337" s="287"/>
      <c r="D337" s="287"/>
      <c r="E337" s="287"/>
      <c r="F337" s="287"/>
      <c r="G337" s="543"/>
      <c r="H337" s="549"/>
    </row>
    <row r="338" spans="1:8" s="275" customFormat="1" x14ac:dyDescent="0.15">
      <c r="A338" s="374"/>
      <c r="B338" s="538"/>
      <c r="C338" s="287"/>
      <c r="D338" s="378" t="s">
        <v>1407</v>
      </c>
      <c r="E338" s="287"/>
      <c r="F338" s="287"/>
      <c r="G338" s="543"/>
      <c r="H338" s="549"/>
    </row>
    <row r="339" spans="1:8" s="275" customFormat="1" x14ac:dyDescent="0.15">
      <c r="A339" s="374"/>
      <c r="B339" s="538"/>
      <c r="C339" s="287"/>
      <c r="D339" s="378" t="s">
        <v>1408</v>
      </c>
      <c r="E339" s="287"/>
      <c r="F339" s="287"/>
      <c r="G339" s="543"/>
      <c r="H339" s="549"/>
    </row>
    <row r="340" spans="1:8" s="275" customFormat="1" x14ac:dyDescent="0.15">
      <c r="A340" s="409"/>
      <c r="B340" s="557"/>
      <c r="C340" s="410"/>
      <c r="D340" s="558">
        <v>41608</v>
      </c>
      <c r="E340" s="410"/>
      <c r="F340" s="410"/>
      <c r="G340" s="553"/>
      <c r="H340" s="559"/>
    </row>
    <row r="341" spans="1:8" s="275" customFormat="1" x14ac:dyDescent="0.15">
      <c r="B341" s="479"/>
      <c r="G341" s="539"/>
    </row>
    <row r="342" spans="1:8" s="295" customFormat="1" x14ac:dyDescent="0.15">
      <c r="A342" s="370" t="s">
        <v>1411</v>
      </c>
      <c r="B342" s="540">
        <v>7662</v>
      </c>
      <c r="C342" s="371" t="s">
        <v>1313</v>
      </c>
      <c r="D342" s="371" t="s">
        <v>1412</v>
      </c>
      <c r="E342" s="371">
        <v>3.4035000000000002</v>
      </c>
      <c r="F342" s="371">
        <v>492.1</v>
      </c>
      <c r="G342" s="542">
        <v>41618</v>
      </c>
      <c r="H342" s="391">
        <v>1674.86</v>
      </c>
    </row>
    <row r="343" spans="1:8" s="295" customFormat="1" x14ac:dyDescent="0.15">
      <c r="A343" s="374" t="s">
        <v>1411</v>
      </c>
      <c r="B343" s="538">
        <v>7940</v>
      </c>
      <c r="C343" s="287" t="s">
        <v>1313</v>
      </c>
      <c r="D343" s="287" t="s">
        <v>1412</v>
      </c>
      <c r="E343" s="287">
        <v>3.3744800000000001</v>
      </c>
      <c r="F343" s="287">
        <v>265.3</v>
      </c>
      <c r="G343" s="543">
        <v>41625</v>
      </c>
      <c r="H343" s="381">
        <v>895.25</v>
      </c>
    </row>
    <row r="344" spans="1:8" s="295" customFormat="1" x14ac:dyDescent="0.15">
      <c r="A344" s="374" t="s">
        <v>1413</v>
      </c>
      <c r="B344" s="538">
        <v>7681</v>
      </c>
      <c r="C344" s="287" t="s">
        <v>1313</v>
      </c>
      <c r="D344" s="287" t="s">
        <v>1412</v>
      </c>
      <c r="E344" s="287">
        <v>3.4035000000000002</v>
      </c>
      <c r="F344" s="287">
        <v>194.2</v>
      </c>
      <c r="G344" s="543">
        <v>41618</v>
      </c>
      <c r="H344" s="381">
        <v>660.96</v>
      </c>
    </row>
    <row r="345" spans="1:8" s="295" customFormat="1" x14ac:dyDescent="0.15">
      <c r="A345" s="374" t="s">
        <v>1413</v>
      </c>
      <c r="B345" s="538">
        <v>7943</v>
      </c>
      <c r="C345" s="287" t="s">
        <v>1313</v>
      </c>
      <c r="D345" s="287" t="s">
        <v>1412</v>
      </c>
      <c r="E345" s="287">
        <v>3.3745400000000001</v>
      </c>
      <c r="F345" s="287">
        <v>108</v>
      </c>
      <c r="G345" s="543">
        <v>41625</v>
      </c>
      <c r="H345" s="381">
        <v>364.45</v>
      </c>
    </row>
    <row r="346" spans="1:8" s="295" customFormat="1" x14ac:dyDescent="0.15">
      <c r="A346" s="374" t="s">
        <v>1376</v>
      </c>
      <c r="B346" s="538">
        <v>7044</v>
      </c>
      <c r="C346" s="287" t="s">
        <v>1410</v>
      </c>
      <c r="D346" s="287" t="s">
        <v>1378</v>
      </c>
      <c r="E346" s="287">
        <v>3.4034800000000001</v>
      </c>
      <c r="F346" s="287">
        <v>235.7</v>
      </c>
      <c r="G346" s="543">
        <v>41618</v>
      </c>
      <c r="H346" s="381">
        <v>802.2</v>
      </c>
    </row>
    <row r="347" spans="1:8" s="295" customFormat="1" x14ac:dyDescent="0.15">
      <c r="A347" s="374" t="s">
        <v>1376</v>
      </c>
      <c r="B347" s="538">
        <v>8366</v>
      </c>
      <c r="C347" s="287" t="s">
        <v>1410</v>
      </c>
      <c r="D347" s="287" t="s">
        <v>1378</v>
      </c>
      <c r="E347" s="287">
        <v>3.4544800000000002</v>
      </c>
      <c r="F347" s="287">
        <v>189.6</v>
      </c>
      <c r="G347" s="543">
        <v>41632</v>
      </c>
      <c r="H347" s="381">
        <v>654.97</v>
      </c>
    </row>
    <row r="348" spans="1:8" s="295" customFormat="1" x14ac:dyDescent="0.15">
      <c r="A348" s="374" t="s">
        <v>1382</v>
      </c>
      <c r="B348" s="538">
        <v>7436</v>
      </c>
      <c r="C348" s="287" t="s">
        <v>1383</v>
      </c>
      <c r="D348" s="287" t="s">
        <v>1384</v>
      </c>
      <c r="E348" s="287">
        <v>3.4035199999999999</v>
      </c>
      <c r="F348" s="287">
        <v>91</v>
      </c>
      <c r="G348" s="543">
        <v>41618</v>
      </c>
      <c r="H348" s="381">
        <v>309.72000000000003</v>
      </c>
    </row>
    <row r="349" spans="1:8" s="295" customFormat="1" x14ac:dyDescent="0.15">
      <c r="A349" s="374" t="s">
        <v>1382</v>
      </c>
      <c r="B349" s="538">
        <v>8365</v>
      </c>
      <c r="C349" s="287" t="s">
        <v>1383</v>
      </c>
      <c r="D349" s="287" t="s">
        <v>1384</v>
      </c>
      <c r="E349" s="287">
        <v>3.4544700000000002</v>
      </c>
      <c r="F349" s="287">
        <v>136.4</v>
      </c>
      <c r="G349" s="543">
        <v>41632</v>
      </c>
      <c r="H349" s="381">
        <v>471.19</v>
      </c>
    </row>
    <row r="350" spans="1:8" s="295" customFormat="1" x14ac:dyDescent="0.15">
      <c r="A350" s="374" t="s">
        <v>1385</v>
      </c>
      <c r="B350" s="538">
        <v>7215</v>
      </c>
      <c r="C350" s="287" t="s">
        <v>1386</v>
      </c>
      <c r="D350" s="287" t="s">
        <v>1387</v>
      </c>
      <c r="E350" s="287">
        <v>3.4035000000000002</v>
      </c>
      <c r="F350" s="287">
        <v>157.30000000000001</v>
      </c>
      <c r="G350" s="543">
        <v>41618</v>
      </c>
      <c r="H350" s="381">
        <v>535.37</v>
      </c>
    </row>
    <row r="351" spans="1:8" s="295" customFormat="1" x14ac:dyDescent="0.15">
      <c r="A351" s="374" t="s">
        <v>1385</v>
      </c>
      <c r="B351" s="538">
        <v>7949</v>
      </c>
      <c r="C351" s="287" t="s">
        <v>1386</v>
      </c>
      <c r="D351" s="287" t="s">
        <v>1387</v>
      </c>
      <c r="E351" s="287">
        <v>3.3744700000000001</v>
      </c>
      <c r="F351" s="287">
        <v>118.7</v>
      </c>
      <c r="G351" s="543">
        <v>41625</v>
      </c>
      <c r="H351" s="381">
        <v>400.55</v>
      </c>
    </row>
    <row r="352" spans="1:8" s="295" customFormat="1" x14ac:dyDescent="0.15">
      <c r="A352" s="374" t="s">
        <v>1385</v>
      </c>
      <c r="B352" s="538">
        <v>8559</v>
      </c>
      <c r="C352" s="287" t="s">
        <v>1386</v>
      </c>
      <c r="D352" s="287" t="s">
        <v>1387</v>
      </c>
      <c r="E352" s="287">
        <v>3.45452</v>
      </c>
      <c r="F352" s="287">
        <v>69.7</v>
      </c>
      <c r="G352" s="543">
        <v>41632</v>
      </c>
      <c r="H352" s="381">
        <v>240.78</v>
      </c>
    </row>
    <row r="353" spans="1:8" s="295" customFormat="1" x14ac:dyDescent="0.15">
      <c r="A353" s="374" t="s">
        <v>1389</v>
      </c>
      <c r="B353" s="538">
        <v>7211</v>
      </c>
      <c r="C353" s="287" t="s">
        <v>1390</v>
      </c>
      <c r="D353" s="287" t="s">
        <v>1391</v>
      </c>
      <c r="E353" s="287">
        <v>3.4034800000000001</v>
      </c>
      <c r="F353" s="287">
        <v>175.4</v>
      </c>
      <c r="G353" s="543">
        <v>41618</v>
      </c>
      <c r="H353" s="381">
        <v>596.97</v>
      </c>
    </row>
    <row r="354" spans="1:8" s="295" customFormat="1" x14ac:dyDescent="0.15">
      <c r="A354" s="374" t="s">
        <v>1389</v>
      </c>
      <c r="B354" s="538">
        <v>6132</v>
      </c>
      <c r="C354" s="287" t="s">
        <v>1390</v>
      </c>
      <c r="D354" s="287" t="s">
        <v>1391</v>
      </c>
      <c r="E354" s="287"/>
      <c r="F354" s="287"/>
      <c r="G354" s="543">
        <v>41620</v>
      </c>
      <c r="H354" s="381">
        <v>16.47</v>
      </c>
    </row>
    <row r="355" spans="1:8" s="295" customFormat="1" x14ac:dyDescent="0.15">
      <c r="A355" s="374" t="s">
        <v>1389</v>
      </c>
      <c r="B355" s="538">
        <v>7945</v>
      </c>
      <c r="C355" s="287" t="s">
        <v>1390</v>
      </c>
      <c r="D355" s="287" t="s">
        <v>1391</v>
      </c>
      <c r="E355" s="287">
        <v>3.3745099999999999</v>
      </c>
      <c r="F355" s="287">
        <v>126.7</v>
      </c>
      <c r="G355" s="543">
        <v>41625</v>
      </c>
      <c r="H355" s="381">
        <v>427.55</v>
      </c>
    </row>
    <row r="356" spans="1:8" s="295" customFormat="1" x14ac:dyDescent="0.15">
      <c r="A356" s="374" t="s">
        <v>1389</v>
      </c>
      <c r="B356" s="538">
        <v>12365</v>
      </c>
      <c r="C356" s="287" t="s">
        <v>1390</v>
      </c>
      <c r="D356" s="287" t="s">
        <v>1391</v>
      </c>
      <c r="E356" s="287"/>
      <c r="F356" s="287"/>
      <c r="G356" s="543">
        <v>41628</v>
      </c>
      <c r="H356" s="381">
        <v>16.47</v>
      </c>
    </row>
    <row r="357" spans="1:8" s="295" customFormat="1" x14ac:dyDescent="0.15">
      <c r="A357" s="374" t="s">
        <v>1389</v>
      </c>
      <c r="B357" s="538">
        <v>8555</v>
      </c>
      <c r="C357" s="287" t="s">
        <v>1390</v>
      </c>
      <c r="D357" s="287" t="s">
        <v>1391</v>
      </c>
      <c r="E357" s="287">
        <v>3.45445</v>
      </c>
      <c r="F357" s="287">
        <v>68.5</v>
      </c>
      <c r="G357" s="543">
        <v>41632</v>
      </c>
      <c r="H357" s="381">
        <v>236.63</v>
      </c>
    </row>
    <row r="358" spans="1:8" s="295" customFormat="1" x14ac:dyDescent="0.15">
      <c r="A358" s="374" t="s">
        <v>1379</v>
      </c>
      <c r="B358" s="538">
        <v>7616</v>
      </c>
      <c r="C358" s="287" t="s">
        <v>1380</v>
      </c>
      <c r="D358" s="287" t="s">
        <v>1381</v>
      </c>
      <c r="E358" s="287">
        <v>3.4225099999999999</v>
      </c>
      <c r="F358" s="287">
        <v>446.5</v>
      </c>
      <c r="G358" s="543">
        <v>41628</v>
      </c>
      <c r="H358" s="381">
        <v>1528.15</v>
      </c>
    </row>
    <row r="359" spans="1:8" s="295" customFormat="1" x14ac:dyDescent="0.15">
      <c r="A359" s="374" t="s">
        <v>1392</v>
      </c>
      <c r="B359" s="538">
        <v>7212</v>
      </c>
      <c r="C359" s="287" t="s">
        <v>1390</v>
      </c>
      <c r="D359" s="287" t="s">
        <v>1393</v>
      </c>
      <c r="E359" s="287">
        <v>3.4035000000000002</v>
      </c>
      <c r="F359" s="287">
        <v>223</v>
      </c>
      <c r="G359" s="543">
        <v>41618</v>
      </c>
      <c r="H359" s="381">
        <v>758.98</v>
      </c>
    </row>
    <row r="360" spans="1:8" s="295" customFormat="1" x14ac:dyDescent="0.15">
      <c r="A360" s="374" t="s">
        <v>1392</v>
      </c>
      <c r="B360" s="538">
        <v>6341</v>
      </c>
      <c r="C360" s="287" t="s">
        <v>1390</v>
      </c>
      <c r="D360" s="287" t="s">
        <v>1393</v>
      </c>
      <c r="E360" s="287"/>
      <c r="F360" s="287"/>
      <c r="G360" s="543">
        <v>41620</v>
      </c>
      <c r="H360" s="381">
        <v>16.47</v>
      </c>
    </row>
    <row r="361" spans="1:8" s="295" customFormat="1" x14ac:dyDescent="0.15">
      <c r="A361" s="374" t="s">
        <v>1392</v>
      </c>
      <c r="B361" s="538">
        <v>7946</v>
      </c>
      <c r="C361" s="287" t="s">
        <v>1390</v>
      </c>
      <c r="D361" s="287" t="s">
        <v>1393</v>
      </c>
      <c r="E361" s="287">
        <v>3.3744900000000002</v>
      </c>
      <c r="F361" s="287">
        <v>151.69999999999999</v>
      </c>
      <c r="G361" s="543">
        <v>41625</v>
      </c>
      <c r="H361" s="381">
        <v>511.91</v>
      </c>
    </row>
    <row r="362" spans="1:8" s="295" customFormat="1" x14ac:dyDescent="0.15">
      <c r="A362" s="374" t="s">
        <v>1392</v>
      </c>
      <c r="B362" s="538">
        <v>12366</v>
      </c>
      <c r="C362" s="287" t="s">
        <v>1390</v>
      </c>
      <c r="D362" s="287" t="s">
        <v>1393</v>
      </c>
      <c r="E362" s="287"/>
      <c r="F362" s="287"/>
      <c r="G362" s="543">
        <v>41628</v>
      </c>
      <c r="H362" s="381">
        <v>16.47</v>
      </c>
    </row>
    <row r="363" spans="1:8" s="295" customFormat="1" x14ac:dyDescent="0.15">
      <c r="A363" s="374" t="s">
        <v>1392</v>
      </c>
      <c r="B363" s="538">
        <v>8556</v>
      </c>
      <c r="C363" s="287" t="s">
        <v>1390</v>
      </c>
      <c r="D363" s="287" t="s">
        <v>1393</v>
      </c>
      <c r="E363" s="287">
        <v>3.45452</v>
      </c>
      <c r="F363" s="287">
        <v>71.900000000000006</v>
      </c>
      <c r="G363" s="543">
        <v>41632</v>
      </c>
      <c r="H363" s="381">
        <v>248.38</v>
      </c>
    </row>
    <row r="364" spans="1:8" s="295" customFormat="1" x14ac:dyDescent="0.15">
      <c r="A364" s="374" t="s">
        <v>1400</v>
      </c>
      <c r="B364" s="538">
        <v>7570</v>
      </c>
      <c r="C364" s="287" t="s">
        <v>1315</v>
      </c>
      <c r="D364" s="287" t="s">
        <v>1316</v>
      </c>
      <c r="E364" s="287">
        <v>3.4079799999999998</v>
      </c>
      <c r="F364" s="287">
        <v>101.5</v>
      </c>
      <c r="G364" s="543">
        <v>41620</v>
      </c>
      <c r="H364" s="381">
        <v>345.91</v>
      </c>
    </row>
    <row r="365" spans="1:8" s="295" customFormat="1" x14ac:dyDescent="0.15">
      <c r="A365" s="374" t="s">
        <v>1414</v>
      </c>
      <c r="B365" s="538">
        <v>1</v>
      </c>
      <c r="C365" s="287" t="s">
        <v>1415</v>
      </c>
      <c r="D365" s="287" t="s">
        <v>1416</v>
      </c>
      <c r="E365" s="287">
        <v>3.4224999999999999</v>
      </c>
      <c r="F365" s="287">
        <v>87.7</v>
      </c>
      <c r="G365" s="543">
        <v>41628</v>
      </c>
      <c r="H365" s="381">
        <v>300.14999999999998</v>
      </c>
    </row>
    <row r="366" spans="1:8" s="295" customFormat="1" x14ac:dyDescent="0.15">
      <c r="A366" s="374" t="s">
        <v>1414</v>
      </c>
      <c r="B366" s="538">
        <v>99999</v>
      </c>
      <c r="C366" s="287" t="s">
        <v>1415</v>
      </c>
      <c r="D366" s="287" t="s">
        <v>1416</v>
      </c>
      <c r="E366" s="287">
        <v>3.4544999999999999</v>
      </c>
      <c r="F366" s="287">
        <v>71</v>
      </c>
      <c r="G366" s="543">
        <v>41632</v>
      </c>
      <c r="H366" s="381">
        <v>245.27</v>
      </c>
    </row>
    <row r="367" spans="1:8" s="295" customFormat="1" x14ac:dyDescent="0.15">
      <c r="A367" s="374" t="s">
        <v>1414</v>
      </c>
      <c r="B367" s="538">
        <v>99999</v>
      </c>
      <c r="C367" s="287" t="s">
        <v>1415</v>
      </c>
      <c r="D367" s="287" t="s">
        <v>1416</v>
      </c>
      <c r="E367" s="287">
        <v>3.4940000000000002</v>
      </c>
      <c r="F367" s="287">
        <v>127.1</v>
      </c>
      <c r="G367" s="543">
        <v>41635</v>
      </c>
      <c r="H367" s="381">
        <v>444.09</v>
      </c>
    </row>
    <row r="368" spans="1:8" s="295" customFormat="1" x14ac:dyDescent="0.15">
      <c r="A368" s="374" t="s">
        <v>1414</v>
      </c>
      <c r="B368" s="538">
        <v>99999</v>
      </c>
      <c r="C368" s="287" t="s">
        <v>1415</v>
      </c>
      <c r="D368" s="287" t="s">
        <v>1416</v>
      </c>
      <c r="E368" s="287">
        <v>3.5265</v>
      </c>
      <c r="F368" s="287">
        <v>85.6</v>
      </c>
      <c r="G368" s="543">
        <v>41638</v>
      </c>
      <c r="H368" s="381">
        <v>301.87</v>
      </c>
    </row>
    <row r="369" spans="1:8" s="275" customFormat="1" ht="14" thickBot="1" x14ac:dyDescent="0.2">
      <c r="A369" s="548"/>
      <c r="B369" s="474"/>
      <c r="C369" s="291" t="s">
        <v>1167</v>
      </c>
      <c r="D369" s="293"/>
      <c r="E369" s="293"/>
      <c r="F369" s="291">
        <f>SUM(F342:F368)</f>
        <v>3794.5999999999995</v>
      </c>
      <c r="G369" s="543"/>
      <c r="H369" s="389">
        <v>13022.04</v>
      </c>
    </row>
    <row r="370" spans="1:8" s="275" customFormat="1" ht="14" thickTop="1" x14ac:dyDescent="0.15">
      <c r="A370" s="374"/>
      <c r="B370" s="538"/>
      <c r="C370" s="287"/>
      <c r="D370" s="287"/>
      <c r="E370" s="287"/>
      <c r="F370" s="287"/>
      <c r="G370" s="543"/>
      <c r="H370" s="549"/>
    </row>
    <row r="371" spans="1:8" s="275" customFormat="1" x14ac:dyDescent="0.15">
      <c r="A371" s="374"/>
      <c r="B371" s="538"/>
      <c r="C371" s="287"/>
      <c r="D371" s="378" t="s">
        <v>1407</v>
      </c>
      <c r="E371" s="287"/>
      <c r="F371" s="287"/>
      <c r="G371" s="543"/>
      <c r="H371" s="549"/>
    </row>
    <row r="372" spans="1:8" s="275" customFormat="1" x14ac:dyDescent="0.15">
      <c r="A372" s="374"/>
      <c r="B372" s="538"/>
      <c r="C372" s="287"/>
      <c r="D372" s="378" t="s">
        <v>1408</v>
      </c>
      <c r="E372" s="287"/>
      <c r="F372" s="287"/>
      <c r="G372" s="543"/>
      <c r="H372" s="549"/>
    </row>
    <row r="373" spans="1:8" s="275" customFormat="1" x14ac:dyDescent="0.15">
      <c r="A373" s="409"/>
      <c r="B373" s="557"/>
      <c r="C373" s="410"/>
      <c r="D373" s="558">
        <v>41639</v>
      </c>
      <c r="E373" s="410"/>
      <c r="F373" s="410"/>
      <c r="G373" s="553"/>
      <c r="H373" s="559"/>
    </row>
    <row r="374" spans="1:8" s="275" customFormat="1" x14ac:dyDescent="0.15">
      <c r="B374" s="479"/>
      <c r="G374" s="539"/>
    </row>
    <row r="375" spans="1:8" s="295" customFormat="1" outlineLevel="1" x14ac:dyDescent="0.15">
      <c r="A375" s="370" t="s">
        <v>1411</v>
      </c>
      <c r="B375" s="560"/>
      <c r="C375" s="371" t="s">
        <v>1313</v>
      </c>
      <c r="D375" s="371" t="s">
        <v>1412</v>
      </c>
      <c r="E375" s="561"/>
      <c r="F375" s="561"/>
      <c r="G375" s="562"/>
      <c r="H375" s="391">
        <v>0</v>
      </c>
    </row>
    <row r="376" spans="1:8" s="295" customFormat="1" outlineLevel="1" x14ac:dyDescent="0.15">
      <c r="A376" s="374" t="s">
        <v>1411</v>
      </c>
      <c r="B376" s="563"/>
      <c r="C376" s="287" t="s">
        <v>1313</v>
      </c>
      <c r="D376" s="287" t="s">
        <v>1412</v>
      </c>
      <c r="E376" s="395"/>
      <c r="F376" s="395"/>
      <c r="G376" s="555"/>
      <c r="H376" s="381">
        <v>0</v>
      </c>
    </row>
    <row r="377" spans="1:8" s="295" customFormat="1" outlineLevel="1" x14ac:dyDescent="0.15">
      <c r="A377" s="374" t="s">
        <v>1413</v>
      </c>
      <c r="B377" s="563"/>
      <c r="C377" s="287" t="s">
        <v>1313</v>
      </c>
      <c r="D377" s="287" t="s">
        <v>1412</v>
      </c>
      <c r="E377" s="395"/>
      <c r="F377" s="395"/>
      <c r="G377" s="555"/>
      <c r="H377" s="381">
        <v>0</v>
      </c>
    </row>
    <row r="378" spans="1:8" s="295" customFormat="1" outlineLevel="1" x14ac:dyDescent="0.15">
      <c r="A378" s="374" t="s">
        <v>1413</v>
      </c>
      <c r="B378" s="563"/>
      <c r="C378" s="287" t="s">
        <v>1313</v>
      </c>
      <c r="D378" s="287" t="s">
        <v>1412</v>
      </c>
      <c r="E378" s="395"/>
      <c r="F378" s="395"/>
      <c r="G378" s="555"/>
      <c r="H378" s="381">
        <v>0</v>
      </c>
    </row>
    <row r="379" spans="1:8" s="295" customFormat="1" x14ac:dyDescent="0.15">
      <c r="A379" s="374" t="s">
        <v>1376</v>
      </c>
      <c r="B379" s="538">
        <v>9040</v>
      </c>
      <c r="C379" s="287" t="s">
        <v>1410</v>
      </c>
      <c r="D379" s="287" t="s">
        <v>1378</v>
      </c>
      <c r="E379" s="287">
        <v>3.4805000000000001</v>
      </c>
      <c r="F379" s="287">
        <v>127.2</v>
      </c>
      <c r="G379" s="543">
        <v>41640</v>
      </c>
      <c r="H379" s="381">
        <v>442.72</v>
      </c>
    </row>
    <row r="380" spans="1:8" s="295" customFormat="1" x14ac:dyDescent="0.15">
      <c r="A380" s="374" t="s">
        <v>1376</v>
      </c>
      <c r="B380" s="538">
        <v>9971</v>
      </c>
      <c r="C380" s="287" t="s">
        <v>1410</v>
      </c>
      <c r="D380" s="287" t="s">
        <v>1378</v>
      </c>
      <c r="E380" s="287">
        <v>3.5019900000000002</v>
      </c>
      <c r="F380" s="287">
        <v>301.10000000000002</v>
      </c>
      <c r="G380" s="543">
        <v>41660</v>
      </c>
      <c r="H380" s="381">
        <v>1054.45</v>
      </c>
    </row>
    <row r="381" spans="1:8" s="295" customFormat="1" x14ac:dyDescent="0.15">
      <c r="A381" s="374" t="s">
        <v>1382</v>
      </c>
      <c r="B381" s="538">
        <v>9038</v>
      </c>
      <c r="C381" s="287" t="s">
        <v>1383</v>
      </c>
      <c r="D381" s="287" t="s">
        <v>1384</v>
      </c>
      <c r="E381" s="287">
        <v>3.4805700000000002</v>
      </c>
      <c r="F381" s="287">
        <v>70.5</v>
      </c>
      <c r="G381" s="543">
        <v>41640</v>
      </c>
      <c r="H381" s="381">
        <v>245.38</v>
      </c>
    </row>
    <row r="382" spans="1:8" s="295" customFormat="1" x14ac:dyDescent="0.15">
      <c r="A382" s="374" t="s">
        <v>1382</v>
      </c>
      <c r="B382" s="538">
        <v>9969</v>
      </c>
      <c r="C382" s="287" t="s">
        <v>1383</v>
      </c>
      <c r="D382" s="287" t="s">
        <v>1384</v>
      </c>
      <c r="E382" s="287">
        <v>3.5020199999999999</v>
      </c>
      <c r="F382" s="287">
        <v>193.2</v>
      </c>
      <c r="G382" s="543">
        <v>41660</v>
      </c>
      <c r="H382" s="381">
        <v>676.59</v>
      </c>
    </row>
    <row r="383" spans="1:8" s="295" customFormat="1" x14ac:dyDescent="0.15">
      <c r="A383" s="374" t="s">
        <v>1385</v>
      </c>
      <c r="B383" s="538">
        <v>9025</v>
      </c>
      <c r="C383" s="287" t="s">
        <v>1386</v>
      </c>
      <c r="D383" s="287" t="s">
        <v>1387</v>
      </c>
      <c r="E383" s="287">
        <v>3.4804900000000001</v>
      </c>
      <c r="F383" s="287">
        <v>107.1</v>
      </c>
      <c r="G383" s="543">
        <v>41640</v>
      </c>
      <c r="H383" s="381">
        <v>372.76</v>
      </c>
    </row>
    <row r="384" spans="1:8" s="295" customFormat="1" x14ac:dyDescent="0.15">
      <c r="A384" s="374" t="s">
        <v>1385</v>
      </c>
      <c r="B384" s="538">
        <v>9697</v>
      </c>
      <c r="C384" s="287" t="s">
        <v>1386</v>
      </c>
      <c r="D384" s="287" t="s">
        <v>1387</v>
      </c>
      <c r="E384" s="287">
        <v>3.3664700000000001</v>
      </c>
      <c r="F384" s="287">
        <v>153.9</v>
      </c>
      <c r="G384" s="543">
        <v>41649</v>
      </c>
      <c r="H384" s="381">
        <v>518.1</v>
      </c>
    </row>
    <row r="385" spans="1:8" s="295" customFormat="1" x14ac:dyDescent="0.15">
      <c r="A385" s="374" t="s">
        <v>1385</v>
      </c>
      <c r="B385" s="538">
        <v>10474</v>
      </c>
      <c r="C385" s="287" t="s">
        <v>1386</v>
      </c>
      <c r="D385" s="287" t="s">
        <v>1387</v>
      </c>
      <c r="E385" s="287">
        <v>3.50197</v>
      </c>
      <c r="F385" s="287">
        <v>111.8</v>
      </c>
      <c r="G385" s="543">
        <v>41660</v>
      </c>
      <c r="H385" s="381">
        <v>391.52</v>
      </c>
    </row>
    <row r="386" spans="1:8" s="295" customFormat="1" x14ac:dyDescent="0.15">
      <c r="A386" s="374" t="s">
        <v>1385</v>
      </c>
      <c r="B386" s="538">
        <v>11050</v>
      </c>
      <c r="C386" s="287" t="s">
        <v>1386</v>
      </c>
      <c r="D386" s="287" t="s">
        <v>1387</v>
      </c>
      <c r="E386" s="287">
        <v>3.5880299999999998</v>
      </c>
      <c r="F386" s="287">
        <v>132</v>
      </c>
      <c r="G386" s="543">
        <v>41667</v>
      </c>
      <c r="H386" s="381">
        <v>473.62</v>
      </c>
    </row>
    <row r="387" spans="1:8" s="295" customFormat="1" x14ac:dyDescent="0.15">
      <c r="A387" s="374" t="s">
        <v>1389</v>
      </c>
      <c r="B387" s="538">
        <v>9021</v>
      </c>
      <c r="C387" s="287" t="s">
        <v>1390</v>
      </c>
      <c r="D387" s="287" t="s">
        <v>1391</v>
      </c>
      <c r="E387" s="287">
        <v>3.4805000000000001</v>
      </c>
      <c r="F387" s="287">
        <v>127.7</v>
      </c>
      <c r="G387" s="543">
        <v>41640</v>
      </c>
      <c r="H387" s="381">
        <v>444.46</v>
      </c>
    </row>
    <row r="388" spans="1:8" s="295" customFormat="1" x14ac:dyDescent="0.15">
      <c r="A388" s="374" t="s">
        <v>1389</v>
      </c>
      <c r="B388" s="538">
        <v>1321</v>
      </c>
      <c r="C388" s="287" t="s">
        <v>1390</v>
      </c>
      <c r="D388" s="287" t="s">
        <v>1391</v>
      </c>
      <c r="E388" s="287"/>
      <c r="F388" s="287"/>
      <c r="G388" s="543">
        <v>41646</v>
      </c>
      <c r="H388" s="381">
        <v>16.47</v>
      </c>
    </row>
    <row r="389" spans="1:8" s="295" customFormat="1" x14ac:dyDescent="0.15">
      <c r="A389" s="374" t="s">
        <v>1389</v>
      </c>
      <c r="B389" s="538">
        <v>9693</v>
      </c>
      <c r="C389" s="287" t="s">
        <v>1390</v>
      </c>
      <c r="D389" s="287" t="s">
        <v>1391</v>
      </c>
      <c r="E389" s="287">
        <v>3.36652</v>
      </c>
      <c r="F389" s="287">
        <v>164.6</v>
      </c>
      <c r="G389" s="543">
        <v>41649</v>
      </c>
      <c r="H389" s="381">
        <v>554.13</v>
      </c>
    </row>
    <row r="390" spans="1:8" s="295" customFormat="1" x14ac:dyDescent="0.15">
      <c r="A390" s="374" t="s">
        <v>1389</v>
      </c>
      <c r="B390" s="538">
        <v>3145</v>
      </c>
      <c r="C390" s="287" t="s">
        <v>1390</v>
      </c>
      <c r="D390" s="287" t="s">
        <v>1391</v>
      </c>
      <c r="E390" s="287"/>
      <c r="F390" s="287"/>
      <c r="G390" s="543">
        <v>41654</v>
      </c>
      <c r="H390" s="381">
        <v>16.47</v>
      </c>
    </row>
    <row r="391" spans="1:8" s="295" customFormat="1" x14ac:dyDescent="0.15">
      <c r="A391" s="374" t="s">
        <v>1389</v>
      </c>
      <c r="B391" s="538">
        <v>10470</v>
      </c>
      <c r="C391" s="287" t="s">
        <v>1390</v>
      </c>
      <c r="D391" s="287" t="s">
        <v>1391</v>
      </c>
      <c r="E391" s="287">
        <v>3.5019900000000002</v>
      </c>
      <c r="F391" s="287">
        <v>150.4</v>
      </c>
      <c r="G391" s="543">
        <v>41660</v>
      </c>
      <c r="H391" s="381">
        <v>526.70000000000005</v>
      </c>
    </row>
    <row r="392" spans="1:8" s="295" customFormat="1" x14ac:dyDescent="0.15">
      <c r="A392" s="374" t="s">
        <v>1389</v>
      </c>
      <c r="B392" s="538">
        <v>313</v>
      </c>
      <c r="C392" s="287" t="s">
        <v>1390</v>
      </c>
      <c r="D392" s="287" t="s">
        <v>1391</v>
      </c>
      <c r="E392" s="287"/>
      <c r="F392" s="287"/>
      <c r="G392" s="543">
        <v>41666</v>
      </c>
      <c r="H392" s="381">
        <v>16.47</v>
      </c>
    </row>
    <row r="393" spans="1:8" s="295" customFormat="1" x14ac:dyDescent="0.15">
      <c r="A393" s="374" t="s">
        <v>1389</v>
      </c>
      <c r="B393" s="538">
        <v>11046</v>
      </c>
      <c r="C393" s="287" t="s">
        <v>1390</v>
      </c>
      <c r="D393" s="287" t="s">
        <v>1391</v>
      </c>
      <c r="E393" s="287">
        <v>3.5880000000000001</v>
      </c>
      <c r="F393" s="287">
        <v>150.80000000000001</v>
      </c>
      <c r="G393" s="543">
        <v>41667</v>
      </c>
      <c r="H393" s="381">
        <v>541.07000000000005</v>
      </c>
    </row>
    <row r="394" spans="1:8" s="295" customFormat="1" x14ac:dyDescent="0.15">
      <c r="A394" s="374" t="s">
        <v>1389</v>
      </c>
      <c r="B394" s="538">
        <v>31</v>
      </c>
      <c r="C394" s="287" t="s">
        <v>1390</v>
      </c>
      <c r="D394" s="287" t="s">
        <v>1391</v>
      </c>
      <c r="E394" s="287"/>
      <c r="F394" s="287"/>
      <c r="G394" s="543">
        <v>41668</v>
      </c>
      <c r="H394" s="381">
        <v>16.47</v>
      </c>
    </row>
    <row r="395" spans="1:8" s="295" customFormat="1" x14ac:dyDescent="0.15">
      <c r="A395" s="374" t="s">
        <v>1379</v>
      </c>
      <c r="B395" s="538">
        <v>9044</v>
      </c>
      <c r="C395" s="287" t="s">
        <v>1380</v>
      </c>
      <c r="D395" s="287" t="s">
        <v>1381</v>
      </c>
      <c r="E395" s="287">
        <v>3.3845100000000001</v>
      </c>
      <c r="F395" s="287">
        <v>553.1</v>
      </c>
      <c r="G395" s="543">
        <v>41652</v>
      </c>
      <c r="H395" s="381">
        <v>1871.97</v>
      </c>
    </row>
    <row r="396" spans="1:8" s="295" customFormat="1" x14ac:dyDescent="0.15">
      <c r="A396" s="374" t="s">
        <v>1392</v>
      </c>
      <c r="B396" s="538">
        <v>9022</v>
      </c>
      <c r="C396" s="287" t="s">
        <v>1390</v>
      </c>
      <c r="D396" s="287" t="s">
        <v>1393</v>
      </c>
      <c r="E396" s="287">
        <v>3.4804900000000001</v>
      </c>
      <c r="F396" s="287">
        <v>152.19999999999999</v>
      </c>
      <c r="G396" s="543">
        <v>41640</v>
      </c>
      <c r="H396" s="381">
        <v>529.73</v>
      </c>
    </row>
    <row r="397" spans="1:8" s="295" customFormat="1" x14ac:dyDescent="0.15">
      <c r="A397" s="374" t="s">
        <v>1392</v>
      </c>
      <c r="B397" s="538">
        <v>1320</v>
      </c>
      <c r="C397" s="287" t="s">
        <v>1390</v>
      </c>
      <c r="D397" s="287" t="s">
        <v>1393</v>
      </c>
      <c r="E397" s="287"/>
      <c r="F397" s="287"/>
      <c r="G397" s="543">
        <v>41646</v>
      </c>
      <c r="H397" s="381">
        <v>16.47</v>
      </c>
    </row>
    <row r="398" spans="1:8" s="295" customFormat="1" x14ac:dyDescent="0.15">
      <c r="A398" s="374" t="s">
        <v>1392</v>
      </c>
      <c r="B398" s="538">
        <v>9694</v>
      </c>
      <c r="C398" s="287" t="s">
        <v>1390</v>
      </c>
      <c r="D398" s="287" t="s">
        <v>1393</v>
      </c>
      <c r="E398" s="287">
        <v>3.3665099999999999</v>
      </c>
      <c r="F398" s="287">
        <v>148.69999999999999</v>
      </c>
      <c r="G398" s="543">
        <v>41649</v>
      </c>
      <c r="H398" s="381">
        <v>500.6</v>
      </c>
    </row>
    <row r="399" spans="1:8" s="295" customFormat="1" x14ac:dyDescent="0.15">
      <c r="A399" s="374" t="s">
        <v>1392</v>
      </c>
      <c r="B399" s="538">
        <v>3166</v>
      </c>
      <c r="C399" s="287" t="s">
        <v>1390</v>
      </c>
      <c r="D399" s="287" t="s">
        <v>1393</v>
      </c>
      <c r="E399" s="287"/>
      <c r="F399" s="287"/>
      <c r="G399" s="543">
        <v>41654</v>
      </c>
      <c r="H399" s="381">
        <v>16.47</v>
      </c>
    </row>
    <row r="400" spans="1:8" s="295" customFormat="1" x14ac:dyDescent="0.15">
      <c r="A400" s="374" t="s">
        <v>1392</v>
      </c>
      <c r="B400" s="538">
        <v>10471</v>
      </c>
      <c r="C400" s="287" t="s">
        <v>1390</v>
      </c>
      <c r="D400" s="287" t="s">
        <v>1393</v>
      </c>
      <c r="E400" s="287">
        <v>3.5019999999999998</v>
      </c>
      <c r="F400" s="287">
        <v>199.9</v>
      </c>
      <c r="G400" s="543">
        <v>41660</v>
      </c>
      <c r="H400" s="381">
        <v>700.05</v>
      </c>
    </row>
    <row r="401" spans="1:8" s="295" customFormat="1" x14ac:dyDescent="0.15">
      <c r="A401" s="374" t="s">
        <v>1392</v>
      </c>
      <c r="B401" s="538">
        <v>312</v>
      </c>
      <c r="C401" s="287" t="s">
        <v>1390</v>
      </c>
      <c r="D401" s="287" t="s">
        <v>1393</v>
      </c>
      <c r="E401" s="287"/>
      <c r="F401" s="287"/>
      <c r="G401" s="543">
        <v>41666</v>
      </c>
      <c r="H401" s="381">
        <v>16.47</v>
      </c>
    </row>
    <row r="402" spans="1:8" s="295" customFormat="1" x14ac:dyDescent="0.15">
      <c r="A402" s="374" t="s">
        <v>1392</v>
      </c>
      <c r="B402" s="538">
        <v>11047</v>
      </c>
      <c r="C402" s="287" t="s">
        <v>1390</v>
      </c>
      <c r="D402" s="287" t="s">
        <v>1393</v>
      </c>
      <c r="E402" s="287">
        <v>3.5880200000000002</v>
      </c>
      <c r="F402" s="287">
        <v>167</v>
      </c>
      <c r="G402" s="543">
        <v>41667</v>
      </c>
      <c r="H402" s="381">
        <v>599.20000000000005</v>
      </c>
    </row>
    <row r="403" spans="1:8" s="295" customFormat="1" x14ac:dyDescent="0.15">
      <c r="A403" s="374" t="s">
        <v>1392</v>
      </c>
      <c r="B403" s="538">
        <v>42</v>
      </c>
      <c r="C403" s="287" t="s">
        <v>1390</v>
      </c>
      <c r="D403" s="287" t="s">
        <v>1393</v>
      </c>
      <c r="E403" s="287"/>
      <c r="F403" s="287"/>
      <c r="G403" s="543">
        <v>41668</v>
      </c>
      <c r="H403" s="381">
        <v>16.47</v>
      </c>
    </row>
    <row r="404" spans="1:8" s="295" customFormat="1" x14ac:dyDescent="0.15">
      <c r="A404" s="374" t="s">
        <v>1400</v>
      </c>
      <c r="B404" s="538">
        <v>9161</v>
      </c>
      <c r="C404" s="287" t="s">
        <v>1315</v>
      </c>
      <c r="D404" s="287" t="s">
        <v>1316</v>
      </c>
      <c r="E404" s="287">
        <v>3.4805199999999998</v>
      </c>
      <c r="F404" s="287">
        <v>127.8</v>
      </c>
      <c r="G404" s="543">
        <v>41640</v>
      </c>
      <c r="H404" s="381">
        <v>444.81</v>
      </c>
    </row>
    <row r="405" spans="1:8" s="295" customFormat="1" x14ac:dyDescent="0.15">
      <c r="A405" s="374" t="s">
        <v>1400</v>
      </c>
      <c r="B405" s="538">
        <v>10593</v>
      </c>
      <c r="C405" s="287" t="s">
        <v>1315</v>
      </c>
      <c r="D405" s="287" t="s">
        <v>1316</v>
      </c>
      <c r="E405" s="287">
        <v>3.4845299999999999</v>
      </c>
      <c r="F405" s="287">
        <v>148.69999999999999</v>
      </c>
      <c r="G405" s="543">
        <v>41661</v>
      </c>
      <c r="H405" s="381">
        <v>518.15</v>
      </c>
    </row>
    <row r="406" spans="1:8" s="295" customFormat="1" x14ac:dyDescent="0.15">
      <c r="A406" s="374" t="s">
        <v>1414</v>
      </c>
      <c r="B406" s="538">
        <v>9019</v>
      </c>
      <c r="C406" s="287" t="s">
        <v>1415</v>
      </c>
      <c r="D406" s="287" t="s">
        <v>1416</v>
      </c>
      <c r="E406" s="287">
        <v>3.48055</v>
      </c>
      <c r="F406" s="287">
        <v>91.5</v>
      </c>
      <c r="G406" s="543">
        <v>41640</v>
      </c>
      <c r="H406" s="381">
        <v>318.47000000000003</v>
      </c>
    </row>
    <row r="407" spans="1:8" s="295" customFormat="1" x14ac:dyDescent="0.15">
      <c r="A407" s="374" t="s">
        <v>1414</v>
      </c>
      <c r="B407" s="538">
        <v>9380</v>
      </c>
      <c r="C407" s="287" t="s">
        <v>1415</v>
      </c>
      <c r="D407" s="287" t="s">
        <v>1416</v>
      </c>
      <c r="E407" s="287">
        <v>3.4085100000000002</v>
      </c>
      <c r="F407" s="287">
        <v>115.2</v>
      </c>
      <c r="G407" s="543">
        <v>41642</v>
      </c>
      <c r="H407" s="381">
        <v>392.66</v>
      </c>
    </row>
    <row r="408" spans="1:8" s="295" customFormat="1" x14ac:dyDescent="0.15">
      <c r="A408" s="374" t="s">
        <v>1414</v>
      </c>
      <c r="B408" s="538">
        <v>9239</v>
      </c>
      <c r="C408" s="287" t="s">
        <v>1415</v>
      </c>
      <c r="D408" s="287" t="s">
        <v>1416</v>
      </c>
      <c r="E408" s="287">
        <v>3.36551</v>
      </c>
      <c r="F408" s="287">
        <v>146.69999999999999</v>
      </c>
      <c r="G408" s="543">
        <v>41645</v>
      </c>
      <c r="H408" s="381">
        <v>493.72</v>
      </c>
    </row>
    <row r="409" spans="1:8" s="295" customFormat="1" x14ac:dyDescent="0.15">
      <c r="A409" s="374" t="s">
        <v>1414</v>
      </c>
      <c r="B409" s="538">
        <v>9691</v>
      </c>
      <c r="C409" s="287" t="s">
        <v>1415</v>
      </c>
      <c r="D409" s="287" t="s">
        <v>1416</v>
      </c>
      <c r="E409" s="287">
        <v>3.39202</v>
      </c>
      <c r="F409" s="287">
        <v>102.8</v>
      </c>
      <c r="G409" s="543">
        <v>41647</v>
      </c>
      <c r="H409" s="381">
        <v>348.7</v>
      </c>
    </row>
    <row r="410" spans="1:8" s="295" customFormat="1" x14ac:dyDescent="0.15">
      <c r="A410" s="374" t="s">
        <v>1414</v>
      </c>
      <c r="B410" s="538">
        <v>10111</v>
      </c>
      <c r="C410" s="287" t="s">
        <v>1415</v>
      </c>
      <c r="D410" s="287" t="s">
        <v>1416</v>
      </c>
      <c r="E410" s="287">
        <v>3.3664499999999999</v>
      </c>
      <c r="F410" s="287">
        <v>91.8</v>
      </c>
      <c r="G410" s="543">
        <v>41649</v>
      </c>
      <c r="H410" s="381">
        <v>309.04000000000002</v>
      </c>
    </row>
    <row r="411" spans="1:8" s="295" customFormat="1" x14ac:dyDescent="0.15">
      <c r="A411" s="374" t="s">
        <v>1414</v>
      </c>
      <c r="B411" s="538">
        <v>8871</v>
      </c>
      <c r="C411" s="287" t="s">
        <v>1415</v>
      </c>
      <c r="D411" s="287" t="s">
        <v>1416</v>
      </c>
      <c r="E411" s="287">
        <v>3.38449</v>
      </c>
      <c r="F411" s="287">
        <v>76.099999999999994</v>
      </c>
      <c r="G411" s="543">
        <v>41652</v>
      </c>
      <c r="H411" s="381">
        <v>257.56</v>
      </c>
    </row>
    <row r="412" spans="1:8" s="295" customFormat="1" x14ac:dyDescent="0.15">
      <c r="A412" s="374" t="s">
        <v>1414</v>
      </c>
      <c r="B412" s="538">
        <v>9963</v>
      </c>
      <c r="C412" s="287" t="s">
        <v>1415</v>
      </c>
      <c r="D412" s="287" t="s">
        <v>1416</v>
      </c>
      <c r="E412" s="287">
        <v>3.3786800000000001</v>
      </c>
      <c r="F412" s="287">
        <v>27.2</v>
      </c>
      <c r="G412" s="543">
        <v>41654</v>
      </c>
      <c r="H412" s="381">
        <v>91.9</v>
      </c>
    </row>
    <row r="413" spans="1:8" s="295" customFormat="1" x14ac:dyDescent="0.15">
      <c r="A413" s="374" t="s">
        <v>1414</v>
      </c>
      <c r="B413" s="538">
        <v>10469</v>
      </c>
      <c r="C413" s="287" t="s">
        <v>1415</v>
      </c>
      <c r="D413" s="287" t="s">
        <v>1416</v>
      </c>
      <c r="E413" s="287">
        <v>3.4360300000000001</v>
      </c>
      <c r="F413" s="287">
        <v>40.799999999999997</v>
      </c>
      <c r="G413" s="543">
        <v>41656</v>
      </c>
      <c r="H413" s="381">
        <v>140.19</v>
      </c>
    </row>
    <row r="414" spans="1:8" s="295" customFormat="1" x14ac:dyDescent="0.15">
      <c r="A414" s="374" t="s">
        <v>1414</v>
      </c>
      <c r="B414" s="538">
        <v>10637</v>
      </c>
      <c r="C414" s="287" t="s">
        <v>1415</v>
      </c>
      <c r="D414" s="287" t="s">
        <v>1416</v>
      </c>
      <c r="E414" s="287">
        <v>3.4895200000000002</v>
      </c>
      <c r="F414" s="287">
        <v>64.900000000000006</v>
      </c>
      <c r="G414" s="543">
        <v>41659</v>
      </c>
      <c r="H414" s="381">
        <v>226.47</v>
      </c>
    </row>
    <row r="415" spans="1:8" s="295" customFormat="1" x14ac:dyDescent="0.15">
      <c r="A415" s="374" t="s">
        <v>1414</v>
      </c>
      <c r="B415" s="538">
        <v>10740</v>
      </c>
      <c r="C415" s="287" t="s">
        <v>1415</v>
      </c>
      <c r="D415" s="287" t="s">
        <v>1416</v>
      </c>
      <c r="E415" s="287">
        <v>3.4845600000000001</v>
      </c>
      <c r="F415" s="287">
        <v>68</v>
      </c>
      <c r="G415" s="543">
        <v>41661</v>
      </c>
      <c r="H415" s="381">
        <v>236.95</v>
      </c>
    </row>
    <row r="416" spans="1:8" s="295" customFormat="1" x14ac:dyDescent="0.15">
      <c r="A416" s="374" t="s">
        <v>1414</v>
      </c>
      <c r="B416" s="538">
        <v>10938</v>
      </c>
      <c r="C416" s="287" t="s">
        <v>1415</v>
      </c>
      <c r="D416" s="287" t="s">
        <v>1416</v>
      </c>
      <c r="E416" s="287">
        <v>3.5569700000000002</v>
      </c>
      <c r="F416" s="287">
        <v>151.30000000000001</v>
      </c>
      <c r="G416" s="543">
        <v>41663</v>
      </c>
      <c r="H416" s="381">
        <v>538.16999999999996</v>
      </c>
    </row>
    <row r="417" spans="1:8" s="295" customFormat="1" x14ac:dyDescent="0.15">
      <c r="A417" s="374" t="s">
        <v>1414</v>
      </c>
      <c r="B417" s="538">
        <v>9961</v>
      </c>
      <c r="C417" s="287" t="s">
        <v>1415</v>
      </c>
      <c r="D417" s="287" t="s">
        <v>1416</v>
      </c>
      <c r="E417" s="287">
        <v>3.6320199999999998</v>
      </c>
      <c r="F417" s="287">
        <v>119.6</v>
      </c>
      <c r="G417" s="543">
        <v>41666</v>
      </c>
      <c r="H417" s="381">
        <v>434.39</v>
      </c>
    </row>
    <row r="418" spans="1:8" s="295" customFormat="1" x14ac:dyDescent="0.15">
      <c r="A418" s="374" t="s">
        <v>1414</v>
      </c>
      <c r="B418" s="538">
        <v>11044</v>
      </c>
      <c r="C418" s="287" t="s">
        <v>1415</v>
      </c>
      <c r="D418" s="287" t="s">
        <v>1416</v>
      </c>
      <c r="E418" s="287">
        <v>3.60548</v>
      </c>
      <c r="F418" s="287">
        <v>100.4</v>
      </c>
      <c r="G418" s="543">
        <v>41668</v>
      </c>
      <c r="H418" s="381">
        <v>361.99</v>
      </c>
    </row>
    <row r="419" spans="1:8" s="295" customFormat="1" x14ac:dyDescent="0.15">
      <c r="A419" s="374" t="s">
        <v>1414</v>
      </c>
      <c r="B419" s="538">
        <v>11414</v>
      </c>
      <c r="C419" s="287" t="s">
        <v>1415</v>
      </c>
      <c r="D419" s="287" t="s">
        <v>1416</v>
      </c>
      <c r="E419" s="287">
        <v>3.7019700000000002</v>
      </c>
      <c r="F419" s="287">
        <v>131.80000000000001</v>
      </c>
      <c r="G419" s="543">
        <v>41670</v>
      </c>
      <c r="H419" s="381">
        <v>487.92</v>
      </c>
    </row>
    <row r="420" spans="1:8" s="275" customFormat="1" ht="14" thickBot="1" x14ac:dyDescent="0.2">
      <c r="A420" s="548"/>
      <c r="B420" s="474"/>
      <c r="C420" s="291" t="s">
        <v>1168</v>
      </c>
      <c r="D420" s="293"/>
      <c r="E420" s="293"/>
      <c r="F420" s="291">
        <f>SUM(F375:F419)</f>
        <v>4615.8</v>
      </c>
      <c r="G420" s="543"/>
      <c r="H420" s="389">
        <v>16175.9</v>
      </c>
    </row>
    <row r="421" spans="1:8" s="275" customFormat="1" ht="14" thickTop="1" x14ac:dyDescent="0.15">
      <c r="A421" s="374"/>
      <c r="B421" s="538"/>
      <c r="C421" s="287"/>
      <c r="D421" s="287"/>
      <c r="E421" s="287"/>
      <c r="F421" s="287"/>
      <c r="G421" s="543"/>
      <c r="H421" s="549"/>
    </row>
    <row r="422" spans="1:8" s="275" customFormat="1" x14ac:dyDescent="0.15">
      <c r="A422" s="374"/>
      <c r="B422" s="538"/>
      <c r="C422" s="287"/>
      <c r="D422" s="378" t="s">
        <v>1407</v>
      </c>
      <c r="E422" s="287"/>
      <c r="F422" s="287"/>
      <c r="G422" s="543"/>
      <c r="H422" s="549"/>
    </row>
    <row r="423" spans="1:8" s="275" customFormat="1" x14ac:dyDescent="0.15">
      <c r="A423" s="374"/>
      <c r="B423" s="538"/>
      <c r="C423" s="287"/>
      <c r="D423" s="378" t="s">
        <v>1408</v>
      </c>
      <c r="E423" s="287"/>
      <c r="F423" s="287"/>
      <c r="G423" s="543"/>
      <c r="H423" s="549"/>
    </row>
    <row r="424" spans="1:8" s="275" customFormat="1" x14ac:dyDescent="0.15">
      <c r="A424" s="409"/>
      <c r="B424" s="557"/>
      <c r="C424" s="410"/>
      <c r="D424" s="558">
        <v>41670</v>
      </c>
      <c r="E424" s="410"/>
      <c r="F424" s="410"/>
      <c r="G424" s="553"/>
      <c r="H424" s="559"/>
    </row>
    <row r="425" spans="1:8" s="275" customFormat="1" x14ac:dyDescent="0.15">
      <c r="G425" s="539"/>
    </row>
    <row r="426" spans="1:8" s="295" customFormat="1" x14ac:dyDescent="0.15">
      <c r="A426" s="370" t="s">
        <v>1411</v>
      </c>
      <c r="B426" s="540">
        <v>1</v>
      </c>
      <c r="C426" s="371" t="s">
        <v>1313</v>
      </c>
      <c r="D426" s="371" t="s">
        <v>1412</v>
      </c>
      <c r="E426" s="371">
        <v>3.3744800000000001</v>
      </c>
      <c r="F426" s="371">
        <v>143</v>
      </c>
      <c r="G426" s="542">
        <v>41690</v>
      </c>
      <c r="H426" s="391">
        <v>-482.55</v>
      </c>
    </row>
    <row r="427" spans="1:8" s="295" customFormat="1" x14ac:dyDescent="0.15">
      <c r="A427" s="374" t="s">
        <v>1376</v>
      </c>
      <c r="B427" s="538">
        <v>11418</v>
      </c>
      <c r="C427" s="287" t="s">
        <v>1410</v>
      </c>
      <c r="D427" s="287" t="s">
        <v>1378</v>
      </c>
      <c r="E427" s="287">
        <v>3.70499</v>
      </c>
      <c r="F427" s="287">
        <v>252.6</v>
      </c>
      <c r="G427" s="543">
        <v>41675</v>
      </c>
      <c r="H427" s="381">
        <v>935.88</v>
      </c>
    </row>
    <row r="428" spans="1:8" s="295" customFormat="1" x14ac:dyDescent="0.15">
      <c r="A428" s="374" t="s">
        <v>1376</v>
      </c>
      <c r="B428" s="538">
        <v>12341</v>
      </c>
      <c r="C428" s="287" t="s">
        <v>1410</v>
      </c>
      <c r="D428" s="287" t="s">
        <v>1378</v>
      </c>
      <c r="E428" s="287">
        <v>3.6625800000000002</v>
      </c>
      <c r="F428" s="287">
        <v>218.6</v>
      </c>
      <c r="G428" s="543">
        <v>41688</v>
      </c>
      <c r="H428" s="381">
        <v>800.64</v>
      </c>
    </row>
    <row r="429" spans="1:8" s="295" customFormat="1" x14ac:dyDescent="0.15">
      <c r="A429" s="374" t="s">
        <v>1382</v>
      </c>
      <c r="B429" s="538">
        <v>11417</v>
      </c>
      <c r="C429" s="287" t="s">
        <v>1383</v>
      </c>
      <c r="D429" s="287" t="s">
        <v>1384</v>
      </c>
      <c r="E429" s="287">
        <v>3.70499</v>
      </c>
      <c r="F429" s="287">
        <v>194.3</v>
      </c>
      <c r="G429" s="543">
        <v>41675</v>
      </c>
      <c r="H429" s="381">
        <v>719.88</v>
      </c>
    </row>
    <row r="430" spans="1:8" s="295" customFormat="1" x14ac:dyDescent="0.15">
      <c r="A430" s="374" t="s">
        <v>1382</v>
      </c>
      <c r="B430" s="538">
        <v>12339</v>
      </c>
      <c r="C430" s="287" t="s">
        <v>1383</v>
      </c>
      <c r="D430" s="287" t="s">
        <v>1384</v>
      </c>
      <c r="E430" s="287">
        <v>3.6625999999999999</v>
      </c>
      <c r="F430" s="287">
        <v>151.6</v>
      </c>
      <c r="G430" s="543">
        <v>41688</v>
      </c>
      <c r="H430" s="381">
        <v>555.25</v>
      </c>
    </row>
    <row r="431" spans="1:8" s="295" customFormat="1" x14ac:dyDescent="0.15">
      <c r="A431" s="374" t="s">
        <v>1385</v>
      </c>
      <c r="B431" s="538">
        <v>11613</v>
      </c>
      <c r="C431" s="287" t="s">
        <v>1386</v>
      </c>
      <c r="D431" s="287" t="s">
        <v>1387</v>
      </c>
      <c r="E431" s="287">
        <v>3.7050299999999998</v>
      </c>
      <c r="F431" s="287">
        <v>105.4</v>
      </c>
      <c r="G431" s="543">
        <v>41675</v>
      </c>
      <c r="H431" s="381">
        <v>390.51</v>
      </c>
    </row>
    <row r="432" spans="1:8" s="295" customFormat="1" x14ac:dyDescent="0.15">
      <c r="A432" s="374" t="s">
        <v>1385</v>
      </c>
      <c r="B432" s="538">
        <v>12149</v>
      </c>
      <c r="C432" s="287" t="s">
        <v>1386</v>
      </c>
      <c r="D432" s="287" t="s">
        <v>1387</v>
      </c>
      <c r="E432" s="287">
        <v>3.6029900000000001</v>
      </c>
      <c r="F432" s="287">
        <v>100.3</v>
      </c>
      <c r="G432" s="543">
        <v>41681</v>
      </c>
      <c r="H432" s="381">
        <v>361.38</v>
      </c>
    </row>
    <row r="433" spans="1:8" s="295" customFormat="1" x14ac:dyDescent="0.15">
      <c r="A433" s="374" t="s">
        <v>1385</v>
      </c>
      <c r="B433" s="538">
        <v>12544</v>
      </c>
      <c r="C433" s="287" t="s">
        <v>1386</v>
      </c>
      <c r="D433" s="287" t="s">
        <v>1387</v>
      </c>
      <c r="E433" s="287">
        <v>3.6625800000000002</v>
      </c>
      <c r="F433" s="287">
        <v>107.7</v>
      </c>
      <c r="G433" s="543">
        <v>41688</v>
      </c>
      <c r="H433" s="381">
        <v>394.46</v>
      </c>
    </row>
    <row r="434" spans="1:8" s="295" customFormat="1" x14ac:dyDescent="0.15">
      <c r="A434" s="374" t="s">
        <v>1385</v>
      </c>
      <c r="B434" s="538">
        <v>13138</v>
      </c>
      <c r="C434" s="287" t="s">
        <v>1386</v>
      </c>
      <c r="D434" s="287" t="s">
        <v>1387</v>
      </c>
      <c r="E434" s="287">
        <v>3.6384500000000002</v>
      </c>
      <c r="F434" s="287">
        <v>89.2</v>
      </c>
      <c r="G434" s="543">
        <v>41695</v>
      </c>
      <c r="H434" s="381">
        <v>324.55</v>
      </c>
    </row>
    <row r="435" spans="1:8" s="295" customFormat="1" x14ac:dyDescent="0.15">
      <c r="A435" s="374" t="s">
        <v>1389</v>
      </c>
      <c r="B435" s="538">
        <v>11609</v>
      </c>
      <c r="C435" s="287" t="s">
        <v>1390</v>
      </c>
      <c r="D435" s="287" t="s">
        <v>1391</v>
      </c>
      <c r="E435" s="287">
        <v>3.7049799999999999</v>
      </c>
      <c r="F435" s="287">
        <v>114.5</v>
      </c>
      <c r="G435" s="543">
        <v>41675</v>
      </c>
      <c r="H435" s="381">
        <v>424.22</v>
      </c>
    </row>
    <row r="436" spans="1:8" s="295" customFormat="1" x14ac:dyDescent="0.15">
      <c r="A436" s="374" t="s">
        <v>1389</v>
      </c>
      <c r="B436" s="538">
        <v>51</v>
      </c>
      <c r="C436" s="287" t="s">
        <v>1390</v>
      </c>
      <c r="D436" s="287" t="s">
        <v>1391</v>
      </c>
      <c r="E436" s="287"/>
      <c r="F436" s="287"/>
      <c r="G436" s="543">
        <v>41680</v>
      </c>
      <c r="H436" s="381">
        <v>16.47</v>
      </c>
    </row>
    <row r="437" spans="1:8" s="295" customFormat="1" x14ac:dyDescent="0.15">
      <c r="A437" s="374" t="s">
        <v>1389</v>
      </c>
      <c r="B437" s="538">
        <v>12145</v>
      </c>
      <c r="C437" s="287" t="s">
        <v>1390</v>
      </c>
      <c r="D437" s="287" t="s">
        <v>1391</v>
      </c>
      <c r="E437" s="287">
        <v>3.6030099999999998</v>
      </c>
      <c r="F437" s="287">
        <v>132.69999999999999</v>
      </c>
      <c r="G437" s="543">
        <v>41681</v>
      </c>
      <c r="H437" s="381">
        <v>478.12</v>
      </c>
    </row>
    <row r="438" spans="1:8" s="295" customFormat="1" x14ac:dyDescent="0.15">
      <c r="A438" s="374" t="s">
        <v>1389</v>
      </c>
      <c r="B438" s="538">
        <v>321</v>
      </c>
      <c r="C438" s="287" t="s">
        <v>1390</v>
      </c>
      <c r="D438" s="287" t="s">
        <v>1391</v>
      </c>
      <c r="E438" s="287"/>
      <c r="F438" s="287"/>
      <c r="G438" s="543">
        <v>41684</v>
      </c>
      <c r="H438" s="381">
        <v>16.47</v>
      </c>
    </row>
    <row r="439" spans="1:8" s="295" customFormat="1" x14ac:dyDescent="0.15">
      <c r="A439" s="374" t="s">
        <v>1389</v>
      </c>
      <c r="B439" s="538">
        <v>12540</v>
      </c>
      <c r="C439" s="287" t="s">
        <v>1390</v>
      </c>
      <c r="D439" s="287" t="s">
        <v>1391</v>
      </c>
      <c r="E439" s="287">
        <v>3.6626099999999999</v>
      </c>
      <c r="F439" s="287">
        <v>124.1</v>
      </c>
      <c r="G439" s="543">
        <v>41688</v>
      </c>
      <c r="H439" s="381">
        <v>454.53</v>
      </c>
    </row>
    <row r="440" spans="1:8" s="295" customFormat="1" x14ac:dyDescent="0.15">
      <c r="A440" s="374" t="s">
        <v>1389</v>
      </c>
      <c r="B440" s="538">
        <v>68</v>
      </c>
      <c r="C440" s="287" t="s">
        <v>1390</v>
      </c>
      <c r="D440" s="287" t="s">
        <v>1391</v>
      </c>
      <c r="E440" s="287"/>
      <c r="F440" s="287"/>
      <c r="G440" s="543">
        <v>41689</v>
      </c>
      <c r="H440" s="381">
        <v>16.47</v>
      </c>
    </row>
    <row r="441" spans="1:8" s="295" customFormat="1" x14ac:dyDescent="0.15">
      <c r="A441" s="374" t="s">
        <v>1389</v>
      </c>
      <c r="B441" s="538">
        <v>13134</v>
      </c>
      <c r="C441" s="287" t="s">
        <v>1390</v>
      </c>
      <c r="D441" s="287" t="s">
        <v>1391</v>
      </c>
      <c r="E441" s="287">
        <v>3.6384500000000002</v>
      </c>
      <c r="F441" s="287">
        <v>108.7</v>
      </c>
      <c r="G441" s="543">
        <v>41695</v>
      </c>
      <c r="H441" s="381">
        <v>395.5</v>
      </c>
    </row>
    <row r="442" spans="1:8" s="295" customFormat="1" x14ac:dyDescent="0.15">
      <c r="A442" s="374" t="s">
        <v>1389</v>
      </c>
      <c r="B442" s="538">
        <v>654</v>
      </c>
      <c r="C442" s="287" t="s">
        <v>1390</v>
      </c>
      <c r="D442" s="287" t="s">
        <v>1391</v>
      </c>
      <c r="E442" s="287"/>
      <c r="F442" s="287"/>
      <c r="G442" s="543">
        <v>41698</v>
      </c>
      <c r="H442" s="381">
        <v>16.47</v>
      </c>
    </row>
    <row r="443" spans="1:8" s="295" customFormat="1" x14ac:dyDescent="0.15">
      <c r="A443" s="374" t="s">
        <v>1379</v>
      </c>
      <c r="B443" s="538">
        <v>11208</v>
      </c>
      <c r="C443" s="287" t="s">
        <v>1380</v>
      </c>
      <c r="D443" s="287" t="s">
        <v>1381</v>
      </c>
      <c r="E443" s="287">
        <v>3.6629999999999998</v>
      </c>
      <c r="F443" s="287">
        <v>803</v>
      </c>
      <c r="G443" s="543">
        <v>41680</v>
      </c>
      <c r="H443" s="381">
        <v>2941.39</v>
      </c>
    </row>
    <row r="444" spans="1:8" s="295" customFormat="1" x14ac:dyDescent="0.15">
      <c r="A444" s="374" t="s">
        <v>1392</v>
      </c>
      <c r="B444" s="538">
        <v>11610</v>
      </c>
      <c r="C444" s="287" t="s">
        <v>1390</v>
      </c>
      <c r="D444" s="287" t="s">
        <v>1393</v>
      </c>
      <c r="E444" s="287">
        <v>3.7049799999999999</v>
      </c>
      <c r="F444" s="287">
        <v>132.4</v>
      </c>
      <c r="G444" s="543">
        <v>41675</v>
      </c>
      <c r="H444" s="381">
        <v>490.54</v>
      </c>
    </row>
    <row r="445" spans="1:8" s="295" customFormat="1" x14ac:dyDescent="0.15">
      <c r="A445" s="374" t="s">
        <v>1392</v>
      </c>
      <c r="B445" s="538">
        <v>52</v>
      </c>
      <c r="C445" s="287" t="s">
        <v>1390</v>
      </c>
      <c r="D445" s="287" t="s">
        <v>1393</v>
      </c>
      <c r="E445" s="287"/>
      <c r="F445" s="287"/>
      <c r="G445" s="543">
        <v>41680</v>
      </c>
      <c r="H445" s="381">
        <v>16.47</v>
      </c>
    </row>
    <row r="446" spans="1:8" s="295" customFormat="1" x14ac:dyDescent="0.15">
      <c r="A446" s="374" t="s">
        <v>1392</v>
      </c>
      <c r="B446" s="538">
        <v>12146</v>
      </c>
      <c r="C446" s="287" t="s">
        <v>1390</v>
      </c>
      <c r="D446" s="287" t="s">
        <v>1393</v>
      </c>
      <c r="E446" s="287">
        <v>3.6030099999999998</v>
      </c>
      <c r="F446" s="287">
        <v>136.19999999999999</v>
      </c>
      <c r="G446" s="543">
        <v>41681</v>
      </c>
      <c r="H446" s="381">
        <v>490.73</v>
      </c>
    </row>
    <row r="447" spans="1:8" s="295" customFormat="1" x14ac:dyDescent="0.15">
      <c r="A447" s="374" t="s">
        <v>1392</v>
      </c>
      <c r="B447" s="538">
        <v>123</v>
      </c>
      <c r="C447" s="287" t="s">
        <v>1390</v>
      </c>
      <c r="D447" s="287" t="s">
        <v>1393</v>
      </c>
      <c r="E447" s="287"/>
      <c r="F447" s="287"/>
      <c r="G447" s="543">
        <v>41684</v>
      </c>
      <c r="H447" s="381">
        <v>16.47</v>
      </c>
    </row>
    <row r="448" spans="1:8" s="295" customFormat="1" x14ac:dyDescent="0.15">
      <c r="A448" s="374" t="s">
        <v>1392</v>
      </c>
      <c r="B448" s="538">
        <v>12541</v>
      </c>
      <c r="C448" s="287" t="s">
        <v>1390</v>
      </c>
      <c r="D448" s="287" t="s">
        <v>1393</v>
      </c>
      <c r="E448" s="287">
        <v>3.6625700000000001</v>
      </c>
      <c r="F448" s="287">
        <v>137.6</v>
      </c>
      <c r="G448" s="543">
        <v>41688</v>
      </c>
      <c r="H448" s="381">
        <v>503.97</v>
      </c>
    </row>
    <row r="449" spans="1:8" s="295" customFormat="1" x14ac:dyDescent="0.15">
      <c r="A449" s="374" t="s">
        <v>1392</v>
      </c>
      <c r="B449" s="538">
        <v>67</v>
      </c>
      <c r="C449" s="287" t="s">
        <v>1390</v>
      </c>
      <c r="D449" s="287" t="s">
        <v>1393</v>
      </c>
      <c r="E449" s="287"/>
      <c r="F449" s="287"/>
      <c r="G449" s="543">
        <v>41689</v>
      </c>
      <c r="H449" s="381">
        <v>16.47</v>
      </c>
    </row>
    <row r="450" spans="1:8" s="295" customFormat="1" x14ac:dyDescent="0.15">
      <c r="A450" s="374" t="s">
        <v>1392</v>
      </c>
      <c r="B450" s="538">
        <v>13135</v>
      </c>
      <c r="C450" s="287" t="s">
        <v>1390</v>
      </c>
      <c r="D450" s="287" t="s">
        <v>1393</v>
      </c>
      <c r="E450" s="287">
        <v>3.6385200000000002</v>
      </c>
      <c r="F450" s="287">
        <v>120.2</v>
      </c>
      <c r="G450" s="543">
        <v>41695</v>
      </c>
      <c r="H450" s="381">
        <v>437.35</v>
      </c>
    </row>
    <row r="451" spans="1:8" s="295" customFormat="1" x14ac:dyDescent="0.15">
      <c r="A451" s="374" t="s">
        <v>1392</v>
      </c>
      <c r="B451" s="538">
        <v>655</v>
      </c>
      <c r="C451" s="287" t="s">
        <v>1390</v>
      </c>
      <c r="D451" s="287" t="s">
        <v>1393</v>
      </c>
      <c r="E451" s="287"/>
      <c r="F451" s="287"/>
      <c r="G451" s="543">
        <v>41698</v>
      </c>
      <c r="H451" s="381">
        <v>16.47</v>
      </c>
    </row>
    <row r="452" spans="1:8" s="295" customFormat="1" x14ac:dyDescent="0.15">
      <c r="A452" s="374" t="s">
        <v>1400</v>
      </c>
      <c r="B452" s="538">
        <v>11974</v>
      </c>
      <c r="C452" s="287" t="s">
        <v>1315</v>
      </c>
      <c r="D452" s="287" t="s">
        <v>1316</v>
      </c>
      <c r="E452" s="287">
        <v>3.6029900000000001</v>
      </c>
      <c r="F452" s="287">
        <v>163.80000000000001</v>
      </c>
      <c r="G452" s="543">
        <v>41681</v>
      </c>
      <c r="H452" s="381">
        <v>590.16999999999996</v>
      </c>
    </row>
    <row r="453" spans="1:8" s="295" customFormat="1" x14ac:dyDescent="0.15">
      <c r="A453" s="374" t="s">
        <v>1414</v>
      </c>
      <c r="B453" s="538">
        <v>11481</v>
      </c>
      <c r="C453" s="287" t="s">
        <v>1415</v>
      </c>
      <c r="D453" s="287" t="s">
        <v>1416</v>
      </c>
      <c r="E453" s="287">
        <v>3.6709800000000001</v>
      </c>
      <c r="F453" s="287">
        <v>153.69999999999999</v>
      </c>
      <c r="G453" s="543">
        <v>41673</v>
      </c>
      <c r="H453" s="381">
        <v>564.23</v>
      </c>
    </row>
    <row r="454" spans="1:8" s="295" customFormat="1" x14ac:dyDescent="0.15">
      <c r="A454" s="374" t="s">
        <v>1414</v>
      </c>
      <c r="B454" s="538">
        <v>11802</v>
      </c>
      <c r="C454" s="287" t="s">
        <v>1415</v>
      </c>
      <c r="D454" s="287" t="s">
        <v>1416</v>
      </c>
      <c r="E454" s="287">
        <v>3.7049699999999999</v>
      </c>
      <c r="F454" s="287">
        <v>64.400000000000006</v>
      </c>
      <c r="G454" s="543">
        <v>41675</v>
      </c>
      <c r="H454" s="381">
        <v>238.6</v>
      </c>
    </row>
    <row r="455" spans="1:8" s="295" customFormat="1" x14ac:dyDescent="0.15">
      <c r="A455" s="374" t="s">
        <v>1414</v>
      </c>
      <c r="B455" s="538">
        <v>11976</v>
      </c>
      <c r="C455" s="287" t="s">
        <v>1415</v>
      </c>
      <c r="D455" s="287" t="s">
        <v>1416</v>
      </c>
      <c r="E455" s="287">
        <v>3.6080199999999998</v>
      </c>
      <c r="F455" s="287">
        <v>137.1</v>
      </c>
      <c r="G455" s="543">
        <v>41677</v>
      </c>
      <c r="H455" s="381">
        <v>494.66</v>
      </c>
    </row>
    <row r="456" spans="1:8" s="295" customFormat="1" x14ac:dyDescent="0.15">
      <c r="A456" s="374" t="s">
        <v>1414</v>
      </c>
      <c r="B456" s="538">
        <v>12143</v>
      </c>
      <c r="C456" s="287" t="s">
        <v>1415</v>
      </c>
      <c r="D456" s="287" t="s">
        <v>1416</v>
      </c>
      <c r="E456" s="287">
        <v>3.6629800000000001</v>
      </c>
      <c r="F456" s="287">
        <v>212.6</v>
      </c>
      <c r="G456" s="543">
        <v>41680</v>
      </c>
      <c r="H456" s="381">
        <v>778.75</v>
      </c>
    </row>
    <row r="457" spans="1:8" s="295" customFormat="1" x14ac:dyDescent="0.15">
      <c r="A457" s="374" t="s">
        <v>1414</v>
      </c>
      <c r="B457" s="538">
        <v>11607</v>
      </c>
      <c r="C457" s="287" t="s">
        <v>1415</v>
      </c>
      <c r="D457" s="287" t="s">
        <v>1416</v>
      </c>
      <c r="E457" s="287">
        <v>3.6031300000000002</v>
      </c>
      <c r="F457" s="287">
        <v>38.4</v>
      </c>
      <c r="G457" s="543">
        <v>41681</v>
      </c>
      <c r="H457" s="381">
        <v>138.36000000000001</v>
      </c>
    </row>
    <row r="458" spans="1:8" s="295" customFormat="1" x14ac:dyDescent="0.15">
      <c r="A458" s="374" t="s">
        <v>1414</v>
      </c>
      <c r="B458" s="538">
        <v>1</v>
      </c>
      <c r="C458" s="287" t="s">
        <v>1415</v>
      </c>
      <c r="D458" s="287" t="s">
        <v>1416</v>
      </c>
      <c r="E458" s="287">
        <v>3.5912500000000001</v>
      </c>
      <c r="F458" s="287">
        <v>8</v>
      </c>
      <c r="G458" s="543">
        <v>41683</v>
      </c>
      <c r="H458" s="381">
        <v>28.73</v>
      </c>
    </row>
    <row r="459" spans="1:8" s="295" customFormat="1" x14ac:dyDescent="0.15">
      <c r="A459" s="374" t="s">
        <v>1414</v>
      </c>
      <c r="B459" s="538">
        <v>12335</v>
      </c>
      <c r="C459" s="287" t="s">
        <v>1415</v>
      </c>
      <c r="D459" s="287" t="s">
        <v>1416</v>
      </c>
      <c r="E459" s="287">
        <v>3.5909599999999999</v>
      </c>
      <c r="F459" s="287">
        <v>86.3</v>
      </c>
      <c r="G459" s="543">
        <v>41683</v>
      </c>
      <c r="H459" s="381">
        <v>309.89999999999998</v>
      </c>
    </row>
    <row r="460" spans="1:8" s="295" customFormat="1" x14ac:dyDescent="0.15">
      <c r="A460" s="374" t="s">
        <v>1414</v>
      </c>
      <c r="B460" s="538">
        <v>11482</v>
      </c>
      <c r="C460" s="287" t="s">
        <v>1415</v>
      </c>
      <c r="D460" s="287" t="s">
        <v>1416</v>
      </c>
      <c r="E460" s="287">
        <v>3.6070000000000002</v>
      </c>
      <c r="F460" s="287">
        <v>108.5</v>
      </c>
      <c r="G460" s="543">
        <v>41684</v>
      </c>
      <c r="H460" s="381">
        <v>391.36</v>
      </c>
    </row>
    <row r="461" spans="1:8" s="295" customFormat="1" x14ac:dyDescent="0.15">
      <c r="A461" s="374" t="s">
        <v>1414</v>
      </c>
      <c r="B461" s="538">
        <v>12538</v>
      </c>
      <c r="C461" s="287" t="s">
        <v>1415</v>
      </c>
      <c r="D461" s="287" t="s">
        <v>1416</v>
      </c>
      <c r="E461" s="287">
        <v>3.6509999999999998</v>
      </c>
      <c r="F461" s="287">
        <v>135.5</v>
      </c>
      <c r="G461" s="543">
        <v>41687</v>
      </c>
      <c r="H461" s="381">
        <v>494.71</v>
      </c>
    </row>
    <row r="462" spans="1:8" s="295" customFormat="1" x14ac:dyDescent="0.15">
      <c r="A462" s="374" t="s">
        <v>1414</v>
      </c>
      <c r="B462" s="538">
        <v>12741</v>
      </c>
      <c r="C462" s="287" t="s">
        <v>1415</v>
      </c>
      <c r="D462" s="287" t="s">
        <v>1416</v>
      </c>
      <c r="E462" s="287">
        <v>3.6595</v>
      </c>
      <c r="F462" s="287">
        <v>84.2</v>
      </c>
      <c r="G462" s="543">
        <v>41689</v>
      </c>
      <c r="H462" s="381">
        <v>308.13</v>
      </c>
    </row>
    <row r="463" spans="1:8" s="295" customFormat="1" x14ac:dyDescent="0.15">
      <c r="A463" s="374" t="s">
        <v>1414</v>
      </c>
      <c r="B463" s="538">
        <v>12934</v>
      </c>
      <c r="C463" s="287" t="s">
        <v>1415</v>
      </c>
      <c r="D463" s="287" t="s">
        <v>1416</v>
      </c>
      <c r="E463" s="287">
        <v>3.7345199999999998</v>
      </c>
      <c r="F463" s="287">
        <v>123.4</v>
      </c>
      <c r="G463" s="543">
        <v>41691</v>
      </c>
      <c r="H463" s="381">
        <v>460.84</v>
      </c>
    </row>
    <row r="464" spans="1:8" s="295" customFormat="1" x14ac:dyDescent="0.15">
      <c r="A464" s="374" t="s">
        <v>1414</v>
      </c>
      <c r="B464" s="538">
        <v>13012</v>
      </c>
      <c r="C464" s="287" t="s">
        <v>1415</v>
      </c>
      <c r="D464" s="287" t="s">
        <v>1416</v>
      </c>
      <c r="E464" s="287">
        <v>3.6554799999999998</v>
      </c>
      <c r="F464" s="287">
        <v>157</v>
      </c>
      <c r="G464" s="543">
        <v>41694</v>
      </c>
      <c r="H464" s="381">
        <v>573.91</v>
      </c>
    </row>
    <row r="465" spans="1:8" s="295" customFormat="1" x14ac:dyDescent="0.15">
      <c r="A465" s="374" t="s">
        <v>1414</v>
      </c>
      <c r="B465" s="538">
        <v>13309</v>
      </c>
      <c r="C465" s="287" t="s">
        <v>1415</v>
      </c>
      <c r="D465" s="287" t="s">
        <v>1416</v>
      </c>
      <c r="E465" s="287">
        <v>3.6435399999999998</v>
      </c>
      <c r="F465" s="287">
        <v>96</v>
      </c>
      <c r="G465" s="543">
        <v>41696</v>
      </c>
      <c r="H465" s="381">
        <v>349.78</v>
      </c>
    </row>
    <row r="466" spans="1:8" s="295" customFormat="1" x14ac:dyDescent="0.15">
      <c r="A466" s="374" t="s">
        <v>1414</v>
      </c>
      <c r="B466" s="538">
        <v>13481</v>
      </c>
      <c r="C466" s="287" t="s">
        <v>1415</v>
      </c>
      <c r="D466" s="287" t="s">
        <v>1416</v>
      </c>
      <c r="E466" s="287">
        <v>3.6257899999999998</v>
      </c>
      <c r="F466" s="287">
        <v>145.4</v>
      </c>
      <c r="G466" s="543">
        <v>41698</v>
      </c>
      <c r="H466" s="381">
        <v>527.19000000000005</v>
      </c>
    </row>
    <row r="467" spans="1:8" s="275" customFormat="1" ht="14" thickBot="1" x14ac:dyDescent="0.2">
      <c r="A467" s="548"/>
      <c r="B467" s="474"/>
      <c r="C467" s="291" t="s">
        <v>1169</v>
      </c>
      <c r="D467" s="293"/>
      <c r="E467" s="293"/>
      <c r="F467" s="291">
        <f>SUM(F426:F466)</f>
        <v>4886.3999999999987</v>
      </c>
      <c r="G467" s="543"/>
      <c r="H467" s="389">
        <v>16997.430000000004</v>
      </c>
    </row>
    <row r="468" spans="1:8" s="275" customFormat="1" ht="14" thickTop="1" x14ac:dyDescent="0.15">
      <c r="A468" s="374"/>
      <c r="B468" s="538"/>
      <c r="C468" s="287"/>
      <c r="D468" s="287"/>
      <c r="E468" s="287"/>
      <c r="F468" s="287"/>
      <c r="G468" s="543"/>
      <c r="H468" s="549"/>
    </row>
    <row r="469" spans="1:8" s="275" customFormat="1" x14ac:dyDescent="0.15">
      <c r="A469" s="374"/>
      <c r="B469" s="538"/>
      <c r="C469" s="287"/>
      <c r="D469" s="378" t="s">
        <v>1407</v>
      </c>
      <c r="E469" s="287"/>
      <c r="F469" s="287"/>
      <c r="G469" s="543"/>
      <c r="H469" s="549"/>
    </row>
    <row r="470" spans="1:8" s="275" customFormat="1" x14ac:dyDescent="0.15">
      <c r="A470" s="374"/>
      <c r="B470" s="538"/>
      <c r="C470" s="287"/>
      <c r="D470" s="378" t="s">
        <v>1408</v>
      </c>
      <c r="E470" s="287"/>
      <c r="F470" s="287"/>
      <c r="G470" s="543"/>
      <c r="H470" s="549"/>
    </row>
    <row r="471" spans="1:8" s="275" customFormat="1" x14ac:dyDescent="0.15">
      <c r="A471" s="409"/>
      <c r="B471" s="557"/>
      <c r="C471" s="410"/>
      <c r="D471" s="558">
        <v>41698</v>
      </c>
      <c r="E471" s="410"/>
      <c r="F471" s="410"/>
      <c r="G471" s="553"/>
      <c r="H471" s="559"/>
    </row>
    <row r="472" spans="1:8" s="275" customFormat="1" x14ac:dyDescent="0.15">
      <c r="G472" s="539"/>
    </row>
    <row r="473" spans="1:8" s="295" customFormat="1" x14ac:dyDescent="0.15">
      <c r="A473" s="370" t="s">
        <v>1376</v>
      </c>
      <c r="B473" s="540">
        <v>13313</v>
      </c>
      <c r="C473" s="371" t="s">
        <v>1410</v>
      </c>
      <c r="D473" s="371" t="s">
        <v>1378</v>
      </c>
      <c r="E473" s="371">
        <v>3.5549200000000001</v>
      </c>
      <c r="F473" s="371">
        <v>249.1</v>
      </c>
      <c r="G473" s="542">
        <v>41704</v>
      </c>
      <c r="H473" s="391">
        <v>885.53</v>
      </c>
    </row>
    <row r="474" spans="1:8" s="295" customFormat="1" x14ac:dyDescent="0.15">
      <c r="A474" s="374" t="s">
        <v>1376</v>
      </c>
      <c r="B474" s="538">
        <v>14406</v>
      </c>
      <c r="C474" s="287" t="s">
        <v>1410</v>
      </c>
      <c r="D474" s="287" t="s">
        <v>1378</v>
      </c>
      <c r="E474" s="287">
        <v>3.3839899999999998</v>
      </c>
      <c r="F474" s="287">
        <v>241.1</v>
      </c>
      <c r="G474" s="543">
        <v>41723</v>
      </c>
      <c r="H474" s="381">
        <v>815.88</v>
      </c>
    </row>
    <row r="475" spans="1:8" s="295" customFormat="1" x14ac:dyDescent="0.15">
      <c r="A475" s="374" t="s">
        <v>1382</v>
      </c>
      <c r="B475" s="538">
        <v>13312</v>
      </c>
      <c r="C475" s="287" t="s">
        <v>1383</v>
      </c>
      <c r="D475" s="287" t="s">
        <v>1384</v>
      </c>
      <c r="E475" s="287">
        <v>3.5548999999999999</v>
      </c>
      <c r="F475" s="287">
        <v>185.8</v>
      </c>
      <c r="G475" s="543">
        <v>41704</v>
      </c>
      <c r="H475" s="381">
        <v>660.5</v>
      </c>
    </row>
    <row r="476" spans="1:8" s="295" customFormat="1" x14ac:dyDescent="0.15">
      <c r="A476" s="374" t="s">
        <v>1382</v>
      </c>
      <c r="B476" s="538">
        <v>12339</v>
      </c>
      <c r="C476" s="287" t="s">
        <v>1383</v>
      </c>
      <c r="D476" s="287" t="s">
        <v>1384</v>
      </c>
      <c r="E476" s="287">
        <v>3.3839800000000002</v>
      </c>
      <c r="F476" s="287">
        <v>151.1</v>
      </c>
      <c r="G476" s="543">
        <v>41723</v>
      </c>
      <c r="H476" s="381">
        <v>511.32</v>
      </c>
    </row>
    <row r="477" spans="1:8" s="295" customFormat="1" x14ac:dyDescent="0.15">
      <c r="A477" s="374" t="s">
        <v>1385</v>
      </c>
      <c r="B477" s="538">
        <v>13488</v>
      </c>
      <c r="C477" s="287" t="s">
        <v>1386</v>
      </c>
      <c r="D477" s="287" t="s">
        <v>1387</v>
      </c>
      <c r="E477" s="287">
        <v>3.5548899999999999</v>
      </c>
      <c r="F477" s="287">
        <v>149.4</v>
      </c>
      <c r="G477" s="543">
        <v>41704</v>
      </c>
      <c r="H477" s="381">
        <v>531.1</v>
      </c>
    </row>
    <row r="478" spans="1:8" s="295" customFormat="1" x14ac:dyDescent="0.15">
      <c r="A478" s="374" t="s">
        <v>1385</v>
      </c>
      <c r="B478" s="538">
        <v>14229</v>
      </c>
      <c r="C478" s="287" t="s">
        <v>1386</v>
      </c>
      <c r="D478" s="287" t="s">
        <v>1387</v>
      </c>
      <c r="E478" s="287">
        <v>3.43635</v>
      </c>
      <c r="F478" s="287">
        <v>98.2</v>
      </c>
      <c r="G478" s="543">
        <v>41712</v>
      </c>
      <c r="H478" s="381">
        <v>337.45</v>
      </c>
    </row>
    <row r="479" spans="1:8" s="295" customFormat="1" x14ac:dyDescent="0.15">
      <c r="A479" s="374" t="s">
        <v>1385</v>
      </c>
      <c r="B479" s="538">
        <v>14773</v>
      </c>
      <c r="C479" s="287" t="s">
        <v>1386</v>
      </c>
      <c r="D479" s="287" t="s">
        <v>1387</v>
      </c>
      <c r="E479" s="287">
        <v>3.38401</v>
      </c>
      <c r="F479" s="287">
        <v>135.69999999999999</v>
      </c>
      <c r="G479" s="543">
        <v>41723</v>
      </c>
      <c r="H479" s="381">
        <v>459.21</v>
      </c>
    </row>
    <row r="480" spans="1:8" s="295" customFormat="1" x14ac:dyDescent="0.15">
      <c r="A480" s="374" t="s">
        <v>1389</v>
      </c>
      <c r="B480" s="538">
        <v>13484</v>
      </c>
      <c r="C480" s="287" t="s">
        <v>1390</v>
      </c>
      <c r="D480" s="287" t="s">
        <v>1391</v>
      </c>
      <c r="E480" s="287">
        <v>3.5548999999999999</v>
      </c>
      <c r="F480" s="287">
        <v>183.6</v>
      </c>
      <c r="G480" s="543">
        <v>41704</v>
      </c>
      <c r="H480" s="381">
        <v>652.67999999999995</v>
      </c>
    </row>
    <row r="481" spans="1:8" s="295" customFormat="1" x14ac:dyDescent="0.15">
      <c r="A481" s="374" t="s">
        <v>1389</v>
      </c>
      <c r="B481" s="538">
        <v>86</v>
      </c>
      <c r="C481" s="287" t="s">
        <v>1390</v>
      </c>
      <c r="D481" s="287" t="s">
        <v>1391</v>
      </c>
      <c r="E481" s="287"/>
      <c r="F481" s="287"/>
      <c r="G481" s="543">
        <v>41708</v>
      </c>
      <c r="H481" s="381">
        <v>17.14</v>
      </c>
    </row>
    <row r="482" spans="1:8" s="295" customFormat="1" x14ac:dyDescent="0.15">
      <c r="A482" s="374" t="s">
        <v>1389</v>
      </c>
      <c r="B482" s="538">
        <v>14225</v>
      </c>
      <c r="C482" s="287" t="s">
        <v>1390</v>
      </c>
      <c r="D482" s="287" t="s">
        <v>1391</v>
      </c>
      <c r="E482" s="287">
        <v>3.4364300000000001</v>
      </c>
      <c r="F482" s="287">
        <v>132.30000000000001</v>
      </c>
      <c r="G482" s="543">
        <v>41712</v>
      </c>
      <c r="H482" s="381">
        <v>454.64</v>
      </c>
    </row>
    <row r="483" spans="1:8" s="295" customFormat="1" x14ac:dyDescent="0.15">
      <c r="A483" s="374" t="s">
        <v>1389</v>
      </c>
      <c r="B483" s="538">
        <v>14769</v>
      </c>
      <c r="C483" s="287" t="s">
        <v>1390</v>
      </c>
      <c r="D483" s="287" t="s">
        <v>1391</v>
      </c>
      <c r="E483" s="287">
        <v>3.3840300000000001</v>
      </c>
      <c r="F483" s="287">
        <v>155.9</v>
      </c>
      <c r="G483" s="543">
        <v>41723</v>
      </c>
      <c r="H483" s="381">
        <v>527.57000000000005</v>
      </c>
    </row>
    <row r="484" spans="1:8" s="295" customFormat="1" x14ac:dyDescent="0.15">
      <c r="A484" s="374" t="s">
        <v>1389</v>
      </c>
      <c r="B484" s="538">
        <v>655</v>
      </c>
      <c r="C484" s="287" t="s">
        <v>1390</v>
      </c>
      <c r="D484" s="287" t="s">
        <v>1391</v>
      </c>
      <c r="E484" s="287"/>
      <c r="F484" s="287"/>
      <c r="G484" s="543">
        <v>41723</v>
      </c>
      <c r="H484" s="381">
        <v>17.14</v>
      </c>
    </row>
    <row r="485" spans="1:8" s="295" customFormat="1" x14ac:dyDescent="0.15">
      <c r="A485" s="374" t="s">
        <v>1379</v>
      </c>
      <c r="B485" s="538">
        <v>13310</v>
      </c>
      <c r="C485" s="287" t="s">
        <v>1380</v>
      </c>
      <c r="D485" s="287" t="s">
        <v>1381</v>
      </c>
      <c r="E485" s="287">
        <v>3.55951</v>
      </c>
      <c r="F485" s="287">
        <v>672.2</v>
      </c>
      <c r="G485" s="543">
        <v>41705</v>
      </c>
      <c r="H485" s="381">
        <v>2392.6999999999998</v>
      </c>
    </row>
    <row r="486" spans="1:8" s="295" customFormat="1" x14ac:dyDescent="0.15">
      <c r="A486" s="374" t="s">
        <v>1379</v>
      </c>
      <c r="B486" s="538">
        <v>14789</v>
      </c>
      <c r="C486" s="287" t="s">
        <v>1380</v>
      </c>
      <c r="D486" s="287" t="s">
        <v>1381</v>
      </c>
      <c r="E486" s="287">
        <v>3.38449</v>
      </c>
      <c r="F486" s="287">
        <v>471.3</v>
      </c>
      <c r="G486" s="543">
        <v>41725</v>
      </c>
      <c r="H486" s="381">
        <v>1595.11</v>
      </c>
    </row>
    <row r="487" spans="1:8" s="295" customFormat="1" x14ac:dyDescent="0.15">
      <c r="A487" s="374" t="s">
        <v>1392</v>
      </c>
      <c r="B487" s="538">
        <v>13485</v>
      </c>
      <c r="C487" s="287" t="s">
        <v>1390</v>
      </c>
      <c r="D487" s="287" t="s">
        <v>1393</v>
      </c>
      <c r="E487" s="287">
        <v>3.5548899999999999</v>
      </c>
      <c r="F487" s="287">
        <v>176.9</v>
      </c>
      <c r="G487" s="543">
        <v>41704</v>
      </c>
      <c r="H487" s="381">
        <v>628.86</v>
      </c>
    </row>
    <row r="488" spans="1:8" s="295" customFormat="1" x14ac:dyDescent="0.15">
      <c r="A488" s="374" t="s">
        <v>1392</v>
      </c>
      <c r="B488" s="538">
        <v>85</v>
      </c>
      <c r="C488" s="287" t="s">
        <v>1390</v>
      </c>
      <c r="D488" s="287" t="s">
        <v>1393</v>
      </c>
      <c r="E488" s="287"/>
      <c r="F488" s="287"/>
      <c r="G488" s="543">
        <v>41708</v>
      </c>
      <c r="H488" s="381">
        <v>17.14</v>
      </c>
    </row>
    <row r="489" spans="1:8" s="295" customFormat="1" x14ac:dyDescent="0.15">
      <c r="A489" s="374" t="s">
        <v>1392</v>
      </c>
      <c r="B489" s="538">
        <v>14226</v>
      </c>
      <c r="C489" s="287" t="s">
        <v>1390</v>
      </c>
      <c r="D489" s="287" t="s">
        <v>1393</v>
      </c>
      <c r="E489" s="287">
        <v>3.4363800000000002</v>
      </c>
      <c r="F489" s="287">
        <v>165.2</v>
      </c>
      <c r="G489" s="543">
        <v>41712</v>
      </c>
      <c r="H489" s="381">
        <v>567.69000000000005</v>
      </c>
    </row>
    <row r="490" spans="1:8" s="295" customFormat="1" x14ac:dyDescent="0.15">
      <c r="A490" s="374" t="s">
        <v>1392</v>
      </c>
      <c r="B490" s="538">
        <v>14770</v>
      </c>
      <c r="C490" s="287" t="s">
        <v>1390</v>
      </c>
      <c r="D490" s="287" t="s">
        <v>1393</v>
      </c>
      <c r="E490" s="287">
        <v>3.38401</v>
      </c>
      <c r="F490" s="287">
        <v>186.4</v>
      </c>
      <c r="G490" s="543">
        <v>41723</v>
      </c>
      <c r="H490" s="381">
        <v>630.78</v>
      </c>
    </row>
    <row r="491" spans="1:8" s="295" customFormat="1" x14ac:dyDescent="0.15">
      <c r="A491" s="374" t="s">
        <v>1392</v>
      </c>
      <c r="B491" s="538">
        <v>654</v>
      </c>
      <c r="C491" s="287" t="s">
        <v>1390</v>
      </c>
      <c r="D491" s="287" t="s">
        <v>1393</v>
      </c>
      <c r="E491" s="287"/>
      <c r="F491" s="287"/>
      <c r="G491" s="543">
        <v>41723</v>
      </c>
      <c r="H491" s="381">
        <v>17.14</v>
      </c>
    </row>
    <row r="492" spans="1:8" s="295" customFormat="1" x14ac:dyDescent="0.15">
      <c r="A492" s="374" t="s">
        <v>1400</v>
      </c>
      <c r="B492" s="538">
        <v>13447</v>
      </c>
      <c r="C492" s="287" t="s">
        <v>1315</v>
      </c>
      <c r="D492" s="287" t="s">
        <v>1316</v>
      </c>
      <c r="E492" s="287">
        <v>3.6913999999999998</v>
      </c>
      <c r="F492" s="287">
        <v>154.6</v>
      </c>
      <c r="G492" s="543">
        <v>41702</v>
      </c>
      <c r="H492" s="381">
        <v>570.69000000000005</v>
      </c>
    </row>
    <row r="493" spans="1:8" s="295" customFormat="1" x14ac:dyDescent="0.15">
      <c r="A493" s="374" t="s">
        <v>1400</v>
      </c>
      <c r="B493" s="538">
        <v>15136</v>
      </c>
      <c r="C493" s="287" t="s">
        <v>1315</v>
      </c>
      <c r="D493" s="287" t="s">
        <v>1316</v>
      </c>
      <c r="E493" s="287">
        <v>3.4129700000000001</v>
      </c>
      <c r="F493" s="287">
        <v>129.5</v>
      </c>
      <c r="G493" s="543">
        <v>41726</v>
      </c>
      <c r="H493" s="381">
        <v>441.98</v>
      </c>
    </row>
    <row r="494" spans="1:8" s="295" customFormat="1" x14ac:dyDescent="0.15">
      <c r="A494" s="374" t="s">
        <v>1414</v>
      </c>
      <c r="B494" s="538">
        <v>13014</v>
      </c>
      <c r="C494" s="287" t="s">
        <v>1415</v>
      </c>
      <c r="D494" s="287" t="s">
        <v>1416</v>
      </c>
      <c r="E494" s="287">
        <v>3.6484800000000002</v>
      </c>
      <c r="F494" s="287">
        <v>111.6</v>
      </c>
      <c r="G494" s="543">
        <v>41701</v>
      </c>
      <c r="H494" s="381">
        <v>407.17</v>
      </c>
    </row>
    <row r="495" spans="1:8" s="295" customFormat="1" x14ac:dyDescent="0.15">
      <c r="A495" s="374" t="s">
        <v>1414</v>
      </c>
      <c r="B495" s="538">
        <v>13664</v>
      </c>
      <c r="C495" s="287" t="s">
        <v>1415</v>
      </c>
      <c r="D495" s="287" t="s">
        <v>1416</v>
      </c>
      <c r="E495" s="287">
        <v>3.6459999999999999</v>
      </c>
      <c r="F495" s="287">
        <v>113.7</v>
      </c>
      <c r="G495" s="543">
        <v>41703</v>
      </c>
      <c r="H495" s="381">
        <v>414.55</v>
      </c>
    </row>
    <row r="496" spans="1:8" s="275" customFormat="1" ht="14" thickBot="1" x14ac:dyDescent="0.2">
      <c r="A496" s="548"/>
      <c r="B496" s="474"/>
      <c r="C496" s="291" t="s">
        <v>1171</v>
      </c>
      <c r="D496" s="293"/>
      <c r="E496" s="293"/>
      <c r="F496" s="291">
        <f>SUM(F473:F495)</f>
        <v>3863.6</v>
      </c>
      <c r="G496" s="543"/>
      <c r="H496" s="389">
        <v>13553.969999999998</v>
      </c>
    </row>
    <row r="497" spans="1:8" s="275" customFormat="1" ht="14" thickTop="1" x14ac:dyDescent="0.15">
      <c r="A497" s="374"/>
      <c r="B497" s="538"/>
      <c r="C497" s="287"/>
      <c r="D497" s="287"/>
      <c r="E497" s="287"/>
      <c r="F497" s="287"/>
      <c r="G497" s="543"/>
      <c r="H497" s="549"/>
    </row>
    <row r="498" spans="1:8" s="275" customFormat="1" x14ac:dyDescent="0.15">
      <c r="A498" s="374"/>
      <c r="B498" s="538"/>
      <c r="C498" s="287"/>
      <c r="D498" s="378" t="s">
        <v>1407</v>
      </c>
      <c r="E498" s="287"/>
      <c r="F498" s="287"/>
      <c r="G498" s="543"/>
      <c r="H498" s="549"/>
    </row>
    <row r="499" spans="1:8" s="275" customFormat="1" x14ac:dyDescent="0.15">
      <c r="A499" s="374"/>
      <c r="B499" s="538"/>
      <c r="C499" s="287"/>
      <c r="D499" s="378" t="s">
        <v>1408</v>
      </c>
      <c r="E499" s="287"/>
      <c r="F499" s="287"/>
      <c r="G499" s="543"/>
      <c r="H499" s="549"/>
    </row>
    <row r="500" spans="1:8" s="275" customFormat="1" x14ac:dyDescent="0.15">
      <c r="A500" s="409"/>
      <c r="B500" s="557"/>
      <c r="C500" s="410"/>
      <c r="D500" s="558">
        <v>41729</v>
      </c>
      <c r="E500" s="410"/>
      <c r="F500" s="410"/>
      <c r="G500" s="553"/>
      <c r="H500" s="559"/>
    </row>
    <row r="501" spans="1:8" s="275" customFormat="1" x14ac:dyDescent="0.15">
      <c r="G501" s="539"/>
    </row>
    <row r="502" spans="1:8" s="295" customFormat="1" x14ac:dyDescent="0.15">
      <c r="A502" s="370" t="s">
        <v>1376</v>
      </c>
      <c r="B502" s="540">
        <v>15521</v>
      </c>
      <c r="C502" s="371" t="s">
        <v>1410</v>
      </c>
      <c r="D502" s="371" t="s">
        <v>1378</v>
      </c>
      <c r="E502" s="371">
        <v>3.3919800000000002</v>
      </c>
      <c r="F502" s="371">
        <v>132.19999999999999</v>
      </c>
      <c r="G502" s="542">
        <v>41738</v>
      </c>
      <c r="H502" s="391">
        <v>448.42</v>
      </c>
    </row>
    <row r="503" spans="1:8" s="295" customFormat="1" x14ac:dyDescent="0.15">
      <c r="A503" s="374" t="s">
        <v>1376</v>
      </c>
      <c r="B503" s="538">
        <v>16162</v>
      </c>
      <c r="C503" s="287" t="s">
        <v>1410</v>
      </c>
      <c r="D503" s="287" t="s">
        <v>1378</v>
      </c>
      <c r="E503" s="287">
        <v>3.4465400000000002</v>
      </c>
      <c r="F503" s="287">
        <v>69.400000000000006</v>
      </c>
      <c r="G503" s="543">
        <v>41751</v>
      </c>
      <c r="H503" s="381">
        <v>239.19</v>
      </c>
    </row>
    <row r="504" spans="1:8" s="295" customFormat="1" x14ac:dyDescent="0.15">
      <c r="A504" s="374" t="s">
        <v>1382</v>
      </c>
      <c r="B504" s="538">
        <v>15520</v>
      </c>
      <c r="C504" s="287" t="s">
        <v>1383</v>
      </c>
      <c r="D504" s="287" t="s">
        <v>1384</v>
      </c>
      <c r="E504" s="287">
        <v>3.39201</v>
      </c>
      <c r="F504" s="287">
        <v>106.4</v>
      </c>
      <c r="G504" s="543">
        <v>41738</v>
      </c>
      <c r="H504" s="381">
        <v>360.91</v>
      </c>
    </row>
    <row r="505" spans="1:8" s="295" customFormat="1" x14ac:dyDescent="0.15">
      <c r="A505" s="374" t="s">
        <v>1382</v>
      </c>
      <c r="B505" s="538">
        <v>16161</v>
      </c>
      <c r="C505" s="287" t="s">
        <v>1383</v>
      </c>
      <c r="D505" s="287" t="s">
        <v>1384</v>
      </c>
      <c r="E505" s="287">
        <v>3.4465499999999998</v>
      </c>
      <c r="F505" s="287">
        <v>59.5</v>
      </c>
      <c r="G505" s="543">
        <v>41751</v>
      </c>
      <c r="H505" s="381">
        <v>205.07</v>
      </c>
    </row>
    <row r="506" spans="1:8" s="295" customFormat="1" x14ac:dyDescent="0.15">
      <c r="A506" s="374" t="s">
        <v>1385</v>
      </c>
      <c r="B506" s="538">
        <v>15377</v>
      </c>
      <c r="C506" s="287" t="s">
        <v>1386</v>
      </c>
      <c r="D506" s="287" t="s">
        <v>1387</v>
      </c>
      <c r="E506" s="287">
        <v>3.3920400000000002</v>
      </c>
      <c r="F506" s="287">
        <v>135.6</v>
      </c>
      <c r="G506" s="543">
        <v>41738</v>
      </c>
      <c r="H506" s="381">
        <v>459.96</v>
      </c>
    </row>
    <row r="507" spans="1:8" s="295" customFormat="1" x14ac:dyDescent="0.15">
      <c r="A507" s="374" t="s">
        <v>1385</v>
      </c>
      <c r="B507" s="538">
        <v>14229</v>
      </c>
      <c r="C507" s="287" t="s">
        <v>1386</v>
      </c>
      <c r="D507" s="287" t="s">
        <v>1387</v>
      </c>
      <c r="E507" s="287">
        <v>3.44651</v>
      </c>
      <c r="F507" s="287">
        <v>80.2</v>
      </c>
      <c r="G507" s="543">
        <v>41751</v>
      </c>
      <c r="H507" s="381">
        <v>276.41000000000003</v>
      </c>
    </row>
    <row r="508" spans="1:8" s="295" customFormat="1" x14ac:dyDescent="0.15">
      <c r="A508" s="374" t="s">
        <v>1389</v>
      </c>
      <c r="B508" s="538">
        <v>15373</v>
      </c>
      <c r="C508" s="287" t="s">
        <v>1390</v>
      </c>
      <c r="D508" s="287" t="s">
        <v>1391</v>
      </c>
      <c r="E508" s="287">
        <v>3.39201</v>
      </c>
      <c r="F508" s="287">
        <v>200.3</v>
      </c>
      <c r="G508" s="543">
        <v>41738</v>
      </c>
      <c r="H508" s="381">
        <v>679.42</v>
      </c>
    </row>
    <row r="509" spans="1:8" s="295" customFormat="1" x14ac:dyDescent="0.15">
      <c r="A509" s="374" t="s">
        <v>1389</v>
      </c>
      <c r="B509" s="538">
        <v>15964</v>
      </c>
      <c r="C509" s="287" t="s">
        <v>1390</v>
      </c>
      <c r="D509" s="287" t="s">
        <v>1391</v>
      </c>
      <c r="E509" s="287">
        <v>3.44652</v>
      </c>
      <c r="F509" s="287">
        <v>135</v>
      </c>
      <c r="G509" s="543">
        <v>41751</v>
      </c>
      <c r="H509" s="381">
        <v>465.28</v>
      </c>
    </row>
    <row r="510" spans="1:8" s="295" customFormat="1" x14ac:dyDescent="0.15">
      <c r="A510" s="374" t="s">
        <v>1379</v>
      </c>
      <c r="B510" s="538">
        <v>15817</v>
      </c>
      <c r="C510" s="287" t="s">
        <v>1380</v>
      </c>
      <c r="D510" s="287" t="s">
        <v>1381</v>
      </c>
      <c r="E510" s="287">
        <v>3.4430000000000001</v>
      </c>
      <c r="F510" s="287">
        <v>549.5</v>
      </c>
      <c r="G510" s="543">
        <v>41750</v>
      </c>
      <c r="H510" s="381">
        <v>1891.93</v>
      </c>
    </row>
    <row r="511" spans="1:8" s="295" customFormat="1" x14ac:dyDescent="0.15">
      <c r="A511" s="374" t="s">
        <v>1392</v>
      </c>
      <c r="B511" s="538">
        <v>15374</v>
      </c>
      <c r="C511" s="287" t="s">
        <v>1390</v>
      </c>
      <c r="D511" s="287" t="s">
        <v>1393</v>
      </c>
      <c r="E511" s="287">
        <v>3.39201</v>
      </c>
      <c r="F511" s="287">
        <v>235.2</v>
      </c>
      <c r="G511" s="543">
        <v>41738</v>
      </c>
      <c r="H511" s="381">
        <v>797.8</v>
      </c>
    </row>
    <row r="512" spans="1:8" s="295" customFormat="1" x14ac:dyDescent="0.15">
      <c r="A512" s="374" t="s">
        <v>1392</v>
      </c>
      <c r="B512" s="538">
        <v>15965</v>
      </c>
      <c r="C512" s="287" t="s">
        <v>1390</v>
      </c>
      <c r="D512" s="287" t="s">
        <v>1393</v>
      </c>
      <c r="E512" s="287">
        <v>3.44652</v>
      </c>
      <c r="F512" s="287">
        <v>156.69999999999999</v>
      </c>
      <c r="G512" s="543">
        <v>41751</v>
      </c>
      <c r="H512" s="381">
        <v>540.07000000000005</v>
      </c>
    </row>
    <row r="513" spans="1:8" s="275" customFormat="1" ht="14" thickBot="1" x14ac:dyDescent="0.2">
      <c r="A513" s="548"/>
      <c r="B513" s="474"/>
      <c r="C513" s="291" t="s">
        <v>1172</v>
      </c>
      <c r="D513" s="293"/>
      <c r="E513" s="293"/>
      <c r="F513" s="291">
        <f>SUM(F502:F512)</f>
        <v>1860.0000000000002</v>
      </c>
      <c r="G513" s="543"/>
      <c r="H513" s="389">
        <v>6364.4600000000009</v>
      </c>
    </row>
    <row r="514" spans="1:8" s="275" customFormat="1" ht="14" thickTop="1" x14ac:dyDescent="0.15">
      <c r="A514" s="374"/>
      <c r="B514" s="538"/>
      <c r="C514" s="287"/>
      <c r="D514" s="287"/>
      <c r="E514" s="287"/>
      <c r="F514" s="287"/>
      <c r="G514" s="543"/>
      <c r="H514" s="549"/>
    </row>
    <row r="515" spans="1:8" s="275" customFormat="1" x14ac:dyDescent="0.15">
      <c r="A515" s="374"/>
      <c r="B515" s="538"/>
      <c r="C515" s="287"/>
      <c r="D515" s="378" t="s">
        <v>1407</v>
      </c>
      <c r="E515" s="287"/>
      <c r="F515" s="287"/>
      <c r="G515" s="543"/>
      <c r="H515" s="549"/>
    </row>
    <row r="516" spans="1:8" s="275" customFormat="1" x14ac:dyDescent="0.15">
      <c r="A516" s="374"/>
      <c r="B516" s="538"/>
      <c r="C516" s="287"/>
      <c r="D516" s="378" t="s">
        <v>1408</v>
      </c>
      <c r="E516" s="287"/>
      <c r="F516" s="287"/>
      <c r="G516" s="543"/>
      <c r="H516" s="549"/>
    </row>
    <row r="517" spans="1:8" s="275" customFormat="1" x14ac:dyDescent="0.15">
      <c r="A517" s="409"/>
      <c r="B517" s="557"/>
      <c r="C517" s="410"/>
      <c r="D517" s="558">
        <v>41759</v>
      </c>
      <c r="E517" s="410"/>
      <c r="F517" s="410"/>
      <c r="G517" s="553"/>
      <c r="H517" s="559"/>
    </row>
    <row r="518" spans="1:8" s="275" customFormat="1" x14ac:dyDescent="0.15">
      <c r="G518" s="539"/>
    </row>
    <row r="519" spans="1:8" s="295" customFormat="1" x14ac:dyDescent="0.15">
      <c r="A519" s="370" t="s">
        <v>1379</v>
      </c>
      <c r="B519" s="540">
        <v>16808</v>
      </c>
      <c r="C519" s="371" t="s">
        <v>1380</v>
      </c>
      <c r="D519" s="371" t="s">
        <v>1381</v>
      </c>
      <c r="E519" s="371">
        <v>3.3165</v>
      </c>
      <c r="F519" s="371">
        <v>481.3</v>
      </c>
      <c r="G519" s="542">
        <v>41779</v>
      </c>
      <c r="H519" s="391">
        <v>1596.23</v>
      </c>
    </row>
    <row r="520" spans="1:8" s="275" customFormat="1" ht="14" thickBot="1" x14ac:dyDescent="0.2">
      <c r="A520" s="548"/>
      <c r="B520" s="474"/>
      <c r="C520" s="291" t="s">
        <v>1173</v>
      </c>
      <c r="D520" s="293"/>
      <c r="E520" s="293"/>
      <c r="F520" s="291">
        <f>SUM(F519:F519)</f>
        <v>481.3</v>
      </c>
      <c r="G520" s="543"/>
      <c r="H520" s="389">
        <v>1596.23</v>
      </c>
    </row>
    <row r="521" spans="1:8" s="275" customFormat="1" ht="14" thickTop="1" x14ac:dyDescent="0.15">
      <c r="A521" s="374"/>
      <c r="B521" s="538"/>
      <c r="C521" s="287"/>
      <c r="D521" s="287"/>
      <c r="E521" s="287"/>
      <c r="F521" s="287"/>
      <c r="G521" s="543"/>
      <c r="H521" s="549"/>
    </row>
    <row r="522" spans="1:8" s="275" customFormat="1" x14ac:dyDescent="0.15">
      <c r="A522" s="374"/>
      <c r="B522" s="538"/>
      <c r="C522" s="287"/>
      <c r="D522" s="378" t="s">
        <v>1407</v>
      </c>
      <c r="E522" s="287"/>
      <c r="F522" s="287"/>
      <c r="G522" s="543"/>
      <c r="H522" s="549"/>
    </row>
    <row r="523" spans="1:8" s="275" customFormat="1" x14ac:dyDescent="0.15">
      <c r="A523" s="374"/>
      <c r="B523" s="538"/>
      <c r="C523" s="287"/>
      <c r="D523" s="378" t="s">
        <v>1408</v>
      </c>
      <c r="E523" s="287"/>
      <c r="F523" s="287"/>
      <c r="G523" s="543"/>
      <c r="H523" s="549"/>
    </row>
    <row r="524" spans="1:8" s="275" customFormat="1" x14ac:dyDescent="0.15">
      <c r="A524" s="409"/>
      <c r="B524" s="557"/>
      <c r="C524" s="410"/>
      <c r="D524" s="558">
        <v>41790</v>
      </c>
      <c r="E524" s="410"/>
      <c r="F524" s="410"/>
      <c r="G524" s="553"/>
      <c r="H524" s="559"/>
    </row>
    <row r="525" spans="1:8" s="275" customFormat="1" x14ac:dyDescent="0.15">
      <c r="G525" s="539"/>
    </row>
    <row r="526" spans="1:8" s="295" customFormat="1" x14ac:dyDescent="0.15">
      <c r="A526" s="370" t="s">
        <v>1389</v>
      </c>
      <c r="B526" s="540">
        <v>16383</v>
      </c>
      <c r="C526" s="371" t="s">
        <v>1390</v>
      </c>
      <c r="D526" s="371" t="s">
        <v>1391</v>
      </c>
      <c r="E526" s="371">
        <v>3.2554799999999999</v>
      </c>
      <c r="F526" s="371">
        <v>299</v>
      </c>
      <c r="G526" s="542">
        <v>41800</v>
      </c>
      <c r="H526" s="391">
        <v>973.39</v>
      </c>
    </row>
    <row r="527" spans="1:8" s="295" customFormat="1" x14ac:dyDescent="0.15">
      <c r="A527" s="374" t="s">
        <v>1392</v>
      </c>
      <c r="B527" s="538">
        <v>99999</v>
      </c>
      <c r="C527" s="287" t="s">
        <v>1390</v>
      </c>
      <c r="D527" s="287" t="s">
        <v>1393</v>
      </c>
      <c r="E527" s="287">
        <v>3.2555499999999999</v>
      </c>
      <c r="F527" s="287">
        <v>108.2</v>
      </c>
      <c r="G527" s="543">
        <v>41800</v>
      </c>
      <c r="H527" s="381">
        <v>352.25</v>
      </c>
    </row>
    <row r="528" spans="1:8" s="275" customFormat="1" ht="14" thickBot="1" x14ac:dyDescent="0.2">
      <c r="A528" s="548"/>
      <c r="B528" s="474"/>
      <c r="C528" s="291" t="s">
        <v>1174</v>
      </c>
      <c r="D528" s="293"/>
      <c r="E528" s="293"/>
      <c r="F528" s="291">
        <f>SUM(F526:F527)</f>
        <v>407.2</v>
      </c>
      <c r="G528" s="543"/>
      <c r="H528" s="389">
        <v>1325.6399999999999</v>
      </c>
    </row>
    <row r="529" spans="1:11" s="275" customFormat="1" ht="14" thickTop="1" x14ac:dyDescent="0.15">
      <c r="A529" s="374"/>
      <c r="B529" s="538"/>
      <c r="C529" s="287"/>
      <c r="D529" s="287"/>
      <c r="E529" s="287"/>
      <c r="F529" s="287"/>
      <c r="G529" s="543"/>
      <c r="H529" s="549"/>
    </row>
    <row r="530" spans="1:11" s="275" customFormat="1" x14ac:dyDescent="0.15">
      <c r="A530" s="374"/>
      <c r="B530" s="538"/>
      <c r="C530" s="287"/>
      <c r="D530" s="378" t="s">
        <v>1407</v>
      </c>
      <c r="E530" s="287"/>
      <c r="F530" s="287"/>
      <c r="G530" s="543"/>
      <c r="H530" s="549"/>
    </row>
    <row r="531" spans="1:11" s="275" customFormat="1" x14ac:dyDescent="0.15">
      <c r="A531" s="374"/>
      <c r="B531" s="538"/>
      <c r="C531" s="287"/>
      <c r="D531" s="378" t="s">
        <v>1408</v>
      </c>
      <c r="E531" s="287"/>
      <c r="F531" s="287"/>
      <c r="G531" s="543"/>
      <c r="H531" s="549"/>
    </row>
    <row r="532" spans="1:11" s="275" customFormat="1" x14ac:dyDescent="0.15">
      <c r="A532" s="409"/>
      <c r="B532" s="557"/>
      <c r="C532" s="410"/>
      <c r="D532" s="558">
        <v>41820</v>
      </c>
      <c r="E532" s="410"/>
      <c r="F532" s="410"/>
      <c r="G532" s="553"/>
      <c r="H532" s="559"/>
    </row>
    <row r="533" spans="1:11" ht="14" thickBot="1" x14ac:dyDescent="0.2">
      <c r="B533" s="259"/>
      <c r="G533" s="556"/>
      <c r="I533" s="259"/>
    </row>
    <row r="534" spans="1:11" s="275" customFormat="1" ht="31" thickBot="1" x14ac:dyDescent="0.35">
      <c r="A534" s="767" t="s">
        <v>1103</v>
      </c>
      <c r="B534" s="768"/>
      <c r="C534" s="768"/>
      <c r="D534" s="768"/>
      <c r="E534" s="768"/>
      <c r="F534" s="768"/>
      <c r="G534" s="768"/>
      <c r="H534" s="769"/>
      <c r="I534" s="289"/>
      <c r="J534" s="289"/>
      <c r="K534" s="289"/>
    </row>
    <row r="535" spans="1:11" s="275" customFormat="1" x14ac:dyDescent="0.15">
      <c r="G535" s="539"/>
    </row>
    <row r="536" spans="1:11" s="295" customFormat="1" x14ac:dyDescent="0.15">
      <c r="A536" s="370" t="s">
        <v>1376</v>
      </c>
      <c r="B536" s="540">
        <v>18162</v>
      </c>
      <c r="C536" s="371" t="s">
        <v>1410</v>
      </c>
      <c r="D536" s="371" t="s">
        <v>1378</v>
      </c>
      <c r="E536" s="371">
        <v>2.80613</v>
      </c>
      <c r="F536" s="371">
        <v>75.099999999999994</v>
      </c>
      <c r="G536" s="542">
        <v>41933</v>
      </c>
      <c r="H536" s="391">
        <v>210.74</v>
      </c>
    </row>
    <row r="537" spans="1:11" s="295" customFormat="1" x14ac:dyDescent="0.15">
      <c r="A537" s="374" t="s">
        <v>1385</v>
      </c>
      <c r="B537" s="538">
        <v>18255</v>
      </c>
      <c r="C537" s="287" t="s">
        <v>1386</v>
      </c>
      <c r="D537" s="287" t="s">
        <v>1387</v>
      </c>
      <c r="E537" s="287">
        <v>3.0295000000000001</v>
      </c>
      <c r="F537" s="287">
        <v>358</v>
      </c>
      <c r="G537" s="543">
        <v>41911</v>
      </c>
      <c r="H537" s="381">
        <v>1084.56</v>
      </c>
    </row>
    <row r="538" spans="1:11" s="295" customFormat="1" x14ac:dyDescent="0.15">
      <c r="A538" s="374" t="s">
        <v>1385</v>
      </c>
      <c r="B538" s="538">
        <v>18834</v>
      </c>
      <c r="C538" s="287" t="s">
        <v>1386</v>
      </c>
      <c r="D538" s="287" t="s">
        <v>1387</v>
      </c>
      <c r="E538" s="287">
        <v>2.8389700000000002</v>
      </c>
      <c r="F538" s="287">
        <v>83.4</v>
      </c>
      <c r="G538" s="543">
        <v>41934</v>
      </c>
      <c r="H538" s="381">
        <v>236.77</v>
      </c>
    </row>
    <row r="539" spans="1:11" s="295" customFormat="1" x14ac:dyDescent="0.15">
      <c r="A539" s="374" t="s">
        <v>1379</v>
      </c>
      <c r="B539" s="538">
        <v>19518</v>
      </c>
      <c r="C539" s="287" t="s">
        <v>1380</v>
      </c>
      <c r="D539" s="287" t="s">
        <v>1381</v>
      </c>
      <c r="E539" s="287">
        <v>2.8212000000000002</v>
      </c>
      <c r="F539" s="287">
        <v>500</v>
      </c>
      <c r="G539" s="543">
        <v>41936</v>
      </c>
      <c r="H539" s="381">
        <v>1410.6</v>
      </c>
    </row>
    <row r="540" spans="1:11" s="275" customFormat="1" ht="14" thickBot="1" x14ac:dyDescent="0.2">
      <c r="A540" s="548"/>
      <c r="B540" s="474"/>
      <c r="C540" s="291" t="s">
        <v>1154</v>
      </c>
      <c r="D540" s="293"/>
      <c r="E540" s="293"/>
      <c r="F540" s="291">
        <f>SUM(F536:F539)</f>
        <v>1016.5</v>
      </c>
      <c r="G540" s="543"/>
      <c r="H540" s="389">
        <v>2942.67</v>
      </c>
    </row>
    <row r="541" spans="1:11" s="275" customFormat="1" ht="14" thickTop="1" x14ac:dyDescent="0.15">
      <c r="A541" s="374"/>
      <c r="B541" s="538"/>
      <c r="C541" s="287"/>
      <c r="D541" s="287"/>
      <c r="E541" s="287"/>
      <c r="F541" s="287"/>
      <c r="G541" s="543"/>
      <c r="H541" s="549"/>
    </row>
    <row r="542" spans="1:11" s="275" customFormat="1" x14ac:dyDescent="0.15">
      <c r="A542" s="374"/>
      <c r="B542" s="538"/>
      <c r="C542" s="287"/>
      <c r="D542" s="378" t="s">
        <v>1407</v>
      </c>
      <c r="E542" s="287"/>
      <c r="F542" s="287"/>
      <c r="G542" s="543"/>
      <c r="H542" s="549"/>
    </row>
    <row r="543" spans="1:11" s="275" customFormat="1" x14ac:dyDescent="0.15">
      <c r="A543" s="374"/>
      <c r="B543" s="538"/>
      <c r="C543" s="287"/>
      <c r="D543" s="378" t="s">
        <v>1408</v>
      </c>
      <c r="E543" s="287"/>
      <c r="F543" s="287"/>
      <c r="G543" s="543"/>
      <c r="H543" s="549"/>
    </row>
    <row r="544" spans="1:11" s="275" customFormat="1" x14ac:dyDescent="0.15">
      <c r="A544" s="409"/>
      <c r="B544" s="557"/>
      <c r="C544" s="410"/>
      <c r="D544" s="558">
        <v>41943</v>
      </c>
      <c r="E544" s="410"/>
      <c r="F544" s="410"/>
      <c r="G544" s="553"/>
      <c r="H544" s="559"/>
    </row>
    <row r="545" spans="1:8" s="275" customFormat="1" x14ac:dyDescent="0.15">
      <c r="G545" s="539"/>
    </row>
    <row r="546" spans="1:8" s="295" customFormat="1" x14ac:dyDescent="0.15">
      <c r="A546" s="370" t="s">
        <v>1376</v>
      </c>
      <c r="B546" s="540">
        <v>19658</v>
      </c>
      <c r="C546" s="371" t="s">
        <v>1410</v>
      </c>
      <c r="D546" s="371" t="s">
        <v>1378</v>
      </c>
      <c r="E546" s="371">
        <v>2.7051099999999999</v>
      </c>
      <c r="F546" s="371">
        <v>140.80000000000001</v>
      </c>
      <c r="G546" s="542">
        <v>41957</v>
      </c>
      <c r="H546" s="391">
        <v>380.88</v>
      </c>
    </row>
    <row r="547" spans="1:8" s="295" customFormat="1" x14ac:dyDescent="0.15">
      <c r="A547" s="374" t="s">
        <v>1376</v>
      </c>
      <c r="B547" s="538">
        <v>20557</v>
      </c>
      <c r="C547" s="287" t="s">
        <v>1410</v>
      </c>
      <c r="D547" s="287" t="s">
        <v>1378</v>
      </c>
      <c r="E547" s="287">
        <v>2.7277999999999998</v>
      </c>
      <c r="F547" s="287">
        <v>129.5</v>
      </c>
      <c r="G547" s="543">
        <v>41969</v>
      </c>
      <c r="H547" s="381">
        <v>353.25</v>
      </c>
    </row>
    <row r="548" spans="1:8" s="295" customFormat="1" x14ac:dyDescent="0.15">
      <c r="A548" s="374" t="s">
        <v>1382</v>
      </c>
      <c r="B548" s="538">
        <v>18161</v>
      </c>
      <c r="C548" s="287" t="s">
        <v>1383</v>
      </c>
      <c r="D548" s="287" t="s">
        <v>1384</v>
      </c>
      <c r="E548" s="287">
        <v>2.7051099999999999</v>
      </c>
      <c r="F548" s="287">
        <v>60.7</v>
      </c>
      <c r="G548" s="543">
        <v>41957</v>
      </c>
      <c r="H548" s="381">
        <v>164.2</v>
      </c>
    </row>
    <row r="549" spans="1:8" s="295" customFormat="1" x14ac:dyDescent="0.15">
      <c r="A549" s="374" t="s">
        <v>1382</v>
      </c>
      <c r="B549" s="538">
        <v>20555</v>
      </c>
      <c r="C549" s="287" t="s">
        <v>1383</v>
      </c>
      <c r="D549" s="287" t="s">
        <v>1384</v>
      </c>
      <c r="E549" s="287">
        <v>2.72777</v>
      </c>
      <c r="F549" s="287">
        <v>98.3</v>
      </c>
      <c r="G549" s="543">
        <v>41969</v>
      </c>
      <c r="H549" s="381">
        <v>268.14</v>
      </c>
    </row>
    <row r="550" spans="1:8" s="295" customFormat="1" x14ac:dyDescent="0.15">
      <c r="A550" s="374" t="s">
        <v>1385</v>
      </c>
      <c r="B550" s="538">
        <v>19465</v>
      </c>
      <c r="C550" s="287" t="s">
        <v>1386</v>
      </c>
      <c r="D550" s="287" t="s">
        <v>1387</v>
      </c>
      <c r="E550" s="287">
        <v>2.7051099999999999</v>
      </c>
      <c r="F550" s="287">
        <v>142.80000000000001</v>
      </c>
      <c r="G550" s="543">
        <v>41957</v>
      </c>
      <c r="H550" s="381">
        <v>386.29</v>
      </c>
    </row>
    <row r="551" spans="1:8" s="295" customFormat="1" x14ac:dyDescent="0.15">
      <c r="A551" s="374" t="s">
        <v>1385</v>
      </c>
      <c r="B551" s="538">
        <v>20541</v>
      </c>
      <c r="C551" s="287" t="s">
        <v>1386</v>
      </c>
      <c r="D551" s="287" t="s">
        <v>1387</v>
      </c>
      <c r="E551" s="287">
        <v>2.72777</v>
      </c>
      <c r="F551" s="287">
        <v>130</v>
      </c>
      <c r="G551" s="543">
        <v>41969</v>
      </c>
      <c r="H551" s="381">
        <v>354.61</v>
      </c>
    </row>
    <row r="552" spans="1:8" s="275" customFormat="1" ht="14" thickBot="1" x14ac:dyDescent="0.2">
      <c r="A552" s="548"/>
      <c r="B552" s="474"/>
      <c r="C552" s="291" t="s">
        <v>1164</v>
      </c>
      <c r="D552" s="293"/>
      <c r="E552" s="293"/>
      <c r="F552" s="291">
        <f>SUM(F546:F551)</f>
        <v>702.1</v>
      </c>
      <c r="G552" s="543"/>
      <c r="H552" s="389">
        <v>1907.3700000000001</v>
      </c>
    </row>
    <row r="553" spans="1:8" s="275" customFormat="1" ht="14" thickTop="1" x14ac:dyDescent="0.15">
      <c r="A553" s="374"/>
      <c r="B553" s="538"/>
      <c r="C553" s="287"/>
      <c r="D553" s="287"/>
      <c r="E553" s="287"/>
      <c r="F553" s="287"/>
      <c r="G553" s="543"/>
      <c r="H553" s="549"/>
    </row>
    <row r="554" spans="1:8" s="275" customFormat="1" x14ac:dyDescent="0.15">
      <c r="A554" s="374"/>
      <c r="B554" s="538"/>
      <c r="C554" s="287"/>
      <c r="D554" s="378" t="s">
        <v>1407</v>
      </c>
      <c r="E554" s="287"/>
      <c r="F554" s="287"/>
      <c r="G554" s="543"/>
      <c r="H554" s="549"/>
    </row>
    <row r="555" spans="1:8" s="275" customFormat="1" x14ac:dyDescent="0.15">
      <c r="A555" s="374"/>
      <c r="B555" s="538"/>
      <c r="C555" s="287"/>
      <c r="D555" s="378" t="s">
        <v>1408</v>
      </c>
      <c r="E555" s="287"/>
      <c r="F555" s="287"/>
      <c r="G555" s="543"/>
      <c r="H555" s="549"/>
    </row>
    <row r="556" spans="1:8" s="275" customFormat="1" x14ac:dyDescent="0.15">
      <c r="A556" s="409"/>
      <c r="B556" s="557"/>
      <c r="C556" s="410"/>
      <c r="D556" s="558">
        <v>41973</v>
      </c>
      <c r="E556" s="410"/>
      <c r="F556" s="410"/>
      <c r="G556" s="553"/>
      <c r="H556" s="559"/>
    </row>
    <row r="557" spans="1:8" s="275" customFormat="1" x14ac:dyDescent="0.15">
      <c r="G557" s="539"/>
    </row>
    <row r="558" spans="1:8" s="295" customFormat="1" x14ac:dyDescent="0.15">
      <c r="A558" s="370" t="s">
        <v>1376</v>
      </c>
      <c r="B558" s="540">
        <v>392</v>
      </c>
      <c r="C558" s="371" t="s">
        <v>1410</v>
      </c>
      <c r="D558" s="371" t="s">
        <v>1378</v>
      </c>
      <c r="E558" s="371">
        <v>2.4323100000000002</v>
      </c>
      <c r="F558" s="371">
        <v>159.4</v>
      </c>
      <c r="G558" s="542">
        <v>41982</v>
      </c>
      <c r="H558" s="391">
        <v>387.71</v>
      </c>
    </row>
    <row r="559" spans="1:8" s="295" customFormat="1" x14ac:dyDescent="0.15">
      <c r="A559" s="374" t="s">
        <v>1382</v>
      </c>
      <c r="B559" s="538">
        <v>391</v>
      </c>
      <c r="C559" s="287" t="s">
        <v>1383</v>
      </c>
      <c r="D559" s="287" t="s">
        <v>1384</v>
      </c>
      <c r="E559" s="287">
        <v>2.46061</v>
      </c>
      <c r="F559" s="287">
        <v>143.19999999999999</v>
      </c>
      <c r="G559" s="543">
        <v>41983</v>
      </c>
      <c r="H559" s="381">
        <v>352.36</v>
      </c>
    </row>
    <row r="560" spans="1:8" s="295" customFormat="1" x14ac:dyDescent="0.15">
      <c r="A560" s="374" t="s">
        <v>1385</v>
      </c>
      <c r="B560" s="538">
        <v>385</v>
      </c>
      <c r="C560" s="287" t="s">
        <v>1386</v>
      </c>
      <c r="D560" s="287" t="s">
        <v>1387</v>
      </c>
      <c r="E560" s="287">
        <v>2.4605800000000002</v>
      </c>
      <c r="F560" s="287">
        <v>155</v>
      </c>
      <c r="G560" s="543">
        <v>41983</v>
      </c>
      <c r="H560" s="381">
        <v>381.39</v>
      </c>
    </row>
    <row r="561" spans="1:8" s="295" customFormat="1" x14ac:dyDescent="0.15">
      <c r="A561" s="374" t="s">
        <v>1379</v>
      </c>
      <c r="B561" s="538">
        <v>763</v>
      </c>
      <c r="C561" s="287" t="s">
        <v>1380</v>
      </c>
      <c r="D561" s="287" t="s">
        <v>1381</v>
      </c>
      <c r="E561" s="287">
        <v>2.4994999999999998</v>
      </c>
      <c r="F561" s="287">
        <v>500</v>
      </c>
      <c r="G561" s="543">
        <v>41978</v>
      </c>
      <c r="H561" s="381">
        <v>1249.75</v>
      </c>
    </row>
    <row r="562" spans="1:8" s="295" customFormat="1" x14ac:dyDescent="0.15">
      <c r="A562" s="374" t="s">
        <v>1379</v>
      </c>
      <c r="B562" s="538">
        <v>15817</v>
      </c>
      <c r="C562" s="287" t="s">
        <v>1380</v>
      </c>
      <c r="D562" s="287" t="s">
        <v>1381</v>
      </c>
      <c r="E562" s="287">
        <v>2.2200000000000002</v>
      </c>
      <c r="F562" s="287">
        <v>500</v>
      </c>
      <c r="G562" s="543">
        <v>42003</v>
      </c>
      <c r="H562" s="381">
        <v>1110</v>
      </c>
    </row>
    <row r="563" spans="1:8" s="275" customFormat="1" ht="14" thickBot="1" x14ac:dyDescent="0.2">
      <c r="A563" s="548"/>
      <c r="B563" s="474"/>
      <c r="C563" s="291" t="s">
        <v>1167</v>
      </c>
      <c r="D563" s="293"/>
      <c r="E563" s="293"/>
      <c r="F563" s="291">
        <f>SUM(F558:F562)</f>
        <v>1457.6</v>
      </c>
      <c r="G563" s="543"/>
      <c r="H563" s="389">
        <v>3481.21</v>
      </c>
    </row>
    <row r="564" spans="1:8" s="275" customFormat="1" ht="14" thickTop="1" x14ac:dyDescent="0.15">
      <c r="A564" s="374"/>
      <c r="B564" s="538"/>
      <c r="C564" s="287"/>
      <c r="D564" s="287"/>
      <c r="E564" s="287"/>
      <c r="F564" s="287"/>
      <c r="G564" s="543"/>
      <c r="H564" s="549"/>
    </row>
    <row r="565" spans="1:8" s="275" customFormat="1" x14ac:dyDescent="0.15">
      <c r="A565" s="374"/>
      <c r="B565" s="538"/>
      <c r="C565" s="287"/>
      <c r="D565" s="378" t="s">
        <v>1407</v>
      </c>
      <c r="E565" s="287"/>
      <c r="F565" s="287"/>
      <c r="G565" s="543"/>
      <c r="H565" s="549"/>
    </row>
    <row r="566" spans="1:8" s="275" customFormat="1" x14ac:dyDescent="0.15">
      <c r="A566" s="374"/>
      <c r="B566" s="538"/>
      <c r="C566" s="287"/>
      <c r="D566" s="378" t="s">
        <v>1408</v>
      </c>
      <c r="E566" s="287"/>
      <c r="F566" s="287"/>
      <c r="G566" s="543"/>
      <c r="H566" s="549"/>
    </row>
    <row r="567" spans="1:8" s="275" customFormat="1" x14ac:dyDescent="0.15">
      <c r="A567" s="409"/>
      <c r="B567" s="557"/>
      <c r="C567" s="410"/>
      <c r="D567" s="558">
        <v>42004</v>
      </c>
      <c r="E567" s="410"/>
      <c r="F567" s="410"/>
      <c r="G567" s="553"/>
      <c r="H567" s="559"/>
    </row>
    <row r="568" spans="1:8" s="275" customFormat="1" x14ac:dyDescent="0.15">
      <c r="G568" s="539"/>
    </row>
    <row r="569" spans="1:8" s="295" customFormat="1" x14ac:dyDescent="0.15">
      <c r="A569" s="370" t="s">
        <v>1376</v>
      </c>
      <c r="B569" s="540">
        <v>1096</v>
      </c>
      <c r="C569" s="371" t="s">
        <v>1410</v>
      </c>
      <c r="D569" s="371" t="s">
        <v>1378</v>
      </c>
      <c r="E569" s="371">
        <v>2.2395</v>
      </c>
      <c r="F569" s="371">
        <v>258.5</v>
      </c>
      <c r="G569" s="542">
        <v>42005</v>
      </c>
      <c r="H569" s="391">
        <v>578.91</v>
      </c>
    </row>
    <row r="570" spans="1:8" s="295" customFormat="1" x14ac:dyDescent="0.15">
      <c r="A570" s="374" t="s">
        <v>1376</v>
      </c>
      <c r="B570" s="538">
        <v>2786</v>
      </c>
      <c r="C570" s="287" t="s">
        <v>1410</v>
      </c>
      <c r="D570" s="287" t="s">
        <v>1378</v>
      </c>
      <c r="E570" s="287">
        <v>2.03382</v>
      </c>
      <c r="F570" s="287">
        <v>207.6</v>
      </c>
      <c r="G570" s="543">
        <v>42017</v>
      </c>
      <c r="H570" s="381">
        <v>422.22</v>
      </c>
    </row>
    <row r="571" spans="1:8" s="295" customFormat="1" x14ac:dyDescent="0.15">
      <c r="A571" s="374" t="s">
        <v>1376</v>
      </c>
      <c r="B571" s="538">
        <v>3732</v>
      </c>
      <c r="C571" s="287" t="s">
        <v>1410</v>
      </c>
      <c r="D571" s="287" t="s">
        <v>1378</v>
      </c>
      <c r="E571" s="287">
        <v>1.98949</v>
      </c>
      <c r="F571" s="287">
        <v>233.2</v>
      </c>
      <c r="G571" s="543">
        <v>42031</v>
      </c>
      <c r="H571" s="381">
        <v>463.95</v>
      </c>
    </row>
    <row r="572" spans="1:8" s="295" customFormat="1" x14ac:dyDescent="0.15">
      <c r="A572" s="374" t="s">
        <v>1382</v>
      </c>
      <c r="B572" s="538">
        <v>1263</v>
      </c>
      <c r="C572" s="287" t="s">
        <v>1383</v>
      </c>
      <c r="D572" s="287" t="s">
        <v>1384</v>
      </c>
      <c r="E572" s="287">
        <v>2.2395200000000002</v>
      </c>
      <c r="F572" s="287">
        <v>199.4</v>
      </c>
      <c r="G572" s="543">
        <v>42005</v>
      </c>
      <c r="H572" s="381">
        <v>446.56</v>
      </c>
    </row>
    <row r="573" spans="1:8" s="295" customFormat="1" x14ac:dyDescent="0.15">
      <c r="A573" s="374" t="s">
        <v>1382</v>
      </c>
      <c r="B573" s="538">
        <v>2784</v>
      </c>
      <c r="C573" s="287" t="s">
        <v>1383</v>
      </c>
      <c r="D573" s="287" t="s">
        <v>1384</v>
      </c>
      <c r="E573" s="287">
        <v>2.03383</v>
      </c>
      <c r="F573" s="287">
        <v>168.5</v>
      </c>
      <c r="G573" s="543">
        <v>42017</v>
      </c>
      <c r="H573" s="381">
        <v>342.7</v>
      </c>
    </row>
    <row r="574" spans="1:8" s="295" customFormat="1" x14ac:dyDescent="0.15">
      <c r="A574" s="374" t="s">
        <v>1382</v>
      </c>
      <c r="B574" s="538">
        <v>3731</v>
      </c>
      <c r="C574" s="287" t="s">
        <v>1383</v>
      </c>
      <c r="D574" s="287" t="s">
        <v>1384</v>
      </c>
      <c r="E574" s="287">
        <v>1.9894799999999999</v>
      </c>
      <c r="F574" s="287">
        <v>171.1</v>
      </c>
      <c r="G574" s="543">
        <v>42031</v>
      </c>
      <c r="H574" s="381">
        <v>340.4</v>
      </c>
    </row>
    <row r="575" spans="1:8" s="295" customFormat="1" x14ac:dyDescent="0.15">
      <c r="A575" s="374" t="s">
        <v>1385</v>
      </c>
      <c r="B575" s="538">
        <v>1259</v>
      </c>
      <c r="C575" s="287" t="s">
        <v>1386</v>
      </c>
      <c r="D575" s="287" t="s">
        <v>1387</v>
      </c>
      <c r="E575" s="287">
        <v>2.2395100000000001</v>
      </c>
      <c r="F575" s="287">
        <v>233.6</v>
      </c>
      <c r="G575" s="543">
        <v>42005</v>
      </c>
      <c r="H575" s="381">
        <v>523.15</v>
      </c>
    </row>
    <row r="576" spans="1:8" s="295" customFormat="1" x14ac:dyDescent="0.15">
      <c r="A576" s="374" t="s">
        <v>1385</v>
      </c>
      <c r="B576" s="538">
        <v>2519</v>
      </c>
      <c r="C576" s="287" t="s">
        <v>1386</v>
      </c>
      <c r="D576" s="287" t="s">
        <v>1387</v>
      </c>
      <c r="E576" s="287">
        <v>2.0337800000000001</v>
      </c>
      <c r="F576" s="287">
        <v>178.8</v>
      </c>
      <c r="G576" s="543">
        <v>42017</v>
      </c>
      <c r="H576" s="381">
        <v>363.64</v>
      </c>
    </row>
    <row r="577" spans="1:8" s="295" customFormat="1" x14ac:dyDescent="0.15">
      <c r="A577" s="374" t="s">
        <v>1385</v>
      </c>
      <c r="B577" s="538">
        <v>3411</v>
      </c>
      <c r="C577" s="287" t="s">
        <v>1386</v>
      </c>
      <c r="D577" s="287" t="s">
        <v>1387</v>
      </c>
      <c r="E577" s="287">
        <v>1.98949</v>
      </c>
      <c r="F577" s="287">
        <v>205.6</v>
      </c>
      <c r="G577" s="543">
        <v>42031</v>
      </c>
      <c r="H577" s="381">
        <v>409.04</v>
      </c>
    </row>
    <row r="578" spans="1:8" s="295" customFormat="1" x14ac:dyDescent="0.15">
      <c r="A578" s="374" t="s">
        <v>1379</v>
      </c>
      <c r="B578" s="538">
        <v>3478</v>
      </c>
      <c r="C578" s="287" t="s">
        <v>1380</v>
      </c>
      <c r="D578" s="287" t="s">
        <v>1381</v>
      </c>
      <c r="E578" s="287">
        <v>2.0234999999999999</v>
      </c>
      <c r="F578" s="287">
        <v>500</v>
      </c>
      <c r="G578" s="543">
        <v>42032</v>
      </c>
      <c r="H578" s="381">
        <v>1011.75</v>
      </c>
    </row>
    <row r="579" spans="1:8" s="275" customFormat="1" ht="14" thickBot="1" x14ac:dyDescent="0.2">
      <c r="A579" s="548"/>
      <c r="B579" s="474"/>
      <c r="C579" s="291" t="s">
        <v>1168</v>
      </c>
      <c r="D579" s="293"/>
      <c r="E579" s="293"/>
      <c r="F579" s="291">
        <f>SUM(F569:F578)</f>
        <v>2356.2999999999993</v>
      </c>
      <c r="G579" s="543"/>
      <c r="H579" s="389">
        <v>4902.32</v>
      </c>
    </row>
    <row r="580" spans="1:8" s="275" customFormat="1" ht="14" thickTop="1" x14ac:dyDescent="0.15">
      <c r="A580" s="374"/>
      <c r="B580" s="538"/>
      <c r="C580" s="287"/>
      <c r="D580" s="287"/>
      <c r="E580" s="287"/>
      <c r="F580" s="287"/>
      <c r="G580" s="543"/>
      <c r="H580" s="549"/>
    </row>
    <row r="581" spans="1:8" s="275" customFormat="1" x14ac:dyDescent="0.15">
      <c r="A581" s="374"/>
      <c r="B581" s="538"/>
      <c r="C581" s="287"/>
      <c r="D581" s="378" t="s">
        <v>1407</v>
      </c>
      <c r="E581" s="287"/>
      <c r="F581" s="287"/>
      <c r="G581" s="543"/>
      <c r="H581" s="549"/>
    </row>
    <row r="582" spans="1:8" s="275" customFormat="1" x14ac:dyDescent="0.15">
      <c r="A582" s="374"/>
      <c r="B582" s="538"/>
      <c r="C582" s="287"/>
      <c r="D582" s="378" t="s">
        <v>1408</v>
      </c>
      <c r="E582" s="287"/>
      <c r="F582" s="287"/>
      <c r="G582" s="543"/>
      <c r="H582" s="549"/>
    </row>
    <row r="583" spans="1:8" s="275" customFormat="1" x14ac:dyDescent="0.15">
      <c r="A583" s="409"/>
      <c r="B583" s="557"/>
      <c r="C583" s="410"/>
      <c r="D583" s="558">
        <v>42035</v>
      </c>
      <c r="E583" s="410"/>
      <c r="F583" s="410"/>
      <c r="G583" s="553"/>
      <c r="H583" s="559"/>
    </row>
    <row r="584" spans="1:8" s="275" customFormat="1" x14ac:dyDescent="0.15">
      <c r="G584" s="539"/>
    </row>
    <row r="585" spans="1:8" s="295" customFormat="1" x14ac:dyDescent="0.15">
      <c r="A585" s="370" t="s">
        <v>1376</v>
      </c>
      <c r="B585" s="540">
        <v>4454</v>
      </c>
      <c r="C585" s="371" t="s">
        <v>1410</v>
      </c>
      <c r="D585" s="371" t="s">
        <v>1378</v>
      </c>
      <c r="E585" s="371">
        <v>2.1789900000000002</v>
      </c>
      <c r="F585" s="371">
        <v>216.1</v>
      </c>
      <c r="G585" s="542">
        <v>42042</v>
      </c>
      <c r="H585" s="391">
        <v>470.88</v>
      </c>
    </row>
    <row r="586" spans="1:8" s="295" customFormat="1" x14ac:dyDescent="0.15">
      <c r="A586" s="374" t="s">
        <v>1376</v>
      </c>
      <c r="B586" s="538">
        <v>5826</v>
      </c>
      <c r="C586" s="287" t="s">
        <v>1410</v>
      </c>
      <c r="D586" s="287" t="s">
        <v>1378</v>
      </c>
      <c r="E586" s="287">
        <v>2.3955199999999999</v>
      </c>
      <c r="F586" s="287">
        <v>294.39999999999998</v>
      </c>
      <c r="G586" s="543">
        <v>42056</v>
      </c>
      <c r="H586" s="381">
        <v>705.24</v>
      </c>
    </row>
    <row r="587" spans="1:8" s="295" customFormat="1" x14ac:dyDescent="0.15">
      <c r="A587" s="374" t="s">
        <v>1382</v>
      </c>
      <c r="B587" s="538">
        <v>4453</v>
      </c>
      <c r="C587" s="287" t="s">
        <v>1383</v>
      </c>
      <c r="D587" s="287" t="s">
        <v>1384</v>
      </c>
      <c r="E587" s="287">
        <v>2.1789800000000001</v>
      </c>
      <c r="F587" s="287">
        <v>156.5</v>
      </c>
      <c r="G587" s="543">
        <v>42042</v>
      </c>
      <c r="H587" s="381">
        <v>341.01</v>
      </c>
    </row>
    <row r="588" spans="1:8" s="295" customFormat="1" x14ac:dyDescent="0.15">
      <c r="A588" s="374" t="s">
        <v>1382</v>
      </c>
      <c r="B588" s="538">
        <v>5825</v>
      </c>
      <c r="C588" s="287" t="s">
        <v>1383</v>
      </c>
      <c r="D588" s="287" t="s">
        <v>1384</v>
      </c>
      <c r="E588" s="287">
        <v>2.3955199999999999</v>
      </c>
      <c r="F588" s="287">
        <v>225.2</v>
      </c>
      <c r="G588" s="543">
        <v>42056</v>
      </c>
      <c r="H588" s="381">
        <v>539.47</v>
      </c>
    </row>
    <row r="589" spans="1:8" s="295" customFormat="1" x14ac:dyDescent="0.15">
      <c r="A589" s="374" t="s">
        <v>1385</v>
      </c>
      <c r="B589" s="538">
        <v>4443</v>
      </c>
      <c r="C589" s="287" t="s">
        <v>1386</v>
      </c>
      <c r="D589" s="287" t="s">
        <v>1387</v>
      </c>
      <c r="E589" s="287">
        <v>2.1789999999999998</v>
      </c>
      <c r="F589" s="287">
        <v>186.2</v>
      </c>
      <c r="G589" s="543">
        <v>42042</v>
      </c>
      <c r="H589" s="381">
        <v>405.73</v>
      </c>
    </row>
    <row r="590" spans="1:8" s="295" customFormat="1" x14ac:dyDescent="0.15">
      <c r="A590" s="374" t="s">
        <v>1385</v>
      </c>
      <c r="B590" s="538">
        <v>5669</v>
      </c>
      <c r="C590" s="287" t="s">
        <v>1386</v>
      </c>
      <c r="D590" s="287" t="s">
        <v>1387</v>
      </c>
      <c r="E590" s="287">
        <v>2.3954800000000001</v>
      </c>
      <c r="F590" s="287">
        <v>248</v>
      </c>
      <c r="G590" s="543">
        <v>42056</v>
      </c>
      <c r="H590" s="381">
        <v>594.08000000000004</v>
      </c>
    </row>
    <row r="591" spans="1:8" s="295" customFormat="1" x14ac:dyDescent="0.15">
      <c r="A591" s="374" t="s">
        <v>1385</v>
      </c>
      <c r="B591" s="538">
        <v>7047</v>
      </c>
      <c r="C591" s="287" t="s">
        <v>1386</v>
      </c>
      <c r="D591" s="287" t="s">
        <v>1387</v>
      </c>
      <c r="E591" s="287">
        <v>2.67171</v>
      </c>
      <c r="F591" s="287">
        <v>97.2</v>
      </c>
      <c r="G591" s="543">
        <v>42062</v>
      </c>
      <c r="H591" s="381">
        <v>259.69</v>
      </c>
    </row>
    <row r="592" spans="1:8" s="295" customFormat="1" x14ac:dyDescent="0.15">
      <c r="A592" s="374" t="s">
        <v>1379</v>
      </c>
      <c r="B592" s="538">
        <v>4902</v>
      </c>
      <c r="C592" s="287" t="s">
        <v>1380</v>
      </c>
      <c r="D592" s="287" t="s">
        <v>1381</v>
      </c>
      <c r="E592" s="287">
        <v>2.1374</v>
      </c>
      <c r="F592" s="287">
        <v>600</v>
      </c>
      <c r="G592" s="543">
        <v>42040</v>
      </c>
      <c r="H592" s="381">
        <v>1282.44</v>
      </c>
    </row>
    <row r="593" spans="1:8" s="295" customFormat="1" x14ac:dyDescent="0.15">
      <c r="A593" s="374" t="s">
        <v>1379</v>
      </c>
      <c r="B593" s="538">
        <v>6847</v>
      </c>
      <c r="C593" s="287" t="s">
        <v>1380</v>
      </c>
      <c r="D593" s="287" t="s">
        <v>1381</v>
      </c>
      <c r="E593" s="287">
        <v>2.5430000000000001</v>
      </c>
      <c r="F593" s="287">
        <v>500</v>
      </c>
      <c r="G593" s="543">
        <v>42061</v>
      </c>
      <c r="H593" s="381">
        <v>1271.5</v>
      </c>
    </row>
    <row r="594" spans="1:8" s="275" customFormat="1" ht="14" thickBot="1" x14ac:dyDescent="0.2">
      <c r="A594" s="548"/>
      <c r="B594" s="474"/>
      <c r="C594" s="291" t="s">
        <v>1169</v>
      </c>
      <c r="D594" s="293"/>
      <c r="E594" s="293"/>
      <c r="F594" s="291">
        <f>SUM(F585:F593)</f>
        <v>2523.6000000000004</v>
      </c>
      <c r="G594" s="543"/>
      <c r="H594" s="389">
        <v>5870.04</v>
      </c>
    </row>
    <row r="595" spans="1:8" s="275" customFormat="1" ht="14" thickTop="1" x14ac:dyDescent="0.15">
      <c r="A595" s="374"/>
      <c r="B595" s="538"/>
      <c r="C595" s="287"/>
      <c r="D595" s="287"/>
      <c r="E595" s="287"/>
      <c r="F595" s="287"/>
      <c r="G595" s="543"/>
      <c r="H595" s="549"/>
    </row>
    <row r="596" spans="1:8" s="275" customFormat="1" x14ac:dyDescent="0.15">
      <c r="A596" s="374"/>
      <c r="B596" s="538"/>
      <c r="C596" s="287"/>
      <c r="D596" s="378" t="s">
        <v>1407</v>
      </c>
      <c r="E596" s="287"/>
      <c r="F596" s="287"/>
      <c r="G596" s="543"/>
      <c r="H596" s="549"/>
    </row>
    <row r="597" spans="1:8" s="275" customFormat="1" x14ac:dyDescent="0.15">
      <c r="A597" s="374"/>
      <c r="B597" s="538"/>
      <c r="C597" s="287"/>
      <c r="D597" s="378" t="s">
        <v>1408</v>
      </c>
      <c r="E597" s="287"/>
      <c r="F597" s="287"/>
      <c r="G597" s="543"/>
      <c r="H597" s="549"/>
    </row>
    <row r="598" spans="1:8" s="275" customFormat="1" x14ac:dyDescent="0.15">
      <c r="A598" s="409"/>
      <c r="B598" s="557"/>
      <c r="C598" s="410"/>
      <c r="D598" s="558">
        <v>42063</v>
      </c>
      <c r="E598" s="410"/>
      <c r="F598" s="410"/>
      <c r="G598" s="553"/>
      <c r="H598" s="559"/>
    </row>
    <row r="599" spans="1:8" s="275" customFormat="1" x14ac:dyDescent="0.15">
      <c r="G599" s="539"/>
    </row>
    <row r="600" spans="1:8" s="295" customFormat="1" x14ac:dyDescent="0.15">
      <c r="A600" s="370" t="s">
        <v>1376</v>
      </c>
      <c r="B600" s="540">
        <v>7063</v>
      </c>
      <c r="C600" s="371" t="s">
        <v>1410</v>
      </c>
      <c r="D600" s="371" t="s">
        <v>1378</v>
      </c>
      <c r="E600" s="371">
        <v>2.5644900000000002</v>
      </c>
      <c r="F600" s="371">
        <v>232.6</v>
      </c>
      <c r="G600" s="542">
        <v>42069</v>
      </c>
      <c r="H600" s="391">
        <v>596.5</v>
      </c>
    </row>
    <row r="601" spans="1:8" s="295" customFormat="1" x14ac:dyDescent="0.15">
      <c r="A601" s="374" t="s">
        <v>1376</v>
      </c>
      <c r="B601" s="538">
        <v>7993</v>
      </c>
      <c r="C601" s="287" t="s">
        <v>1410</v>
      </c>
      <c r="D601" s="287" t="s">
        <v>1378</v>
      </c>
      <c r="E601" s="287">
        <v>2.2455400000000001</v>
      </c>
      <c r="F601" s="287">
        <v>102.1</v>
      </c>
      <c r="G601" s="543">
        <v>42079</v>
      </c>
      <c r="H601" s="381">
        <v>229.27</v>
      </c>
    </row>
    <row r="602" spans="1:8" s="295" customFormat="1" x14ac:dyDescent="0.15">
      <c r="A602" s="374" t="s">
        <v>1382</v>
      </c>
      <c r="B602" s="538">
        <v>7062</v>
      </c>
      <c r="C602" s="287" t="s">
        <v>1383</v>
      </c>
      <c r="D602" s="287" t="s">
        <v>1384</v>
      </c>
      <c r="E602" s="287">
        <v>2.5645199999999999</v>
      </c>
      <c r="F602" s="287">
        <v>189.7</v>
      </c>
      <c r="G602" s="543">
        <v>42069</v>
      </c>
      <c r="H602" s="381">
        <v>486.49</v>
      </c>
    </row>
    <row r="603" spans="1:8" s="295" customFormat="1" x14ac:dyDescent="0.15">
      <c r="A603" s="374" t="s">
        <v>1382</v>
      </c>
      <c r="B603" s="538">
        <v>7992</v>
      </c>
      <c r="C603" s="287" t="s">
        <v>1383</v>
      </c>
      <c r="D603" s="287" t="s">
        <v>1384</v>
      </c>
      <c r="E603" s="287">
        <v>2.2455099999999999</v>
      </c>
      <c r="F603" s="287">
        <v>80.2</v>
      </c>
      <c r="G603" s="543">
        <v>42079</v>
      </c>
      <c r="H603" s="381">
        <v>180.09</v>
      </c>
    </row>
    <row r="604" spans="1:8" s="295" customFormat="1" x14ac:dyDescent="0.15">
      <c r="A604" s="374" t="s">
        <v>1385</v>
      </c>
      <c r="B604" s="538">
        <v>7572</v>
      </c>
      <c r="C604" s="287" t="s">
        <v>1386</v>
      </c>
      <c r="D604" s="287" t="s">
        <v>1387</v>
      </c>
      <c r="E604" s="287">
        <v>2.5645099999999998</v>
      </c>
      <c r="F604" s="287">
        <v>114.4</v>
      </c>
      <c r="G604" s="543">
        <v>42069</v>
      </c>
      <c r="H604" s="381">
        <v>293.38</v>
      </c>
    </row>
    <row r="605" spans="1:8" s="295" customFormat="1" x14ac:dyDescent="0.15">
      <c r="A605" s="374" t="s">
        <v>1385</v>
      </c>
      <c r="B605" s="538">
        <v>7975</v>
      </c>
      <c r="C605" s="287" t="s">
        <v>1386</v>
      </c>
      <c r="D605" s="287" t="s">
        <v>1387</v>
      </c>
      <c r="E605" s="287">
        <v>2.2455500000000002</v>
      </c>
      <c r="F605" s="287">
        <v>93.3</v>
      </c>
      <c r="G605" s="543">
        <v>42079</v>
      </c>
      <c r="H605" s="381">
        <v>209.51</v>
      </c>
    </row>
    <row r="606" spans="1:8" s="295" customFormat="1" x14ac:dyDescent="0.15">
      <c r="A606" s="374" t="s">
        <v>1385</v>
      </c>
      <c r="B606" s="538">
        <v>8584</v>
      </c>
      <c r="C606" s="287" t="s">
        <v>1386</v>
      </c>
      <c r="D606" s="287" t="s">
        <v>1387</v>
      </c>
      <c r="E606" s="287">
        <v>2.2100900000000001</v>
      </c>
      <c r="F606" s="287">
        <v>89.2</v>
      </c>
      <c r="G606" s="543">
        <v>42086</v>
      </c>
      <c r="H606" s="381">
        <v>197.14</v>
      </c>
    </row>
    <row r="607" spans="1:8" s="295" customFormat="1" x14ac:dyDescent="0.15">
      <c r="A607" s="374" t="s">
        <v>1379</v>
      </c>
      <c r="B607" s="538">
        <v>8063</v>
      </c>
      <c r="C607" s="287" t="s">
        <v>1380</v>
      </c>
      <c r="D607" s="287" t="s">
        <v>1381</v>
      </c>
      <c r="E607" s="287">
        <v>2.2454999999999998</v>
      </c>
      <c r="F607" s="287">
        <v>500</v>
      </c>
      <c r="G607" s="543">
        <v>42079</v>
      </c>
      <c r="H607" s="381">
        <v>1122.75</v>
      </c>
    </row>
    <row r="608" spans="1:8" s="275" customFormat="1" ht="14" thickBot="1" x14ac:dyDescent="0.2">
      <c r="A608" s="548"/>
      <c r="B608" s="474"/>
      <c r="C608" s="291" t="s">
        <v>1171</v>
      </c>
      <c r="D608" s="293"/>
      <c r="E608" s="293"/>
      <c r="F608" s="291">
        <f>SUM(F600:F607)</f>
        <v>1401.5</v>
      </c>
      <c r="G608" s="543"/>
      <c r="H608" s="389">
        <v>3315.13</v>
      </c>
    </row>
    <row r="609" spans="1:8" s="275" customFormat="1" ht="14" thickTop="1" x14ac:dyDescent="0.15">
      <c r="A609" s="374"/>
      <c r="B609" s="538"/>
      <c r="C609" s="287"/>
      <c r="D609" s="287"/>
      <c r="E609" s="287"/>
      <c r="F609" s="287"/>
      <c r="G609" s="543"/>
      <c r="H609" s="549"/>
    </row>
    <row r="610" spans="1:8" s="275" customFormat="1" x14ac:dyDescent="0.15">
      <c r="A610" s="374"/>
      <c r="B610" s="538"/>
      <c r="C610" s="287"/>
      <c r="D610" s="378" t="s">
        <v>1407</v>
      </c>
      <c r="E610" s="287"/>
      <c r="F610" s="287"/>
      <c r="G610" s="543"/>
      <c r="H610" s="549"/>
    </row>
    <row r="611" spans="1:8" s="275" customFormat="1" x14ac:dyDescent="0.15">
      <c r="A611" s="374"/>
      <c r="B611" s="538"/>
      <c r="C611" s="287"/>
      <c r="D611" s="378" t="s">
        <v>1408</v>
      </c>
      <c r="E611" s="287"/>
      <c r="F611" s="287"/>
      <c r="G611" s="543"/>
      <c r="H611" s="549"/>
    </row>
    <row r="612" spans="1:8" s="275" customFormat="1" x14ac:dyDescent="0.15">
      <c r="A612" s="409"/>
      <c r="B612" s="557"/>
      <c r="C612" s="410"/>
      <c r="D612" s="558">
        <v>42094</v>
      </c>
      <c r="E612" s="410"/>
      <c r="F612" s="410"/>
      <c r="G612" s="553"/>
      <c r="H612" s="559"/>
    </row>
    <row r="613" spans="1:8" s="275" customFormat="1" x14ac:dyDescent="0.15">
      <c r="G613" s="539"/>
    </row>
    <row r="614" spans="1:8" s="295" customFormat="1" x14ac:dyDescent="0.15">
      <c r="A614" s="370" t="s">
        <v>1376</v>
      </c>
      <c r="B614" s="540">
        <v>8596</v>
      </c>
      <c r="C614" s="371" t="s">
        <v>1410</v>
      </c>
      <c r="D614" s="371" t="s">
        <v>1378</v>
      </c>
      <c r="E614" s="371">
        <v>2.1191800000000001</v>
      </c>
      <c r="F614" s="371">
        <v>254.9</v>
      </c>
      <c r="G614" s="542">
        <v>42100</v>
      </c>
      <c r="H614" s="391">
        <v>540.17999999999995</v>
      </c>
    </row>
    <row r="615" spans="1:8" s="295" customFormat="1" x14ac:dyDescent="0.15">
      <c r="A615" s="374" t="s">
        <v>1376</v>
      </c>
      <c r="B615" s="538">
        <v>9981</v>
      </c>
      <c r="C615" s="287" t="s">
        <v>1410</v>
      </c>
      <c r="D615" s="287" t="s">
        <v>1378</v>
      </c>
      <c r="E615" s="287">
        <v>2.2970299999999999</v>
      </c>
      <c r="F615" s="287">
        <v>90.8</v>
      </c>
      <c r="G615" s="543">
        <v>42115</v>
      </c>
      <c r="H615" s="381">
        <v>208.57</v>
      </c>
    </row>
    <row r="616" spans="1:8" s="295" customFormat="1" x14ac:dyDescent="0.15">
      <c r="A616" s="374" t="s">
        <v>1382</v>
      </c>
      <c r="B616" s="538">
        <v>8595</v>
      </c>
      <c r="C616" s="287" t="s">
        <v>1383</v>
      </c>
      <c r="D616" s="287" t="s">
        <v>1384</v>
      </c>
      <c r="E616" s="287">
        <v>2.1192000000000002</v>
      </c>
      <c r="F616" s="287">
        <v>151.6</v>
      </c>
      <c r="G616" s="543">
        <v>42100</v>
      </c>
      <c r="H616" s="381">
        <v>321.27</v>
      </c>
    </row>
    <row r="617" spans="1:8" s="295" customFormat="1" x14ac:dyDescent="0.15">
      <c r="A617" s="374" t="s">
        <v>1382</v>
      </c>
      <c r="B617" s="538">
        <v>9980</v>
      </c>
      <c r="C617" s="287" t="s">
        <v>1383</v>
      </c>
      <c r="D617" s="287" t="s">
        <v>1384</v>
      </c>
      <c r="E617" s="287">
        <v>2.3295400000000002</v>
      </c>
      <c r="F617" s="287">
        <v>66.7</v>
      </c>
      <c r="G617" s="543">
        <v>42122</v>
      </c>
      <c r="H617" s="381">
        <v>155.38</v>
      </c>
    </row>
    <row r="618" spans="1:8" s="295" customFormat="1" x14ac:dyDescent="0.15">
      <c r="A618" s="374" t="s">
        <v>1385</v>
      </c>
      <c r="B618" s="538">
        <v>9015</v>
      </c>
      <c r="C618" s="287" t="s">
        <v>1386</v>
      </c>
      <c r="D618" s="287" t="s">
        <v>1387</v>
      </c>
      <c r="E618" s="287">
        <v>2.1192299999999999</v>
      </c>
      <c r="F618" s="287">
        <v>126.9</v>
      </c>
      <c r="G618" s="543">
        <v>42100</v>
      </c>
      <c r="H618" s="381">
        <v>268.93</v>
      </c>
    </row>
    <row r="619" spans="1:8" s="295" customFormat="1" x14ac:dyDescent="0.15">
      <c r="A619" s="374" t="s">
        <v>1385</v>
      </c>
      <c r="B619" s="538">
        <v>9747</v>
      </c>
      <c r="C619" s="287" t="s">
        <v>1386</v>
      </c>
      <c r="D619" s="287" t="s">
        <v>1387</v>
      </c>
      <c r="E619" s="287">
        <v>2.2101099999999998</v>
      </c>
      <c r="F619" s="287">
        <v>55.4</v>
      </c>
      <c r="G619" s="543">
        <v>42108</v>
      </c>
      <c r="H619" s="381">
        <v>122.44</v>
      </c>
    </row>
    <row r="620" spans="1:8" s="275" customFormat="1" ht="14" thickBot="1" x14ac:dyDescent="0.2">
      <c r="A620" s="548"/>
      <c r="B620" s="474"/>
      <c r="C620" s="291" t="s">
        <v>1172</v>
      </c>
      <c r="D620" s="293"/>
      <c r="E620" s="293"/>
      <c r="F620" s="291">
        <f>SUM(F614:F619)</f>
        <v>746.3</v>
      </c>
      <c r="G620" s="543"/>
      <c r="H620" s="389">
        <v>1616.77</v>
      </c>
    </row>
    <row r="621" spans="1:8" s="275" customFormat="1" ht="14" thickTop="1" x14ac:dyDescent="0.15">
      <c r="A621" s="374"/>
      <c r="B621" s="538"/>
      <c r="C621" s="287"/>
      <c r="D621" s="287"/>
      <c r="E621" s="287"/>
      <c r="F621" s="287"/>
      <c r="G621" s="543"/>
      <c r="H621" s="549"/>
    </row>
    <row r="622" spans="1:8" s="275" customFormat="1" x14ac:dyDescent="0.15">
      <c r="A622" s="374"/>
      <c r="B622" s="538"/>
      <c r="C622" s="287"/>
      <c r="D622" s="378" t="s">
        <v>1407</v>
      </c>
      <c r="E622" s="287"/>
      <c r="F622" s="287"/>
      <c r="G622" s="543"/>
      <c r="H622" s="549"/>
    </row>
    <row r="623" spans="1:8" s="275" customFormat="1" x14ac:dyDescent="0.15">
      <c r="A623" s="374"/>
      <c r="B623" s="538"/>
      <c r="C623" s="287"/>
      <c r="D623" s="378" t="s">
        <v>1408</v>
      </c>
      <c r="E623" s="287"/>
      <c r="F623" s="287"/>
      <c r="G623" s="543"/>
      <c r="H623" s="549"/>
    </row>
    <row r="624" spans="1:8" s="275" customFormat="1" x14ac:dyDescent="0.15">
      <c r="A624" s="409"/>
      <c r="B624" s="557"/>
      <c r="C624" s="410"/>
      <c r="D624" s="558">
        <v>42124</v>
      </c>
      <c r="E624" s="410"/>
      <c r="F624" s="410"/>
      <c r="G624" s="553"/>
      <c r="H624" s="559"/>
    </row>
    <row r="625" spans="1:11" s="275" customFormat="1" x14ac:dyDescent="0.15">
      <c r="G625" s="539"/>
    </row>
    <row r="626" spans="1:11" s="295" customFormat="1" x14ac:dyDescent="0.15">
      <c r="A626" s="374" t="s">
        <v>1385</v>
      </c>
      <c r="B626" s="538">
        <v>9988</v>
      </c>
      <c r="C626" s="287" t="s">
        <v>1386</v>
      </c>
      <c r="D626" s="287" t="s">
        <v>1387</v>
      </c>
      <c r="E626" s="287">
        <v>2.2065199999999998</v>
      </c>
      <c r="F626" s="287">
        <v>196.4</v>
      </c>
      <c r="G626" s="543">
        <v>42164</v>
      </c>
      <c r="H626" s="381">
        <v>433.36</v>
      </c>
    </row>
    <row r="627" spans="1:11" s="275" customFormat="1" ht="14" thickBot="1" x14ac:dyDescent="0.2">
      <c r="A627" s="548"/>
      <c r="B627" s="474"/>
      <c r="C627" s="291" t="s">
        <v>1174</v>
      </c>
      <c r="D627" s="293"/>
      <c r="E627" s="293"/>
      <c r="F627" s="291">
        <f>SUM(F626:F626)</f>
        <v>196.4</v>
      </c>
      <c r="G627" s="543"/>
      <c r="H627" s="389">
        <v>433.36</v>
      </c>
    </row>
    <row r="628" spans="1:11" s="275" customFormat="1" ht="14" thickTop="1" x14ac:dyDescent="0.15">
      <c r="A628" s="374"/>
      <c r="B628" s="538"/>
      <c r="C628" s="287"/>
      <c r="D628" s="287"/>
      <c r="E628" s="287"/>
      <c r="F628" s="287"/>
      <c r="G628" s="543"/>
      <c r="H628" s="549"/>
    </row>
    <row r="629" spans="1:11" s="275" customFormat="1" x14ac:dyDescent="0.15">
      <c r="A629" s="374"/>
      <c r="B629" s="538"/>
      <c r="C629" s="287"/>
      <c r="D629" s="378" t="s">
        <v>1407</v>
      </c>
      <c r="E629" s="287"/>
      <c r="F629" s="287"/>
      <c r="G629" s="543"/>
      <c r="H629" s="549"/>
    </row>
    <row r="630" spans="1:11" s="275" customFormat="1" x14ac:dyDescent="0.15">
      <c r="A630" s="374"/>
      <c r="B630" s="538"/>
      <c r="C630" s="287"/>
      <c r="D630" s="378" t="s">
        <v>1408</v>
      </c>
      <c r="E630" s="287"/>
      <c r="F630" s="287"/>
      <c r="G630" s="543"/>
      <c r="H630" s="549"/>
    </row>
    <row r="631" spans="1:11" s="275" customFormat="1" x14ac:dyDescent="0.15">
      <c r="A631" s="409"/>
      <c r="B631" s="557"/>
      <c r="C631" s="410"/>
      <c r="D631" s="558">
        <v>42185</v>
      </c>
      <c r="E631" s="410"/>
      <c r="F631" s="410"/>
      <c r="G631" s="553"/>
      <c r="H631" s="559"/>
    </row>
    <row r="632" spans="1:11" s="275" customFormat="1" ht="14" thickBot="1" x14ac:dyDescent="0.2">
      <c r="G632" s="539"/>
    </row>
    <row r="633" spans="1:11" s="295" customFormat="1" ht="31" thickBot="1" x14ac:dyDescent="0.35">
      <c r="A633" s="773" t="s">
        <v>1106</v>
      </c>
      <c r="B633" s="774"/>
      <c r="C633" s="774"/>
      <c r="D633" s="774"/>
      <c r="E633" s="774"/>
      <c r="F633" s="774"/>
      <c r="G633" s="774"/>
      <c r="H633" s="775"/>
      <c r="I633" s="527"/>
      <c r="J633" s="527"/>
      <c r="K633" s="527"/>
    </row>
    <row r="634" spans="1:11" s="295" customFormat="1" x14ac:dyDescent="0.15">
      <c r="G634" s="539"/>
    </row>
    <row r="635" spans="1:11" s="295" customFormat="1" x14ac:dyDescent="0.15">
      <c r="A635" s="374" t="s">
        <v>1417</v>
      </c>
      <c r="B635" s="538">
        <v>11283</v>
      </c>
      <c r="C635" s="287" t="s">
        <v>1418</v>
      </c>
      <c r="D635" s="287" t="s">
        <v>1419</v>
      </c>
      <c r="E635" s="287">
        <v>2.0689700000000002</v>
      </c>
      <c r="F635" s="287">
        <v>162.1</v>
      </c>
      <c r="G635" s="543">
        <v>42195</v>
      </c>
      <c r="H635" s="381">
        <v>335.38</v>
      </c>
    </row>
    <row r="636" spans="1:11" s="295" customFormat="1" ht="14" thickBot="1" x14ac:dyDescent="0.2">
      <c r="A636" s="548"/>
      <c r="B636" s="474"/>
      <c r="C636" s="291" t="s">
        <v>1420</v>
      </c>
      <c r="D636" s="293"/>
      <c r="E636" s="293"/>
      <c r="F636" s="291">
        <f>SUM(F635:F635)</f>
        <v>162.1</v>
      </c>
      <c r="G636" s="543"/>
      <c r="H636" s="389">
        <v>335.38</v>
      </c>
    </row>
    <row r="637" spans="1:11" s="295" customFormat="1" ht="14" thickTop="1" x14ac:dyDescent="0.15">
      <c r="A637" s="374"/>
      <c r="B637" s="538"/>
      <c r="C637" s="287"/>
      <c r="D637" s="287"/>
      <c r="E637" s="287"/>
      <c r="F637" s="287"/>
      <c r="G637" s="543"/>
      <c r="H637" s="549"/>
    </row>
    <row r="638" spans="1:11" s="295" customFormat="1" x14ac:dyDescent="0.15">
      <c r="A638" s="374"/>
      <c r="B638" s="538"/>
      <c r="C638" s="287"/>
      <c r="D638" s="378" t="s">
        <v>1407</v>
      </c>
      <c r="E638" s="287"/>
      <c r="F638" s="287"/>
      <c r="G638" s="543"/>
      <c r="H638" s="549"/>
    </row>
    <row r="639" spans="1:11" s="295" customFormat="1" x14ac:dyDescent="0.15">
      <c r="A639" s="374"/>
      <c r="B639" s="538"/>
      <c r="C639" s="287"/>
      <c r="D639" s="378" t="s">
        <v>1408</v>
      </c>
      <c r="E639" s="287"/>
      <c r="F639" s="287"/>
      <c r="G639" s="543"/>
      <c r="H639" s="549"/>
    </row>
    <row r="640" spans="1:11" s="295" customFormat="1" x14ac:dyDescent="0.15">
      <c r="A640" s="409"/>
      <c r="B640" s="557"/>
      <c r="C640" s="410"/>
      <c r="D640" s="558">
        <v>42216</v>
      </c>
      <c r="E640" s="410"/>
      <c r="F640" s="410"/>
      <c r="G640" s="553"/>
      <c r="H640" s="559"/>
    </row>
    <row r="641" spans="1:8" s="295" customFormat="1" x14ac:dyDescent="0.15">
      <c r="G641" s="539"/>
    </row>
    <row r="642" spans="1:8" s="295" customFormat="1" x14ac:dyDescent="0.15">
      <c r="A642" s="374" t="s">
        <v>1385</v>
      </c>
      <c r="B642" s="538">
        <v>11156</v>
      </c>
      <c r="C642" s="287" t="s">
        <v>1386</v>
      </c>
      <c r="D642" s="287" t="s">
        <v>1387</v>
      </c>
      <c r="E642" s="287">
        <v>1.87748</v>
      </c>
      <c r="F642" s="287">
        <v>71.5</v>
      </c>
      <c r="G642" s="543">
        <v>41934</v>
      </c>
      <c r="H642" s="381">
        <v>134.24</v>
      </c>
    </row>
    <row r="643" spans="1:8" s="295" customFormat="1" ht="14" thickBot="1" x14ac:dyDescent="0.2">
      <c r="A643" s="548"/>
      <c r="B643" s="474"/>
      <c r="C643" s="291" t="s">
        <v>1281</v>
      </c>
      <c r="D643" s="293"/>
      <c r="E643" s="293"/>
      <c r="F643" s="291">
        <f>SUM(F642:F642)</f>
        <v>71.5</v>
      </c>
      <c r="G643" s="543"/>
      <c r="H643" s="389">
        <v>134.24</v>
      </c>
    </row>
    <row r="644" spans="1:8" s="295" customFormat="1" ht="14" thickTop="1" x14ac:dyDescent="0.15">
      <c r="A644" s="374"/>
      <c r="B644" s="538"/>
      <c r="C644" s="287"/>
      <c r="D644" s="287"/>
      <c r="E644" s="287"/>
      <c r="F644" s="287"/>
      <c r="G644" s="543"/>
      <c r="H644" s="549"/>
    </row>
    <row r="645" spans="1:8" s="295" customFormat="1" x14ac:dyDescent="0.15">
      <c r="A645" s="374"/>
      <c r="B645" s="538"/>
      <c r="C645" s="287"/>
      <c r="D645" s="378" t="s">
        <v>1407</v>
      </c>
      <c r="E645" s="287"/>
      <c r="F645" s="287"/>
      <c r="G645" s="543"/>
      <c r="H645" s="549"/>
    </row>
    <row r="646" spans="1:8" s="295" customFormat="1" x14ac:dyDescent="0.15">
      <c r="A646" s="374"/>
      <c r="B646" s="538"/>
      <c r="C646" s="287"/>
      <c r="D646" s="378" t="s">
        <v>1408</v>
      </c>
      <c r="E646" s="287"/>
      <c r="F646" s="287"/>
      <c r="G646" s="543"/>
      <c r="H646" s="549"/>
    </row>
    <row r="647" spans="1:8" s="295" customFormat="1" x14ac:dyDescent="0.15">
      <c r="A647" s="409"/>
      <c r="B647" s="557"/>
      <c r="C647" s="410"/>
      <c r="D647" s="558">
        <v>42247</v>
      </c>
      <c r="E647" s="410"/>
      <c r="F647" s="410"/>
      <c r="G647" s="553"/>
      <c r="H647" s="559"/>
    </row>
    <row r="648" spans="1:8" s="295" customFormat="1" x14ac:dyDescent="0.15">
      <c r="G648" s="539"/>
    </row>
    <row r="649" spans="1:8" s="295" customFormat="1" x14ac:dyDescent="0.15">
      <c r="A649" s="370" t="s">
        <v>1376</v>
      </c>
      <c r="B649" s="540">
        <v>10397</v>
      </c>
      <c r="C649" s="371" t="s">
        <v>1410</v>
      </c>
      <c r="D649" s="371" t="s">
        <v>1378</v>
      </c>
      <c r="E649" s="371">
        <v>1.8594999999999999</v>
      </c>
      <c r="F649" s="371">
        <v>115.3</v>
      </c>
      <c r="G649" s="542">
        <v>42283</v>
      </c>
      <c r="H649" s="391">
        <v>214.4</v>
      </c>
    </row>
    <row r="650" spans="1:8" s="287" customFormat="1" x14ac:dyDescent="0.15">
      <c r="A650" s="374" t="s">
        <v>1376</v>
      </c>
      <c r="B650" s="538">
        <v>12707</v>
      </c>
      <c r="C650" s="287" t="s">
        <v>1410</v>
      </c>
      <c r="D650" s="287" t="s">
        <v>1378</v>
      </c>
      <c r="E650" s="287">
        <v>1.75902</v>
      </c>
      <c r="F650" s="287">
        <v>85.4</v>
      </c>
      <c r="G650" s="543">
        <v>42305</v>
      </c>
      <c r="H650" s="381">
        <v>150.22</v>
      </c>
    </row>
    <row r="651" spans="1:8" s="295" customFormat="1" x14ac:dyDescent="0.15">
      <c r="A651" s="374" t="s">
        <v>1385</v>
      </c>
      <c r="B651" s="538">
        <v>11852</v>
      </c>
      <c r="C651" s="287" t="s">
        <v>1386</v>
      </c>
      <c r="D651" s="287" t="s">
        <v>1387</v>
      </c>
      <c r="E651" s="287">
        <v>1.85951</v>
      </c>
      <c r="F651" s="287">
        <v>89.9</v>
      </c>
      <c r="G651" s="543">
        <v>42283</v>
      </c>
      <c r="H651" s="381">
        <v>167.17</v>
      </c>
    </row>
    <row r="652" spans="1:8" s="295" customFormat="1" x14ac:dyDescent="0.15">
      <c r="A652" s="374" t="s">
        <v>1385</v>
      </c>
      <c r="B652" s="538">
        <v>12693</v>
      </c>
      <c r="C652" s="287" t="s">
        <v>1386</v>
      </c>
      <c r="D652" s="287" t="s">
        <v>1387</v>
      </c>
      <c r="E652" s="287">
        <v>1.7589999999999999</v>
      </c>
      <c r="F652" s="287">
        <v>116.1</v>
      </c>
      <c r="G652" s="543">
        <v>42305</v>
      </c>
      <c r="H652" s="381">
        <v>204.22</v>
      </c>
    </row>
    <row r="653" spans="1:8" s="295" customFormat="1" x14ac:dyDescent="0.15">
      <c r="A653" s="374" t="s">
        <v>1382</v>
      </c>
      <c r="B653" s="538">
        <v>10461</v>
      </c>
      <c r="C653" s="287" t="s">
        <v>1383</v>
      </c>
      <c r="D653" s="287" t="s">
        <v>1384</v>
      </c>
      <c r="E653" s="287">
        <v>1.85904</v>
      </c>
      <c r="F653" s="287">
        <v>8.3000000000000007</v>
      </c>
      <c r="G653" s="543">
        <v>42283</v>
      </c>
      <c r="H653" s="381">
        <v>15.43</v>
      </c>
    </row>
    <row r="654" spans="1:8" s="295" customFormat="1" x14ac:dyDescent="0.15">
      <c r="A654" s="374" t="s">
        <v>1382</v>
      </c>
      <c r="B654" s="538">
        <v>12706</v>
      </c>
      <c r="C654" s="287" t="s">
        <v>1383</v>
      </c>
      <c r="D654" s="287" t="s">
        <v>1384</v>
      </c>
      <c r="E654" s="287">
        <v>1.7589900000000001</v>
      </c>
      <c r="F654" s="287">
        <v>65.599999999999994</v>
      </c>
      <c r="G654" s="543">
        <v>42305</v>
      </c>
      <c r="H654" s="381">
        <v>115.39</v>
      </c>
    </row>
    <row r="655" spans="1:8" s="295" customFormat="1" ht="14" thickBot="1" x14ac:dyDescent="0.2">
      <c r="A655" s="548"/>
      <c r="B655" s="474"/>
      <c r="C655" s="291" t="s">
        <v>1154</v>
      </c>
      <c r="D655" s="293"/>
      <c r="E655" s="293"/>
      <c r="F655" s="291">
        <f>SUM(F649:F654)</f>
        <v>480.6</v>
      </c>
      <c r="G655" s="543"/>
      <c r="H655" s="389">
        <v>866.82999999999993</v>
      </c>
    </row>
    <row r="656" spans="1:8" s="295" customFormat="1" ht="14" thickTop="1" x14ac:dyDescent="0.15">
      <c r="A656" s="374"/>
      <c r="B656" s="538"/>
      <c r="C656" s="287"/>
      <c r="D656" s="287"/>
      <c r="E656" s="287"/>
      <c r="F656" s="287"/>
      <c r="G656" s="543"/>
      <c r="H656" s="549"/>
    </row>
    <row r="657" spans="1:8" s="295" customFormat="1" x14ac:dyDescent="0.15">
      <c r="A657" s="374"/>
      <c r="B657" s="538"/>
      <c r="C657" s="287"/>
      <c r="D657" s="378" t="s">
        <v>1407</v>
      </c>
      <c r="E657" s="287"/>
      <c r="F657" s="287"/>
      <c r="G657" s="543"/>
      <c r="H657" s="549"/>
    </row>
    <row r="658" spans="1:8" s="295" customFormat="1" x14ac:dyDescent="0.15">
      <c r="A658" s="374"/>
      <c r="B658" s="538"/>
      <c r="C658" s="287"/>
      <c r="D658" s="378" t="s">
        <v>1408</v>
      </c>
      <c r="E658" s="287"/>
      <c r="F658" s="287"/>
      <c r="G658" s="543"/>
      <c r="H658" s="549"/>
    </row>
    <row r="659" spans="1:8" s="295" customFormat="1" x14ac:dyDescent="0.15">
      <c r="A659" s="409"/>
      <c r="B659" s="557"/>
      <c r="C659" s="410"/>
      <c r="D659" s="558">
        <v>42308</v>
      </c>
      <c r="E659" s="410"/>
      <c r="F659" s="410"/>
      <c r="G659" s="553"/>
      <c r="H659" s="559"/>
    </row>
    <row r="660" spans="1:8" s="295" customFormat="1" x14ac:dyDescent="0.15">
      <c r="G660" s="539"/>
    </row>
    <row r="661" spans="1:8" s="295" customFormat="1" x14ac:dyDescent="0.15">
      <c r="A661" s="374" t="s">
        <v>1376</v>
      </c>
      <c r="B661" s="538">
        <v>13463</v>
      </c>
      <c r="C661" s="287" t="s">
        <v>1410</v>
      </c>
      <c r="D661" s="287" t="s">
        <v>1378</v>
      </c>
      <c r="E661" s="287">
        <v>1.7050399999999999</v>
      </c>
      <c r="F661" s="287">
        <v>89.2</v>
      </c>
      <c r="G661" s="543">
        <v>42325</v>
      </c>
      <c r="H661" s="381">
        <v>152.09</v>
      </c>
    </row>
    <row r="662" spans="1:8" s="295" customFormat="1" x14ac:dyDescent="0.15">
      <c r="A662" s="374" t="s">
        <v>1382</v>
      </c>
      <c r="B662" s="538">
        <v>13462</v>
      </c>
      <c r="C662" s="287" t="s">
        <v>1383</v>
      </c>
      <c r="D662" s="287" t="s">
        <v>1384</v>
      </c>
      <c r="E662" s="287">
        <v>1.7051000000000001</v>
      </c>
      <c r="F662" s="287">
        <v>58.8</v>
      </c>
      <c r="G662" s="543">
        <v>42325</v>
      </c>
      <c r="H662" s="381" t="s">
        <v>87</v>
      </c>
    </row>
    <row r="663" spans="1:8" s="295" customFormat="1" x14ac:dyDescent="0.15">
      <c r="A663" s="374" t="s">
        <v>1385</v>
      </c>
      <c r="B663" s="538">
        <v>13448</v>
      </c>
      <c r="C663" s="287" t="s">
        <v>1386</v>
      </c>
      <c r="D663" s="287" t="s">
        <v>1387</v>
      </c>
      <c r="E663" s="287">
        <v>1.70513</v>
      </c>
      <c r="F663" s="287">
        <v>118.8</v>
      </c>
      <c r="G663" s="543">
        <v>42325</v>
      </c>
      <c r="H663" s="381">
        <v>202.57</v>
      </c>
    </row>
    <row r="664" spans="1:8" s="295" customFormat="1" x14ac:dyDescent="0.15">
      <c r="A664" s="374" t="s">
        <v>1417</v>
      </c>
      <c r="B664" s="538">
        <v>13725</v>
      </c>
      <c r="C664" s="287" t="s">
        <v>1418</v>
      </c>
      <c r="D664" s="287" t="s">
        <v>1419</v>
      </c>
      <c r="E664" s="287">
        <v>1.70512</v>
      </c>
      <c r="F664" s="287">
        <v>185.6</v>
      </c>
      <c r="G664" s="543">
        <v>42325</v>
      </c>
      <c r="H664" s="381">
        <v>316.47000000000003</v>
      </c>
    </row>
    <row r="665" spans="1:8" s="295" customFormat="1" ht="14" thickBot="1" x14ac:dyDescent="0.2">
      <c r="A665" s="548"/>
      <c r="B665" s="474"/>
      <c r="C665" s="291" t="s">
        <v>1164</v>
      </c>
      <c r="D665" s="293"/>
      <c r="E665" s="293"/>
      <c r="F665" s="291">
        <f>SUM(F661:F664)</f>
        <v>452.4</v>
      </c>
      <c r="G665" s="543"/>
      <c r="H665" s="389">
        <v>771.39</v>
      </c>
    </row>
    <row r="666" spans="1:8" s="295" customFormat="1" ht="14" thickTop="1" x14ac:dyDescent="0.15">
      <c r="A666" s="374"/>
      <c r="B666" s="538"/>
      <c r="C666" s="287"/>
      <c r="D666" s="287"/>
      <c r="E666" s="287"/>
      <c r="F666" s="287"/>
      <c r="G666" s="543"/>
      <c r="H666" s="549"/>
    </row>
    <row r="667" spans="1:8" s="295" customFormat="1" x14ac:dyDescent="0.15">
      <c r="A667" s="374"/>
      <c r="B667" s="538"/>
      <c r="C667" s="287"/>
      <c r="D667" s="378" t="s">
        <v>1407</v>
      </c>
      <c r="E667" s="287"/>
      <c r="F667" s="287"/>
      <c r="G667" s="543"/>
      <c r="H667" s="549"/>
    </row>
    <row r="668" spans="1:8" s="295" customFormat="1" x14ac:dyDescent="0.15">
      <c r="A668" s="374"/>
      <c r="B668" s="538"/>
      <c r="C668" s="287"/>
      <c r="D668" s="378" t="s">
        <v>1408</v>
      </c>
      <c r="E668" s="287"/>
      <c r="F668" s="287"/>
      <c r="G668" s="543"/>
      <c r="H668" s="549"/>
    </row>
    <row r="669" spans="1:8" s="295" customFormat="1" x14ac:dyDescent="0.15">
      <c r="A669" s="409"/>
      <c r="B669" s="557"/>
      <c r="C669" s="410"/>
      <c r="D669" s="558">
        <v>42338</v>
      </c>
      <c r="E669" s="410"/>
      <c r="F669" s="410"/>
      <c r="G669" s="553"/>
      <c r="H669" s="559"/>
    </row>
    <row r="670" spans="1:8" s="295" customFormat="1" x14ac:dyDescent="0.15">
      <c r="G670" s="539"/>
    </row>
    <row r="671" spans="1:8" s="295" customFormat="1" x14ac:dyDescent="0.15">
      <c r="A671" s="370" t="s">
        <v>1376</v>
      </c>
      <c r="B671" s="540">
        <v>14416</v>
      </c>
      <c r="C671" s="371" t="s">
        <v>1410</v>
      </c>
      <c r="D671" s="371" t="s">
        <v>1378</v>
      </c>
      <c r="E671" s="371">
        <v>1.577</v>
      </c>
      <c r="F671" s="371">
        <v>167.4</v>
      </c>
      <c r="G671" s="542">
        <v>42346</v>
      </c>
      <c r="H671" s="391">
        <v>263.99</v>
      </c>
    </row>
    <row r="672" spans="1:8" s="295" customFormat="1" x14ac:dyDescent="0.15">
      <c r="A672" s="374" t="s">
        <v>1376</v>
      </c>
      <c r="B672" s="538">
        <v>15290</v>
      </c>
      <c r="C672" s="287" t="s">
        <v>1410</v>
      </c>
      <c r="D672" s="287" t="s">
        <v>1378</v>
      </c>
      <c r="E672" s="287">
        <v>1.4139600000000001</v>
      </c>
      <c r="F672" s="287">
        <v>106</v>
      </c>
      <c r="G672" s="543">
        <v>42360</v>
      </c>
      <c r="H672" s="381">
        <v>149.88</v>
      </c>
    </row>
    <row r="673" spans="1:8" s="295" customFormat="1" x14ac:dyDescent="0.15">
      <c r="A673" s="374" t="s">
        <v>1382</v>
      </c>
      <c r="B673" s="538">
        <v>14414</v>
      </c>
      <c r="C673" s="287" t="s">
        <v>1383</v>
      </c>
      <c r="D673" s="287" t="s">
        <v>1384</v>
      </c>
      <c r="E673" s="287">
        <v>1.57698</v>
      </c>
      <c r="F673" s="287">
        <v>195.5</v>
      </c>
      <c r="G673" s="543">
        <v>42712</v>
      </c>
      <c r="H673" s="381">
        <v>308.3</v>
      </c>
    </row>
    <row r="674" spans="1:8" s="295" customFormat="1" x14ac:dyDescent="0.15">
      <c r="A674" s="374" t="s">
        <v>1382</v>
      </c>
      <c r="B674" s="538">
        <v>15288</v>
      </c>
      <c r="C674" s="287" t="s">
        <v>1383</v>
      </c>
      <c r="D674" s="287" t="s">
        <v>1384</v>
      </c>
      <c r="E674" s="287">
        <v>1.4140200000000001</v>
      </c>
      <c r="F674" s="287">
        <v>147.6</v>
      </c>
      <c r="G674" s="543">
        <v>42726</v>
      </c>
      <c r="H674" s="381">
        <v>208.71</v>
      </c>
    </row>
    <row r="675" spans="1:8" s="295" customFormat="1" x14ac:dyDescent="0.15">
      <c r="A675" s="374" t="s">
        <v>1385</v>
      </c>
      <c r="B675" s="538">
        <v>14071</v>
      </c>
      <c r="C675" s="287" t="s">
        <v>1386</v>
      </c>
      <c r="D675" s="287" t="s">
        <v>1387</v>
      </c>
      <c r="E675" s="287">
        <v>1.57698</v>
      </c>
      <c r="F675" s="287">
        <v>180.3</v>
      </c>
      <c r="G675" s="543">
        <v>42712</v>
      </c>
      <c r="H675" s="381">
        <v>284.33</v>
      </c>
    </row>
    <row r="676" spans="1:8" s="295" customFormat="1" x14ac:dyDescent="0.15">
      <c r="A676" s="374" t="s">
        <v>1385</v>
      </c>
      <c r="B676" s="538">
        <v>15110</v>
      </c>
      <c r="C676" s="287" t="s">
        <v>1386</v>
      </c>
      <c r="D676" s="287" t="s">
        <v>1387</v>
      </c>
      <c r="E676" s="287">
        <v>1.4139900000000001</v>
      </c>
      <c r="F676" s="287">
        <v>112.9</v>
      </c>
      <c r="G676" s="543">
        <v>42726</v>
      </c>
      <c r="H676" s="381">
        <v>159.63999999999999</v>
      </c>
    </row>
    <row r="677" spans="1:8" s="295" customFormat="1" ht="14" thickBot="1" x14ac:dyDescent="0.2">
      <c r="A677" s="548"/>
      <c r="B677" s="474"/>
      <c r="C677" s="291" t="s">
        <v>1167</v>
      </c>
      <c r="D677" s="293"/>
      <c r="E677" s="293"/>
      <c r="F677" s="291">
        <f>SUM(F671:F676)</f>
        <v>909.69999999999993</v>
      </c>
      <c r="G677" s="543"/>
      <c r="H677" s="389">
        <v>1374.85</v>
      </c>
    </row>
    <row r="678" spans="1:8" s="295" customFormat="1" ht="14" thickTop="1" x14ac:dyDescent="0.15">
      <c r="A678" s="374"/>
      <c r="B678" s="538"/>
      <c r="C678" s="287"/>
      <c r="D678" s="287"/>
      <c r="E678" s="287"/>
      <c r="F678" s="287"/>
      <c r="G678" s="543"/>
      <c r="H678" s="549"/>
    </row>
    <row r="679" spans="1:8" s="295" customFormat="1" x14ac:dyDescent="0.15">
      <c r="A679" s="374"/>
      <c r="B679" s="538"/>
      <c r="C679" s="287"/>
      <c r="D679" s="378" t="s">
        <v>1407</v>
      </c>
      <c r="E679" s="287"/>
      <c r="F679" s="287"/>
      <c r="G679" s="543"/>
      <c r="H679" s="549"/>
    </row>
    <row r="680" spans="1:8" s="295" customFormat="1" x14ac:dyDescent="0.15">
      <c r="A680" s="374"/>
      <c r="B680" s="538"/>
      <c r="C680" s="287"/>
      <c r="D680" s="378" t="s">
        <v>1408</v>
      </c>
      <c r="E680" s="287"/>
      <c r="F680" s="287"/>
      <c r="G680" s="543"/>
      <c r="H680" s="549"/>
    </row>
    <row r="681" spans="1:8" s="295" customFormat="1" x14ac:dyDescent="0.15">
      <c r="A681" s="409"/>
      <c r="B681" s="557"/>
      <c r="C681" s="410"/>
      <c r="D681" s="558">
        <v>42369</v>
      </c>
      <c r="E681" s="410"/>
      <c r="F681" s="410"/>
      <c r="G681" s="553"/>
      <c r="H681" s="559"/>
    </row>
    <row r="682" spans="1:8" s="295" customFormat="1" x14ac:dyDescent="0.15">
      <c r="G682" s="539"/>
    </row>
    <row r="683" spans="1:8" s="295" customFormat="1" x14ac:dyDescent="0.15">
      <c r="A683" s="370" t="s">
        <v>1376</v>
      </c>
      <c r="B683" s="540">
        <v>16081</v>
      </c>
      <c r="C683" s="371" t="s">
        <v>1410</v>
      </c>
      <c r="D683" s="371" t="s">
        <v>1378</v>
      </c>
      <c r="E683" s="371">
        <v>1.44048</v>
      </c>
      <c r="F683" s="371">
        <v>138.6</v>
      </c>
      <c r="G683" s="542">
        <v>42374</v>
      </c>
      <c r="H683" s="391">
        <v>199.65</v>
      </c>
    </row>
    <row r="684" spans="1:8" s="295" customFormat="1" x14ac:dyDescent="0.15">
      <c r="A684" s="374" t="s">
        <v>1376</v>
      </c>
      <c r="B684" s="538">
        <v>17002</v>
      </c>
      <c r="C684" s="287" t="s">
        <v>1410</v>
      </c>
      <c r="D684" s="287" t="s">
        <v>1378</v>
      </c>
      <c r="E684" s="287">
        <v>1.2765200000000001</v>
      </c>
      <c r="F684" s="287">
        <v>181.4</v>
      </c>
      <c r="G684" s="543">
        <v>42387</v>
      </c>
      <c r="H684" s="381">
        <v>231.56</v>
      </c>
    </row>
    <row r="685" spans="1:8" s="295" customFormat="1" x14ac:dyDescent="0.15">
      <c r="A685" s="374" t="s">
        <v>1382</v>
      </c>
      <c r="B685" s="538">
        <v>16079</v>
      </c>
      <c r="C685" s="287" t="s">
        <v>1383</v>
      </c>
      <c r="D685" s="287" t="s">
        <v>1384</v>
      </c>
      <c r="E685" s="287">
        <v>1.4404699999999999</v>
      </c>
      <c r="F685" s="287">
        <v>122.3</v>
      </c>
      <c r="G685" s="543">
        <v>42374</v>
      </c>
      <c r="H685" s="381">
        <v>176.17</v>
      </c>
    </row>
    <row r="686" spans="1:8" s="295" customFormat="1" x14ac:dyDescent="0.15">
      <c r="A686" s="374" t="s">
        <v>1382</v>
      </c>
      <c r="B686" s="538">
        <v>17000</v>
      </c>
      <c r="C686" s="287" t="s">
        <v>1383</v>
      </c>
      <c r="D686" s="287" t="s">
        <v>1384</v>
      </c>
      <c r="E686" s="287">
        <v>1.27651</v>
      </c>
      <c r="F686" s="287">
        <v>152</v>
      </c>
      <c r="G686" s="543">
        <v>42387</v>
      </c>
      <c r="H686" s="381">
        <v>194.03</v>
      </c>
    </row>
    <row r="687" spans="1:8" s="295" customFormat="1" x14ac:dyDescent="0.15">
      <c r="A687" s="374" t="s">
        <v>1385</v>
      </c>
      <c r="B687" s="538">
        <v>15916</v>
      </c>
      <c r="C687" s="287" t="s">
        <v>1386</v>
      </c>
      <c r="D687" s="287" t="s">
        <v>1387</v>
      </c>
      <c r="E687" s="287">
        <v>1.4404999999999999</v>
      </c>
      <c r="F687" s="287">
        <v>127.4</v>
      </c>
      <c r="G687" s="543">
        <v>42374</v>
      </c>
      <c r="H687" s="381">
        <v>183.52</v>
      </c>
    </row>
    <row r="688" spans="1:8" s="295" customFormat="1" x14ac:dyDescent="0.15">
      <c r="A688" s="374" t="s">
        <v>1385</v>
      </c>
      <c r="B688" s="538">
        <v>16616</v>
      </c>
      <c r="C688" s="287" t="s">
        <v>1386</v>
      </c>
      <c r="D688" s="287" t="s">
        <v>1387</v>
      </c>
      <c r="E688" s="287">
        <v>1.27651</v>
      </c>
      <c r="F688" s="287">
        <v>155.4</v>
      </c>
      <c r="G688" s="543">
        <v>42387</v>
      </c>
      <c r="H688" s="381">
        <v>198.37</v>
      </c>
    </row>
    <row r="689" spans="1:8" s="295" customFormat="1" x14ac:dyDescent="0.15">
      <c r="A689" s="374" t="s">
        <v>1417</v>
      </c>
      <c r="B689" s="538">
        <v>15845</v>
      </c>
      <c r="C689" s="287" t="s">
        <v>1418</v>
      </c>
      <c r="D689" s="287" t="s">
        <v>1419</v>
      </c>
      <c r="E689" s="287">
        <v>1.4404999999999999</v>
      </c>
      <c r="F689" s="287">
        <v>286.89999999999998</v>
      </c>
      <c r="G689" s="543">
        <v>42374</v>
      </c>
      <c r="H689" s="381">
        <v>413.28</v>
      </c>
    </row>
    <row r="690" spans="1:8" s="295" customFormat="1" ht="14" thickBot="1" x14ac:dyDescent="0.2">
      <c r="A690" s="548"/>
      <c r="B690" s="474"/>
      <c r="C690" s="291" t="s">
        <v>1168</v>
      </c>
      <c r="D690" s="293"/>
      <c r="E690" s="293"/>
      <c r="F690" s="291">
        <f>SUM(F683:F689)</f>
        <v>1164</v>
      </c>
      <c r="G690" s="543"/>
      <c r="H690" s="389">
        <v>1596.5800000000002</v>
      </c>
    </row>
    <row r="691" spans="1:8" s="295" customFormat="1" ht="14" thickTop="1" x14ac:dyDescent="0.15">
      <c r="A691" s="374"/>
      <c r="B691" s="538"/>
      <c r="C691" s="287"/>
      <c r="D691" s="287"/>
      <c r="E691" s="287"/>
      <c r="F691" s="287"/>
      <c r="G691" s="543"/>
      <c r="H691" s="549"/>
    </row>
    <row r="692" spans="1:8" s="295" customFormat="1" x14ac:dyDescent="0.15">
      <c r="A692" s="374"/>
      <c r="B692" s="538"/>
      <c r="C692" s="287"/>
      <c r="D692" s="378" t="s">
        <v>1407</v>
      </c>
      <c r="E692" s="287"/>
      <c r="F692" s="287"/>
      <c r="G692" s="543"/>
      <c r="H692" s="549"/>
    </row>
    <row r="693" spans="1:8" s="295" customFormat="1" x14ac:dyDescent="0.15">
      <c r="A693" s="374"/>
      <c r="B693" s="538"/>
      <c r="C693" s="287"/>
      <c r="D693" s="378" t="s">
        <v>1408</v>
      </c>
      <c r="E693" s="287"/>
      <c r="F693" s="287"/>
      <c r="G693" s="543"/>
      <c r="H693" s="549"/>
    </row>
    <row r="694" spans="1:8" s="295" customFormat="1" x14ac:dyDescent="0.15">
      <c r="A694" s="409"/>
      <c r="B694" s="557"/>
      <c r="C694" s="410"/>
      <c r="D694" s="558">
        <v>42400</v>
      </c>
      <c r="E694" s="410"/>
      <c r="F694" s="410"/>
      <c r="G694" s="553"/>
      <c r="H694" s="559"/>
    </row>
    <row r="695" spans="1:8" s="295" customFormat="1" x14ac:dyDescent="0.15">
      <c r="G695" s="539"/>
    </row>
    <row r="696" spans="1:8" s="295" customFormat="1" x14ac:dyDescent="0.15">
      <c r="A696" s="370" t="s">
        <v>1376</v>
      </c>
      <c r="B696" s="540">
        <v>18144</v>
      </c>
      <c r="C696" s="371" t="s">
        <v>1410</v>
      </c>
      <c r="D696" s="371" t="s">
        <v>1378</v>
      </c>
      <c r="E696" s="371">
        <v>1.3665099999999999</v>
      </c>
      <c r="F696" s="371">
        <v>206.3</v>
      </c>
      <c r="G696" s="542">
        <v>42402</v>
      </c>
      <c r="H696" s="391">
        <v>281.91000000000003</v>
      </c>
    </row>
    <row r="697" spans="1:8" s="295" customFormat="1" x14ac:dyDescent="0.15">
      <c r="A697" s="374" t="s">
        <v>1376</v>
      </c>
      <c r="B697" s="538">
        <v>18934</v>
      </c>
      <c r="C697" s="287" t="s">
        <v>1410</v>
      </c>
      <c r="D697" s="287" t="s">
        <v>1378</v>
      </c>
      <c r="E697" s="287">
        <v>1.3560099999999999</v>
      </c>
      <c r="F697" s="287">
        <v>236.2</v>
      </c>
      <c r="G697" s="543">
        <v>42417</v>
      </c>
      <c r="H697" s="381">
        <v>320.29000000000002</v>
      </c>
    </row>
    <row r="698" spans="1:8" s="295" customFormat="1" x14ac:dyDescent="0.15">
      <c r="A698" s="374" t="s">
        <v>1382</v>
      </c>
      <c r="B698" s="538">
        <v>18142</v>
      </c>
      <c r="C698" s="287" t="s">
        <v>1383</v>
      </c>
      <c r="D698" s="287" t="s">
        <v>1384</v>
      </c>
      <c r="E698" s="287">
        <v>1.3665099999999999</v>
      </c>
      <c r="F698" s="287">
        <v>173.8</v>
      </c>
      <c r="G698" s="543">
        <v>42402</v>
      </c>
      <c r="H698" s="381">
        <v>237.5</v>
      </c>
    </row>
    <row r="699" spans="1:8" s="295" customFormat="1" x14ac:dyDescent="0.15">
      <c r="A699" s="374" t="s">
        <v>1382</v>
      </c>
      <c r="B699" s="538">
        <v>18932</v>
      </c>
      <c r="C699" s="287" t="s">
        <v>1383</v>
      </c>
      <c r="D699" s="287" t="s">
        <v>1384</v>
      </c>
      <c r="E699" s="287">
        <v>1.3560300000000001</v>
      </c>
      <c r="F699" s="287">
        <v>172.6</v>
      </c>
      <c r="G699" s="543">
        <v>42417</v>
      </c>
      <c r="H699" s="381">
        <v>234.05</v>
      </c>
    </row>
    <row r="700" spans="1:8" s="295" customFormat="1" x14ac:dyDescent="0.15">
      <c r="A700" s="374" t="s">
        <v>1385</v>
      </c>
      <c r="B700" s="538">
        <v>17737</v>
      </c>
      <c r="C700" s="287" t="s">
        <v>1386</v>
      </c>
      <c r="D700" s="287" t="s">
        <v>1387</v>
      </c>
      <c r="E700" s="287">
        <v>1.3665099999999999</v>
      </c>
      <c r="F700" s="287">
        <v>187.2</v>
      </c>
      <c r="G700" s="543">
        <v>42402</v>
      </c>
      <c r="H700" s="381">
        <v>255.81</v>
      </c>
    </row>
    <row r="701" spans="1:8" s="295" customFormat="1" x14ac:dyDescent="0.15">
      <c r="A701" s="374" t="s">
        <v>1385</v>
      </c>
      <c r="B701" s="538">
        <v>18550</v>
      </c>
      <c r="C701" s="287" t="s">
        <v>1386</v>
      </c>
      <c r="D701" s="287" t="s">
        <v>1387</v>
      </c>
      <c r="E701" s="287">
        <v>1.35598</v>
      </c>
      <c r="F701" s="287">
        <v>205.6</v>
      </c>
      <c r="G701" s="543">
        <v>42417</v>
      </c>
      <c r="H701" s="381">
        <v>278.79000000000002</v>
      </c>
    </row>
    <row r="702" spans="1:8" s="295" customFormat="1" x14ac:dyDescent="0.15">
      <c r="A702" s="374" t="s">
        <v>1417</v>
      </c>
      <c r="B702" s="538">
        <v>18478</v>
      </c>
      <c r="C702" s="287" t="s">
        <v>1418</v>
      </c>
      <c r="D702" s="287" t="s">
        <v>1419</v>
      </c>
      <c r="E702" s="287">
        <v>1.306</v>
      </c>
      <c r="F702" s="287">
        <v>288.5</v>
      </c>
      <c r="G702" s="543">
        <v>42412</v>
      </c>
      <c r="H702" s="381">
        <v>376.78</v>
      </c>
    </row>
    <row r="703" spans="1:8" s="295" customFormat="1" ht="14" thickBot="1" x14ac:dyDescent="0.2">
      <c r="A703" s="548"/>
      <c r="B703" s="474"/>
      <c r="C703" s="291" t="s">
        <v>1169</v>
      </c>
      <c r="D703" s="293"/>
      <c r="E703" s="293"/>
      <c r="F703" s="291">
        <f>SUM(F696:F702)</f>
        <v>1470.1999999999998</v>
      </c>
      <c r="G703" s="543"/>
      <c r="H703" s="389">
        <v>1985.1299999999999</v>
      </c>
    </row>
    <row r="704" spans="1:8" s="295" customFormat="1" ht="14" thickTop="1" x14ac:dyDescent="0.15">
      <c r="A704" s="374"/>
      <c r="B704" s="538"/>
      <c r="C704" s="287"/>
      <c r="D704" s="287"/>
      <c r="E704" s="287"/>
      <c r="F704" s="287"/>
      <c r="G704" s="543"/>
      <c r="H704" s="549"/>
    </row>
    <row r="705" spans="1:8" s="295" customFormat="1" x14ac:dyDescent="0.15">
      <c r="A705" s="374"/>
      <c r="B705" s="538"/>
      <c r="C705" s="287"/>
      <c r="D705" s="378" t="s">
        <v>1407</v>
      </c>
      <c r="E705" s="287"/>
      <c r="F705" s="287"/>
      <c r="G705" s="543"/>
      <c r="H705" s="549"/>
    </row>
    <row r="706" spans="1:8" s="295" customFormat="1" x14ac:dyDescent="0.15">
      <c r="A706" s="374"/>
      <c r="B706" s="538"/>
      <c r="C706" s="287"/>
      <c r="D706" s="378" t="s">
        <v>1408</v>
      </c>
      <c r="E706" s="287"/>
      <c r="F706" s="287"/>
      <c r="G706" s="543"/>
      <c r="H706" s="549"/>
    </row>
    <row r="707" spans="1:8" s="295" customFormat="1" x14ac:dyDescent="0.15">
      <c r="A707" s="409"/>
      <c r="B707" s="557"/>
      <c r="C707" s="410"/>
      <c r="D707" s="558">
        <v>42429</v>
      </c>
      <c r="E707" s="410"/>
      <c r="F707" s="410"/>
      <c r="G707" s="553"/>
      <c r="H707" s="559"/>
    </row>
    <row r="708" spans="1:8" s="295" customFormat="1" x14ac:dyDescent="0.15">
      <c r="E708" s="564"/>
      <c r="G708" s="539"/>
    </row>
    <row r="709" spans="1:8" s="295" customFormat="1" x14ac:dyDescent="0.15">
      <c r="A709" s="370" t="s">
        <v>1376</v>
      </c>
      <c r="B709" s="540">
        <v>19910</v>
      </c>
      <c r="C709" s="371" t="s">
        <v>1410</v>
      </c>
      <c r="D709" s="371" t="s">
        <v>1378</v>
      </c>
      <c r="E709" s="565">
        <f t="shared" ref="E709:E714" si="0">H709/F709</f>
        <v>1.3960269360269359</v>
      </c>
      <c r="F709" s="371">
        <v>148.5</v>
      </c>
      <c r="G709" s="542">
        <v>42431</v>
      </c>
      <c r="H709" s="391">
        <v>207.31</v>
      </c>
    </row>
    <row r="710" spans="1:8" s="295" customFormat="1" x14ac:dyDescent="0.15">
      <c r="A710" s="374" t="s">
        <v>1376</v>
      </c>
      <c r="B710" s="538">
        <v>20607</v>
      </c>
      <c r="C710" s="287" t="s">
        <v>1410</v>
      </c>
      <c r="D710" s="287" t="s">
        <v>1378</v>
      </c>
      <c r="E710" s="565">
        <f t="shared" si="0"/>
        <v>1.5056390977443608</v>
      </c>
      <c r="F710" s="287">
        <v>106.4</v>
      </c>
      <c r="G710" s="543">
        <v>42443</v>
      </c>
      <c r="H710" s="381">
        <v>160.19999999999999</v>
      </c>
    </row>
    <row r="711" spans="1:8" s="295" customFormat="1" x14ac:dyDescent="0.15">
      <c r="A711" s="374" t="s">
        <v>1382</v>
      </c>
      <c r="B711" s="538">
        <v>19908</v>
      </c>
      <c r="C711" s="287" t="s">
        <v>1383</v>
      </c>
      <c r="D711" s="287" t="s">
        <v>1384</v>
      </c>
      <c r="E711" s="565">
        <f t="shared" si="0"/>
        <v>1.3960222016651249</v>
      </c>
      <c r="F711" s="287">
        <v>108.1</v>
      </c>
      <c r="G711" s="543">
        <v>42431</v>
      </c>
      <c r="H711" s="381">
        <v>150.91</v>
      </c>
    </row>
    <row r="712" spans="1:8" s="295" customFormat="1" x14ac:dyDescent="0.15">
      <c r="A712" s="374" t="s">
        <v>1382</v>
      </c>
      <c r="B712" s="538">
        <v>20606</v>
      </c>
      <c r="C712" s="287" t="s">
        <v>1383</v>
      </c>
      <c r="D712" s="287" t="s">
        <v>1384</v>
      </c>
      <c r="E712" s="565">
        <f t="shared" si="0"/>
        <v>1.5055702917771883</v>
      </c>
      <c r="F712" s="287">
        <v>75.400000000000006</v>
      </c>
      <c r="G712" s="543">
        <v>42443</v>
      </c>
      <c r="H712" s="381">
        <v>113.52</v>
      </c>
    </row>
    <row r="713" spans="1:8" s="295" customFormat="1" x14ac:dyDescent="0.15">
      <c r="A713" s="374" t="s">
        <v>1385</v>
      </c>
      <c r="B713" s="538">
        <v>19697</v>
      </c>
      <c r="C713" s="287" t="s">
        <v>1386</v>
      </c>
      <c r="D713" s="287" t="s">
        <v>1387</v>
      </c>
      <c r="E713" s="565">
        <f t="shared" si="0"/>
        <v>1.395985130111524</v>
      </c>
      <c r="F713" s="287">
        <v>134.5</v>
      </c>
      <c r="G713" s="543">
        <v>42431</v>
      </c>
      <c r="H713" s="381">
        <v>187.76</v>
      </c>
    </row>
    <row r="714" spans="1:8" s="295" customFormat="1" x14ac:dyDescent="0.15">
      <c r="A714" s="374" t="s">
        <v>1385</v>
      </c>
      <c r="B714" s="538">
        <v>20591</v>
      </c>
      <c r="C714" s="287" t="s">
        <v>1386</v>
      </c>
      <c r="D714" s="287" t="s">
        <v>1387</v>
      </c>
      <c r="E714" s="565">
        <f t="shared" si="0"/>
        <v>1.5056277056277056</v>
      </c>
      <c r="F714" s="287">
        <v>92.4</v>
      </c>
      <c r="G714" s="543">
        <v>42443</v>
      </c>
      <c r="H714" s="381">
        <v>139.12</v>
      </c>
    </row>
    <row r="715" spans="1:8" s="295" customFormat="1" ht="14" thickBot="1" x14ac:dyDescent="0.2">
      <c r="A715" s="548"/>
      <c r="B715" s="474"/>
      <c r="C715" s="291" t="s">
        <v>1171</v>
      </c>
      <c r="D715" s="293"/>
      <c r="E715" s="293"/>
      <c r="F715" s="291">
        <f>SUM(F709:F714)</f>
        <v>665.3</v>
      </c>
      <c r="G715" s="543"/>
      <c r="H715" s="389">
        <v>958.81999999999994</v>
      </c>
    </row>
    <row r="716" spans="1:8" s="295" customFormat="1" ht="14" thickTop="1" x14ac:dyDescent="0.15">
      <c r="A716" s="374"/>
      <c r="B716" s="538"/>
      <c r="C716" s="287"/>
      <c r="D716" s="287"/>
      <c r="E716" s="287"/>
      <c r="F716" s="287"/>
      <c r="G716" s="543"/>
      <c r="H716" s="549"/>
    </row>
    <row r="717" spans="1:8" s="295" customFormat="1" x14ac:dyDescent="0.15">
      <c r="A717" s="374"/>
      <c r="B717" s="538"/>
      <c r="C717" s="287"/>
      <c r="D717" s="378" t="s">
        <v>1407</v>
      </c>
      <c r="E717" s="287"/>
      <c r="F717" s="287"/>
      <c r="G717" s="543"/>
      <c r="H717" s="549"/>
    </row>
    <row r="718" spans="1:8" s="295" customFormat="1" x14ac:dyDescent="0.15">
      <c r="A718" s="374"/>
      <c r="B718" s="538"/>
      <c r="C718" s="287"/>
      <c r="D718" s="378" t="s">
        <v>1408</v>
      </c>
      <c r="E718" s="287"/>
      <c r="F718" s="287"/>
      <c r="G718" s="543"/>
      <c r="H718" s="549"/>
    </row>
    <row r="719" spans="1:8" s="295" customFormat="1" x14ac:dyDescent="0.15">
      <c r="A719" s="409"/>
      <c r="B719" s="557"/>
      <c r="C719" s="410"/>
      <c r="D719" s="558">
        <v>42460</v>
      </c>
      <c r="E719" s="410"/>
      <c r="F719" s="410"/>
      <c r="G719" s="553"/>
      <c r="H719" s="559"/>
    </row>
    <row r="720" spans="1:8" s="295" customFormat="1" x14ac:dyDescent="0.15">
      <c r="G720" s="539"/>
    </row>
    <row r="721" spans="1:8" s="295" customFormat="1" x14ac:dyDescent="0.15">
      <c r="A721" s="370" t="s">
        <v>1376</v>
      </c>
      <c r="B721" s="540">
        <v>549</v>
      </c>
      <c r="C721" s="371" t="s">
        <v>1410</v>
      </c>
      <c r="D721" s="371" t="s">
        <v>1378</v>
      </c>
      <c r="E721" s="371">
        <v>1.3654900000000001</v>
      </c>
      <c r="F721" s="371">
        <v>178.2</v>
      </c>
      <c r="G721" s="542">
        <v>42465</v>
      </c>
      <c r="H721" s="391">
        <v>243.33</v>
      </c>
    </row>
    <row r="722" spans="1:8" s="295" customFormat="1" x14ac:dyDescent="0.15">
      <c r="A722" s="374" t="s">
        <v>1376</v>
      </c>
      <c r="B722" s="538">
        <v>1537</v>
      </c>
      <c r="C722" s="287" t="s">
        <v>1410</v>
      </c>
      <c r="D722" s="287" t="s">
        <v>1378</v>
      </c>
      <c r="E722" s="287">
        <v>1.52447</v>
      </c>
      <c r="F722" s="287">
        <v>93.6</v>
      </c>
      <c r="G722" s="543">
        <v>42479</v>
      </c>
      <c r="H722" s="381">
        <v>142.69</v>
      </c>
    </row>
    <row r="723" spans="1:8" s="295" customFormat="1" x14ac:dyDescent="0.15">
      <c r="A723" s="374" t="s">
        <v>1382</v>
      </c>
      <c r="B723" s="538">
        <v>548</v>
      </c>
      <c r="C723" s="287" t="s">
        <v>1383</v>
      </c>
      <c r="D723" s="287" t="s">
        <v>1384</v>
      </c>
      <c r="E723" s="287">
        <v>1.3654599999999999</v>
      </c>
      <c r="F723" s="287">
        <v>135.80000000000001</v>
      </c>
      <c r="G723" s="543">
        <v>42465</v>
      </c>
      <c r="H723" s="381">
        <v>185.43</v>
      </c>
    </row>
    <row r="724" spans="1:8" s="295" customFormat="1" x14ac:dyDescent="0.15">
      <c r="A724" s="374" t="s">
        <v>1382</v>
      </c>
      <c r="B724" s="538">
        <v>1536</v>
      </c>
      <c r="C724" s="287" t="s">
        <v>1383</v>
      </c>
      <c r="D724" s="287" t="s">
        <v>1384</v>
      </c>
      <c r="E724" s="287">
        <v>1.5245200000000001</v>
      </c>
      <c r="F724" s="287">
        <v>83.6</v>
      </c>
      <c r="G724" s="543">
        <v>42479</v>
      </c>
      <c r="H724" s="381">
        <v>127.45</v>
      </c>
    </row>
    <row r="725" spans="1:8" s="295" customFormat="1" x14ac:dyDescent="0.15">
      <c r="A725" s="374" t="s">
        <v>1385</v>
      </c>
      <c r="B725" s="538">
        <v>359</v>
      </c>
      <c r="C725" s="287" t="s">
        <v>1386</v>
      </c>
      <c r="D725" s="287" t="s">
        <v>1387</v>
      </c>
      <c r="E725" s="287">
        <v>1.36548</v>
      </c>
      <c r="F725" s="287">
        <v>165.7</v>
      </c>
      <c r="G725" s="543">
        <v>42465</v>
      </c>
      <c r="H725" s="381">
        <v>226.26</v>
      </c>
    </row>
    <row r="726" spans="1:8" s="295" customFormat="1" x14ac:dyDescent="0.15">
      <c r="A726" s="374" t="s">
        <v>1385</v>
      </c>
      <c r="B726" s="538">
        <v>1374</v>
      </c>
      <c r="C726" s="287" t="s">
        <v>1386</v>
      </c>
      <c r="D726" s="287" t="s">
        <v>1387</v>
      </c>
      <c r="E726" s="287">
        <v>1.5244500000000001</v>
      </c>
      <c r="F726" s="287">
        <v>95.3</v>
      </c>
      <c r="G726" s="543">
        <v>42479</v>
      </c>
      <c r="H726" s="381">
        <v>145.28</v>
      </c>
    </row>
    <row r="727" spans="1:8" s="295" customFormat="1" x14ac:dyDescent="0.15">
      <c r="A727" s="374" t="s">
        <v>1417</v>
      </c>
      <c r="B727" s="538">
        <v>18478</v>
      </c>
      <c r="C727" s="287" t="s">
        <v>1418</v>
      </c>
      <c r="D727" s="287" t="s">
        <v>1419</v>
      </c>
      <c r="E727" s="287">
        <v>1.36551</v>
      </c>
      <c r="F727" s="287">
        <v>311.10000000000002</v>
      </c>
      <c r="G727" s="543">
        <v>42465</v>
      </c>
      <c r="H727" s="381">
        <v>424.81</v>
      </c>
    </row>
    <row r="728" spans="1:8" s="295" customFormat="1" ht="14" thickBot="1" x14ac:dyDescent="0.2">
      <c r="A728" s="548"/>
      <c r="B728" s="474"/>
      <c r="C728" s="291" t="s">
        <v>1172</v>
      </c>
      <c r="D728" s="293"/>
      <c r="E728" s="293"/>
      <c r="F728" s="291">
        <f>SUM(F721:F727)</f>
        <v>1063.2999999999997</v>
      </c>
      <c r="G728" s="543"/>
      <c r="H728" s="389">
        <v>1495.25</v>
      </c>
    </row>
    <row r="729" spans="1:8" s="295" customFormat="1" ht="14" thickTop="1" x14ac:dyDescent="0.15">
      <c r="A729" s="374"/>
      <c r="B729" s="538"/>
      <c r="C729" s="287"/>
      <c r="D729" s="287"/>
      <c r="E729" s="287"/>
      <c r="F729" s="287"/>
      <c r="G729" s="543"/>
      <c r="H729" s="549"/>
    </row>
    <row r="730" spans="1:8" s="295" customFormat="1" x14ac:dyDescent="0.15">
      <c r="A730" s="374"/>
      <c r="B730" s="538"/>
      <c r="C730" s="287"/>
      <c r="D730" s="378" t="s">
        <v>1407</v>
      </c>
      <c r="E730" s="287"/>
      <c r="F730" s="287"/>
      <c r="G730" s="543"/>
      <c r="H730" s="549"/>
    </row>
    <row r="731" spans="1:8" s="295" customFormat="1" x14ac:dyDescent="0.15">
      <c r="A731" s="374"/>
      <c r="B731" s="538"/>
      <c r="C731" s="287"/>
      <c r="D731" s="378" t="s">
        <v>1408</v>
      </c>
      <c r="E731" s="287"/>
      <c r="F731" s="287"/>
      <c r="G731" s="543"/>
      <c r="H731" s="549"/>
    </row>
    <row r="732" spans="1:8" s="295" customFormat="1" x14ac:dyDescent="0.15">
      <c r="A732" s="409"/>
      <c r="B732" s="557"/>
      <c r="C732" s="410"/>
      <c r="D732" s="558">
        <v>42490</v>
      </c>
      <c r="E732" s="410"/>
      <c r="F732" s="410"/>
      <c r="G732" s="553"/>
      <c r="H732" s="559"/>
    </row>
    <row r="733" spans="1:8" s="295" customFormat="1" x14ac:dyDescent="0.15">
      <c r="G733" s="539"/>
    </row>
    <row r="734" spans="1:8" s="295" customFormat="1" x14ac:dyDescent="0.15">
      <c r="A734" s="374" t="s">
        <v>1385</v>
      </c>
      <c r="B734" s="538">
        <v>9988</v>
      </c>
      <c r="C734" s="287" t="s">
        <v>1386</v>
      </c>
      <c r="D734" s="287" t="s">
        <v>1387</v>
      </c>
      <c r="E734" s="287">
        <v>0</v>
      </c>
      <c r="F734" s="287">
        <v>0</v>
      </c>
      <c r="G734" s="543">
        <v>42164</v>
      </c>
      <c r="H734" s="381">
        <v>0</v>
      </c>
    </row>
    <row r="735" spans="1:8" s="295" customFormat="1" ht="14" thickBot="1" x14ac:dyDescent="0.2">
      <c r="A735" s="548"/>
      <c r="B735" s="474"/>
      <c r="C735" s="291" t="s">
        <v>1174</v>
      </c>
      <c r="D735" s="293"/>
      <c r="E735" s="293"/>
      <c r="F735" s="291">
        <f>SUM(F734:F734)</f>
        <v>0</v>
      </c>
      <c r="G735" s="543"/>
      <c r="H735" s="389">
        <v>0</v>
      </c>
    </row>
    <row r="736" spans="1:8" s="295" customFormat="1" ht="14" thickTop="1" x14ac:dyDescent="0.15">
      <c r="A736" s="374"/>
      <c r="B736" s="538"/>
      <c r="C736" s="287"/>
      <c r="D736" s="287"/>
      <c r="E736" s="287"/>
      <c r="F736" s="287"/>
      <c r="G736" s="543"/>
      <c r="H736" s="549"/>
    </row>
    <row r="737" spans="1:11" s="295" customFormat="1" x14ac:dyDescent="0.15">
      <c r="A737" s="374"/>
      <c r="B737" s="538"/>
      <c r="C737" s="287"/>
      <c r="D737" s="378" t="s">
        <v>1407</v>
      </c>
      <c r="E737" s="287"/>
      <c r="F737" s="287"/>
      <c r="G737" s="543"/>
      <c r="H737" s="549"/>
    </row>
    <row r="738" spans="1:11" s="295" customFormat="1" x14ac:dyDescent="0.15">
      <c r="A738" s="374"/>
      <c r="B738" s="538"/>
      <c r="C738" s="287"/>
      <c r="D738" s="378" t="s">
        <v>1408</v>
      </c>
      <c r="E738" s="287"/>
      <c r="F738" s="287"/>
      <c r="G738" s="543"/>
      <c r="H738" s="549"/>
    </row>
    <row r="739" spans="1:11" s="295" customFormat="1" x14ac:dyDescent="0.15">
      <c r="A739" s="409"/>
      <c r="B739" s="557"/>
      <c r="C739" s="410"/>
      <c r="D739" s="558">
        <v>42185</v>
      </c>
      <c r="E739" s="410"/>
      <c r="F739" s="410"/>
      <c r="G739" s="553"/>
      <c r="H739" s="559"/>
    </row>
    <row r="740" spans="1:11" s="275" customFormat="1" ht="14" thickBot="1" x14ac:dyDescent="0.2">
      <c r="G740" s="539"/>
    </row>
    <row r="741" spans="1:11" s="275" customFormat="1" ht="31" thickBot="1" x14ac:dyDescent="0.35">
      <c r="A741" s="767" t="s">
        <v>1110</v>
      </c>
      <c r="B741" s="768"/>
      <c r="C741" s="768"/>
      <c r="D741" s="768"/>
      <c r="E741" s="768"/>
      <c r="F741" s="768"/>
      <c r="G741" s="768"/>
      <c r="H741" s="769"/>
      <c r="I741" s="289"/>
      <c r="J741" s="289"/>
      <c r="K741" s="289"/>
    </row>
    <row r="742" spans="1:11" s="275" customFormat="1" x14ac:dyDescent="0.15">
      <c r="G742" s="539"/>
    </row>
    <row r="743" spans="1:11" s="295" customFormat="1" x14ac:dyDescent="0.15">
      <c r="A743" s="374" t="s">
        <v>1385</v>
      </c>
      <c r="B743" s="538">
        <v>1785</v>
      </c>
      <c r="C743" s="287" t="s">
        <v>1386</v>
      </c>
      <c r="D743" s="287" t="s">
        <v>1387</v>
      </c>
      <c r="E743" s="287">
        <v>1.8200099999999999</v>
      </c>
      <c r="F743" s="287">
        <v>152.9</v>
      </c>
      <c r="G743" s="543">
        <v>42531</v>
      </c>
      <c r="H743" s="381">
        <v>278.27999999999997</v>
      </c>
    </row>
    <row r="744" spans="1:11" s="295" customFormat="1" ht="14" thickBot="1" x14ac:dyDescent="0.2">
      <c r="A744" s="548"/>
      <c r="B744" s="474"/>
      <c r="C744" s="291" t="s">
        <v>1420</v>
      </c>
      <c r="D744" s="293"/>
      <c r="E744" s="293"/>
      <c r="F744" s="291">
        <f>SUM(F743:F743)</f>
        <v>152.9</v>
      </c>
      <c r="G744" s="543"/>
      <c r="H744" s="389">
        <v>278.27999999999997</v>
      </c>
    </row>
    <row r="745" spans="1:11" s="295" customFormat="1" ht="14" thickTop="1" x14ac:dyDescent="0.15">
      <c r="A745" s="374"/>
      <c r="B745" s="538"/>
      <c r="C745" s="287"/>
      <c r="D745" s="287"/>
      <c r="E745" s="287"/>
      <c r="F745" s="287"/>
      <c r="G745" s="543"/>
      <c r="H745" s="549"/>
    </row>
    <row r="746" spans="1:11" s="295" customFormat="1" x14ac:dyDescent="0.15">
      <c r="A746" s="374"/>
      <c r="B746" s="538"/>
      <c r="C746" s="287"/>
      <c r="D746" s="378" t="s">
        <v>1407</v>
      </c>
      <c r="E746" s="287"/>
      <c r="F746" s="287"/>
      <c r="G746" s="543"/>
      <c r="H746" s="549"/>
    </row>
    <row r="747" spans="1:11" s="295" customFormat="1" x14ac:dyDescent="0.15">
      <c r="A747" s="374"/>
      <c r="B747" s="538"/>
      <c r="C747" s="287"/>
      <c r="D747" s="378" t="s">
        <v>1408</v>
      </c>
      <c r="E747" s="287"/>
      <c r="F747" s="287"/>
      <c r="G747" s="543"/>
      <c r="H747" s="549"/>
    </row>
    <row r="748" spans="1:11" s="295" customFormat="1" x14ac:dyDescent="0.15">
      <c r="A748" s="409"/>
      <c r="B748" s="557"/>
      <c r="C748" s="410"/>
      <c r="D748" s="558">
        <v>42582</v>
      </c>
      <c r="E748" s="410"/>
      <c r="F748" s="410"/>
      <c r="G748" s="553"/>
      <c r="H748" s="559"/>
    </row>
    <row r="749" spans="1:11" s="295" customFormat="1" x14ac:dyDescent="0.15">
      <c r="G749" s="539"/>
    </row>
    <row r="750" spans="1:11" s="295" customFormat="1" x14ac:dyDescent="0.15">
      <c r="A750" s="374" t="s">
        <v>1417</v>
      </c>
      <c r="B750" s="538">
        <v>3706</v>
      </c>
      <c r="C750" s="287" t="s">
        <v>1418</v>
      </c>
      <c r="D750" s="287" t="s">
        <v>1419</v>
      </c>
      <c r="E750" s="287">
        <v>1.6395</v>
      </c>
      <c r="F750" s="287">
        <v>216.2</v>
      </c>
      <c r="G750" s="543">
        <v>42634</v>
      </c>
      <c r="H750" s="381">
        <v>354.46</v>
      </c>
    </row>
    <row r="751" spans="1:11" s="295" customFormat="1" ht="14" thickBot="1" x14ac:dyDescent="0.2">
      <c r="A751" s="548"/>
      <c r="B751" s="474"/>
      <c r="C751" s="291" t="s">
        <v>1317</v>
      </c>
      <c r="D751" s="293"/>
      <c r="E751" s="293"/>
      <c r="F751" s="291">
        <f>SUM(F750:F750)</f>
        <v>216.2</v>
      </c>
      <c r="G751" s="543"/>
      <c r="H751" s="389">
        <v>354.46</v>
      </c>
    </row>
    <row r="752" spans="1:11" s="295" customFormat="1" ht="14" thickTop="1" x14ac:dyDescent="0.15">
      <c r="A752" s="374"/>
      <c r="B752" s="538"/>
      <c r="C752" s="287"/>
      <c r="D752" s="287"/>
      <c r="E752" s="287"/>
      <c r="F752" s="287"/>
      <c r="G752" s="543"/>
      <c r="H752" s="549"/>
    </row>
    <row r="753" spans="1:8" s="295" customFormat="1" x14ac:dyDescent="0.15">
      <c r="A753" s="374"/>
      <c r="B753" s="538"/>
      <c r="C753" s="287"/>
      <c r="D753" s="378" t="s">
        <v>1407</v>
      </c>
      <c r="E753" s="287"/>
      <c r="F753" s="287"/>
      <c r="G753" s="543"/>
      <c r="H753" s="549"/>
    </row>
    <row r="754" spans="1:8" s="295" customFormat="1" x14ac:dyDescent="0.15">
      <c r="A754" s="374"/>
      <c r="B754" s="538"/>
      <c r="C754" s="287"/>
      <c r="D754" s="378" t="s">
        <v>1408</v>
      </c>
      <c r="E754" s="287"/>
      <c r="F754" s="287"/>
      <c r="G754" s="543"/>
      <c r="H754" s="549"/>
    </row>
    <row r="755" spans="1:8" s="295" customFormat="1" x14ac:dyDescent="0.15">
      <c r="A755" s="409"/>
      <c r="B755" s="557"/>
      <c r="C755" s="410"/>
      <c r="D755" s="558">
        <v>42643</v>
      </c>
      <c r="E755" s="410"/>
      <c r="F755" s="410"/>
      <c r="G755" s="553"/>
      <c r="H755" s="559"/>
    </row>
    <row r="756" spans="1:8" s="295" customFormat="1" x14ac:dyDescent="0.15">
      <c r="A756" s="374"/>
      <c r="B756" s="538"/>
      <c r="C756" s="287"/>
      <c r="D756" s="386"/>
      <c r="E756" s="287"/>
      <c r="F756" s="287"/>
      <c r="G756" s="543"/>
      <c r="H756" s="549"/>
    </row>
    <row r="757" spans="1:8" s="287" customFormat="1" x14ac:dyDescent="0.15">
      <c r="A757" s="374" t="s">
        <v>1376</v>
      </c>
      <c r="B757" s="538">
        <v>1942</v>
      </c>
      <c r="C757" s="287" t="s">
        <v>1410</v>
      </c>
      <c r="D757" s="287" t="s">
        <v>1378</v>
      </c>
      <c r="E757" s="287">
        <v>1.7990200000000001</v>
      </c>
      <c r="F757" s="287">
        <v>152.9</v>
      </c>
      <c r="G757" s="543">
        <v>42655</v>
      </c>
      <c r="H757" s="381">
        <v>275.07</v>
      </c>
    </row>
    <row r="758" spans="1:8" s="295" customFormat="1" x14ac:dyDescent="0.15">
      <c r="A758" s="374" t="s">
        <v>1385</v>
      </c>
      <c r="B758" s="538">
        <v>2972</v>
      </c>
      <c r="C758" s="287" t="s">
        <v>1386</v>
      </c>
      <c r="D758" s="287" t="s">
        <v>1387</v>
      </c>
      <c r="E758" s="287">
        <v>1.7989999999999999</v>
      </c>
      <c r="F758" s="287">
        <v>170</v>
      </c>
      <c r="G758" s="543">
        <v>42655</v>
      </c>
      <c r="H758" s="381">
        <v>305.83</v>
      </c>
    </row>
    <row r="759" spans="1:8" s="295" customFormat="1" x14ac:dyDescent="0.15">
      <c r="A759" s="374" t="s">
        <v>1382</v>
      </c>
      <c r="B759" s="538">
        <v>1941</v>
      </c>
      <c r="C759" s="287" t="s">
        <v>1383</v>
      </c>
      <c r="D759" s="287" t="s">
        <v>1384</v>
      </c>
      <c r="E759" s="287">
        <v>1.79904</v>
      </c>
      <c r="F759" s="287">
        <v>73.2</v>
      </c>
      <c r="G759" s="543">
        <v>42655</v>
      </c>
      <c r="H759" s="381">
        <v>131.69</v>
      </c>
    </row>
    <row r="760" spans="1:8" s="295" customFormat="1" ht="14" thickBot="1" x14ac:dyDescent="0.2">
      <c r="A760" s="548"/>
      <c r="B760" s="474"/>
      <c r="C760" s="291" t="s">
        <v>1154</v>
      </c>
      <c r="D760" s="293"/>
      <c r="E760" s="293"/>
      <c r="F760" s="291">
        <f>SUM(F757:F759)</f>
        <v>396.09999999999997</v>
      </c>
      <c r="G760" s="543"/>
      <c r="H760" s="389">
        <v>712.58999999999992</v>
      </c>
    </row>
    <row r="761" spans="1:8" s="295" customFormat="1" ht="14" thickTop="1" x14ac:dyDescent="0.15">
      <c r="A761" s="374"/>
      <c r="B761" s="538"/>
      <c r="C761" s="287"/>
      <c r="D761" s="287"/>
      <c r="E761" s="287"/>
      <c r="F761" s="287"/>
      <c r="G761" s="543"/>
      <c r="H761" s="549"/>
    </row>
    <row r="762" spans="1:8" s="295" customFormat="1" x14ac:dyDescent="0.15">
      <c r="A762" s="374"/>
      <c r="B762" s="538"/>
      <c r="C762" s="287"/>
      <c r="D762" s="378" t="s">
        <v>1407</v>
      </c>
      <c r="E762" s="287"/>
      <c r="F762" s="287"/>
      <c r="G762" s="543"/>
      <c r="H762" s="549"/>
    </row>
    <row r="763" spans="1:8" s="295" customFormat="1" x14ac:dyDescent="0.15">
      <c r="A763" s="374"/>
      <c r="B763" s="538"/>
      <c r="C763" s="287"/>
      <c r="D763" s="378" t="s">
        <v>1408</v>
      </c>
      <c r="E763" s="287"/>
      <c r="F763" s="287"/>
      <c r="G763" s="543"/>
      <c r="H763" s="549"/>
    </row>
    <row r="764" spans="1:8" s="295" customFormat="1" x14ac:dyDescent="0.15">
      <c r="A764" s="409"/>
      <c r="B764" s="557"/>
      <c r="C764" s="410"/>
      <c r="D764" s="558">
        <v>42674</v>
      </c>
      <c r="E764" s="410"/>
      <c r="F764" s="410"/>
      <c r="G764" s="553"/>
      <c r="H764" s="559"/>
    </row>
    <row r="765" spans="1:8" s="295" customFormat="1" x14ac:dyDescent="0.15">
      <c r="G765" s="539"/>
    </row>
    <row r="766" spans="1:8" s="295" customFormat="1" x14ac:dyDescent="0.15">
      <c r="A766" s="374" t="s">
        <v>1376</v>
      </c>
      <c r="B766" s="538">
        <v>4341</v>
      </c>
      <c r="C766" s="287" t="s">
        <v>1410</v>
      </c>
      <c r="D766" s="287" t="s">
        <v>1378</v>
      </c>
      <c r="E766" s="287">
        <v>1.6470400000000001</v>
      </c>
      <c r="F766" s="287">
        <v>125</v>
      </c>
      <c r="G766" s="543">
        <v>42681</v>
      </c>
      <c r="H766" s="381">
        <v>205.88</v>
      </c>
    </row>
    <row r="767" spans="1:8" s="295" customFormat="1" x14ac:dyDescent="0.15">
      <c r="A767" s="374" t="s">
        <v>1376</v>
      </c>
      <c r="B767" s="538">
        <v>5420</v>
      </c>
      <c r="C767" s="287" t="s">
        <v>1410</v>
      </c>
      <c r="D767" s="287" t="s">
        <v>1378</v>
      </c>
      <c r="E767" s="287">
        <v>1.75102</v>
      </c>
      <c r="F767" s="287">
        <v>108</v>
      </c>
      <c r="G767" s="543">
        <v>42696</v>
      </c>
      <c r="H767" s="381">
        <v>189.11</v>
      </c>
    </row>
    <row r="768" spans="1:8" s="295" customFormat="1" x14ac:dyDescent="0.15">
      <c r="A768" s="374" t="s">
        <v>1382</v>
      </c>
      <c r="B768" s="538">
        <v>4340</v>
      </c>
      <c r="C768" s="287" t="s">
        <v>1383</v>
      </c>
      <c r="D768" s="287" t="s">
        <v>1384</v>
      </c>
      <c r="E768" s="287">
        <v>1.6407099999999999</v>
      </c>
      <c r="F768" s="287">
        <v>91.9</v>
      </c>
      <c r="G768" s="543">
        <v>42681</v>
      </c>
      <c r="H768" s="381">
        <v>151.36000000000001</v>
      </c>
    </row>
    <row r="769" spans="1:8" s="295" customFormat="1" x14ac:dyDescent="0.15">
      <c r="A769" s="374" t="s">
        <v>1382</v>
      </c>
      <c r="B769" s="538">
        <v>5419</v>
      </c>
      <c r="C769" s="287" t="s">
        <v>1383</v>
      </c>
      <c r="D769" s="287" t="s">
        <v>1384</v>
      </c>
      <c r="E769" s="287">
        <v>1.7509600000000001</v>
      </c>
      <c r="F769" s="287">
        <v>88.7</v>
      </c>
      <c r="G769" s="543">
        <v>42696</v>
      </c>
      <c r="H769" s="381">
        <v>155.31</v>
      </c>
    </row>
    <row r="770" spans="1:8" s="295" customFormat="1" x14ac:dyDescent="0.15">
      <c r="A770" s="374" t="s">
        <v>1385</v>
      </c>
      <c r="B770" s="538">
        <v>4242</v>
      </c>
      <c r="C770" s="287" t="s">
        <v>1386</v>
      </c>
      <c r="D770" s="287" t="s">
        <v>1387</v>
      </c>
      <c r="E770" s="287">
        <v>1.6469800000000001</v>
      </c>
      <c r="F770" s="287">
        <v>144.1</v>
      </c>
      <c r="G770" s="543">
        <v>42681</v>
      </c>
      <c r="H770" s="381">
        <v>237.33</v>
      </c>
    </row>
    <row r="771" spans="1:8" s="295" customFormat="1" x14ac:dyDescent="0.15">
      <c r="A771" s="374" t="s">
        <v>1385</v>
      </c>
      <c r="B771" s="538">
        <v>5244</v>
      </c>
      <c r="C771" s="287" t="s">
        <v>1386</v>
      </c>
      <c r="D771" s="287" t="s">
        <v>1387</v>
      </c>
      <c r="E771" s="287">
        <v>1.75099</v>
      </c>
      <c r="F771" s="287">
        <v>131.6</v>
      </c>
      <c r="G771" s="543">
        <v>42696</v>
      </c>
      <c r="H771" s="381">
        <v>230.43</v>
      </c>
    </row>
    <row r="772" spans="1:8" s="295" customFormat="1" ht="14" thickBot="1" x14ac:dyDescent="0.2">
      <c r="A772" s="548"/>
      <c r="B772" s="474"/>
      <c r="C772" s="291" t="s">
        <v>1164</v>
      </c>
      <c r="D772" s="293"/>
      <c r="E772" s="293"/>
      <c r="F772" s="291">
        <f>SUM(F767:F771)</f>
        <v>564.30000000000007</v>
      </c>
      <c r="G772" s="543"/>
      <c r="H772" s="389">
        <v>1169.42</v>
      </c>
    </row>
    <row r="773" spans="1:8" s="295" customFormat="1" ht="14" thickTop="1" x14ac:dyDescent="0.15">
      <c r="A773" s="374"/>
      <c r="B773" s="538"/>
      <c r="C773" s="287"/>
      <c r="D773" s="287"/>
      <c r="E773" s="287"/>
      <c r="F773" s="287"/>
      <c r="G773" s="543"/>
      <c r="H773" s="549"/>
    </row>
    <row r="774" spans="1:8" s="295" customFormat="1" x14ac:dyDescent="0.15">
      <c r="A774" s="374"/>
      <c r="B774" s="538"/>
      <c r="C774" s="287"/>
      <c r="D774" s="378" t="s">
        <v>1407</v>
      </c>
      <c r="E774" s="287"/>
      <c r="F774" s="287"/>
      <c r="G774" s="543"/>
      <c r="H774" s="549"/>
    </row>
    <row r="775" spans="1:8" s="295" customFormat="1" x14ac:dyDescent="0.15">
      <c r="A775" s="374"/>
      <c r="B775" s="538"/>
      <c r="C775" s="287"/>
      <c r="D775" s="378" t="s">
        <v>1408</v>
      </c>
      <c r="E775" s="287"/>
      <c r="F775" s="287"/>
      <c r="G775" s="543"/>
      <c r="H775" s="549"/>
    </row>
    <row r="776" spans="1:8" s="295" customFormat="1" x14ac:dyDescent="0.15">
      <c r="A776" s="409"/>
      <c r="B776" s="557"/>
      <c r="C776" s="410"/>
      <c r="D776" s="558">
        <v>42704</v>
      </c>
      <c r="E776" s="410"/>
      <c r="F776" s="410"/>
      <c r="G776" s="553"/>
      <c r="H776" s="559"/>
    </row>
    <row r="777" spans="1:8" s="295" customFormat="1" x14ac:dyDescent="0.15">
      <c r="G777" s="539"/>
    </row>
    <row r="778" spans="1:8" s="295" customFormat="1" x14ac:dyDescent="0.15">
      <c r="A778" s="370" t="s">
        <v>1376</v>
      </c>
      <c r="B778" s="540">
        <v>5807</v>
      </c>
      <c r="C778" s="371" t="s">
        <v>1410</v>
      </c>
      <c r="D778" s="371" t="s">
        <v>1378</v>
      </c>
      <c r="E778" s="371">
        <v>1.8975</v>
      </c>
      <c r="F778" s="371">
        <v>208</v>
      </c>
      <c r="G778" s="542">
        <v>42717</v>
      </c>
      <c r="H778" s="391">
        <v>394.68</v>
      </c>
    </row>
    <row r="779" spans="1:8" s="295" customFormat="1" x14ac:dyDescent="0.15">
      <c r="A779" s="374" t="s">
        <v>1382</v>
      </c>
      <c r="B779" s="538">
        <v>5806</v>
      </c>
      <c r="C779" s="287" t="s">
        <v>1383</v>
      </c>
      <c r="D779" s="287" t="s">
        <v>1384</v>
      </c>
      <c r="E779" s="287">
        <v>1.8974899999999999</v>
      </c>
      <c r="F779" s="287">
        <v>143.19999999999999</v>
      </c>
      <c r="G779" s="543">
        <v>42717</v>
      </c>
      <c r="H779" s="381">
        <v>271.72000000000003</v>
      </c>
    </row>
    <row r="780" spans="1:8" s="295" customFormat="1" x14ac:dyDescent="0.15">
      <c r="A780" s="374" t="s">
        <v>1385</v>
      </c>
      <c r="B780" s="538">
        <v>5797</v>
      </c>
      <c r="C780" s="287" t="s">
        <v>1386</v>
      </c>
      <c r="D780" s="287" t="s">
        <v>1387</v>
      </c>
      <c r="E780" s="287">
        <v>1.8974899999999999</v>
      </c>
      <c r="F780" s="287">
        <v>218.7</v>
      </c>
      <c r="G780" s="543">
        <v>42717</v>
      </c>
      <c r="H780" s="381">
        <v>414.98</v>
      </c>
    </row>
    <row r="781" spans="1:8" s="295" customFormat="1" x14ac:dyDescent="0.15">
      <c r="A781" s="374" t="s">
        <v>1385</v>
      </c>
      <c r="B781" s="538">
        <v>7045</v>
      </c>
      <c r="C781" s="287" t="s">
        <v>1386</v>
      </c>
      <c r="D781" s="287" t="s">
        <v>1387</v>
      </c>
      <c r="E781" s="287">
        <v>1.89496</v>
      </c>
      <c r="F781" s="287">
        <v>101.2</v>
      </c>
      <c r="G781" s="543">
        <v>42724</v>
      </c>
      <c r="H781" s="381">
        <v>191.77</v>
      </c>
    </row>
    <row r="782" spans="1:8" s="295" customFormat="1" x14ac:dyDescent="0.15">
      <c r="A782" s="374" t="s">
        <v>1417</v>
      </c>
      <c r="B782" s="538">
        <v>5950</v>
      </c>
      <c r="C782" s="287" t="s">
        <v>1418</v>
      </c>
      <c r="D782" s="287" t="s">
        <v>1419</v>
      </c>
      <c r="E782" s="287">
        <v>1.89751</v>
      </c>
      <c r="F782" s="287">
        <v>401</v>
      </c>
      <c r="G782" s="543">
        <v>42717</v>
      </c>
      <c r="H782" s="381">
        <v>760.9</v>
      </c>
    </row>
    <row r="783" spans="1:8" s="295" customFormat="1" ht="14" thickBot="1" x14ac:dyDescent="0.2">
      <c r="A783" s="548"/>
      <c r="B783" s="474"/>
      <c r="C783" s="291" t="s">
        <v>1167</v>
      </c>
      <c r="D783" s="293"/>
      <c r="E783" s="293"/>
      <c r="F783" s="291">
        <f>SUM(F778:F782)</f>
        <v>1072.0999999999999</v>
      </c>
      <c r="G783" s="543"/>
      <c r="H783" s="389">
        <v>2034.05</v>
      </c>
    </row>
    <row r="784" spans="1:8" s="295" customFormat="1" ht="14" thickTop="1" x14ac:dyDescent="0.15">
      <c r="A784" s="374"/>
      <c r="B784" s="538"/>
      <c r="C784" s="287"/>
      <c r="D784" s="287"/>
      <c r="E784" s="287"/>
      <c r="F784" s="287"/>
      <c r="G784" s="543"/>
      <c r="H784" s="549"/>
    </row>
    <row r="785" spans="1:8" s="295" customFormat="1" x14ac:dyDescent="0.15">
      <c r="A785" s="374"/>
      <c r="B785" s="538"/>
      <c r="C785" s="287"/>
      <c r="D785" s="378" t="s">
        <v>1407</v>
      </c>
      <c r="E785" s="287"/>
      <c r="F785" s="287"/>
      <c r="G785" s="543"/>
      <c r="H785" s="549"/>
    </row>
    <row r="786" spans="1:8" s="295" customFormat="1" x14ac:dyDescent="0.15">
      <c r="A786" s="374"/>
      <c r="B786" s="538"/>
      <c r="C786" s="287"/>
      <c r="D786" s="378" t="s">
        <v>1408</v>
      </c>
      <c r="E786" s="287"/>
      <c r="F786" s="287"/>
      <c r="G786" s="543"/>
      <c r="H786" s="549"/>
    </row>
    <row r="787" spans="1:8" s="295" customFormat="1" x14ac:dyDescent="0.15">
      <c r="A787" s="409"/>
      <c r="B787" s="557"/>
      <c r="C787" s="410"/>
      <c r="D787" s="558">
        <v>42735</v>
      </c>
      <c r="E787" s="410"/>
      <c r="F787" s="410"/>
      <c r="G787" s="553"/>
      <c r="H787" s="559"/>
    </row>
    <row r="788" spans="1:8" s="295" customFormat="1" x14ac:dyDescent="0.15">
      <c r="G788" s="539"/>
    </row>
    <row r="789" spans="1:8" s="295" customFormat="1" x14ac:dyDescent="0.15">
      <c r="A789" s="370" t="s">
        <v>1376</v>
      </c>
      <c r="B789" s="540">
        <v>7055</v>
      </c>
      <c r="C789" s="371" t="s">
        <v>1410</v>
      </c>
      <c r="D789" s="371" t="s">
        <v>1378</v>
      </c>
      <c r="E789" s="371">
        <v>1.95502</v>
      </c>
      <c r="F789" s="371">
        <v>266.10000000000002</v>
      </c>
      <c r="G789" s="542">
        <v>42738</v>
      </c>
      <c r="H789" s="391">
        <v>520.23</v>
      </c>
    </row>
    <row r="790" spans="1:8" s="295" customFormat="1" x14ac:dyDescent="0.15">
      <c r="A790" s="374" t="s">
        <v>1376</v>
      </c>
      <c r="B790" s="538">
        <v>8528</v>
      </c>
      <c r="C790" s="287" t="s">
        <v>1410</v>
      </c>
      <c r="D790" s="287" t="s">
        <v>1378</v>
      </c>
      <c r="E790" s="287">
        <v>1.88002</v>
      </c>
      <c r="F790" s="287">
        <v>183.7</v>
      </c>
      <c r="G790" s="543">
        <v>42753</v>
      </c>
      <c r="H790" s="381">
        <v>345.36</v>
      </c>
    </row>
    <row r="791" spans="1:8" s="295" customFormat="1" x14ac:dyDescent="0.15">
      <c r="A791" s="374" t="s">
        <v>1376</v>
      </c>
      <c r="B791" s="538">
        <v>9462</v>
      </c>
      <c r="C791" s="287" t="s">
        <v>1410</v>
      </c>
      <c r="D791" s="287" t="s">
        <v>1378</v>
      </c>
      <c r="E791" s="287">
        <v>1.8685099999999999</v>
      </c>
      <c r="F791" s="287">
        <v>135.30000000000001</v>
      </c>
      <c r="G791" s="543">
        <v>42766</v>
      </c>
      <c r="H791" s="381">
        <v>252.81</v>
      </c>
    </row>
    <row r="792" spans="1:8" s="295" customFormat="1" x14ac:dyDescent="0.15">
      <c r="A792" s="374" t="s">
        <v>1382</v>
      </c>
      <c r="B792" s="538">
        <v>7054</v>
      </c>
      <c r="C792" s="287" t="s">
        <v>1383</v>
      </c>
      <c r="D792" s="287" t="s">
        <v>1384</v>
      </c>
      <c r="E792" s="287">
        <v>1.9550099999999999</v>
      </c>
      <c r="F792" s="287">
        <v>209.6</v>
      </c>
      <c r="G792" s="543">
        <v>42738</v>
      </c>
      <c r="H792" s="381">
        <v>409.77</v>
      </c>
    </row>
    <row r="793" spans="1:8" s="295" customFormat="1" x14ac:dyDescent="0.15">
      <c r="A793" s="374" t="s">
        <v>1382</v>
      </c>
      <c r="B793" s="538">
        <v>8527</v>
      </c>
      <c r="C793" s="287" t="s">
        <v>1383</v>
      </c>
      <c r="D793" s="287" t="s">
        <v>1384</v>
      </c>
      <c r="E793" s="287">
        <v>1.8799699999999999</v>
      </c>
      <c r="F793" s="287">
        <v>153.30000000000001</v>
      </c>
      <c r="G793" s="543">
        <v>42753</v>
      </c>
      <c r="H793" s="381">
        <v>288.2</v>
      </c>
    </row>
    <row r="794" spans="1:8" s="295" customFormat="1" x14ac:dyDescent="0.15">
      <c r="A794" s="374" t="s">
        <v>1382</v>
      </c>
      <c r="B794" s="538">
        <v>9461</v>
      </c>
      <c r="C794" s="287" t="s">
        <v>1383</v>
      </c>
      <c r="D794" s="287" t="s">
        <v>1384</v>
      </c>
      <c r="E794" s="287">
        <v>1.8685099999999999</v>
      </c>
      <c r="F794" s="287">
        <v>108.3</v>
      </c>
      <c r="G794" s="543">
        <v>42766</v>
      </c>
      <c r="H794" s="381">
        <v>202.36</v>
      </c>
    </row>
    <row r="795" spans="1:8" s="295" customFormat="1" x14ac:dyDescent="0.15">
      <c r="A795" s="374" t="s">
        <v>1385</v>
      </c>
      <c r="B795" s="538">
        <v>7453</v>
      </c>
      <c r="C795" s="287" t="s">
        <v>1386</v>
      </c>
      <c r="D795" s="287" t="s">
        <v>1387</v>
      </c>
      <c r="E795" s="287">
        <v>1.95502</v>
      </c>
      <c r="F795" s="287">
        <v>152.5</v>
      </c>
      <c r="G795" s="543">
        <v>42738</v>
      </c>
      <c r="H795" s="381">
        <v>298.14</v>
      </c>
    </row>
    <row r="796" spans="1:8" s="295" customFormat="1" x14ac:dyDescent="0.15">
      <c r="A796" s="374" t="s">
        <v>1385</v>
      </c>
      <c r="B796" s="538">
        <v>8187</v>
      </c>
      <c r="C796" s="287" t="s">
        <v>1386</v>
      </c>
      <c r="D796" s="287" t="s">
        <v>1387</v>
      </c>
      <c r="E796" s="287">
        <v>1.875</v>
      </c>
      <c r="F796" s="287">
        <v>99.2</v>
      </c>
      <c r="G796" s="543">
        <v>42745</v>
      </c>
      <c r="H796" s="381">
        <v>186</v>
      </c>
    </row>
    <row r="797" spans="1:8" s="295" customFormat="1" x14ac:dyDescent="0.15">
      <c r="A797" s="374" t="s">
        <v>1385</v>
      </c>
      <c r="B797" s="538">
        <v>8688</v>
      </c>
      <c r="C797" s="287" t="s">
        <v>1386</v>
      </c>
      <c r="D797" s="287" t="s">
        <v>1387</v>
      </c>
      <c r="E797" s="287">
        <v>1.87995</v>
      </c>
      <c r="F797" s="287">
        <v>87.8</v>
      </c>
      <c r="G797" s="543">
        <v>42753</v>
      </c>
      <c r="H797" s="381">
        <v>165.06</v>
      </c>
    </row>
    <row r="798" spans="1:8" s="295" customFormat="1" x14ac:dyDescent="0.15">
      <c r="A798" s="374" t="s">
        <v>1385</v>
      </c>
      <c r="B798" s="538">
        <v>9178</v>
      </c>
      <c r="C798" s="287" t="s">
        <v>1386</v>
      </c>
      <c r="D798" s="287" t="s">
        <v>1387</v>
      </c>
      <c r="E798" s="287">
        <v>1.8684799999999999</v>
      </c>
      <c r="F798" s="287">
        <v>136.1</v>
      </c>
      <c r="G798" s="543">
        <v>42766</v>
      </c>
      <c r="H798" s="381">
        <v>254.3</v>
      </c>
    </row>
    <row r="799" spans="1:8" s="295" customFormat="1" x14ac:dyDescent="0.15">
      <c r="A799" s="374" t="s">
        <v>1417</v>
      </c>
      <c r="B799" s="538">
        <v>8827</v>
      </c>
      <c r="C799" s="287" t="s">
        <v>1418</v>
      </c>
      <c r="D799" s="287" t="s">
        <v>1419</v>
      </c>
      <c r="E799" s="287">
        <v>1.83501</v>
      </c>
      <c r="F799" s="287">
        <v>384.8</v>
      </c>
      <c r="G799" s="543">
        <v>42765</v>
      </c>
      <c r="H799" s="381">
        <v>706.11</v>
      </c>
    </row>
    <row r="800" spans="1:8" s="295" customFormat="1" ht="14" thickBot="1" x14ac:dyDescent="0.2">
      <c r="A800" s="548"/>
      <c r="B800" s="474"/>
      <c r="C800" s="291" t="s">
        <v>1168</v>
      </c>
      <c r="D800" s="293"/>
      <c r="E800" s="293"/>
      <c r="F800" s="291">
        <f>SUM(F789:F799)</f>
        <v>1916.6999999999998</v>
      </c>
      <c r="G800" s="543"/>
      <c r="H800" s="389">
        <v>3628.3399999999997</v>
      </c>
    </row>
    <row r="801" spans="1:8" s="295" customFormat="1" ht="14" thickTop="1" x14ac:dyDescent="0.15">
      <c r="A801" s="374"/>
      <c r="B801" s="538"/>
      <c r="C801" s="287"/>
      <c r="D801" s="287"/>
      <c r="E801" s="287"/>
      <c r="F801" s="287"/>
      <c r="G801" s="543"/>
      <c r="H801" s="549"/>
    </row>
    <row r="802" spans="1:8" s="295" customFormat="1" x14ac:dyDescent="0.15">
      <c r="A802" s="374"/>
      <c r="B802" s="538"/>
      <c r="C802" s="287"/>
      <c r="D802" s="378" t="s">
        <v>1407</v>
      </c>
      <c r="E802" s="287"/>
      <c r="F802" s="287"/>
      <c r="G802" s="543"/>
      <c r="H802" s="549"/>
    </row>
    <row r="803" spans="1:8" s="295" customFormat="1" x14ac:dyDescent="0.15">
      <c r="A803" s="374"/>
      <c r="B803" s="538"/>
      <c r="C803" s="287"/>
      <c r="D803" s="378" t="s">
        <v>1408</v>
      </c>
      <c r="E803" s="287"/>
      <c r="F803" s="287"/>
      <c r="G803" s="543"/>
      <c r="H803" s="549"/>
    </row>
    <row r="804" spans="1:8" s="295" customFormat="1" x14ac:dyDescent="0.15">
      <c r="A804" s="409"/>
      <c r="B804" s="557"/>
      <c r="C804" s="410"/>
      <c r="D804" s="558">
        <v>42766</v>
      </c>
      <c r="E804" s="410"/>
      <c r="F804" s="410"/>
      <c r="G804" s="553"/>
      <c r="H804" s="559"/>
    </row>
    <row r="805" spans="1:8" s="295" customFormat="1" x14ac:dyDescent="0.15">
      <c r="G805" s="539"/>
    </row>
    <row r="806" spans="1:8" s="295" customFormat="1" x14ac:dyDescent="0.15">
      <c r="A806" s="370" t="s">
        <v>1376</v>
      </c>
      <c r="B806" s="540">
        <v>10073</v>
      </c>
      <c r="C806" s="371" t="s">
        <v>1410</v>
      </c>
      <c r="D806" s="371" t="s">
        <v>1378</v>
      </c>
      <c r="E806" s="371">
        <v>1.8935</v>
      </c>
      <c r="F806" s="371">
        <v>284.60000000000002</v>
      </c>
      <c r="G806" s="542">
        <v>42789</v>
      </c>
      <c r="H806" s="391">
        <v>538.89</v>
      </c>
    </row>
    <row r="807" spans="1:8" s="295" customFormat="1" x14ac:dyDescent="0.15">
      <c r="A807" s="374" t="s">
        <v>1382</v>
      </c>
      <c r="B807" s="538">
        <v>10072</v>
      </c>
      <c r="C807" s="287" t="s">
        <v>1383</v>
      </c>
      <c r="D807" s="287" t="s">
        <v>1384</v>
      </c>
      <c r="E807" s="287">
        <v>1.89351</v>
      </c>
      <c r="F807" s="287">
        <v>204.9</v>
      </c>
      <c r="G807" s="543">
        <v>42789</v>
      </c>
      <c r="H807" s="381">
        <v>387.98</v>
      </c>
    </row>
    <row r="808" spans="1:8" s="295" customFormat="1" x14ac:dyDescent="0.15">
      <c r="A808" s="374" t="s">
        <v>1385</v>
      </c>
      <c r="B808" s="538">
        <v>9860</v>
      </c>
      <c r="C808" s="287" t="s">
        <v>1386</v>
      </c>
      <c r="D808" s="287" t="s">
        <v>1387</v>
      </c>
      <c r="E808" s="287">
        <v>1.8740399999999999</v>
      </c>
      <c r="F808" s="287">
        <v>89</v>
      </c>
      <c r="G808" s="543">
        <v>42773</v>
      </c>
      <c r="H808" s="381">
        <v>166.79</v>
      </c>
    </row>
    <row r="809" spans="1:8" s="295" customFormat="1" x14ac:dyDescent="0.15">
      <c r="A809" s="374" t="s">
        <v>1385</v>
      </c>
      <c r="B809" s="538">
        <v>10264</v>
      </c>
      <c r="C809" s="287" t="s">
        <v>1386</v>
      </c>
      <c r="D809" s="287" t="s">
        <v>1387</v>
      </c>
      <c r="E809" s="287">
        <v>1.8934899999999999</v>
      </c>
      <c r="F809" s="287">
        <v>184.2</v>
      </c>
      <c r="G809" s="543">
        <v>42789</v>
      </c>
      <c r="H809" s="381">
        <v>348.78</v>
      </c>
    </row>
    <row r="810" spans="1:8" s="295" customFormat="1" x14ac:dyDescent="0.15">
      <c r="A810" s="374" t="s">
        <v>1417</v>
      </c>
      <c r="B810" s="538">
        <v>10724</v>
      </c>
      <c r="C810" s="287" t="s">
        <v>1418</v>
      </c>
      <c r="D810" s="287" t="s">
        <v>1419</v>
      </c>
      <c r="E810" s="287">
        <v>1.8934899999999999</v>
      </c>
      <c r="F810" s="287">
        <v>302.60000000000002</v>
      </c>
      <c r="G810" s="543">
        <v>42789</v>
      </c>
      <c r="H810" s="381">
        <v>572.97</v>
      </c>
    </row>
    <row r="811" spans="1:8" s="295" customFormat="1" ht="14" thickBot="1" x14ac:dyDescent="0.2">
      <c r="A811" s="548"/>
      <c r="B811" s="474"/>
      <c r="C811" s="291" t="s">
        <v>1169</v>
      </c>
      <c r="D811" s="293"/>
      <c r="E811" s="293"/>
      <c r="F811" s="291">
        <f>SUM(F806:F810)</f>
        <v>1065.3000000000002</v>
      </c>
      <c r="G811" s="543"/>
      <c r="H811" s="389">
        <v>2015.41</v>
      </c>
    </row>
    <row r="812" spans="1:8" s="295" customFormat="1" ht="14" thickTop="1" x14ac:dyDescent="0.15">
      <c r="A812" s="374"/>
      <c r="B812" s="538"/>
      <c r="C812" s="287"/>
      <c r="D812" s="287"/>
      <c r="E812" s="287"/>
      <c r="F812" s="287"/>
      <c r="G812" s="543"/>
      <c r="H812" s="549"/>
    </row>
    <row r="813" spans="1:8" s="295" customFormat="1" x14ac:dyDescent="0.15">
      <c r="A813" s="374"/>
      <c r="B813" s="538"/>
      <c r="C813" s="287"/>
      <c r="D813" s="378" t="s">
        <v>1407</v>
      </c>
      <c r="E813" s="287"/>
      <c r="F813" s="287"/>
      <c r="G813" s="543"/>
      <c r="H813" s="549"/>
    </row>
    <row r="814" spans="1:8" s="295" customFormat="1" x14ac:dyDescent="0.15">
      <c r="A814" s="374"/>
      <c r="B814" s="538"/>
      <c r="C814" s="287"/>
      <c r="D814" s="378" t="s">
        <v>1408</v>
      </c>
      <c r="E814" s="287"/>
      <c r="F814" s="287"/>
      <c r="G814" s="543"/>
      <c r="H814" s="549"/>
    </row>
    <row r="815" spans="1:8" s="295" customFormat="1" x14ac:dyDescent="0.15">
      <c r="A815" s="409"/>
      <c r="B815" s="557"/>
      <c r="C815" s="410"/>
      <c r="D815" s="558">
        <v>42794</v>
      </c>
      <c r="E815" s="410"/>
      <c r="F815" s="410"/>
      <c r="G815" s="553"/>
      <c r="H815" s="559"/>
    </row>
    <row r="816" spans="1:8" s="295" customFormat="1" x14ac:dyDescent="0.15">
      <c r="E816" s="564"/>
      <c r="G816" s="539"/>
    </row>
    <row r="817" spans="1:8" s="295" customFormat="1" x14ac:dyDescent="0.15">
      <c r="A817" s="370" t="s">
        <v>1376</v>
      </c>
      <c r="B817" s="540">
        <v>11333</v>
      </c>
      <c r="C817" s="371" t="s">
        <v>1410</v>
      </c>
      <c r="D817" s="371" t="s">
        <v>1378</v>
      </c>
      <c r="E817" s="565">
        <v>1.8665400000000001</v>
      </c>
      <c r="F817" s="371">
        <v>107</v>
      </c>
      <c r="G817" s="542">
        <v>42800</v>
      </c>
      <c r="H817" s="391">
        <v>199.72</v>
      </c>
    </row>
    <row r="818" spans="1:8" s="295" customFormat="1" x14ac:dyDescent="0.15">
      <c r="A818" s="374" t="s">
        <v>1376</v>
      </c>
      <c r="B818" s="538">
        <v>11951</v>
      </c>
      <c r="C818" s="287" t="s">
        <v>1410</v>
      </c>
      <c r="D818" s="287" t="s">
        <v>1378</v>
      </c>
      <c r="E818" s="565">
        <v>1.7900100000000001</v>
      </c>
      <c r="F818" s="287">
        <v>195.1</v>
      </c>
      <c r="G818" s="543">
        <v>42815</v>
      </c>
      <c r="H818" s="381">
        <v>349.23</v>
      </c>
    </row>
    <row r="819" spans="1:8" s="295" customFormat="1" x14ac:dyDescent="0.15">
      <c r="A819" s="374" t="s">
        <v>1382</v>
      </c>
      <c r="B819" s="538">
        <v>11331</v>
      </c>
      <c r="C819" s="287" t="s">
        <v>1383</v>
      </c>
      <c r="D819" s="287" t="s">
        <v>1384</v>
      </c>
      <c r="E819" s="565">
        <v>1.8665</v>
      </c>
      <c r="F819" s="287">
        <v>58.8</v>
      </c>
      <c r="G819" s="543">
        <v>42800</v>
      </c>
      <c r="H819" s="381">
        <v>109.75</v>
      </c>
    </row>
    <row r="820" spans="1:8" s="295" customFormat="1" x14ac:dyDescent="0.15">
      <c r="A820" s="374" t="s">
        <v>1382</v>
      </c>
      <c r="B820" s="538">
        <v>11950</v>
      </c>
      <c r="C820" s="287" t="s">
        <v>1383</v>
      </c>
      <c r="D820" s="287" t="s">
        <v>1384</v>
      </c>
      <c r="E820" s="565">
        <v>1.7900400000000001</v>
      </c>
      <c r="F820" s="287">
        <v>136.5</v>
      </c>
      <c r="G820" s="543">
        <v>42815</v>
      </c>
      <c r="H820" s="381">
        <v>244.34</v>
      </c>
    </row>
    <row r="821" spans="1:8" s="295" customFormat="1" x14ac:dyDescent="0.15">
      <c r="A821" s="374" t="s">
        <v>1385</v>
      </c>
      <c r="B821" s="538">
        <v>11188</v>
      </c>
      <c r="C821" s="287" t="s">
        <v>1386</v>
      </c>
      <c r="D821" s="287" t="s">
        <v>1387</v>
      </c>
      <c r="E821" s="565">
        <v>1.8665099999999999</v>
      </c>
      <c r="F821" s="287">
        <v>103.6</v>
      </c>
      <c r="G821" s="543">
        <v>42800</v>
      </c>
      <c r="H821" s="381">
        <v>193.37</v>
      </c>
    </row>
    <row r="822" spans="1:8" s="295" customFormat="1" x14ac:dyDescent="0.15">
      <c r="A822" s="374" t="s">
        <v>1385</v>
      </c>
      <c r="B822" s="538">
        <v>11782</v>
      </c>
      <c r="C822" s="287" t="s">
        <v>1386</v>
      </c>
      <c r="D822" s="287" t="s">
        <v>1387</v>
      </c>
      <c r="E822" s="565">
        <v>1.7899799999999999</v>
      </c>
      <c r="F822" s="287">
        <v>177.6</v>
      </c>
      <c r="G822" s="543">
        <v>42815</v>
      </c>
      <c r="H822" s="381">
        <v>317.89999999999998</v>
      </c>
    </row>
    <row r="823" spans="1:8" s="295" customFormat="1" ht="14" thickBot="1" x14ac:dyDescent="0.2">
      <c r="A823" s="548"/>
      <c r="B823" s="474"/>
      <c r="C823" s="291" t="s">
        <v>1171</v>
      </c>
      <c r="D823" s="293"/>
      <c r="E823" s="293"/>
      <c r="F823" s="291">
        <f>SUM(F817:F822)</f>
        <v>778.6</v>
      </c>
      <c r="G823" s="543"/>
      <c r="H823" s="389">
        <v>1414.31</v>
      </c>
    </row>
    <row r="824" spans="1:8" s="295" customFormat="1" ht="14" thickTop="1" x14ac:dyDescent="0.15">
      <c r="A824" s="374"/>
      <c r="B824" s="538"/>
      <c r="C824" s="287"/>
      <c r="D824" s="287"/>
      <c r="E824" s="287"/>
      <c r="F824" s="287"/>
      <c r="G824" s="543"/>
      <c r="H824" s="549"/>
    </row>
    <row r="825" spans="1:8" s="295" customFormat="1" x14ac:dyDescent="0.15">
      <c r="A825" s="374"/>
      <c r="B825" s="538"/>
      <c r="C825" s="287"/>
      <c r="D825" s="378" t="s">
        <v>1407</v>
      </c>
      <c r="E825" s="287"/>
      <c r="F825" s="287"/>
      <c r="G825" s="543"/>
      <c r="H825" s="549"/>
    </row>
    <row r="826" spans="1:8" s="295" customFormat="1" x14ac:dyDescent="0.15">
      <c r="A826" s="374"/>
      <c r="B826" s="538"/>
      <c r="C826" s="287"/>
      <c r="D826" s="378" t="s">
        <v>1408</v>
      </c>
      <c r="E826" s="287"/>
      <c r="F826" s="287"/>
      <c r="G826" s="543"/>
      <c r="H826" s="549"/>
    </row>
    <row r="827" spans="1:8" s="295" customFormat="1" x14ac:dyDescent="0.15">
      <c r="A827" s="409"/>
      <c r="B827" s="557"/>
      <c r="C827" s="410"/>
      <c r="D827" s="558">
        <v>42825</v>
      </c>
      <c r="E827" s="410"/>
      <c r="F827" s="410"/>
      <c r="G827" s="553"/>
      <c r="H827" s="559"/>
    </row>
    <row r="828" spans="1:8" s="295" customFormat="1" x14ac:dyDescent="0.15">
      <c r="G828" s="539"/>
    </row>
    <row r="829" spans="1:8" s="295" customFormat="1" x14ac:dyDescent="0.15">
      <c r="A829" s="370" t="s">
        <v>1376</v>
      </c>
      <c r="B829" s="540">
        <v>12952</v>
      </c>
      <c r="C829" s="371" t="s">
        <v>1410</v>
      </c>
      <c r="D829" s="371" t="s">
        <v>1378</v>
      </c>
      <c r="E829" s="371">
        <v>1.91</v>
      </c>
      <c r="F829" s="371">
        <v>171.9</v>
      </c>
      <c r="G829" s="542">
        <v>42836</v>
      </c>
      <c r="H829" s="391">
        <v>328.33</v>
      </c>
    </row>
    <row r="830" spans="1:8" s="295" customFormat="1" x14ac:dyDescent="0.15">
      <c r="A830" s="374" t="s">
        <v>1382</v>
      </c>
      <c r="B830" s="538">
        <v>12951</v>
      </c>
      <c r="C830" s="287" t="s">
        <v>1383</v>
      </c>
      <c r="D830" s="287" t="s">
        <v>1384</v>
      </c>
      <c r="E830" s="287">
        <v>1.91</v>
      </c>
      <c r="F830" s="287">
        <v>137.9</v>
      </c>
      <c r="G830" s="543">
        <v>42836</v>
      </c>
      <c r="H830" s="381">
        <v>263.39</v>
      </c>
    </row>
    <row r="831" spans="1:8" s="295" customFormat="1" x14ac:dyDescent="0.15">
      <c r="A831" s="374" t="s">
        <v>1385</v>
      </c>
      <c r="B831" s="538">
        <v>12732</v>
      </c>
      <c r="C831" s="287" t="s">
        <v>1386</v>
      </c>
      <c r="D831" s="287" t="s">
        <v>1387</v>
      </c>
      <c r="E831" s="287">
        <v>1.91</v>
      </c>
      <c r="F831" s="287">
        <v>187.8</v>
      </c>
      <c r="G831" s="543">
        <v>42836</v>
      </c>
      <c r="H831" s="381">
        <v>358.7</v>
      </c>
    </row>
    <row r="832" spans="1:8" s="295" customFormat="1" x14ac:dyDescent="0.15">
      <c r="A832" s="374" t="s">
        <v>1417</v>
      </c>
      <c r="B832" s="538">
        <v>13115</v>
      </c>
      <c r="C832" s="287" t="s">
        <v>1418</v>
      </c>
      <c r="D832" s="287" t="s">
        <v>1419</v>
      </c>
      <c r="E832" s="287">
        <v>1.87</v>
      </c>
      <c r="F832" s="287">
        <v>306</v>
      </c>
      <c r="G832" s="543">
        <v>42831</v>
      </c>
      <c r="H832" s="381">
        <v>572.22</v>
      </c>
    </row>
    <row r="833" spans="1:8" s="295" customFormat="1" ht="14" thickBot="1" x14ac:dyDescent="0.2">
      <c r="A833" s="548"/>
      <c r="B833" s="474"/>
      <c r="C833" s="291" t="s">
        <v>1172</v>
      </c>
      <c r="D833" s="293"/>
      <c r="E833" s="293"/>
      <c r="F833" s="291">
        <f>SUM(F829:F832)</f>
        <v>803.6</v>
      </c>
      <c r="G833" s="543"/>
      <c r="H833" s="389">
        <v>1522.6399999999999</v>
      </c>
    </row>
    <row r="834" spans="1:8" s="295" customFormat="1" ht="14" thickTop="1" x14ac:dyDescent="0.15">
      <c r="A834" s="374"/>
      <c r="B834" s="538"/>
      <c r="C834" s="287"/>
      <c r="D834" s="287"/>
      <c r="E834" s="287"/>
      <c r="F834" s="287"/>
      <c r="G834" s="543"/>
      <c r="H834" s="549"/>
    </row>
    <row r="835" spans="1:8" s="295" customFormat="1" x14ac:dyDescent="0.15">
      <c r="A835" s="374"/>
      <c r="B835" s="538"/>
      <c r="C835" s="287"/>
      <c r="D835" s="378" t="s">
        <v>1407</v>
      </c>
      <c r="E835" s="287"/>
      <c r="F835" s="287"/>
      <c r="G835" s="543"/>
      <c r="H835" s="549"/>
    </row>
    <row r="836" spans="1:8" s="295" customFormat="1" x14ac:dyDescent="0.15">
      <c r="A836" s="374"/>
      <c r="B836" s="538"/>
      <c r="C836" s="287"/>
      <c r="D836" s="378" t="s">
        <v>1408</v>
      </c>
      <c r="E836" s="287"/>
      <c r="F836" s="287"/>
      <c r="G836" s="543"/>
      <c r="H836" s="549"/>
    </row>
    <row r="837" spans="1:8" s="295" customFormat="1" x14ac:dyDescent="0.15">
      <c r="A837" s="409"/>
      <c r="B837" s="557"/>
      <c r="C837" s="410"/>
      <c r="D837" s="558">
        <v>42855</v>
      </c>
      <c r="E837" s="410"/>
      <c r="F837" s="410"/>
      <c r="G837" s="553"/>
      <c r="H837" s="559"/>
    </row>
    <row r="838" spans="1:8" s="295" customFormat="1" x14ac:dyDescent="0.15">
      <c r="G838" s="539"/>
    </row>
    <row r="839" spans="1:8" s="295" customFormat="1" x14ac:dyDescent="0.15">
      <c r="A839" s="370" t="s">
        <v>1376</v>
      </c>
      <c r="B839" s="540">
        <v>13689</v>
      </c>
      <c r="C839" s="371" t="s">
        <v>1410</v>
      </c>
      <c r="D839" s="371" t="s">
        <v>1378</v>
      </c>
      <c r="E839" s="371">
        <v>1.7124600000000001</v>
      </c>
      <c r="F839" s="371">
        <v>85.1</v>
      </c>
      <c r="G839" s="542">
        <v>42864</v>
      </c>
      <c r="H839" s="391">
        <v>145.72999999999999</v>
      </c>
    </row>
    <row r="840" spans="1:8" s="295" customFormat="1" x14ac:dyDescent="0.15">
      <c r="A840" s="374" t="s">
        <v>1382</v>
      </c>
      <c r="B840" s="538">
        <v>13688</v>
      </c>
      <c r="C840" s="287" t="s">
        <v>1383</v>
      </c>
      <c r="D840" s="287" t="s">
        <v>1384</v>
      </c>
      <c r="E840" s="287">
        <v>1.71245</v>
      </c>
      <c r="F840" s="287">
        <v>48.2</v>
      </c>
      <c r="G840" s="543">
        <v>42864</v>
      </c>
      <c r="H840" s="381">
        <v>82.54</v>
      </c>
    </row>
    <row r="841" spans="1:8" s="295" customFormat="1" x14ac:dyDescent="0.15">
      <c r="A841" s="374" t="s">
        <v>1385</v>
      </c>
      <c r="B841" s="538">
        <v>13511</v>
      </c>
      <c r="C841" s="287" t="s">
        <v>1386</v>
      </c>
      <c r="D841" s="287" t="s">
        <v>1387</v>
      </c>
      <c r="E841" s="287">
        <v>1.71254</v>
      </c>
      <c r="F841" s="287">
        <v>130.80000000000001</v>
      </c>
      <c r="G841" s="543">
        <v>42864</v>
      </c>
      <c r="H841" s="381">
        <v>224</v>
      </c>
    </row>
    <row r="842" spans="1:8" s="295" customFormat="1" ht="14" thickBot="1" x14ac:dyDescent="0.2">
      <c r="A842" s="548"/>
      <c r="B842" s="474"/>
      <c r="C842" s="291" t="s">
        <v>1173</v>
      </c>
      <c r="D842" s="293"/>
      <c r="E842" s="293"/>
      <c r="F842" s="291">
        <f>SUM(F839:F841)</f>
        <v>264.10000000000002</v>
      </c>
      <c r="G842" s="543"/>
      <c r="H842" s="389">
        <v>452.27000000000004</v>
      </c>
    </row>
    <row r="843" spans="1:8" s="295" customFormat="1" ht="14" thickTop="1" x14ac:dyDescent="0.15">
      <c r="A843" s="374"/>
      <c r="B843" s="538"/>
      <c r="C843" s="287"/>
      <c r="D843" s="287"/>
      <c r="E843" s="287"/>
      <c r="F843" s="287"/>
      <c r="G843" s="543"/>
      <c r="H843" s="549"/>
    </row>
    <row r="844" spans="1:8" s="295" customFormat="1" x14ac:dyDescent="0.15">
      <c r="A844" s="374"/>
      <c r="B844" s="538"/>
      <c r="C844" s="287"/>
      <c r="D844" s="378" t="s">
        <v>1407</v>
      </c>
      <c r="E844" s="287"/>
      <c r="F844" s="287"/>
      <c r="G844" s="543"/>
      <c r="H844" s="549"/>
    </row>
    <row r="845" spans="1:8" s="295" customFormat="1" x14ac:dyDescent="0.15">
      <c r="A845" s="374"/>
      <c r="B845" s="538"/>
      <c r="C845" s="287"/>
      <c r="D845" s="378" t="s">
        <v>1408</v>
      </c>
      <c r="E845" s="287"/>
      <c r="F845" s="287"/>
      <c r="G845" s="543"/>
      <c r="H845" s="549"/>
    </row>
    <row r="846" spans="1:8" s="295" customFormat="1" x14ac:dyDescent="0.15">
      <c r="A846" s="409"/>
      <c r="B846" s="557"/>
      <c r="C846" s="410"/>
      <c r="D846" s="558">
        <v>42886</v>
      </c>
      <c r="E846" s="410"/>
      <c r="F846" s="410"/>
      <c r="G846" s="553"/>
      <c r="H846" s="559"/>
    </row>
    <row r="847" spans="1:8" s="295" customFormat="1" x14ac:dyDescent="0.15">
      <c r="G847" s="539"/>
    </row>
    <row r="848" spans="1:8" s="295" customFormat="1" x14ac:dyDescent="0.15">
      <c r="A848" s="374" t="s">
        <v>1385</v>
      </c>
      <c r="B848" s="538">
        <v>9988</v>
      </c>
      <c r="C848" s="287" t="s">
        <v>1386</v>
      </c>
      <c r="D848" s="287" t="s">
        <v>1387</v>
      </c>
      <c r="E848" s="287">
        <v>0</v>
      </c>
      <c r="F848" s="287">
        <v>0</v>
      </c>
      <c r="G848" s="543">
        <v>42164</v>
      </c>
      <c r="H848" s="381">
        <v>0</v>
      </c>
    </row>
    <row r="849" spans="1:9" s="295" customFormat="1" ht="14" thickBot="1" x14ac:dyDescent="0.2">
      <c r="A849" s="548"/>
      <c r="B849" s="474"/>
      <c r="C849" s="291" t="s">
        <v>1174</v>
      </c>
      <c r="D849" s="293"/>
      <c r="E849" s="293"/>
      <c r="F849" s="291">
        <f>SUM(F848:F848)</f>
        <v>0</v>
      </c>
      <c r="G849" s="543"/>
      <c r="H849" s="389">
        <v>0</v>
      </c>
    </row>
    <row r="850" spans="1:9" s="295" customFormat="1" ht="14" thickTop="1" x14ac:dyDescent="0.15">
      <c r="A850" s="374"/>
      <c r="B850" s="538"/>
      <c r="C850" s="287"/>
      <c r="D850" s="287"/>
      <c r="E850" s="287"/>
      <c r="F850" s="287"/>
      <c r="G850" s="543"/>
      <c r="H850" s="549"/>
    </row>
    <row r="851" spans="1:9" s="295" customFormat="1" x14ac:dyDescent="0.15">
      <c r="A851" s="374"/>
      <c r="B851" s="538"/>
      <c r="C851" s="287"/>
      <c r="D851" s="378" t="s">
        <v>1407</v>
      </c>
      <c r="E851" s="287"/>
      <c r="F851" s="287"/>
      <c r="G851" s="543"/>
      <c r="H851" s="549"/>
    </row>
    <row r="852" spans="1:9" s="295" customFormat="1" x14ac:dyDescent="0.15">
      <c r="A852" s="374"/>
      <c r="B852" s="538"/>
      <c r="C852" s="287"/>
      <c r="D852" s="378" t="s">
        <v>1408</v>
      </c>
      <c r="E852" s="287"/>
      <c r="F852" s="287"/>
      <c r="G852" s="543"/>
      <c r="H852" s="549"/>
    </row>
    <row r="853" spans="1:9" s="295" customFormat="1" x14ac:dyDescent="0.15">
      <c r="A853" s="409"/>
      <c r="B853" s="557"/>
      <c r="C853" s="410"/>
      <c r="D853" s="558">
        <v>42916</v>
      </c>
      <c r="E853" s="410"/>
      <c r="F853" s="410"/>
      <c r="G853" s="553"/>
      <c r="H853" s="559"/>
    </row>
    <row r="854" spans="1:9" ht="14" thickBot="1" x14ac:dyDescent="0.2">
      <c r="B854" s="259"/>
      <c r="G854" s="556"/>
      <c r="I854" s="259"/>
    </row>
    <row r="855" spans="1:9" ht="31" thickBot="1" x14ac:dyDescent="0.35">
      <c r="A855" s="776" t="s">
        <v>1112</v>
      </c>
      <c r="B855" s="777"/>
      <c r="C855" s="777"/>
      <c r="D855" s="777"/>
      <c r="E855" s="777"/>
      <c r="F855" s="777"/>
      <c r="G855" s="777"/>
      <c r="H855" s="778"/>
      <c r="I855" s="259"/>
    </row>
    <row r="856" spans="1:9" x14ac:dyDescent="0.15">
      <c r="A856" s="300"/>
      <c r="B856" s="300"/>
      <c r="C856" s="300"/>
      <c r="D856" s="300"/>
      <c r="E856" s="300"/>
      <c r="F856" s="300"/>
      <c r="G856" s="556"/>
      <c r="H856" s="300"/>
      <c r="I856" s="259"/>
    </row>
    <row r="857" spans="1:9" s="300" customFormat="1" x14ac:dyDescent="0.15">
      <c r="A857" s="423" t="s">
        <v>1385</v>
      </c>
      <c r="B857" s="566">
        <v>14384</v>
      </c>
      <c r="C857" s="337" t="s">
        <v>1386</v>
      </c>
      <c r="D857" s="337" t="s">
        <v>1387</v>
      </c>
      <c r="E857" s="337">
        <v>1.65998</v>
      </c>
      <c r="F857" s="337">
        <v>126.2</v>
      </c>
      <c r="G857" s="567">
        <v>42927</v>
      </c>
      <c r="H857" s="425">
        <v>209.49</v>
      </c>
    </row>
    <row r="858" spans="1:9" s="300" customFormat="1" ht="14" thickBot="1" x14ac:dyDescent="0.2">
      <c r="A858" s="568"/>
      <c r="B858" s="480"/>
      <c r="C858" s="340" t="s">
        <v>1420</v>
      </c>
      <c r="D858" s="261"/>
      <c r="E858" s="261"/>
      <c r="F858" s="340">
        <f>SUM(F857:F857)</f>
        <v>126.2</v>
      </c>
      <c r="G858" s="567"/>
      <c r="H858" s="429">
        <f>SUM(H857)</f>
        <v>209.49</v>
      </c>
    </row>
    <row r="859" spans="1:9" s="300" customFormat="1" ht="14" thickTop="1" x14ac:dyDescent="0.15">
      <c r="A859" s="423"/>
      <c r="B859" s="566"/>
      <c r="C859" s="337"/>
      <c r="D859" s="337"/>
      <c r="E859" s="337"/>
      <c r="F859" s="337"/>
      <c r="G859" s="567"/>
      <c r="H859" s="569"/>
    </row>
    <row r="860" spans="1:9" s="300" customFormat="1" x14ac:dyDescent="0.15">
      <c r="A860" s="423"/>
      <c r="B860" s="566"/>
      <c r="C860" s="337"/>
      <c r="D860" s="430" t="s">
        <v>1407</v>
      </c>
      <c r="E860" s="337"/>
      <c r="F860" s="337"/>
      <c r="G860" s="567"/>
      <c r="H860" s="569"/>
    </row>
    <row r="861" spans="1:9" s="300" customFormat="1" x14ac:dyDescent="0.15">
      <c r="A861" s="423"/>
      <c r="B861" s="566"/>
      <c r="C861" s="337"/>
      <c r="D861" s="430" t="s">
        <v>1408</v>
      </c>
      <c r="E861" s="337"/>
      <c r="F861" s="337"/>
      <c r="G861" s="567"/>
      <c r="H861" s="569"/>
    </row>
    <row r="862" spans="1:9" s="300" customFormat="1" x14ac:dyDescent="0.15">
      <c r="A862" s="435"/>
      <c r="B862" s="570"/>
      <c r="C862" s="436"/>
      <c r="D862" s="571">
        <v>42947</v>
      </c>
      <c r="E862" s="436"/>
      <c r="F862" s="436"/>
      <c r="G862" s="572"/>
      <c r="H862" s="573"/>
    </row>
    <row r="863" spans="1:9" x14ac:dyDescent="0.15">
      <c r="A863" s="535"/>
      <c r="B863" s="535"/>
      <c r="C863" s="535"/>
      <c r="D863" s="535"/>
      <c r="E863" s="535"/>
      <c r="F863" s="535"/>
      <c r="G863" s="574"/>
      <c r="H863" s="535"/>
      <c r="I863" s="259"/>
    </row>
    <row r="864" spans="1:9" x14ac:dyDescent="0.15">
      <c r="A864" s="444" t="s">
        <v>1417</v>
      </c>
      <c r="B864" s="575">
        <v>3706</v>
      </c>
      <c r="C864" s="445" t="s">
        <v>1418</v>
      </c>
      <c r="D864" s="445" t="s">
        <v>1419</v>
      </c>
      <c r="E864" s="445">
        <v>1.6395</v>
      </c>
      <c r="F864" s="445">
        <v>216.2</v>
      </c>
      <c r="G864" s="576">
        <v>42634</v>
      </c>
      <c r="H864" s="447">
        <v>354.46</v>
      </c>
      <c r="I864" s="259"/>
    </row>
    <row r="865" spans="1:9" ht="14" thickBot="1" x14ac:dyDescent="0.2">
      <c r="A865" s="577"/>
      <c r="B865" s="501"/>
      <c r="C865" s="313" t="s">
        <v>1317</v>
      </c>
      <c r="D865" s="345"/>
      <c r="E865" s="345"/>
      <c r="F865" s="313">
        <f>SUM(F864:F864)</f>
        <v>216.2</v>
      </c>
      <c r="G865" s="576"/>
      <c r="H865" s="451">
        <f>SUM(H864)</f>
        <v>354.46</v>
      </c>
      <c r="I865" s="259"/>
    </row>
    <row r="866" spans="1:9" ht="14" thickTop="1" x14ac:dyDescent="0.15">
      <c r="A866" s="444"/>
      <c r="B866" s="575"/>
      <c r="C866" s="445"/>
      <c r="D866" s="445"/>
      <c r="E866" s="445"/>
      <c r="F866" s="445"/>
      <c r="G866" s="576"/>
      <c r="H866" s="578"/>
      <c r="I866" s="259"/>
    </row>
    <row r="867" spans="1:9" x14ac:dyDescent="0.15">
      <c r="A867" s="444"/>
      <c r="B867" s="575"/>
      <c r="C867" s="445"/>
      <c r="D867" s="452" t="s">
        <v>1407</v>
      </c>
      <c r="E867" s="445"/>
      <c r="F867" s="445"/>
      <c r="G867" s="576"/>
      <c r="H867" s="578"/>
      <c r="I867" s="259"/>
    </row>
    <row r="868" spans="1:9" x14ac:dyDescent="0.15">
      <c r="A868" s="444"/>
      <c r="B868" s="575"/>
      <c r="C868" s="445"/>
      <c r="D868" s="452" t="s">
        <v>1408</v>
      </c>
      <c r="E868" s="445"/>
      <c r="F868" s="445"/>
      <c r="G868" s="576"/>
      <c r="H868" s="578"/>
      <c r="I868" s="259"/>
    </row>
    <row r="869" spans="1:9" x14ac:dyDescent="0.15">
      <c r="A869" s="454"/>
      <c r="B869" s="579"/>
      <c r="C869" s="455"/>
      <c r="D869" s="580">
        <v>43008</v>
      </c>
      <c r="E869" s="455"/>
      <c r="F869" s="455"/>
      <c r="G869" s="581"/>
      <c r="H869" s="582"/>
      <c r="I869" s="259"/>
    </row>
    <row r="870" spans="1:9" x14ac:dyDescent="0.15">
      <c r="A870" s="444"/>
      <c r="B870" s="575"/>
      <c r="C870" s="445"/>
      <c r="D870" s="453"/>
      <c r="E870" s="445"/>
      <c r="F870" s="445"/>
      <c r="G870" s="576"/>
      <c r="H870" s="578"/>
      <c r="I870" s="259"/>
    </row>
    <row r="871" spans="1:9" x14ac:dyDescent="0.15">
      <c r="A871" s="444" t="s">
        <v>1376</v>
      </c>
      <c r="B871" s="575">
        <v>1942</v>
      </c>
      <c r="C871" s="445" t="s">
        <v>1410</v>
      </c>
      <c r="D871" s="445" t="s">
        <v>1378</v>
      </c>
      <c r="E871" s="445">
        <v>1.7990200000000001</v>
      </c>
      <c r="F871" s="445">
        <v>152.9</v>
      </c>
      <c r="G871" s="576">
        <v>42655</v>
      </c>
      <c r="H871" s="447">
        <v>275.07</v>
      </c>
      <c r="I871" s="259"/>
    </row>
    <row r="872" spans="1:9" x14ac:dyDescent="0.15">
      <c r="A872" s="444" t="s">
        <v>1385</v>
      </c>
      <c r="B872" s="575">
        <v>2972</v>
      </c>
      <c r="C872" s="445" t="s">
        <v>1386</v>
      </c>
      <c r="D872" s="445" t="s">
        <v>1387</v>
      </c>
      <c r="E872" s="445">
        <v>1.7989999999999999</v>
      </c>
      <c r="F872" s="445">
        <v>170</v>
      </c>
      <c r="G872" s="576">
        <v>42655</v>
      </c>
      <c r="H872" s="447">
        <v>305.83</v>
      </c>
      <c r="I872" s="259"/>
    </row>
    <row r="873" spans="1:9" x14ac:dyDescent="0.15">
      <c r="A873" s="444" t="s">
        <v>1382</v>
      </c>
      <c r="B873" s="575">
        <v>1941</v>
      </c>
      <c r="C873" s="445" t="s">
        <v>1383</v>
      </c>
      <c r="D873" s="445" t="s">
        <v>1384</v>
      </c>
      <c r="E873" s="445">
        <v>1.79904</v>
      </c>
      <c r="F873" s="445">
        <v>73.2</v>
      </c>
      <c r="G873" s="576">
        <v>42655</v>
      </c>
      <c r="H873" s="447">
        <v>131.69</v>
      </c>
      <c r="I873" s="259"/>
    </row>
    <row r="874" spans="1:9" ht="14" thickBot="1" x14ac:dyDescent="0.2">
      <c r="A874" s="577"/>
      <c r="B874" s="501"/>
      <c r="C874" s="313" t="s">
        <v>1154</v>
      </c>
      <c r="D874" s="345"/>
      <c r="E874" s="345"/>
      <c r="F874" s="313">
        <f>SUM(F871:F873)</f>
        <v>396.09999999999997</v>
      </c>
      <c r="G874" s="576"/>
      <c r="H874" s="451">
        <f>SUM(H871:H873)</f>
        <v>712.58999999999992</v>
      </c>
      <c r="I874" s="259"/>
    </row>
    <row r="875" spans="1:9" ht="14" thickTop="1" x14ac:dyDescent="0.15">
      <c r="A875" s="444"/>
      <c r="B875" s="575"/>
      <c r="C875" s="445"/>
      <c r="D875" s="445"/>
      <c r="E875" s="445"/>
      <c r="F875" s="445"/>
      <c r="G875" s="576"/>
      <c r="H875" s="578"/>
      <c r="I875" s="259"/>
    </row>
    <row r="876" spans="1:9" x14ac:dyDescent="0.15">
      <c r="A876" s="444"/>
      <c r="B876" s="575"/>
      <c r="C876" s="445"/>
      <c r="D876" s="452" t="s">
        <v>1407</v>
      </c>
      <c r="E876" s="445"/>
      <c r="F876" s="445"/>
      <c r="G876" s="576"/>
      <c r="H876" s="578"/>
      <c r="I876" s="259"/>
    </row>
    <row r="877" spans="1:9" x14ac:dyDescent="0.15">
      <c r="A877" s="444"/>
      <c r="B877" s="575"/>
      <c r="C877" s="445"/>
      <c r="D877" s="452" t="s">
        <v>1408</v>
      </c>
      <c r="E877" s="445"/>
      <c r="F877" s="445"/>
      <c r="G877" s="576"/>
      <c r="H877" s="578"/>
      <c r="I877" s="259"/>
    </row>
    <row r="878" spans="1:9" x14ac:dyDescent="0.15">
      <c r="A878" s="454"/>
      <c r="B878" s="579"/>
      <c r="C878" s="455"/>
      <c r="D878" s="580">
        <v>43039</v>
      </c>
      <c r="E878" s="455"/>
      <c r="F878" s="455"/>
      <c r="G878" s="581"/>
      <c r="H878" s="582"/>
      <c r="I878" s="259"/>
    </row>
    <row r="879" spans="1:9" x14ac:dyDescent="0.15">
      <c r="A879" s="535"/>
      <c r="B879" s="535"/>
      <c r="C879" s="535"/>
      <c r="D879" s="535"/>
      <c r="E879" s="535"/>
      <c r="F879" s="535"/>
      <c r="G879" s="574"/>
      <c r="H879" s="535"/>
      <c r="I879" s="259"/>
    </row>
    <row r="880" spans="1:9" x14ac:dyDescent="0.15">
      <c r="A880" s="444" t="s">
        <v>1376</v>
      </c>
      <c r="B880" s="575">
        <v>4341</v>
      </c>
      <c r="C880" s="445" t="s">
        <v>1410</v>
      </c>
      <c r="D880" s="445" t="s">
        <v>1378</v>
      </c>
      <c r="E880" s="445">
        <v>1.6470400000000001</v>
      </c>
      <c r="F880" s="445">
        <v>125</v>
      </c>
      <c r="G880" s="576">
        <v>42681</v>
      </c>
      <c r="H880" s="447">
        <v>205.88</v>
      </c>
      <c r="I880" s="259"/>
    </row>
    <row r="881" spans="1:9" x14ac:dyDescent="0.15">
      <c r="A881" s="444" t="s">
        <v>1376</v>
      </c>
      <c r="B881" s="575">
        <v>5420</v>
      </c>
      <c r="C881" s="445" t="s">
        <v>1410</v>
      </c>
      <c r="D881" s="445" t="s">
        <v>1378</v>
      </c>
      <c r="E881" s="445">
        <v>1.75102</v>
      </c>
      <c r="F881" s="445">
        <v>108</v>
      </c>
      <c r="G881" s="576">
        <v>42696</v>
      </c>
      <c r="H881" s="447">
        <v>189.11</v>
      </c>
      <c r="I881" s="259"/>
    </row>
    <row r="882" spans="1:9" x14ac:dyDescent="0.15">
      <c r="A882" s="444" t="s">
        <v>1382</v>
      </c>
      <c r="B882" s="575">
        <v>4340</v>
      </c>
      <c r="C882" s="445" t="s">
        <v>1383</v>
      </c>
      <c r="D882" s="445" t="s">
        <v>1384</v>
      </c>
      <c r="E882" s="445">
        <v>1.6407099999999999</v>
      </c>
      <c r="F882" s="445">
        <v>91.9</v>
      </c>
      <c r="G882" s="576">
        <v>42681</v>
      </c>
      <c r="H882" s="447">
        <v>151.36000000000001</v>
      </c>
      <c r="I882" s="259"/>
    </row>
    <row r="883" spans="1:9" x14ac:dyDescent="0.15">
      <c r="A883" s="444" t="s">
        <v>1382</v>
      </c>
      <c r="B883" s="575">
        <v>5419</v>
      </c>
      <c r="C883" s="445" t="s">
        <v>1383</v>
      </c>
      <c r="D883" s="445" t="s">
        <v>1384</v>
      </c>
      <c r="E883" s="445">
        <v>1.7509600000000001</v>
      </c>
      <c r="F883" s="445">
        <v>88.7</v>
      </c>
      <c r="G883" s="576">
        <v>42696</v>
      </c>
      <c r="H883" s="447">
        <v>155.31</v>
      </c>
      <c r="I883" s="259"/>
    </row>
    <row r="884" spans="1:9" x14ac:dyDescent="0.15">
      <c r="A884" s="444" t="s">
        <v>1385</v>
      </c>
      <c r="B884" s="575">
        <v>4242</v>
      </c>
      <c r="C884" s="445" t="s">
        <v>1386</v>
      </c>
      <c r="D884" s="445" t="s">
        <v>1387</v>
      </c>
      <c r="E884" s="445">
        <v>1.6469800000000001</v>
      </c>
      <c r="F884" s="445">
        <v>144.1</v>
      </c>
      <c r="G884" s="576">
        <v>42681</v>
      </c>
      <c r="H884" s="447">
        <v>237.33</v>
      </c>
      <c r="I884" s="259"/>
    </row>
    <row r="885" spans="1:9" x14ac:dyDescent="0.15">
      <c r="A885" s="444" t="s">
        <v>1385</v>
      </c>
      <c r="B885" s="575">
        <v>5244</v>
      </c>
      <c r="C885" s="445" t="s">
        <v>1386</v>
      </c>
      <c r="D885" s="445" t="s">
        <v>1387</v>
      </c>
      <c r="E885" s="445">
        <v>1.75099</v>
      </c>
      <c r="F885" s="445">
        <v>131.6</v>
      </c>
      <c r="G885" s="576">
        <v>42696</v>
      </c>
      <c r="H885" s="447">
        <v>230.43</v>
      </c>
      <c r="I885" s="259"/>
    </row>
    <row r="886" spans="1:9" ht="14" thickBot="1" x14ac:dyDescent="0.2">
      <c r="A886" s="577"/>
      <c r="B886" s="501"/>
      <c r="C886" s="313" t="s">
        <v>1164</v>
      </c>
      <c r="D886" s="345"/>
      <c r="E886" s="345"/>
      <c r="F886" s="313">
        <f>SUM(F881:F885)</f>
        <v>564.30000000000007</v>
      </c>
      <c r="G886" s="576"/>
      <c r="H886" s="451">
        <f>SUM(H880:H885)</f>
        <v>1169.42</v>
      </c>
      <c r="I886" s="259"/>
    </row>
    <row r="887" spans="1:9" ht="14" thickTop="1" x14ac:dyDescent="0.15">
      <c r="A887" s="444"/>
      <c r="B887" s="575"/>
      <c r="C887" s="445"/>
      <c r="D887" s="445"/>
      <c r="E887" s="445"/>
      <c r="F887" s="445"/>
      <c r="G887" s="576"/>
      <c r="H887" s="578"/>
      <c r="I887" s="259"/>
    </row>
    <row r="888" spans="1:9" x14ac:dyDescent="0.15">
      <c r="A888" s="444"/>
      <c r="B888" s="575"/>
      <c r="C888" s="445"/>
      <c r="D888" s="452" t="s">
        <v>1407</v>
      </c>
      <c r="E888" s="445"/>
      <c r="F888" s="445"/>
      <c r="G888" s="576"/>
      <c r="H888" s="578"/>
      <c r="I888" s="259"/>
    </row>
    <row r="889" spans="1:9" x14ac:dyDescent="0.15">
      <c r="A889" s="444"/>
      <c r="B889" s="575"/>
      <c r="C889" s="445"/>
      <c r="D889" s="452" t="s">
        <v>1408</v>
      </c>
      <c r="E889" s="445"/>
      <c r="F889" s="445"/>
      <c r="G889" s="576"/>
      <c r="H889" s="578"/>
      <c r="I889" s="259"/>
    </row>
    <row r="890" spans="1:9" x14ac:dyDescent="0.15">
      <c r="A890" s="454"/>
      <c r="B890" s="579"/>
      <c r="C890" s="455"/>
      <c r="D890" s="580">
        <v>43069</v>
      </c>
      <c r="E890" s="455"/>
      <c r="F890" s="455"/>
      <c r="G890" s="581"/>
      <c r="H890" s="582"/>
      <c r="I890" s="259"/>
    </row>
    <row r="891" spans="1:9" x14ac:dyDescent="0.15">
      <c r="A891" s="535"/>
      <c r="B891" s="535"/>
      <c r="C891" s="535"/>
      <c r="D891" s="535"/>
      <c r="E891" s="535"/>
      <c r="F891" s="535"/>
      <c r="G891" s="574"/>
      <c r="H891" s="535"/>
      <c r="I891" s="259"/>
    </row>
    <row r="892" spans="1:9" x14ac:dyDescent="0.15">
      <c r="A892" s="440" t="s">
        <v>1376</v>
      </c>
      <c r="B892" s="583">
        <v>5807</v>
      </c>
      <c r="C892" s="441" t="s">
        <v>1410</v>
      </c>
      <c r="D892" s="441" t="s">
        <v>1378</v>
      </c>
      <c r="E892" s="441">
        <v>1.8975</v>
      </c>
      <c r="F892" s="441">
        <v>208</v>
      </c>
      <c r="G892" s="584">
        <v>42717</v>
      </c>
      <c r="H892" s="443">
        <v>394.68</v>
      </c>
      <c r="I892" s="259"/>
    </row>
    <row r="893" spans="1:9" x14ac:dyDescent="0.15">
      <c r="A893" s="444" t="s">
        <v>1382</v>
      </c>
      <c r="B893" s="575">
        <v>5806</v>
      </c>
      <c r="C893" s="445" t="s">
        <v>1383</v>
      </c>
      <c r="D893" s="445" t="s">
        <v>1384</v>
      </c>
      <c r="E893" s="445">
        <v>1.8974899999999999</v>
      </c>
      <c r="F893" s="445">
        <v>143.19999999999999</v>
      </c>
      <c r="G893" s="576">
        <v>42717</v>
      </c>
      <c r="H893" s="447">
        <v>271.72000000000003</v>
      </c>
      <c r="I893" s="259"/>
    </row>
    <row r="894" spans="1:9" x14ac:dyDescent="0.15">
      <c r="A894" s="444" t="s">
        <v>1385</v>
      </c>
      <c r="B894" s="575">
        <v>5797</v>
      </c>
      <c r="C894" s="445" t="s">
        <v>1386</v>
      </c>
      <c r="D894" s="445" t="s">
        <v>1387</v>
      </c>
      <c r="E894" s="445">
        <v>1.8974899999999999</v>
      </c>
      <c r="F894" s="445">
        <v>218.7</v>
      </c>
      <c r="G894" s="576">
        <v>42717</v>
      </c>
      <c r="H894" s="447">
        <v>414.98</v>
      </c>
      <c r="I894" s="259"/>
    </row>
    <row r="895" spans="1:9" x14ac:dyDescent="0.15">
      <c r="A895" s="444" t="s">
        <v>1385</v>
      </c>
      <c r="B895" s="575">
        <v>7045</v>
      </c>
      <c r="C895" s="445" t="s">
        <v>1386</v>
      </c>
      <c r="D895" s="445" t="s">
        <v>1387</v>
      </c>
      <c r="E895" s="445">
        <v>1.89496</v>
      </c>
      <c r="F895" s="445">
        <v>101.2</v>
      </c>
      <c r="G895" s="576">
        <v>42724</v>
      </c>
      <c r="H895" s="447">
        <v>191.77</v>
      </c>
      <c r="I895" s="259"/>
    </row>
    <row r="896" spans="1:9" x14ac:dyDescent="0.15">
      <c r="A896" s="444" t="s">
        <v>1417</v>
      </c>
      <c r="B896" s="575">
        <v>5950</v>
      </c>
      <c r="C896" s="445" t="s">
        <v>1418</v>
      </c>
      <c r="D896" s="445" t="s">
        <v>1419</v>
      </c>
      <c r="E896" s="445">
        <v>1.89751</v>
      </c>
      <c r="F896" s="445">
        <v>401</v>
      </c>
      <c r="G896" s="576">
        <v>42717</v>
      </c>
      <c r="H896" s="447">
        <v>760.9</v>
      </c>
      <c r="I896" s="259"/>
    </row>
    <row r="897" spans="1:9" ht="14" thickBot="1" x14ac:dyDescent="0.2">
      <c r="A897" s="577"/>
      <c r="B897" s="501"/>
      <c r="C897" s="313" t="s">
        <v>1167</v>
      </c>
      <c r="D897" s="345"/>
      <c r="E897" s="345"/>
      <c r="F897" s="313">
        <f>SUM(F892:F896)</f>
        <v>1072.0999999999999</v>
      </c>
      <c r="G897" s="576"/>
      <c r="H897" s="451">
        <f>SUM(H892:H896)</f>
        <v>2034.0500000000002</v>
      </c>
      <c r="I897" s="259"/>
    </row>
    <row r="898" spans="1:9" ht="14" thickTop="1" x14ac:dyDescent="0.15">
      <c r="A898" s="444"/>
      <c r="B898" s="575"/>
      <c r="C898" s="445"/>
      <c r="D898" s="445"/>
      <c r="E898" s="445"/>
      <c r="F898" s="445"/>
      <c r="G898" s="576"/>
      <c r="H898" s="578"/>
      <c r="I898" s="259"/>
    </row>
    <row r="899" spans="1:9" x14ac:dyDescent="0.15">
      <c r="A899" s="444"/>
      <c r="B899" s="575"/>
      <c r="C899" s="445"/>
      <c r="D899" s="452" t="s">
        <v>1407</v>
      </c>
      <c r="E899" s="445"/>
      <c r="F899" s="445"/>
      <c r="G899" s="576"/>
      <c r="H899" s="578"/>
      <c r="I899" s="259"/>
    </row>
    <row r="900" spans="1:9" x14ac:dyDescent="0.15">
      <c r="A900" s="444"/>
      <c r="B900" s="575"/>
      <c r="C900" s="445"/>
      <c r="D900" s="452" t="s">
        <v>1408</v>
      </c>
      <c r="E900" s="445"/>
      <c r="F900" s="445"/>
      <c r="G900" s="576"/>
      <c r="H900" s="578"/>
      <c r="I900" s="259"/>
    </row>
    <row r="901" spans="1:9" x14ac:dyDescent="0.15">
      <c r="A901" s="454"/>
      <c r="B901" s="579"/>
      <c r="C901" s="455"/>
      <c r="D901" s="580">
        <v>43100</v>
      </c>
      <c r="E901" s="455"/>
      <c r="F901" s="455"/>
      <c r="G901" s="581"/>
      <c r="H901" s="582"/>
      <c r="I901" s="259"/>
    </row>
    <row r="902" spans="1:9" x14ac:dyDescent="0.15">
      <c r="A902" s="535"/>
      <c r="B902" s="535"/>
      <c r="C902" s="535"/>
      <c r="D902" s="535"/>
      <c r="E902" s="535"/>
      <c r="F902" s="535"/>
      <c r="G902" s="574"/>
      <c r="H902" s="535"/>
      <c r="I902" s="259"/>
    </row>
    <row r="903" spans="1:9" x14ac:dyDescent="0.15">
      <c r="A903" s="440" t="s">
        <v>1376</v>
      </c>
      <c r="B903" s="583">
        <v>7055</v>
      </c>
      <c r="C903" s="441" t="s">
        <v>1410</v>
      </c>
      <c r="D903" s="441" t="s">
        <v>1378</v>
      </c>
      <c r="E903" s="441">
        <v>1.95502</v>
      </c>
      <c r="F903" s="441">
        <v>266.10000000000002</v>
      </c>
      <c r="G903" s="584">
        <v>42738</v>
      </c>
      <c r="H903" s="443">
        <v>520.23</v>
      </c>
      <c r="I903" s="259"/>
    </row>
    <row r="904" spans="1:9" x14ac:dyDescent="0.15">
      <c r="A904" s="444" t="s">
        <v>1376</v>
      </c>
      <c r="B904" s="575">
        <v>8528</v>
      </c>
      <c r="C904" s="445" t="s">
        <v>1410</v>
      </c>
      <c r="D904" s="445" t="s">
        <v>1378</v>
      </c>
      <c r="E904" s="445">
        <v>1.88002</v>
      </c>
      <c r="F904" s="445">
        <v>183.7</v>
      </c>
      <c r="G904" s="576">
        <v>42753</v>
      </c>
      <c r="H904" s="447">
        <v>345.36</v>
      </c>
      <c r="I904" s="259"/>
    </row>
    <row r="905" spans="1:9" x14ac:dyDescent="0.15">
      <c r="A905" s="444" t="s">
        <v>1376</v>
      </c>
      <c r="B905" s="575">
        <v>9462</v>
      </c>
      <c r="C905" s="445" t="s">
        <v>1410</v>
      </c>
      <c r="D905" s="445" t="s">
        <v>1378</v>
      </c>
      <c r="E905" s="445">
        <v>1.8685099999999999</v>
      </c>
      <c r="F905" s="445">
        <v>135.30000000000001</v>
      </c>
      <c r="G905" s="576">
        <v>42766</v>
      </c>
      <c r="H905" s="447">
        <v>252.81</v>
      </c>
      <c r="I905" s="259"/>
    </row>
    <row r="906" spans="1:9" x14ac:dyDescent="0.15">
      <c r="A906" s="444" t="s">
        <v>1382</v>
      </c>
      <c r="B906" s="575">
        <v>7054</v>
      </c>
      <c r="C906" s="445" t="s">
        <v>1383</v>
      </c>
      <c r="D906" s="445" t="s">
        <v>1384</v>
      </c>
      <c r="E906" s="445">
        <v>1.9550099999999999</v>
      </c>
      <c r="F906" s="445">
        <v>209.6</v>
      </c>
      <c r="G906" s="576">
        <v>42738</v>
      </c>
      <c r="H906" s="447">
        <v>409.77</v>
      </c>
      <c r="I906" s="259"/>
    </row>
    <row r="907" spans="1:9" x14ac:dyDescent="0.15">
      <c r="A907" s="444" t="s">
        <v>1382</v>
      </c>
      <c r="B907" s="575">
        <v>8527</v>
      </c>
      <c r="C907" s="445" t="s">
        <v>1383</v>
      </c>
      <c r="D907" s="445" t="s">
        <v>1384</v>
      </c>
      <c r="E907" s="445">
        <v>1.8799699999999999</v>
      </c>
      <c r="F907" s="445">
        <v>153.30000000000001</v>
      </c>
      <c r="G907" s="576">
        <v>42753</v>
      </c>
      <c r="H907" s="447">
        <v>288.2</v>
      </c>
      <c r="I907" s="259"/>
    </row>
    <row r="908" spans="1:9" x14ac:dyDescent="0.15">
      <c r="A908" s="444" t="s">
        <v>1382</v>
      </c>
      <c r="B908" s="575">
        <v>9461</v>
      </c>
      <c r="C908" s="445" t="s">
        <v>1383</v>
      </c>
      <c r="D908" s="445" t="s">
        <v>1384</v>
      </c>
      <c r="E908" s="445">
        <v>1.8685099999999999</v>
      </c>
      <c r="F908" s="445">
        <v>108.3</v>
      </c>
      <c r="G908" s="576">
        <v>42766</v>
      </c>
      <c r="H908" s="447">
        <v>202.36</v>
      </c>
      <c r="I908" s="259"/>
    </row>
    <row r="909" spans="1:9" x14ac:dyDescent="0.15">
      <c r="A909" s="444" t="s">
        <v>1385</v>
      </c>
      <c r="B909" s="575">
        <v>7453</v>
      </c>
      <c r="C909" s="445" t="s">
        <v>1386</v>
      </c>
      <c r="D909" s="445" t="s">
        <v>1387</v>
      </c>
      <c r="E909" s="445">
        <v>1.95502</v>
      </c>
      <c r="F909" s="445">
        <v>152.5</v>
      </c>
      <c r="G909" s="576">
        <v>42738</v>
      </c>
      <c r="H909" s="447">
        <v>298.14</v>
      </c>
      <c r="I909" s="259"/>
    </row>
    <row r="910" spans="1:9" x14ac:dyDescent="0.15">
      <c r="A910" s="444" t="s">
        <v>1385</v>
      </c>
      <c r="B910" s="575">
        <v>8187</v>
      </c>
      <c r="C910" s="445" t="s">
        <v>1386</v>
      </c>
      <c r="D910" s="445" t="s">
        <v>1387</v>
      </c>
      <c r="E910" s="445">
        <v>1.875</v>
      </c>
      <c r="F910" s="445">
        <v>99.2</v>
      </c>
      <c r="G910" s="576">
        <v>42745</v>
      </c>
      <c r="H910" s="447">
        <v>186</v>
      </c>
      <c r="I910" s="259"/>
    </row>
    <row r="911" spans="1:9" x14ac:dyDescent="0.15">
      <c r="A911" s="444" t="s">
        <v>1385</v>
      </c>
      <c r="B911" s="575">
        <v>8688</v>
      </c>
      <c r="C911" s="445" t="s">
        <v>1386</v>
      </c>
      <c r="D911" s="445" t="s">
        <v>1387</v>
      </c>
      <c r="E911" s="445">
        <v>1.87995</v>
      </c>
      <c r="F911" s="445">
        <v>87.8</v>
      </c>
      <c r="G911" s="576">
        <v>42753</v>
      </c>
      <c r="H911" s="447">
        <v>165.06</v>
      </c>
      <c r="I911" s="259"/>
    </row>
    <row r="912" spans="1:9" x14ac:dyDescent="0.15">
      <c r="A912" s="444" t="s">
        <v>1385</v>
      </c>
      <c r="B912" s="575">
        <v>9178</v>
      </c>
      <c r="C912" s="445" t="s">
        <v>1386</v>
      </c>
      <c r="D912" s="445" t="s">
        <v>1387</v>
      </c>
      <c r="E912" s="445">
        <v>1.8684799999999999</v>
      </c>
      <c r="F912" s="445">
        <v>136.1</v>
      </c>
      <c r="G912" s="576">
        <v>42766</v>
      </c>
      <c r="H912" s="447">
        <v>254.3</v>
      </c>
      <c r="I912" s="259"/>
    </row>
    <row r="913" spans="1:9" x14ac:dyDescent="0.15">
      <c r="A913" s="444" t="s">
        <v>1417</v>
      </c>
      <c r="B913" s="575">
        <v>8827</v>
      </c>
      <c r="C913" s="445" t="s">
        <v>1418</v>
      </c>
      <c r="D913" s="445" t="s">
        <v>1419</v>
      </c>
      <c r="E913" s="445">
        <v>1.83501</v>
      </c>
      <c r="F913" s="445">
        <v>384.8</v>
      </c>
      <c r="G913" s="576">
        <v>42765</v>
      </c>
      <c r="H913" s="447">
        <v>706.11</v>
      </c>
      <c r="I913" s="259"/>
    </row>
    <row r="914" spans="1:9" ht="14" thickBot="1" x14ac:dyDescent="0.2">
      <c r="A914" s="577"/>
      <c r="B914" s="501"/>
      <c r="C914" s="313" t="s">
        <v>1168</v>
      </c>
      <c r="D914" s="345"/>
      <c r="E914" s="345"/>
      <c r="F914" s="313">
        <f>SUM(F903:F913)</f>
        <v>1916.6999999999998</v>
      </c>
      <c r="G914" s="576"/>
      <c r="H914" s="451">
        <f>SUM(H903:H913)</f>
        <v>3628.34</v>
      </c>
      <c r="I914" s="259"/>
    </row>
    <row r="915" spans="1:9" ht="14" thickTop="1" x14ac:dyDescent="0.15">
      <c r="A915" s="444"/>
      <c r="B915" s="575"/>
      <c r="C915" s="445"/>
      <c r="D915" s="445"/>
      <c r="E915" s="445"/>
      <c r="F915" s="445"/>
      <c r="G915" s="576"/>
      <c r="H915" s="578"/>
      <c r="I915" s="259"/>
    </row>
    <row r="916" spans="1:9" x14ac:dyDescent="0.15">
      <c r="A916" s="444"/>
      <c r="B916" s="575"/>
      <c r="C916" s="445"/>
      <c r="D916" s="452" t="s">
        <v>1407</v>
      </c>
      <c r="E916" s="445"/>
      <c r="F916" s="445"/>
      <c r="G916" s="576"/>
      <c r="H916" s="578"/>
      <c r="I916" s="259"/>
    </row>
    <row r="917" spans="1:9" x14ac:dyDescent="0.15">
      <c r="A917" s="444"/>
      <c r="B917" s="575"/>
      <c r="C917" s="445"/>
      <c r="D917" s="452" t="s">
        <v>1408</v>
      </c>
      <c r="E917" s="445"/>
      <c r="F917" s="445"/>
      <c r="G917" s="576"/>
      <c r="H917" s="578"/>
      <c r="I917" s="259"/>
    </row>
    <row r="918" spans="1:9" x14ac:dyDescent="0.15">
      <c r="A918" s="454"/>
      <c r="B918" s="579"/>
      <c r="C918" s="455"/>
      <c r="D918" s="580">
        <v>43131</v>
      </c>
      <c r="E918" s="455"/>
      <c r="F918" s="455"/>
      <c r="G918" s="581"/>
      <c r="H918" s="582"/>
      <c r="I918" s="259"/>
    </row>
    <row r="919" spans="1:9" x14ac:dyDescent="0.15">
      <c r="A919" s="535"/>
      <c r="B919" s="535"/>
      <c r="C919" s="535"/>
      <c r="D919" s="535"/>
      <c r="E919" s="535"/>
      <c r="F919" s="535"/>
      <c r="G919" s="574"/>
      <c r="H919" s="535"/>
      <c r="I919" s="259"/>
    </row>
    <row r="920" spans="1:9" x14ac:dyDescent="0.15">
      <c r="A920" s="440" t="s">
        <v>1376</v>
      </c>
      <c r="B920" s="583">
        <v>10073</v>
      </c>
      <c r="C920" s="441" t="s">
        <v>1410</v>
      </c>
      <c r="D920" s="441" t="s">
        <v>1378</v>
      </c>
      <c r="E920" s="441">
        <v>1.8935</v>
      </c>
      <c r="F920" s="441">
        <v>284.60000000000002</v>
      </c>
      <c r="G920" s="584">
        <v>42789</v>
      </c>
      <c r="H920" s="443">
        <v>538.89</v>
      </c>
      <c r="I920" s="259"/>
    </row>
    <row r="921" spans="1:9" x14ac:dyDescent="0.15">
      <c r="A921" s="444" t="s">
        <v>1382</v>
      </c>
      <c r="B921" s="575">
        <v>10072</v>
      </c>
      <c r="C921" s="445" t="s">
        <v>1383</v>
      </c>
      <c r="D921" s="445" t="s">
        <v>1384</v>
      </c>
      <c r="E921" s="445">
        <v>1.89351</v>
      </c>
      <c r="F921" s="445">
        <v>204.9</v>
      </c>
      <c r="G921" s="576">
        <v>42789</v>
      </c>
      <c r="H921" s="447">
        <v>387.98</v>
      </c>
      <c r="I921" s="259"/>
    </row>
    <row r="922" spans="1:9" x14ac:dyDescent="0.15">
      <c r="A922" s="444" t="s">
        <v>1385</v>
      </c>
      <c r="B922" s="575">
        <v>9860</v>
      </c>
      <c r="C922" s="445" t="s">
        <v>1386</v>
      </c>
      <c r="D922" s="445" t="s">
        <v>1387</v>
      </c>
      <c r="E922" s="445">
        <v>1.8740399999999999</v>
      </c>
      <c r="F922" s="445">
        <v>89</v>
      </c>
      <c r="G922" s="576">
        <v>42773</v>
      </c>
      <c r="H922" s="447">
        <v>166.79</v>
      </c>
      <c r="I922" s="259"/>
    </row>
    <row r="923" spans="1:9" x14ac:dyDescent="0.15">
      <c r="A923" s="444" t="s">
        <v>1385</v>
      </c>
      <c r="B923" s="575">
        <v>10264</v>
      </c>
      <c r="C923" s="445" t="s">
        <v>1386</v>
      </c>
      <c r="D923" s="445" t="s">
        <v>1387</v>
      </c>
      <c r="E923" s="445">
        <v>1.8934899999999999</v>
      </c>
      <c r="F923" s="445">
        <v>184.2</v>
      </c>
      <c r="G923" s="576">
        <v>42789</v>
      </c>
      <c r="H923" s="447">
        <v>348.78</v>
      </c>
      <c r="I923" s="259"/>
    </row>
    <row r="924" spans="1:9" x14ac:dyDescent="0.15">
      <c r="A924" s="444" t="s">
        <v>1417</v>
      </c>
      <c r="B924" s="575">
        <v>10724</v>
      </c>
      <c r="C924" s="445" t="s">
        <v>1418</v>
      </c>
      <c r="D924" s="445" t="s">
        <v>1419</v>
      </c>
      <c r="E924" s="445">
        <v>1.8934899999999999</v>
      </c>
      <c r="F924" s="445">
        <v>302.60000000000002</v>
      </c>
      <c r="G924" s="576">
        <v>42789</v>
      </c>
      <c r="H924" s="447">
        <v>572.97</v>
      </c>
      <c r="I924" s="259"/>
    </row>
    <row r="925" spans="1:9" ht="14" thickBot="1" x14ac:dyDescent="0.2">
      <c r="A925" s="577"/>
      <c r="B925" s="501"/>
      <c r="C925" s="313" t="s">
        <v>1169</v>
      </c>
      <c r="D925" s="345"/>
      <c r="E925" s="345"/>
      <c r="F925" s="313">
        <f>SUM(F920:F924)</f>
        <v>1065.3000000000002</v>
      </c>
      <c r="G925" s="576"/>
      <c r="H925" s="451">
        <f>SUM(H920:H924)</f>
        <v>2015.41</v>
      </c>
      <c r="I925" s="259"/>
    </row>
    <row r="926" spans="1:9" ht="14" thickTop="1" x14ac:dyDescent="0.15">
      <c r="A926" s="444"/>
      <c r="B926" s="575"/>
      <c r="C926" s="445"/>
      <c r="D926" s="445"/>
      <c r="E926" s="445"/>
      <c r="F926" s="445"/>
      <c r="G926" s="576"/>
      <c r="H926" s="578"/>
      <c r="I926" s="259"/>
    </row>
    <row r="927" spans="1:9" x14ac:dyDescent="0.15">
      <c r="A927" s="444"/>
      <c r="B927" s="575"/>
      <c r="C927" s="445"/>
      <c r="D927" s="452" t="s">
        <v>1407</v>
      </c>
      <c r="E927" s="445"/>
      <c r="F927" s="445"/>
      <c r="G927" s="576"/>
      <c r="H927" s="578"/>
      <c r="I927" s="259"/>
    </row>
    <row r="928" spans="1:9" x14ac:dyDescent="0.15">
      <c r="A928" s="444"/>
      <c r="B928" s="575"/>
      <c r="C928" s="445"/>
      <c r="D928" s="452" t="s">
        <v>1408</v>
      </c>
      <c r="E928" s="445"/>
      <c r="F928" s="445"/>
      <c r="G928" s="576"/>
      <c r="H928" s="578"/>
      <c r="I928" s="259"/>
    </row>
    <row r="929" spans="1:9" x14ac:dyDescent="0.15">
      <c r="A929" s="454"/>
      <c r="B929" s="579"/>
      <c r="C929" s="455"/>
      <c r="D929" s="580">
        <v>43159</v>
      </c>
      <c r="E929" s="455"/>
      <c r="F929" s="455"/>
      <c r="G929" s="581"/>
      <c r="H929" s="582"/>
      <c r="I929" s="259"/>
    </row>
    <row r="930" spans="1:9" x14ac:dyDescent="0.15">
      <c r="A930" s="535"/>
      <c r="B930" s="535"/>
      <c r="C930" s="535"/>
      <c r="D930" s="535"/>
      <c r="E930" s="585"/>
      <c r="F930" s="535"/>
      <c r="G930" s="574"/>
      <c r="H930" s="535"/>
      <c r="I930" s="259"/>
    </row>
    <row r="931" spans="1:9" x14ac:dyDescent="0.15">
      <c r="A931" s="440" t="s">
        <v>1376</v>
      </c>
      <c r="B931" s="583">
        <v>11333</v>
      </c>
      <c r="C931" s="441" t="s">
        <v>1410</v>
      </c>
      <c r="D931" s="441" t="s">
        <v>1378</v>
      </c>
      <c r="E931" s="586">
        <v>1.8665400000000001</v>
      </c>
      <c r="F931" s="441">
        <v>107</v>
      </c>
      <c r="G931" s="584">
        <v>42800</v>
      </c>
      <c r="H931" s="443">
        <v>199.72</v>
      </c>
      <c r="I931" s="259"/>
    </row>
    <row r="932" spans="1:9" x14ac:dyDescent="0.15">
      <c r="A932" s="444" t="s">
        <v>1376</v>
      </c>
      <c r="B932" s="575">
        <v>11951</v>
      </c>
      <c r="C932" s="445" t="s">
        <v>1410</v>
      </c>
      <c r="D932" s="445" t="s">
        <v>1378</v>
      </c>
      <c r="E932" s="586">
        <v>1.7900100000000001</v>
      </c>
      <c r="F932" s="445">
        <v>195.1</v>
      </c>
      <c r="G932" s="576">
        <v>42815</v>
      </c>
      <c r="H932" s="447">
        <v>349.23</v>
      </c>
      <c r="I932" s="259"/>
    </row>
    <row r="933" spans="1:9" x14ac:dyDescent="0.15">
      <c r="A933" s="444" t="s">
        <v>1382</v>
      </c>
      <c r="B933" s="575">
        <v>11331</v>
      </c>
      <c r="C933" s="445" t="s">
        <v>1383</v>
      </c>
      <c r="D933" s="445" t="s">
        <v>1384</v>
      </c>
      <c r="E933" s="586">
        <v>1.8665</v>
      </c>
      <c r="F933" s="445">
        <v>58.8</v>
      </c>
      <c r="G933" s="576">
        <v>42800</v>
      </c>
      <c r="H933" s="447">
        <v>109.75</v>
      </c>
      <c r="I933" s="259"/>
    </row>
    <row r="934" spans="1:9" x14ac:dyDescent="0.15">
      <c r="A934" s="444" t="s">
        <v>1382</v>
      </c>
      <c r="B934" s="575">
        <v>11950</v>
      </c>
      <c r="C934" s="445" t="s">
        <v>1383</v>
      </c>
      <c r="D934" s="445" t="s">
        <v>1384</v>
      </c>
      <c r="E934" s="586">
        <v>1.7900400000000001</v>
      </c>
      <c r="F934" s="445">
        <v>136.5</v>
      </c>
      <c r="G934" s="576">
        <v>42815</v>
      </c>
      <c r="H934" s="447">
        <v>244.34</v>
      </c>
      <c r="I934" s="259"/>
    </row>
    <row r="935" spans="1:9" x14ac:dyDescent="0.15">
      <c r="A935" s="444" t="s">
        <v>1385</v>
      </c>
      <c r="B935" s="575">
        <v>11188</v>
      </c>
      <c r="C935" s="445" t="s">
        <v>1386</v>
      </c>
      <c r="D935" s="445" t="s">
        <v>1387</v>
      </c>
      <c r="E935" s="586">
        <v>1.8665099999999999</v>
      </c>
      <c r="F935" s="445">
        <v>103.6</v>
      </c>
      <c r="G935" s="576">
        <v>42800</v>
      </c>
      <c r="H935" s="447">
        <v>193.37</v>
      </c>
      <c r="I935" s="259"/>
    </row>
    <row r="936" spans="1:9" x14ac:dyDescent="0.15">
      <c r="A936" s="444" t="s">
        <v>1385</v>
      </c>
      <c r="B936" s="575">
        <v>11782</v>
      </c>
      <c r="C936" s="445" t="s">
        <v>1386</v>
      </c>
      <c r="D936" s="445" t="s">
        <v>1387</v>
      </c>
      <c r="E936" s="586">
        <v>1.7899799999999999</v>
      </c>
      <c r="F936" s="445">
        <v>177.6</v>
      </c>
      <c r="G936" s="576">
        <v>42815</v>
      </c>
      <c r="H936" s="447">
        <v>317.89999999999998</v>
      </c>
      <c r="I936" s="259"/>
    </row>
    <row r="937" spans="1:9" ht="14" thickBot="1" x14ac:dyDescent="0.2">
      <c r="A937" s="577"/>
      <c r="B937" s="501"/>
      <c r="C937" s="313" t="s">
        <v>1171</v>
      </c>
      <c r="D937" s="345"/>
      <c r="E937" s="345"/>
      <c r="F937" s="313">
        <f>SUM(F931:F936)</f>
        <v>778.6</v>
      </c>
      <c r="G937" s="576"/>
      <c r="H937" s="451">
        <f>SUM(H931:H936)</f>
        <v>1414.31</v>
      </c>
      <c r="I937" s="259"/>
    </row>
    <row r="938" spans="1:9" ht="14" thickTop="1" x14ac:dyDescent="0.15">
      <c r="A938" s="444"/>
      <c r="B938" s="575"/>
      <c r="C938" s="445"/>
      <c r="D938" s="445"/>
      <c r="E938" s="445"/>
      <c r="F938" s="445"/>
      <c r="G938" s="576"/>
      <c r="H938" s="578"/>
      <c r="I938" s="259"/>
    </row>
    <row r="939" spans="1:9" x14ac:dyDescent="0.15">
      <c r="A939" s="444"/>
      <c r="B939" s="575"/>
      <c r="C939" s="445"/>
      <c r="D939" s="452" t="s">
        <v>1407</v>
      </c>
      <c r="E939" s="445"/>
      <c r="F939" s="445"/>
      <c r="G939" s="576"/>
      <c r="H939" s="578"/>
      <c r="I939" s="259"/>
    </row>
    <row r="940" spans="1:9" x14ac:dyDescent="0.15">
      <c r="A940" s="444"/>
      <c r="B940" s="575"/>
      <c r="C940" s="445"/>
      <c r="D940" s="452" t="s">
        <v>1408</v>
      </c>
      <c r="E940" s="445"/>
      <c r="F940" s="445"/>
      <c r="G940" s="576"/>
      <c r="H940" s="578"/>
      <c r="I940" s="259"/>
    </row>
    <row r="941" spans="1:9" x14ac:dyDescent="0.15">
      <c r="A941" s="454"/>
      <c r="B941" s="579"/>
      <c r="C941" s="455"/>
      <c r="D941" s="580">
        <v>43190</v>
      </c>
      <c r="E941" s="455"/>
      <c r="F941" s="455"/>
      <c r="G941" s="581"/>
      <c r="H941" s="582"/>
      <c r="I941" s="259"/>
    </row>
    <row r="942" spans="1:9" x14ac:dyDescent="0.15">
      <c r="A942" s="535"/>
      <c r="B942" s="535"/>
      <c r="C942" s="535"/>
      <c r="D942" s="535"/>
      <c r="E942" s="535"/>
      <c r="F942" s="535"/>
      <c r="G942" s="574"/>
      <c r="H942" s="535"/>
      <c r="I942" s="259"/>
    </row>
    <row r="943" spans="1:9" x14ac:dyDescent="0.15">
      <c r="A943" s="440" t="s">
        <v>1376</v>
      </c>
      <c r="B943" s="583">
        <v>12952</v>
      </c>
      <c r="C943" s="441" t="s">
        <v>1410</v>
      </c>
      <c r="D943" s="441" t="s">
        <v>1378</v>
      </c>
      <c r="E943" s="441">
        <v>1.91</v>
      </c>
      <c r="F943" s="441">
        <v>171.9</v>
      </c>
      <c r="G943" s="584">
        <v>42836</v>
      </c>
      <c r="H943" s="443">
        <v>328.33</v>
      </c>
      <c r="I943" s="259"/>
    </row>
    <row r="944" spans="1:9" x14ac:dyDescent="0.15">
      <c r="A944" s="444" t="s">
        <v>1382</v>
      </c>
      <c r="B944" s="575">
        <v>12951</v>
      </c>
      <c r="C944" s="445" t="s">
        <v>1383</v>
      </c>
      <c r="D944" s="445" t="s">
        <v>1384</v>
      </c>
      <c r="E944" s="445">
        <v>1.91</v>
      </c>
      <c r="F944" s="445">
        <v>137.9</v>
      </c>
      <c r="G944" s="576">
        <v>42836</v>
      </c>
      <c r="H944" s="447">
        <v>263.39</v>
      </c>
      <c r="I944" s="259"/>
    </row>
    <row r="945" spans="1:9" x14ac:dyDescent="0.15">
      <c r="A945" s="444" t="s">
        <v>1385</v>
      </c>
      <c r="B945" s="575">
        <v>12732</v>
      </c>
      <c r="C945" s="445" t="s">
        <v>1386</v>
      </c>
      <c r="D945" s="445" t="s">
        <v>1387</v>
      </c>
      <c r="E945" s="445">
        <v>1.91</v>
      </c>
      <c r="F945" s="445">
        <v>187.8</v>
      </c>
      <c r="G945" s="576">
        <v>42836</v>
      </c>
      <c r="H945" s="447">
        <v>358.7</v>
      </c>
      <c r="I945" s="259"/>
    </row>
    <row r="946" spans="1:9" x14ac:dyDescent="0.15">
      <c r="A946" s="444" t="s">
        <v>1417</v>
      </c>
      <c r="B946" s="575">
        <v>13115</v>
      </c>
      <c r="C946" s="445" t="s">
        <v>1418</v>
      </c>
      <c r="D946" s="445" t="s">
        <v>1419</v>
      </c>
      <c r="E946" s="445">
        <v>1.87</v>
      </c>
      <c r="F946" s="445">
        <v>306</v>
      </c>
      <c r="G946" s="576">
        <v>42831</v>
      </c>
      <c r="H946" s="447">
        <v>572.22</v>
      </c>
      <c r="I946" s="259"/>
    </row>
    <row r="947" spans="1:9" ht="14" thickBot="1" x14ac:dyDescent="0.2">
      <c r="A947" s="577"/>
      <c r="B947" s="501"/>
      <c r="C947" s="313" t="s">
        <v>1172</v>
      </c>
      <c r="D947" s="345"/>
      <c r="E947" s="345"/>
      <c r="F947" s="313">
        <f>SUM(F943:F946)</f>
        <v>803.6</v>
      </c>
      <c r="G947" s="576"/>
      <c r="H947" s="451">
        <f>SUM(H943:H946)</f>
        <v>1522.64</v>
      </c>
      <c r="I947" s="259"/>
    </row>
    <row r="948" spans="1:9" ht="14" thickTop="1" x14ac:dyDescent="0.15">
      <c r="A948" s="444"/>
      <c r="B948" s="575"/>
      <c r="C948" s="445"/>
      <c r="D948" s="445"/>
      <c r="E948" s="445"/>
      <c r="F948" s="445"/>
      <c r="G948" s="576"/>
      <c r="H948" s="578"/>
      <c r="I948" s="259"/>
    </row>
    <row r="949" spans="1:9" x14ac:dyDescent="0.15">
      <c r="A949" s="444"/>
      <c r="B949" s="575"/>
      <c r="C949" s="445"/>
      <c r="D949" s="452" t="s">
        <v>1407</v>
      </c>
      <c r="E949" s="445"/>
      <c r="F949" s="445"/>
      <c r="G949" s="576"/>
      <c r="H949" s="578"/>
      <c r="I949" s="259"/>
    </row>
    <row r="950" spans="1:9" x14ac:dyDescent="0.15">
      <c r="A950" s="444"/>
      <c r="B950" s="575"/>
      <c r="C950" s="445"/>
      <c r="D950" s="452" t="s">
        <v>1408</v>
      </c>
      <c r="E950" s="445"/>
      <c r="F950" s="445"/>
      <c r="G950" s="576"/>
      <c r="H950" s="578"/>
      <c r="I950" s="259"/>
    </row>
    <row r="951" spans="1:9" x14ac:dyDescent="0.15">
      <c r="A951" s="454"/>
      <c r="B951" s="579"/>
      <c r="C951" s="455"/>
      <c r="D951" s="580">
        <v>43220</v>
      </c>
      <c r="E951" s="455"/>
      <c r="F951" s="455"/>
      <c r="G951" s="581"/>
      <c r="H951" s="582"/>
      <c r="I951" s="259"/>
    </row>
    <row r="952" spans="1:9" x14ac:dyDescent="0.15">
      <c r="A952" s="535"/>
      <c r="B952" s="535"/>
      <c r="C952" s="535"/>
      <c r="D952" s="535"/>
      <c r="E952" s="535"/>
      <c r="F952" s="535"/>
      <c r="G952" s="574"/>
      <c r="H952" s="535"/>
      <c r="I952" s="259"/>
    </row>
    <row r="953" spans="1:9" x14ac:dyDescent="0.15">
      <c r="A953" s="440" t="s">
        <v>1376</v>
      </c>
      <c r="B953" s="583">
        <v>13689</v>
      </c>
      <c r="C953" s="441" t="s">
        <v>1410</v>
      </c>
      <c r="D953" s="441" t="s">
        <v>1378</v>
      </c>
      <c r="E953" s="441">
        <v>1.7124600000000001</v>
      </c>
      <c r="F953" s="441">
        <v>85.1</v>
      </c>
      <c r="G953" s="584">
        <v>42864</v>
      </c>
      <c r="H953" s="443">
        <v>145.72999999999999</v>
      </c>
      <c r="I953" s="259"/>
    </row>
    <row r="954" spans="1:9" x14ac:dyDescent="0.15">
      <c r="A954" s="444" t="s">
        <v>1382</v>
      </c>
      <c r="B954" s="575">
        <v>13688</v>
      </c>
      <c r="C954" s="445" t="s">
        <v>1383</v>
      </c>
      <c r="D954" s="445" t="s">
        <v>1384</v>
      </c>
      <c r="E954" s="445">
        <v>1.71245</v>
      </c>
      <c r="F954" s="445">
        <v>48.2</v>
      </c>
      <c r="G954" s="576">
        <v>42864</v>
      </c>
      <c r="H954" s="447">
        <v>82.54</v>
      </c>
      <c r="I954" s="259"/>
    </row>
    <row r="955" spans="1:9" x14ac:dyDescent="0.15">
      <c r="A955" s="444" t="s">
        <v>1385</v>
      </c>
      <c r="B955" s="575">
        <v>13511</v>
      </c>
      <c r="C955" s="445" t="s">
        <v>1386</v>
      </c>
      <c r="D955" s="445" t="s">
        <v>1387</v>
      </c>
      <c r="E955" s="445">
        <v>1.71254</v>
      </c>
      <c r="F955" s="445">
        <v>130.80000000000001</v>
      </c>
      <c r="G955" s="576">
        <v>42864</v>
      </c>
      <c r="H955" s="447">
        <v>224</v>
      </c>
      <c r="I955" s="259"/>
    </row>
    <row r="956" spans="1:9" ht="14" thickBot="1" x14ac:dyDescent="0.2">
      <c r="A956" s="577"/>
      <c r="B956" s="501"/>
      <c r="C956" s="313" t="s">
        <v>1173</v>
      </c>
      <c r="D956" s="345"/>
      <c r="E956" s="345"/>
      <c r="F956" s="313">
        <f>SUM(F953:F955)</f>
        <v>264.10000000000002</v>
      </c>
      <c r="G956" s="576"/>
      <c r="H956" s="451">
        <f>SUM(H953:H955)</f>
        <v>452.27</v>
      </c>
      <c r="I956" s="259"/>
    </row>
    <row r="957" spans="1:9" ht="14" thickTop="1" x14ac:dyDescent="0.15">
      <c r="A957" s="444"/>
      <c r="B957" s="575"/>
      <c r="C957" s="445"/>
      <c r="D957" s="445"/>
      <c r="E957" s="445"/>
      <c r="F957" s="445"/>
      <c r="G957" s="576"/>
      <c r="H957" s="578"/>
      <c r="I957" s="259"/>
    </row>
    <row r="958" spans="1:9" x14ac:dyDescent="0.15">
      <c r="A958" s="444"/>
      <c r="B958" s="575"/>
      <c r="C958" s="445"/>
      <c r="D958" s="452" t="s">
        <v>1407</v>
      </c>
      <c r="E958" s="445"/>
      <c r="F958" s="445"/>
      <c r="G958" s="576"/>
      <c r="H958" s="578"/>
      <c r="I958" s="259"/>
    </row>
    <row r="959" spans="1:9" x14ac:dyDescent="0.15">
      <c r="A959" s="444"/>
      <c r="B959" s="575"/>
      <c r="C959" s="445"/>
      <c r="D959" s="452" t="s">
        <v>1408</v>
      </c>
      <c r="E959" s="445"/>
      <c r="F959" s="445"/>
      <c r="G959" s="576"/>
      <c r="H959" s="578"/>
      <c r="I959" s="259"/>
    </row>
    <row r="960" spans="1:9" x14ac:dyDescent="0.15">
      <c r="A960" s="454"/>
      <c r="B960" s="579"/>
      <c r="C960" s="455"/>
      <c r="D960" s="580">
        <v>43251</v>
      </c>
      <c r="E960" s="455"/>
      <c r="F960" s="455"/>
      <c r="G960" s="581"/>
      <c r="H960" s="582"/>
      <c r="I960" s="259"/>
    </row>
    <row r="961" spans="1:9" x14ac:dyDescent="0.15">
      <c r="A961" s="535"/>
      <c r="B961" s="535"/>
      <c r="C961" s="535"/>
      <c r="D961" s="535"/>
      <c r="E961" s="535"/>
      <c r="F961" s="535"/>
      <c r="G961" s="574"/>
      <c r="H961" s="535"/>
      <c r="I961" s="259"/>
    </row>
    <row r="962" spans="1:9" x14ac:dyDescent="0.15">
      <c r="A962" s="444" t="s">
        <v>1385</v>
      </c>
      <c r="B962" s="575">
        <v>9988</v>
      </c>
      <c r="C962" s="445" t="s">
        <v>1386</v>
      </c>
      <c r="D962" s="445" t="s">
        <v>1387</v>
      </c>
      <c r="E962" s="445">
        <v>0</v>
      </c>
      <c r="F962" s="445">
        <v>0</v>
      </c>
      <c r="G962" s="576">
        <v>42164</v>
      </c>
      <c r="H962" s="447">
        <v>0</v>
      </c>
      <c r="I962" s="259"/>
    </row>
    <row r="963" spans="1:9" ht="14" thickBot="1" x14ac:dyDescent="0.2">
      <c r="A963" s="577"/>
      <c r="B963" s="501"/>
      <c r="C963" s="313" t="s">
        <v>1174</v>
      </c>
      <c r="D963" s="345"/>
      <c r="E963" s="345"/>
      <c r="F963" s="313">
        <f>SUM(F962:F962)</f>
        <v>0</v>
      </c>
      <c r="G963" s="576"/>
      <c r="H963" s="451">
        <f>SUM(H962)</f>
        <v>0</v>
      </c>
      <c r="I963" s="259"/>
    </row>
    <row r="964" spans="1:9" ht="14" thickTop="1" x14ac:dyDescent="0.15">
      <c r="A964" s="444"/>
      <c r="B964" s="575"/>
      <c r="C964" s="445"/>
      <c r="D964" s="445"/>
      <c r="E964" s="445"/>
      <c r="F964" s="445"/>
      <c r="G964" s="576"/>
      <c r="H964" s="578"/>
      <c r="I964" s="259"/>
    </row>
    <row r="965" spans="1:9" x14ac:dyDescent="0.15">
      <c r="A965" s="444"/>
      <c r="B965" s="575"/>
      <c r="C965" s="445"/>
      <c r="D965" s="452" t="s">
        <v>1407</v>
      </c>
      <c r="E965" s="445"/>
      <c r="F965" s="445"/>
      <c r="G965" s="576"/>
      <c r="H965" s="578"/>
      <c r="I965" s="259"/>
    </row>
    <row r="966" spans="1:9" x14ac:dyDescent="0.15">
      <c r="A966" s="444"/>
      <c r="B966" s="575"/>
      <c r="C966" s="445"/>
      <c r="D966" s="452" t="s">
        <v>1408</v>
      </c>
      <c r="E966" s="445"/>
      <c r="F966" s="445"/>
      <c r="G966" s="576"/>
      <c r="H966" s="578"/>
      <c r="I966" s="259"/>
    </row>
    <row r="967" spans="1:9" x14ac:dyDescent="0.15">
      <c r="A967" s="454"/>
      <c r="B967" s="579"/>
      <c r="C967" s="455"/>
      <c r="D967" s="580">
        <v>43281</v>
      </c>
      <c r="E967" s="455"/>
      <c r="F967" s="455"/>
      <c r="G967" s="581"/>
      <c r="H967" s="582"/>
      <c r="I967" s="259"/>
    </row>
    <row r="968" spans="1:9" x14ac:dyDescent="0.15">
      <c r="B968" s="259"/>
      <c r="G968" s="556"/>
      <c r="I968" s="259"/>
    </row>
    <row r="969" spans="1:9" x14ac:dyDescent="0.15">
      <c r="B969" s="259"/>
      <c r="G969" s="556"/>
      <c r="I969" s="259"/>
    </row>
    <row r="970" spans="1:9" x14ac:dyDescent="0.15">
      <c r="B970" s="259"/>
      <c r="G970" s="556"/>
      <c r="I970" s="259"/>
    </row>
    <row r="971" spans="1:9" x14ac:dyDescent="0.15">
      <c r="B971" s="259"/>
      <c r="G971" s="556"/>
      <c r="I971" s="259"/>
    </row>
    <row r="972" spans="1:9" x14ac:dyDescent="0.15">
      <c r="B972" s="259"/>
      <c r="G972" s="556"/>
      <c r="I972" s="259"/>
    </row>
    <row r="973" spans="1:9" x14ac:dyDescent="0.15">
      <c r="B973" s="259"/>
      <c r="G973" s="556"/>
      <c r="I973" s="259"/>
    </row>
    <row r="974" spans="1:9" x14ac:dyDescent="0.15">
      <c r="B974" s="259"/>
      <c r="G974" s="556"/>
      <c r="I974" s="259"/>
    </row>
    <row r="975" spans="1:9" x14ac:dyDescent="0.15">
      <c r="B975" s="259"/>
      <c r="G975" s="556"/>
      <c r="I975" s="259"/>
    </row>
    <row r="976" spans="1:9" x14ac:dyDescent="0.15">
      <c r="B976" s="259"/>
      <c r="G976" s="556"/>
      <c r="I976" s="259"/>
    </row>
    <row r="977" spans="2:9" x14ac:dyDescent="0.15">
      <c r="B977" s="259"/>
      <c r="G977" s="556"/>
      <c r="I977" s="259"/>
    </row>
    <row r="978" spans="2:9" x14ac:dyDescent="0.15">
      <c r="B978" s="259"/>
      <c r="G978" s="556"/>
      <c r="I978" s="259"/>
    </row>
    <row r="979" spans="2:9" x14ac:dyDescent="0.15">
      <c r="B979" s="259"/>
      <c r="G979" s="556"/>
      <c r="I979" s="259"/>
    </row>
    <row r="980" spans="2:9" x14ac:dyDescent="0.15">
      <c r="B980" s="259"/>
      <c r="G980" s="556"/>
      <c r="I980" s="259"/>
    </row>
    <row r="981" spans="2:9" x14ac:dyDescent="0.15">
      <c r="B981" s="259"/>
      <c r="G981" s="556"/>
      <c r="I981" s="259"/>
    </row>
    <row r="982" spans="2:9" x14ac:dyDescent="0.15">
      <c r="B982" s="259"/>
      <c r="G982" s="556"/>
      <c r="I982" s="259"/>
    </row>
    <row r="983" spans="2:9" x14ac:dyDescent="0.15">
      <c r="B983" s="259"/>
      <c r="G983" s="556"/>
      <c r="I983" s="259"/>
    </row>
    <row r="984" spans="2:9" x14ac:dyDescent="0.15">
      <c r="B984" s="259"/>
      <c r="G984" s="556"/>
      <c r="I984" s="259"/>
    </row>
    <row r="985" spans="2:9" x14ac:dyDescent="0.15">
      <c r="B985" s="259"/>
      <c r="G985" s="556"/>
      <c r="I985" s="259"/>
    </row>
    <row r="986" spans="2:9" x14ac:dyDescent="0.15">
      <c r="B986" s="259"/>
      <c r="G986" s="556"/>
      <c r="I986" s="259"/>
    </row>
    <row r="987" spans="2:9" x14ac:dyDescent="0.15">
      <c r="B987" s="259"/>
      <c r="G987" s="556"/>
      <c r="I987" s="259"/>
    </row>
    <row r="988" spans="2:9" x14ac:dyDescent="0.15">
      <c r="B988" s="259"/>
      <c r="G988" s="556"/>
      <c r="I988" s="259"/>
    </row>
    <row r="989" spans="2:9" x14ac:dyDescent="0.15">
      <c r="B989" s="259"/>
      <c r="G989" s="556"/>
      <c r="I989" s="259"/>
    </row>
    <row r="990" spans="2:9" x14ac:dyDescent="0.15">
      <c r="B990" s="259"/>
      <c r="G990" s="556"/>
      <c r="I990" s="259"/>
    </row>
    <row r="991" spans="2:9" x14ac:dyDescent="0.15">
      <c r="B991" s="259"/>
      <c r="G991" s="556"/>
      <c r="I991" s="259"/>
    </row>
    <row r="992" spans="2:9" x14ac:dyDescent="0.15">
      <c r="B992" s="259"/>
      <c r="G992" s="556"/>
      <c r="I992" s="259"/>
    </row>
    <row r="993" spans="2:9" x14ac:dyDescent="0.15">
      <c r="B993" s="259"/>
      <c r="G993" s="556"/>
      <c r="I993" s="259"/>
    </row>
    <row r="994" spans="2:9" x14ac:dyDescent="0.15">
      <c r="B994" s="259"/>
      <c r="G994" s="556"/>
      <c r="I994" s="259"/>
    </row>
    <row r="995" spans="2:9" x14ac:dyDescent="0.15">
      <c r="B995" s="259"/>
      <c r="G995" s="556"/>
      <c r="I995" s="259"/>
    </row>
    <row r="996" spans="2:9" x14ac:dyDescent="0.15">
      <c r="B996" s="259"/>
      <c r="G996" s="556"/>
      <c r="I996" s="259"/>
    </row>
    <row r="997" spans="2:9" x14ac:dyDescent="0.15">
      <c r="B997" s="259"/>
      <c r="G997" s="556"/>
      <c r="I997" s="259"/>
    </row>
    <row r="998" spans="2:9" x14ac:dyDescent="0.15">
      <c r="B998" s="259"/>
      <c r="G998" s="556"/>
      <c r="I998" s="259"/>
    </row>
    <row r="999" spans="2:9" x14ac:dyDescent="0.15">
      <c r="B999" s="259"/>
      <c r="G999" s="556"/>
      <c r="I999" s="259"/>
    </row>
    <row r="1000" spans="2:9" x14ac:dyDescent="0.15">
      <c r="B1000" s="259"/>
      <c r="G1000" s="556"/>
      <c r="I1000" s="259"/>
    </row>
    <row r="1001" spans="2:9" x14ac:dyDescent="0.15">
      <c r="B1001" s="259"/>
      <c r="G1001" s="556"/>
      <c r="I1001" s="259"/>
    </row>
    <row r="1002" spans="2:9" x14ac:dyDescent="0.15">
      <c r="B1002" s="259"/>
      <c r="G1002" s="556"/>
      <c r="I1002" s="259"/>
    </row>
    <row r="1003" spans="2:9" x14ac:dyDescent="0.15">
      <c r="B1003" s="259"/>
      <c r="G1003" s="556"/>
      <c r="I1003" s="259"/>
    </row>
    <row r="1004" spans="2:9" x14ac:dyDescent="0.15">
      <c r="B1004" s="259"/>
      <c r="G1004" s="556"/>
      <c r="I1004" s="259"/>
    </row>
    <row r="1005" spans="2:9" x14ac:dyDescent="0.15">
      <c r="B1005" s="259"/>
      <c r="G1005" s="556"/>
      <c r="I1005" s="259"/>
    </row>
    <row r="1006" spans="2:9" x14ac:dyDescent="0.15">
      <c r="B1006" s="259"/>
      <c r="G1006" s="556"/>
      <c r="I1006" s="259"/>
    </row>
    <row r="1007" spans="2:9" x14ac:dyDescent="0.15">
      <c r="B1007" s="259"/>
      <c r="G1007" s="556"/>
      <c r="I1007" s="259"/>
    </row>
    <row r="1008" spans="2:9" x14ac:dyDescent="0.15">
      <c r="B1008" s="259"/>
      <c r="G1008" s="556"/>
      <c r="I1008" s="259"/>
    </row>
    <row r="1009" spans="2:9" x14ac:dyDescent="0.15">
      <c r="B1009" s="259"/>
      <c r="G1009" s="556"/>
      <c r="I1009" s="259"/>
    </row>
    <row r="1010" spans="2:9" x14ac:dyDescent="0.15">
      <c r="B1010" s="259"/>
      <c r="G1010" s="556"/>
      <c r="I1010" s="259"/>
    </row>
    <row r="1011" spans="2:9" x14ac:dyDescent="0.15">
      <c r="B1011" s="259"/>
      <c r="G1011" s="556"/>
      <c r="I1011" s="259"/>
    </row>
    <row r="1012" spans="2:9" x14ac:dyDescent="0.15">
      <c r="B1012" s="259"/>
      <c r="G1012" s="556"/>
      <c r="I1012" s="259"/>
    </row>
    <row r="1013" spans="2:9" x14ac:dyDescent="0.15">
      <c r="B1013" s="259"/>
      <c r="G1013" s="556"/>
      <c r="I1013" s="259"/>
    </row>
    <row r="1014" spans="2:9" x14ac:dyDescent="0.15">
      <c r="B1014" s="259"/>
      <c r="G1014" s="556"/>
      <c r="I1014" s="259"/>
    </row>
    <row r="1015" spans="2:9" x14ac:dyDescent="0.15">
      <c r="B1015" s="259"/>
      <c r="G1015" s="556"/>
      <c r="I1015" s="259"/>
    </row>
    <row r="1016" spans="2:9" x14ac:dyDescent="0.15">
      <c r="B1016" s="259"/>
      <c r="G1016" s="556"/>
      <c r="I1016" s="259"/>
    </row>
    <row r="1017" spans="2:9" x14ac:dyDescent="0.15">
      <c r="B1017" s="259"/>
      <c r="G1017" s="556"/>
      <c r="I1017" s="259"/>
    </row>
    <row r="1018" spans="2:9" x14ac:dyDescent="0.15">
      <c r="B1018" s="259"/>
      <c r="G1018" s="556"/>
      <c r="I1018" s="259"/>
    </row>
    <row r="1019" spans="2:9" x14ac:dyDescent="0.15">
      <c r="B1019" s="259"/>
      <c r="G1019" s="556"/>
      <c r="I1019" s="259"/>
    </row>
    <row r="1020" spans="2:9" x14ac:dyDescent="0.15">
      <c r="B1020" s="259"/>
      <c r="G1020" s="556"/>
      <c r="I1020" s="259"/>
    </row>
    <row r="1021" spans="2:9" x14ac:dyDescent="0.15">
      <c r="B1021" s="259"/>
      <c r="G1021" s="556"/>
      <c r="I1021" s="259"/>
    </row>
    <row r="1022" spans="2:9" x14ac:dyDescent="0.15">
      <c r="B1022" s="259"/>
      <c r="G1022" s="556"/>
      <c r="I1022" s="259"/>
    </row>
    <row r="1023" spans="2:9" x14ac:dyDescent="0.15">
      <c r="B1023" s="259"/>
      <c r="G1023" s="556"/>
      <c r="I1023" s="259"/>
    </row>
    <row r="1024" spans="2:9" x14ac:dyDescent="0.15">
      <c r="B1024" s="259"/>
      <c r="G1024" s="556"/>
      <c r="I1024" s="259"/>
    </row>
    <row r="1025" spans="2:9" x14ac:dyDescent="0.15">
      <c r="B1025" s="259"/>
      <c r="G1025" s="556"/>
      <c r="I1025" s="259"/>
    </row>
    <row r="1026" spans="2:9" x14ac:dyDescent="0.15">
      <c r="B1026" s="259"/>
      <c r="G1026" s="556"/>
      <c r="I1026" s="259"/>
    </row>
    <row r="1027" spans="2:9" x14ac:dyDescent="0.15">
      <c r="B1027" s="259"/>
      <c r="G1027" s="556"/>
      <c r="I1027" s="259"/>
    </row>
    <row r="1028" spans="2:9" x14ac:dyDescent="0.15">
      <c r="B1028" s="259"/>
      <c r="G1028" s="556"/>
      <c r="I1028" s="259"/>
    </row>
    <row r="1029" spans="2:9" x14ac:dyDescent="0.15">
      <c r="B1029" s="259"/>
      <c r="G1029" s="556"/>
      <c r="I1029" s="259"/>
    </row>
    <row r="1030" spans="2:9" x14ac:dyDescent="0.15">
      <c r="B1030" s="259"/>
      <c r="G1030" s="556"/>
      <c r="I1030" s="259"/>
    </row>
    <row r="1031" spans="2:9" x14ac:dyDescent="0.15">
      <c r="B1031" s="259"/>
      <c r="G1031" s="556"/>
      <c r="I1031" s="259"/>
    </row>
    <row r="1032" spans="2:9" x14ac:dyDescent="0.15">
      <c r="B1032" s="259"/>
      <c r="G1032" s="556"/>
      <c r="I1032" s="259"/>
    </row>
    <row r="1033" spans="2:9" x14ac:dyDescent="0.15">
      <c r="B1033" s="259"/>
      <c r="G1033" s="556"/>
      <c r="I1033" s="259"/>
    </row>
    <row r="1034" spans="2:9" x14ac:dyDescent="0.15">
      <c r="B1034" s="259"/>
      <c r="G1034" s="556"/>
      <c r="I1034" s="259"/>
    </row>
    <row r="1035" spans="2:9" x14ac:dyDescent="0.15">
      <c r="B1035" s="259"/>
      <c r="G1035" s="556"/>
      <c r="I1035" s="259"/>
    </row>
    <row r="1036" spans="2:9" x14ac:dyDescent="0.15">
      <c r="B1036" s="259"/>
      <c r="G1036" s="556"/>
      <c r="I1036" s="259"/>
    </row>
    <row r="1037" spans="2:9" x14ac:dyDescent="0.15">
      <c r="B1037" s="259"/>
      <c r="G1037" s="556"/>
      <c r="I1037" s="259"/>
    </row>
    <row r="1038" spans="2:9" x14ac:dyDescent="0.15">
      <c r="B1038" s="259"/>
      <c r="G1038" s="556"/>
      <c r="I1038" s="259"/>
    </row>
    <row r="1039" spans="2:9" x14ac:dyDescent="0.15">
      <c r="B1039" s="259"/>
      <c r="G1039" s="556"/>
      <c r="I1039" s="259"/>
    </row>
    <row r="1040" spans="2:9" x14ac:dyDescent="0.15">
      <c r="B1040" s="259"/>
      <c r="G1040" s="556"/>
      <c r="I1040" s="259"/>
    </row>
    <row r="1041" spans="2:9" x14ac:dyDescent="0.15">
      <c r="B1041" s="259"/>
      <c r="G1041" s="556"/>
      <c r="I1041" s="259"/>
    </row>
    <row r="1042" spans="2:9" x14ac:dyDescent="0.15">
      <c r="B1042" s="259"/>
      <c r="G1042" s="556"/>
      <c r="I1042" s="259"/>
    </row>
    <row r="1043" spans="2:9" x14ac:dyDescent="0.15">
      <c r="B1043" s="259"/>
      <c r="G1043" s="556"/>
      <c r="I1043" s="259"/>
    </row>
    <row r="1044" spans="2:9" x14ac:dyDescent="0.15">
      <c r="B1044" s="259"/>
      <c r="G1044" s="556"/>
      <c r="I1044" s="259"/>
    </row>
    <row r="1045" spans="2:9" x14ac:dyDescent="0.15">
      <c r="B1045" s="259"/>
      <c r="G1045" s="556"/>
      <c r="I1045" s="259"/>
    </row>
    <row r="1046" spans="2:9" x14ac:dyDescent="0.15">
      <c r="B1046" s="259"/>
      <c r="G1046" s="556"/>
      <c r="I1046" s="259"/>
    </row>
    <row r="1047" spans="2:9" x14ac:dyDescent="0.15">
      <c r="B1047" s="259"/>
      <c r="G1047" s="556"/>
      <c r="I1047" s="259"/>
    </row>
    <row r="1048" spans="2:9" x14ac:dyDescent="0.15">
      <c r="B1048" s="259"/>
      <c r="G1048" s="556"/>
      <c r="I1048" s="259"/>
    </row>
    <row r="1049" spans="2:9" x14ac:dyDescent="0.15">
      <c r="B1049" s="259"/>
      <c r="G1049" s="556"/>
      <c r="I1049" s="259"/>
    </row>
    <row r="1050" spans="2:9" x14ac:dyDescent="0.15">
      <c r="B1050" s="259"/>
      <c r="G1050" s="556"/>
      <c r="I1050" s="259"/>
    </row>
    <row r="1051" spans="2:9" x14ac:dyDescent="0.15">
      <c r="B1051" s="259"/>
      <c r="G1051" s="556"/>
      <c r="I1051" s="259"/>
    </row>
    <row r="1052" spans="2:9" x14ac:dyDescent="0.15">
      <c r="B1052" s="259"/>
      <c r="G1052" s="556"/>
      <c r="I1052" s="259"/>
    </row>
    <row r="1053" spans="2:9" x14ac:dyDescent="0.15">
      <c r="B1053" s="259"/>
      <c r="G1053" s="556"/>
      <c r="I1053" s="259"/>
    </row>
    <row r="1054" spans="2:9" x14ac:dyDescent="0.15">
      <c r="B1054" s="259"/>
      <c r="G1054" s="556"/>
      <c r="I1054" s="259"/>
    </row>
    <row r="1055" spans="2:9" x14ac:dyDescent="0.15">
      <c r="B1055" s="259"/>
      <c r="G1055" s="556"/>
      <c r="I1055" s="259"/>
    </row>
    <row r="1056" spans="2:9" x14ac:dyDescent="0.15">
      <c r="B1056" s="259"/>
      <c r="G1056" s="556"/>
      <c r="I1056" s="259"/>
    </row>
    <row r="1057" spans="2:9" x14ac:dyDescent="0.15">
      <c r="B1057" s="259"/>
      <c r="G1057" s="556"/>
      <c r="I1057" s="259"/>
    </row>
    <row r="1058" spans="2:9" x14ac:dyDescent="0.15">
      <c r="B1058" s="259"/>
      <c r="G1058" s="556"/>
      <c r="I1058" s="259"/>
    </row>
    <row r="1059" spans="2:9" x14ac:dyDescent="0.15">
      <c r="B1059" s="259"/>
      <c r="G1059" s="556"/>
      <c r="I1059" s="259"/>
    </row>
    <row r="1060" spans="2:9" x14ac:dyDescent="0.15">
      <c r="B1060" s="259"/>
      <c r="G1060" s="556"/>
      <c r="I1060" s="259"/>
    </row>
    <row r="1061" spans="2:9" x14ac:dyDescent="0.15">
      <c r="B1061" s="259"/>
      <c r="G1061" s="556"/>
      <c r="I1061" s="259"/>
    </row>
    <row r="1062" spans="2:9" x14ac:dyDescent="0.15">
      <c r="B1062" s="259"/>
      <c r="G1062" s="556"/>
      <c r="I1062" s="259"/>
    </row>
    <row r="1063" spans="2:9" x14ac:dyDescent="0.15">
      <c r="B1063" s="259"/>
      <c r="G1063" s="556"/>
      <c r="I1063" s="259"/>
    </row>
    <row r="1064" spans="2:9" x14ac:dyDescent="0.15">
      <c r="B1064" s="259"/>
      <c r="G1064" s="556"/>
      <c r="I1064" s="259"/>
    </row>
    <row r="1065" spans="2:9" x14ac:dyDescent="0.15">
      <c r="B1065" s="259"/>
      <c r="G1065" s="556"/>
      <c r="I1065" s="259"/>
    </row>
    <row r="1066" spans="2:9" x14ac:dyDescent="0.15">
      <c r="B1066" s="259"/>
      <c r="G1066" s="556"/>
      <c r="I1066" s="259"/>
    </row>
    <row r="1067" spans="2:9" x14ac:dyDescent="0.15">
      <c r="B1067" s="259"/>
      <c r="G1067" s="556"/>
      <c r="I1067" s="259"/>
    </row>
    <row r="1068" spans="2:9" x14ac:dyDescent="0.15">
      <c r="B1068" s="259"/>
      <c r="G1068" s="556"/>
      <c r="I1068" s="259"/>
    </row>
    <row r="1069" spans="2:9" x14ac:dyDescent="0.15">
      <c r="B1069" s="259"/>
      <c r="G1069" s="556"/>
      <c r="I1069" s="259"/>
    </row>
    <row r="1070" spans="2:9" x14ac:dyDescent="0.15">
      <c r="B1070" s="259"/>
      <c r="G1070" s="556"/>
      <c r="I1070" s="259"/>
    </row>
    <row r="1071" spans="2:9" x14ac:dyDescent="0.15">
      <c r="B1071" s="259"/>
      <c r="G1071" s="556"/>
      <c r="I1071" s="259"/>
    </row>
    <row r="1072" spans="2:9" x14ac:dyDescent="0.15">
      <c r="B1072" s="259"/>
      <c r="G1072" s="556"/>
      <c r="I1072" s="259"/>
    </row>
    <row r="1073" spans="2:9" x14ac:dyDescent="0.15">
      <c r="B1073" s="259"/>
      <c r="G1073" s="556"/>
      <c r="I1073" s="259"/>
    </row>
    <row r="1074" spans="2:9" x14ac:dyDescent="0.15">
      <c r="B1074" s="259"/>
      <c r="G1074" s="556"/>
      <c r="I1074" s="259"/>
    </row>
    <row r="1075" spans="2:9" x14ac:dyDescent="0.15">
      <c r="B1075" s="259"/>
      <c r="G1075" s="556"/>
      <c r="I1075" s="259"/>
    </row>
    <row r="1076" spans="2:9" x14ac:dyDescent="0.15">
      <c r="B1076" s="259"/>
      <c r="G1076" s="556"/>
      <c r="I1076" s="259"/>
    </row>
    <row r="1077" spans="2:9" x14ac:dyDescent="0.15">
      <c r="B1077" s="259"/>
      <c r="G1077" s="556"/>
      <c r="I1077" s="259"/>
    </row>
    <row r="1078" spans="2:9" x14ac:dyDescent="0.15">
      <c r="B1078" s="259"/>
      <c r="G1078" s="556"/>
      <c r="I1078" s="259"/>
    </row>
    <row r="1079" spans="2:9" x14ac:dyDescent="0.15">
      <c r="B1079" s="259"/>
      <c r="G1079" s="556"/>
      <c r="I1079" s="259"/>
    </row>
    <row r="1080" spans="2:9" x14ac:dyDescent="0.15">
      <c r="B1080" s="259"/>
      <c r="G1080" s="556"/>
      <c r="I1080" s="259"/>
    </row>
    <row r="1081" spans="2:9" x14ac:dyDescent="0.15">
      <c r="B1081" s="259"/>
      <c r="G1081" s="556"/>
      <c r="I1081" s="259"/>
    </row>
    <row r="1082" spans="2:9" x14ac:dyDescent="0.15">
      <c r="B1082" s="259"/>
      <c r="G1082" s="556"/>
      <c r="I1082" s="259"/>
    </row>
    <row r="1083" spans="2:9" x14ac:dyDescent="0.15">
      <c r="B1083" s="259"/>
      <c r="G1083" s="556"/>
      <c r="I1083" s="259"/>
    </row>
    <row r="1084" spans="2:9" x14ac:dyDescent="0.15">
      <c r="B1084" s="259"/>
      <c r="G1084" s="556"/>
      <c r="I1084" s="259"/>
    </row>
    <row r="1085" spans="2:9" x14ac:dyDescent="0.15">
      <c r="B1085" s="259"/>
      <c r="G1085" s="556"/>
      <c r="I1085" s="259"/>
    </row>
    <row r="1086" spans="2:9" x14ac:dyDescent="0.15">
      <c r="B1086" s="259"/>
      <c r="G1086" s="556"/>
      <c r="I1086" s="259"/>
    </row>
    <row r="1087" spans="2:9" x14ac:dyDescent="0.15">
      <c r="B1087" s="259"/>
      <c r="G1087" s="556"/>
      <c r="I1087" s="259"/>
    </row>
    <row r="1088" spans="2:9" x14ac:dyDescent="0.15">
      <c r="B1088" s="259"/>
      <c r="G1088" s="556"/>
      <c r="I1088" s="259"/>
    </row>
    <row r="1089" spans="2:9" x14ac:dyDescent="0.15">
      <c r="B1089" s="259"/>
      <c r="G1089" s="556"/>
      <c r="I1089" s="259"/>
    </row>
    <row r="1090" spans="2:9" x14ac:dyDescent="0.15">
      <c r="B1090" s="259"/>
      <c r="G1090" s="556"/>
      <c r="I1090" s="259"/>
    </row>
    <row r="1091" spans="2:9" x14ac:dyDescent="0.15">
      <c r="B1091" s="259"/>
      <c r="G1091" s="556"/>
      <c r="I1091" s="259"/>
    </row>
    <row r="1092" spans="2:9" x14ac:dyDescent="0.15">
      <c r="B1092" s="259"/>
      <c r="G1092" s="556"/>
      <c r="I1092" s="259"/>
    </row>
    <row r="1093" spans="2:9" x14ac:dyDescent="0.15">
      <c r="B1093" s="259"/>
      <c r="G1093" s="556"/>
      <c r="I1093" s="259"/>
    </row>
    <row r="1094" spans="2:9" x14ac:dyDescent="0.15">
      <c r="B1094" s="259"/>
      <c r="G1094" s="556"/>
      <c r="I1094" s="259"/>
    </row>
    <row r="1095" spans="2:9" x14ac:dyDescent="0.15">
      <c r="B1095" s="259"/>
      <c r="G1095" s="556"/>
      <c r="I1095" s="259"/>
    </row>
    <row r="1096" spans="2:9" x14ac:dyDescent="0.15">
      <c r="B1096" s="259"/>
      <c r="G1096" s="556"/>
      <c r="I1096" s="259"/>
    </row>
    <row r="1097" spans="2:9" x14ac:dyDescent="0.15">
      <c r="B1097" s="259"/>
      <c r="G1097" s="556"/>
      <c r="I1097" s="259"/>
    </row>
    <row r="1098" spans="2:9" x14ac:dyDescent="0.15">
      <c r="B1098" s="259"/>
      <c r="G1098" s="556"/>
      <c r="I1098" s="259"/>
    </row>
    <row r="1099" spans="2:9" x14ac:dyDescent="0.15">
      <c r="B1099" s="259"/>
      <c r="G1099" s="556"/>
      <c r="I1099" s="259"/>
    </row>
    <row r="1100" spans="2:9" x14ac:dyDescent="0.15">
      <c r="B1100" s="259"/>
      <c r="G1100" s="556"/>
      <c r="I1100" s="259"/>
    </row>
    <row r="1101" spans="2:9" x14ac:dyDescent="0.15">
      <c r="B1101" s="259"/>
      <c r="G1101" s="556"/>
      <c r="I1101" s="259"/>
    </row>
    <row r="1102" spans="2:9" x14ac:dyDescent="0.15">
      <c r="B1102" s="259"/>
      <c r="G1102" s="556"/>
      <c r="I1102" s="259"/>
    </row>
    <row r="1103" spans="2:9" x14ac:dyDescent="0.15">
      <c r="B1103" s="259"/>
      <c r="G1103" s="556"/>
      <c r="I1103" s="259"/>
    </row>
    <row r="1104" spans="2:9" x14ac:dyDescent="0.15">
      <c r="B1104" s="259"/>
      <c r="G1104" s="556"/>
      <c r="I1104" s="259"/>
    </row>
    <row r="1105" spans="2:9" x14ac:dyDescent="0.15">
      <c r="B1105" s="259"/>
      <c r="G1105" s="556"/>
      <c r="I1105" s="259"/>
    </row>
    <row r="1106" spans="2:9" x14ac:dyDescent="0.15">
      <c r="B1106" s="259"/>
      <c r="G1106" s="556"/>
      <c r="I1106" s="259"/>
    </row>
    <row r="1107" spans="2:9" x14ac:dyDescent="0.15">
      <c r="B1107" s="259"/>
      <c r="G1107" s="556"/>
      <c r="I1107" s="259"/>
    </row>
    <row r="1108" spans="2:9" x14ac:dyDescent="0.15">
      <c r="B1108" s="259"/>
      <c r="G1108" s="556"/>
      <c r="I1108" s="259"/>
    </row>
    <row r="1109" spans="2:9" x14ac:dyDescent="0.15">
      <c r="B1109" s="259"/>
      <c r="G1109" s="556"/>
      <c r="I1109" s="259"/>
    </row>
    <row r="1110" spans="2:9" x14ac:dyDescent="0.15">
      <c r="B1110" s="259"/>
      <c r="G1110" s="556"/>
      <c r="I1110" s="259"/>
    </row>
    <row r="1111" spans="2:9" x14ac:dyDescent="0.15">
      <c r="B1111" s="259"/>
      <c r="G1111" s="556"/>
      <c r="I1111" s="259"/>
    </row>
    <row r="1112" spans="2:9" x14ac:dyDescent="0.15">
      <c r="B1112" s="259"/>
      <c r="G1112" s="556"/>
      <c r="I1112" s="259"/>
    </row>
    <row r="1113" spans="2:9" x14ac:dyDescent="0.15">
      <c r="B1113" s="259"/>
      <c r="G1113" s="556"/>
      <c r="I1113" s="259"/>
    </row>
    <row r="1114" spans="2:9" x14ac:dyDescent="0.15">
      <c r="B1114" s="259"/>
      <c r="G1114" s="556"/>
      <c r="I1114" s="259"/>
    </row>
    <row r="1115" spans="2:9" x14ac:dyDescent="0.15">
      <c r="B1115" s="259"/>
      <c r="G1115" s="556"/>
      <c r="I1115" s="259"/>
    </row>
    <row r="1116" spans="2:9" x14ac:dyDescent="0.15">
      <c r="B1116" s="259"/>
      <c r="G1116" s="556"/>
      <c r="I1116" s="259"/>
    </row>
    <row r="1117" spans="2:9" x14ac:dyDescent="0.15">
      <c r="B1117" s="259"/>
      <c r="G1117" s="556"/>
      <c r="I1117" s="259"/>
    </row>
    <row r="1118" spans="2:9" x14ac:dyDescent="0.15">
      <c r="B1118" s="259"/>
      <c r="G1118" s="556"/>
      <c r="I1118" s="259"/>
    </row>
    <row r="1119" spans="2:9" x14ac:dyDescent="0.15">
      <c r="B1119" s="259"/>
      <c r="G1119" s="556"/>
      <c r="I1119" s="259"/>
    </row>
    <row r="1120" spans="2:9" x14ac:dyDescent="0.15">
      <c r="B1120" s="259"/>
      <c r="G1120" s="556"/>
      <c r="I1120" s="259"/>
    </row>
    <row r="1121" spans="2:9" x14ac:dyDescent="0.15">
      <c r="B1121" s="259"/>
      <c r="G1121" s="556"/>
      <c r="I1121" s="259"/>
    </row>
    <row r="1122" spans="2:9" x14ac:dyDescent="0.15">
      <c r="B1122" s="259"/>
      <c r="G1122" s="556"/>
      <c r="I1122" s="259"/>
    </row>
    <row r="1123" spans="2:9" x14ac:dyDescent="0.15">
      <c r="B1123" s="259"/>
      <c r="G1123" s="556"/>
      <c r="I1123" s="259"/>
    </row>
    <row r="1124" spans="2:9" x14ac:dyDescent="0.15">
      <c r="B1124" s="259"/>
      <c r="G1124" s="556"/>
      <c r="I1124" s="259"/>
    </row>
    <row r="1125" spans="2:9" x14ac:dyDescent="0.15">
      <c r="B1125" s="259"/>
      <c r="G1125" s="556"/>
      <c r="I1125" s="259"/>
    </row>
    <row r="1126" spans="2:9" x14ac:dyDescent="0.15">
      <c r="B1126" s="259"/>
      <c r="G1126" s="556"/>
      <c r="I1126" s="259"/>
    </row>
    <row r="1127" spans="2:9" x14ac:dyDescent="0.15">
      <c r="B1127" s="259"/>
      <c r="G1127" s="556"/>
      <c r="I1127" s="259"/>
    </row>
    <row r="1128" spans="2:9" x14ac:dyDescent="0.15">
      <c r="B1128" s="259"/>
      <c r="G1128" s="556"/>
      <c r="I1128" s="259"/>
    </row>
    <row r="1129" spans="2:9" x14ac:dyDescent="0.15">
      <c r="B1129" s="259"/>
      <c r="G1129" s="556"/>
      <c r="I1129" s="259"/>
    </row>
    <row r="1130" spans="2:9" x14ac:dyDescent="0.15">
      <c r="B1130" s="259"/>
      <c r="G1130" s="556"/>
      <c r="I1130" s="259"/>
    </row>
    <row r="1131" spans="2:9" x14ac:dyDescent="0.15">
      <c r="B1131" s="259"/>
      <c r="G1131" s="556"/>
      <c r="I1131" s="259"/>
    </row>
    <row r="1132" spans="2:9" x14ac:dyDescent="0.15">
      <c r="B1132" s="259"/>
      <c r="G1132" s="556"/>
      <c r="I1132" s="259"/>
    </row>
    <row r="1133" spans="2:9" x14ac:dyDescent="0.15">
      <c r="B1133" s="259"/>
      <c r="G1133" s="556"/>
      <c r="I1133" s="259"/>
    </row>
    <row r="1134" spans="2:9" x14ac:dyDescent="0.15">
      <c r="B1134" s="259"/>
      <c r="G1134" s="556"/>
      <c r="I1134" s="259"/>
    </row>
    <row r="1135" spans="2:9" x14ac:dyDescent="0.15">
      <c r="B1135" s="259"/>
      <c r="G1135" s="556"/>
      <c r="I1135" s="259"/>
    </row>
    <row r="1136" spans="2:9" x14ac:dyDescent="0.15">
      <c r="B1136" s="259"/>
      <c r="G1136" s="556"/>
      <c r="I1136" s="259"/>
    </row>
    <row r="1137" spans="2:9" x14ac:dyDescent="0.15">
      <c r="B1137" s="259"/>
      <c r="G1137" s="556"/>
      <c r="I1137" s="259"/>
    </row>
    <row r="1138" spans="2:9" x14ac:dyDescent="0.15">
      <c r="B1138" s="259"/>
      <c r="G1138" s="556"/>
      <c r="I1138" s="259"/>
    </row>
    <row r="1139" spans="2:9" x14ac:dyDescent="0.15">
      <c r="B1139" s="259"/>
      <c r="G1139" s="556"/>
      <c r="I1139" s="259"/>
    </row>
    <row r="1140" spans="2:9" x14ac:dyDescent="0.15">
      <c r="B1140" s="259"/>
      <c r="G1140" s="556"/>
      <c r="I1140" s="259"/>
    </row>
    <row r="1141" spans="2:9" x14ac:dyDescent="0.15">
      <c r="B1141" s="259"/>
      <c r="G1141" s="556"/>
      <c r="I1141" s="259"/>
    </row>
    <row r="1142" spans="2:9" x14ac:dyDescent="0.15">
      <c r="B1142" s="259"/>
      <c r="G1142" s="556"/>
      <c r="I1142" s="259"/>
    </row>
    <row r="1143" spans="2:9" x14ac:dyDescent="0.15">
      <c r="B1143" s="259"/>
      <c r="G1143" s="556"/>
      <c r="I1143" s="259"/>
    </row>
    <row r="1144" spans="2:9" x14ac:dyDescent="0.15">
      <c r="B1144" s="259"/>
      <c r="G1144" s="556"/>
      <c r="I1144" s="259"/>
    </row>
    <row r="1145" spans="2:9" x14ac:dyDescent="0.15">
      <c r="B1145" s="259"/>
      <c r="G1145" s="556"/>
      <c r="I1145" s="259"/>
    </row>
    <row r="1146" spans="2:9" x14ac:dyDescent="0.15">
      <c r="B1146" s="259"/>
      <c r="G1146" s="556"/>
      <c r="I1146" s="259"/>
    </row>
    <row r="1147" spans="2:9" x14ac:dyDescent="0.15">
      <c r="B1147" s="259"/>
      <c r="G1147" s="556"/>
      <c r="I1147" s="259"/>
    </row>
    <row r="1148" spans="2:9" x14ac:dyDescent="0.15">
      <c r="B1148" s="259"/>
      <c r="G1148" s="556"/>
      <c r="I1148" s="259"/>
    </row>
    <row r="1149" spans="2:9" x14ac:dyDescent="0.15">
      <c r="B1149" s="259"/>
      <c r="G1149" s="556"/>
      <c r="I1149" s="259"/>
    </row>
    <row r="1150" spans="2:9" x14ac:dyDescent="0.15">
      <c r="B1150" s="259"/>
      <c r="G1150" s="556"/>
      <c r="I1150" s="259"/>
    </row>
    <row r="1151" spans="2:9" x14ac:dyDescent="0.15">
      <c r="B1151" s="259"/>
      <c r="G1151" s="556"/>
      <c r="I1151" s="259"/>
    </row>
    <row r="1152" spans="2:9" x14ac:dyDescent="0.15">
      <c r="B1152" s="259"/>
      <c r="G1152" s="556"/>
      <c r="I1152" s="259"/>
    </row>
    <row r="1153" spans="2:9" x14ac:dyDescent="0.15">
      <c r="B1153" s="259"/>
      <c r="G1153" s="556"/>
      <c r="I1153" s="259"/>
    </row>
    <row r="1154" spans="2:9" x14ac:dyDescent="0.15">
      <c r="B1154" s="259"/>
      <c r="G1154" s="556"/>
      <c r="I1154" s="259"/>
    </row>
    <row r="1155" spans="2:9" x14ac:dyDescent="0.15">
      <c r="B1155" s="259"/>
      <c r="G1155" s="556"/>
      <c r="I1155" s="259"/>
    </row>
    <row r="1156" spans="2:9" x14ac:dyDescent="0.15">
      <c r="B1156" s="259"/>
      <c r="G1156" s="556"/>
      <c r="I1156" s="259"/>
    </row>
    <row r="1157" spans="2:9" x14ac:dyDescent="0.15">
      <c r="B1157" s="259"/>
      <c r="G1157" s="556"/>
      <c r="I1157" s="259"/>
    </row>
    <row r="1158" spans="2:9" x14ac:dyDescent="0.15">
      <c r="B1158" s="259"/>
      <c r="G1158" s="556"/>
      <c r="I1158" s="259"/>
    </row>
    <row r="1159" spans="2:9" x14ac:dyDescent="0.15">
      <c r="B1159" s="259"/>
      <c r="G1159" s="556"/>
      <c r="I1159" s="259"/>
    </row>
    <row r="1160" spans="2:9" x14ac:dyDescent="0.15">
      <c r="B1160" s="259"/>
      <c r="G1160" s="556"/>
      <c r="I1160" s="259"/>
    </row>
    <row r="1161" spans="2:9" x14ac:dyDescent="0.15">
      <c r="B1161" s="259"/>
      <c r="G1161" s="556"/>
      <c r="I1161" s="259"/>
    </row>
    <row r="1162" spans="2:9" x14ac:dyDescent="0.15">
      <c r="B1162" s="259"/>
      <c r="G1162" s="556"/>
      <c r="I1162" s="259"/>
    </row>
    <row r="1163" spans="2:9" x14ac:dyDescent="0.15">
      <c r="B1163" s="259"/>
      <c r="G1163" s="556"/>
      <c r="I1163" s="259"/>
    </row>
    <row r="1164" spans="2:9" x14ac:dyDescent="0.15">
      <c r="B1164" s="259"/>
      <c r="G1164" s="556"/>
      <c r="I1164" s="259"/>
    </row>
    <row r="1165" spans="2:9" x14ac:dyDescent="0.15">
      <c r="B1165" s="259"/>
      <c r="G1165" s="556"/>
      <c r="I1165" s="259"/>
    </row>
    <row r="1166" spans="2:9" x14ac:dyDescent="0.15">
      <c r="B1166" s="259"/>
      <c r="G1166" s="556"/>
      <c r="I1166" s="259"/>
    </row>
    <row r="1167" spans="2:9" x14ac:dyDescent="0.15">
      <c r="B1167" s="259"/>
      <c r="G1167" s="556"/>
      <c r="I1167" s="259"/>
    </row>
    <row r="1168" spans="2:9" x14ac:dyDescent="0.15">
      <c r="B1168" s="259"/>
      <c r="G1168" s="556"/>
      <c r="I1168" s="259"/>
    </row>
    <row r="1169" spans="2:9" x14ac:dyDescent="0.15">
      <c r="B1169" s="259"/>
      <c r="G1169" s="556"/>
      <c r="I1169" s="259"/>
    </row>
    <row r="1170" spans="2:9" x14ac:dyDescent="0.15">
      <c r="B1170" s="259"/>
      <c r="G1170" s="556"/>
      <c r="I1170" s="259"/>
    </row>
    <row r="1171" spans="2:9" x14ac:dyDescent="0.15">
      <c r="B1171" s="259"/>
      <c r="G1171" s="556"/>
      <c r="I1171" s="259"/>
    </row>
    <row r="1172" spans="2:9" x14ac:dyDescent="0.15">
      <c r="B1172" s="259"/>
      <c r="G1172" s="556"/>
      <c r="I1172" s="259"/>
    </row>
    <row r="1173" spans="2:9" x14ac:dyDescent="0.15">
      <c r="B1173" s="259"/>
      <c r="G1173" s="556"/>
      <c r="I1173" s="259"/>
    </row>
    <row r="1174" spans="2:9" x14ac:dyDescent="0.15">
      <c r="B1174" s="259"/>
      <c r="G1174" s="556"/>
      <c r="I1174" s="259"/>
    </row>
    <row r="1175" spans="2:9" x14ac:dyDescent="0.15">
      <c r="B1175" s="259"/>
      <c r="G1175" s="556"/>
      <c r="I1175" s="259"/>
    </row>
    <row r="1176" spans="2:9" x14ac:dyDescent="0.15">
      <c r="B1176" s="259"/>
      <c r="G1176" s="556"/>
      <c r="I1176" s="259"/>
    </row>
    <row r="1177" spans="2:9" x14ac:dyDescent="0.15">
      <c r="B1177" s="259"/>
      <c r="G1177" s="556"/>
      <c r="I1177" s="259"/>
    </row>
    <row r="1178" spans="2:9" x14ac:dyDescent="0.15">
      <c r="B1178" s="259"/>
      <c r="G1178" s="556"/>
      <c r="I1178" s="259"/>
    </row>
    <row r="1179" spans="2:9" x14ac:dyDescent="0.15">
      <c r="B1179" s="259"/>
      <c r="G1179" s="556"/>
      <c r="I1179" s="259"/>
    </row>
    <row r="1180" spans="2:9" x14ac:dyDescent="0.15">
      <c r="B1180" s="259"/>
      <c r="G1180" s="556"/>
      <c r="I1180" s="259"/>
    </row>
    <row r="1181" spans="2:9" x14ac:dyDescent="0.15">
      <c r="B1181" s="259"/>
      <c r="G1181" s="556"/>
      <c r="I1181" s="259"/>
    </row>
    <row r="1182" spans="2:9" x14ac:dyDescent="0.15">
      <c r="B1182" s="259"/>
      <c r="G1182" s="556"/>
      <c r="I1182" s="259"/>
    </row>
    <row r="1183" spans="2:9" x14ac:dyDescent="0.15">
      <c r="B1183" s="259"/>
      <c r="G1183" s="556"/>
      <c r="I1183" s="259"/>
    </row>
    <row r="1184" spans="2:9" x14ac:dyDescent="0.15">
      <c r="B1184" s="259"/>
      <c r="G1184" s="556"/>
      <c r="I1184" s="259"/>
    </row>
    <row r="1185" spans="2:9" x14ac:dyDescent="0.15">
      <c r="B1185" s="259"/>
      <c r="G1185" s="556"/>
      <c r="I1185" s="259"/>
    </row>
    <row r="1186" spans="2:9" x14ac:dyDescent="0.15">
      <c r="B1186" s="259"/>
      <c r="G1186" s="556"/>
      <c r="I1186" s="259"/>
    </row>
    <row r="1187" spans="2:9" x14ac:dyDescent="0.15">
      <c r="B1187" s="259"/>
      <c r="G1187" s="556"/>
      <c r="I1187" s="259"/>
    </row>
    <row r="1188" spans="2:9" x14ac:dyDescent="0.15">
      <c r="B1188" s="259"/>
      <c r="G1188" s="556"/>
      <c r="I1188" s="259"/>
    </row>
    <row r="1189" spans="2:9" x14ac:dyDescent="0.15">
      <c r="B1189" s="259"/>
      <c r="G1189" s="556"/>
      <c r="I1189" s="259"/>
    </row>
    <row r="1190" spans="2:9" x14ac:dyDescent="0.15">
      <c r="B1190" s="259"/>
      <c r="G1190" s="556"/>
      <c r="I1190" s="259"/>
    </row>
    <row r="1191" spans="2:9" x14ac:dyDescent="0.15">
      <c r="B1191" s="259"/>
      <c r="G1191" s="556"/>
      <c r="I1191" s="259"/>
    </row>
    <row r="1192" spans="2:9" x14ac:dyDescent="0.15">
      <c r="B1192" s="259"/>
      <c r="G1192" s="556"/>
      <c r="I1192" s="259"/>
    </row>
    <row r="1193" spans="2:9" x14ac:dyDescent="0.15">
      <c r="B1193" s="259"/>
      <c r="G1193" s="556"/>
      <c r="I1193" s="259"/>
    </row>
    <row r="1194" spans="2:9" x14ac:dyDescent="0.15">
      <c r="B1194" s="259"/>
      <c r="G1194" s="556"/>
      <c r="I1194" s="259"/>
    </row>
    <row r="1195" spans="2:9" x14ac:dyDescent="0.15">
      <c r="B1195" s="259"/>
      <c r="G1195" s="556"/>
      <c r="I1195" s="259"/>
    </row>
    <row r="1196" spans="2:9" x14ac:dyDescent="0.15">
      <c r="B1196" s="259"/>
      <c r="G1196" s="556"/>
      <c r="I1196" s="259"/>
    </row>
    <row r="1197" spans="2:9" x14ac:dyDescent="0.15">
      <c r="B1197" s="259"/>
      <c r="G1197" s="556"/>
      <c r="I1197" s="259"/>
    </row>
    <row r="1198" spans="2:9" x14ac:dyDescent="0.15">
      <c r="B1198" s="259"/>
      <c r="G1198" s="556"/>
      <c r="I1198" s="259"/>
    </row>
    <row r="1199" spans="2:9" x14ac:dyDescent="0.15">
      <c r="B1199" s="259"/>
      <c r="G1199" s="556"/>
      <c r="I1199" s="259"/>
    </row>
    <row r="1200" spans="2:9" x14ac:dyDescent="0.15">
      <c r="B1200" s="259"/>
      <c r="G1200" s="556"/>
      <c r="I1200" s="259"/>
    </row>
    <row r="1201" spans="2:9" x14ac:dyDescent="0.15">
      <c r="B1201" s="259"/>
      <c r="G1201" s="556"/>
      <c r="I1201" s="259"/>
    </row>
    <row r="1202" spans="2:9" x14ac:dyDescent="0.15">
      <c r="B1202" s="259"/>
      <c r="G1202" s="556"/>
      <c r="I1202" s="259"/>
    </row>
    <row r="1203" spans="2:9" x14ac:dyDescent="0.15">
      <c r="B1203" s="259"/>
      <c r="G1203" s="556"/>
      <c r="I1203" s="259"/>
    </row>
    <row r="1204" spans="2:9" x14ac:dyDescent="0.15">
      <c r="B1204" s="259"/>
      <c r="G1204" s="556"/>
      <c r="I1204" s="259"/>
    </row>
    <row r="1205" spans="2:9" x14ac:dyDescent="0.15">
      <c r="B1205" s="259"/>
      <c r="G1205" s="556"/>
      <c r="I1205" s="259"/>
    </row>
    <row r="1206" spans="2:9" x14ac:dyDescent="0.15">
      <c r="B1206" s="259"/>
      <c r="G1206" s="556"/>
      <c r="I1206" s="259"/>
    </row>
    <row r="1207" spans="2:9" x14ac:dyDescent="0.15">
      <c r="B1207" s="259"/>
      <c r="G1207" s="556"/>
      <c r="I1207" s="259"/>
    </row>
    <row r="1208" spans="2:9" x14ac:dyDescent="0.15">
      <c r="B1208" s="259"/>
      <c r="G1208" s="556"/>
      <c r="I1208" s="259"/>
    </row>
    <row r="1209" spans="2:9" x14ac:dyDescent="0.15">
      <c r="B1209" s="259"/>
      <c r="G1209" s="556"/>
      <c r="I1209" s="259"/>
    </row>
    <row r="1210" spans="2:9" x14ac:dyDescent="0.15">
      <c r="B1210" s="259"/>
      <c r="G1210" s="556"/>
      <c r="I1210" s="259"/>
    </row>
    <row r="1211" spans="2:9" x14ac:dyDescent="0.15">
      <c r="B1211" s="259"/>
      <c r="G1211" s="556"/>
      <c r="I1211" s="259"/>
    </row>
    <row r="1212" spans="2:9" x14ac:dyDescent="0.15">
      <c r="B1212" s="259"/>
      <c r="G1212" s="556"/>
      <c r="I1212" s="259"/>
    </row>
    <row r="1213" spans="2:9" x14ac:dyDescent="0.15">
      <c r="B1213" s="259"/>
      <c r="G1213" s="556"/>
      <c r="I1213" s="259"/>
    </row>
    <row r="1214" spans="2:9" x14ac:dyDescent="0.15">
      <c r="B1214" s="259"/>
      <c r="G1214" s="556"/>
      <c r="I1214" s="259"/>
    </row>
    <row r="1215" spans="2:9" x14ac:dyDescent="0.15">
      <c r="B1215" s="259"/>
      <c r="G1215" s="556"/>
      <c r="I1215" s="259"/>
    </row>
    <row r="1216" spans="2:9" x14ac:dyDescent="0.15">
      <c r="B1216" s="259"/>
      <c r="G1216" s="556"/>
      <c r="I1216" s="259"/>
    </row>
    <row r="1217" spans="2:9" x14ac:dyDescent="0.15">
      <c r="B1217" s="259"/>
      <c r="G1217" s="556"/>
      <c r="I1217" s="259"/>
    </row>
    <row r="1218" spans="2:9" x14ac:dyDescent="0.15">
      <c r="B1218" s="259"/>
      <c r="G1218" s="556"/>
      <c r="I1218" s="259"/>
    </row>
    <row r="1219" spans="2:9" x14ac:dyDescent="0.15">
      <c r="B1219" s="259"/>
      <c r="G1219" s="556"/>
      <c r="I1219" s="259"/>
    </row>
    <row r="1220" spans="2:9" x14ac:dyDescent="0.15">
      <c r="B1220" s="259"/>
      <c r="G1220" s="556"/>
      <c r="I1220" s="259"/>
    </row>
    <row r="1221" spans="2:9" x14ac:dyDescent="0.15">
      <c r="B1221" s="259"/>
      <c r="G1221" s="556"/>
      <c r="I1221" s="259"/>
    </row>
    <row r="1222" spans="2:9" x14ac:dyDescent="0.15">
      <c r="B1222" s="259"/>
      <c r="G1222" s="556"/>
      <c r="I1222" s="259"/>
    </row>
    <row r="1223" spans="2:9" x14ac:dyDescent="0.15">
      <c r="B1223" s="259"/>
      <c r="G1223" s="556"/>
      <c r="I1223" s="259"/>
    </row>
    <row r="1224" spans="2:9" x14ac:dyDescent="0.15">
      <c r="B1224" s="259"/>
      <c r="G1224" s="556"/>
      <c r="I1224" s="259"/>
    </row>
    <row r="1225" spans="2:9" x14ac:dyDescent="0.15">
      <c r="B1225" s="259"/>
      <c r="G1225" s="556"/>
      <c r="I1225" s="259"/>
    </row>
    <row r="1226" spans="2:9" x14ac:dyDescent="0.15">
      <c r="B1226" s="259"/>
      <c r="G1226" s="556"/>
      <c r="I1226" s="259"/>
    </row>
    <row r="1227" spans="2:9" x14ac:dyDescent="0.15">
      <c r="B1227" s="259"/>
      <c r="G1227" s="556"/>
      <c r="I1227" s="259"/>
    </row>
    <row r="1228" spans="2:9" x14ac:dyDescent="0.15">
      <c r="B1228" s="259"/>
      <c r="G1228" s="556"/>
      <c r="I1228" s="259"/>
    </row>
    <row r="1229" spans="2:9" x14ac:dyDescent="0.15">
      <c r="B1229" s="259"/>
      <c r="G1229" s="556"/>
      <c r="I1229" s="259"/>
    </row>
    <row r="1230" spans="2:9" x14ac:dyDescent="0.15">
      <c r="B1230" s="259"/>
      <c r="G1230" s="556"/>
      <c r="I1230" s="259"/>
    </row>
    <row r="1231" spans="2:9" x14ac:dyDescent="0.15">
      <c r="B1231" s="259"/>
      <c r="G1231" s="556"/>
      <c r="I1231" s="259"/>
    </row>
    <row r="1232" spans="2:9" x14ac:dyDescent="0.15">
      <c r="B1232" s="259"/>
      <c r="G1232" s="556"/>
      <c r="I1232" s="259"/>
    </row>
    <row r="1233" spans="2:9" x14ac:dyDescent="0.15">
      <c r="B1233" s="259"/>
      <c r="G1233" s="556"/>
      <c r="I1233" s="259"/>
    </row>
    <row r="1234" spans="2:9" x14ac:dyDescent="0.15">
      <c r="B1234" s="259"/>
      <c r="G1234" s="556"/>
      <c r="I1234" s="259"/>
    </row>
    <row r="1235" spans="2:9" x14ac:dyDescent="0.15">
      <c r="B1235" s="259"/>
      <c r="G1235" s="556"/>
      <c r="I1235" s="259"/>
    </row>
    <row r="1236" spans="2:9" x14ac:dyDescent="0.15">
      <c r="B1236" s="259"/>
      <c r="G1236" s="556"/>
      <c r="I1236" s="259"/>
    </row>
    <row r="1237" spans="2:9" x14ac:dyDescent="0.15">
      <c r="B1237" s="259"/>
      <c r="G1237" s="556"/>
      <c r="I1237" s="259"/>
    </row>
    <row r="1238" spans="2:9" x14ac:dyDescent="0.15">
      <c r="B1238" s="259"/>
      <c r="G1238" s="556"/>
      <c r="I1238" s="259"/>
    </row>
    <row r="1239" spans="2:9" x14ac:dyDescent="0.15">
      <c r="B1239" s="259"/>
      <c r="G1239" s="556"/>
      <c r="I1239" s="259"/>
    </row>
    <row r="1240" spans="2:9" x14ac:dyDescent="0.15">
      <c r="B1240" s="259"/>
      <c r="G1240" s="556"/>
      <c r="I1240" s="259"/>
    </row>
    <row r="1241" spans="2:9" x14ac:dyDescent="0.15">
      <c r="B1241" s="259"/>
      <c r="G1241" s="556"/>
      <c r="I1241" s="259"/>
    </row>
    <row r="1242" spans="2:9" x14ac:dyDescent="0.15">
      <c r="B1242" s="259"/>
      <c r="G1242" s="556"/>
      <c r="I1242" s="259"/>
    </row>
    <row r="1243" spans="2:9" x14ac:dyDescent="0.15">
      <c r="B1243" s="259"/>
      <c r="G1243" s="556"/>
      <c r="I1243" s="259"/>
    </row>
    <row r="1244" spans="2:9" x14ac:dyDescent="0.15">
      <c r="B1244" s="259"/>
      <c r="G1244" s="556"/>
      <c r="I1244" s="259"/>
    </row>
    <row r="1245" spans="2:9" x14ac:dyDescent="0.15">
      <c r="B1245" s="259"/>
      <c r="G1245" s="556"/>
      <c r="I1245" s="259"/>
    </row>
    <row r="1246" spans="2:9" x14ac:dyDescent="0.15">
      <c r="B1246" s="259"/>
      <c r="G1246" s="556"/>
      <c r="I1246" s="259"/>
    </row>
    <row r="1247" spans="2:9" x14ac:dyDescent="0.15">
      <c r="B1247" s="259"/>
      <c r="G1247" s="556"/>
      <c r="I1247" s="259"/>
    </row>
    <row r="1248" spans="2:9" x14ac:dyDescent="0.15">
      <c r="B1248" s="259"/>
      <c r="G1248" s="556"/>
      <c r="I1248" s="259"/>
    </row>
    <row r="1249" spans="2:9" x14ac:dyDescent="0.15">
      <c r="B1249" s="259"/>
      <c r="G1249" s="556"/>
      <c r="I1249" s="259"/>
    </row>
    <row r="1250" spans="2:9" x14ac:dyDescent="0.15">
      <c r="B1250" s="259"/>
      <c r="G1250" s="556"/>
      <c r="I1250" s="259"/>
    </row>
    <row r="1251" spans="2:9" x14ac:dyDescent="0.15">
      <c r="B1251" s="259"/>
      <c r="G1251" s="556"/>
      <c r="I1251" s="259"/>
    </row>
    <row r="1252" spans="2:9" x14ac:dyDescent="0.15">
      <c r="B1252" s="259"/>
      <c r="G1252" s="556"/>
      <c r="I1252" s="259"/>
    </row>
    <row r="1253" spans="2:9" x14ac:dyDescent="0.15">
      <c r="B1253" s="259"/>
      <c r="G1253" s="556"/>
      <c r="I1253" s="259"/>
    </row>
    <row r="1254" spans="2:9" x14ac:dyDescent="0.15">
      <c r="B1254" s="259"/>
      <c r="G1254" s="556"/>
      <c r="I1254" s="259"/>
    </row>
    <row r="1255" spans="2:9" x14ac:dyDescent="0.15">
      <c r="B1255" s="259"/>
      <c r="G1255" s="556"/>
      <c r="I1255" s="259"/>
    </row>
    <row r="1256" spans="2:9" x14ac:dyDescent="0.15">
      <c r="B1256" s="259"/>
      <c r="G1256" s="556"/>
      <c r="I1256" s="259"/>
    </row>
    <row r="1257" spans="2:9" x14ac:dyDescent="0.15">
      <c r="B1257" s="259"/>
      <c r="G1257" s="556"/>
      <c r="I1257" s="259"/>
    </row>
    <row r="1258" spans="2:9" x14ac:dyDescent="0.15">
      <c r="B1258" s="259"/>
      <c r="G1258" s="556"/>
      <c r="I1258" s="259"/>
    </row>
    <row r="1259" spans="2:9" x14ac:dyDescent="0.15">
      <c r="B1259" s="259"/>
      <c r="G1259" s="556"/>
      <c r="I1259" s="259"/>
    </row>
    <row r="1260" spans="2:9" x14ac:dyDescent="0.15">
      <c r="B1260" s="259"/>
      <c r="G1260" s="556"/>
      <c r="I1260" s="259"/>
    </row>
    <row r="1261" spans="2:9" x14ac:dyDescent="0.15">
      <c r="B1261" s="259"/>
      <c r="G1261" s="556"/>
      <c r="I1261" s="259"/>
    </row>
    <row r="1262" spans="2:9" x14ac:dyDescent="0.15">
      <c r="B1262" s="259"/>
      <c r="G1262" s="556"/>
      <c r="I1262" s="259"/>
    </row>
    <row r="1263" spans="2:9" x14ac:dyDescent="0.15">
      <c r="B1263" s="259"/>
      <c r="G1263" s="556"/>
      <c r="I1263" s="259"/>
    </row>
    <row r="1264" spans="2:9" x14ac:dyDescent="0.15">
      <c r="B1264" s="259"/>
      <c r="G1264" s="556"/>
      <c r="I1264" s="259"/>
    </row>
    <row r="1265" spans="2:9" x14ac:dyDescent="0.15">
      <c r="B1265" s="259"/>
      <c r="G1265" s="556"/>
      <c r="I1265" s="259"/>
    </row>
    <row r="1266" spans="2:9" x14ac:dyDescent="0.15">
      <c r="B1266" s="259"/>
      <c r="G1266" s="556"/>
      <c r="I1266" s="259"/>
    </row>
    <row r="1267" spans="2:9" x14ac:dyDescent="0.15">
      <c r="B1267" s="259"/>
      <c r="G1267" s="556"/>
      <c r="I1267" s="259"/>
    </row>
    <row r="1268" spans="2:9" x14ac:dyDescent="0.15">
      <c r="B1268" s="259"/>
      <c r="G1268" s="556"/>
      <c r="I1268" s="259"/>
    </row>
    <row r="1269" spans="2:9" x14ac:dyDescent="0.15">
      <c r="B1269" s="259"/>
      <c r="G1269" s="556"/>
      <c r="I1269" s="259"/>
    </row>
    <row r="1270" spans="2:9" x14ac:dyDescent="0.15">
      <c r="B1270" s="259"/>
      <c r="G1270" s="556"/>
      <c r="I1270" s="259"/>
    </row>
    <row r="1271" spans="2:9" x14ac:dyDescent="0.15">
      <c r="B1271" s="259"/>
      <c r="G1271" s="556"/>
      <c r="I1271" s="259"/>
    </row>
    <row r="1272" spans="2:9" x14ac:dyDescent="0.15">
      <c r="B1272" s="259"/>
      <c r="G1272" s="556"/>
      <c r="I1272" s="259"/>
    </row>
    <row r="1273" spans="2:9" x14ac:dyDescent="0.15">
      <c r="B1273" s="259"/>
      <c r="G1273" s="556"/>
      <c r="I1273" s="259"/>
    </row>
    <row r="1274" spans="2:9" x14ac:dyDescent="0.15">
      <c r="B1274" s="259"/>
      <c r="G1274" s="556"/>
      <c r="I1274" s="259"/>
    </row>
    <row r="1275" spans="2:9" x14ac:dyDescent="0.15">
      <c r="B1275" s="259"/>
      <c r="G1275" s="556"/>
      <c r="I1275" s="259"/>
    </row>
    <row r="1276" spans="2:9" x14ac:dyDescent="0.15">
      <c r="B1276" s="259"/>
      <c r="G1276" s="556"/>
      <c r="I1276" s="259"/>
    </row>
    <row r="1277" spans="2:9" x14ac:dyDescent="0.15">
      <c r="B1277" s="259"/>
      <c r="G1277" s="556"/>
      <c r="I1277" s="259"/>
    </row>
    <row r="1278" spans="2:9" x14ac:dyDescent="0.15">
      <c r="B1278" s="259"/>
      <c r="G1278" s="556"/>
      <c r="I1278" s="259"/>
    </row>
    <row r="1279" spans="2:9" x14ac:dyDescent="0.15">
      <c r="B1279" s="259"/>
      <c r="G1279" s="556"/>
      <c r="I1279" s="259"/>
    </row>
    <row r="1280" spans="2:9" x14ac:dyDescent="0.15">
      <c r="B1280" s="259"/>
      <c r="G1280" s="556"/>
      <c r="I1280" s="259"/>
    </row>
    <row r="1281" spans="2:9" x14ac:dyDescent="0.15">
      <c r="B1281" s="259"/>
      <c r="G1281" s="556"/>
      <c r="I1281" s="259"/>
    </row>
    <row r="1282" spans="2:9" x14ac:dyDescent="0.15">
      <c r="B1282" s="259"/>
      <c r="G1282" s="556"/>
      <c r="I1282" s="259"/>
    </row>
    <row r="1283" spans="2:9" x14ac:dyDescent="0.15">
      <c r="B1283" s="259"/>
      <c r="G1283" s="556"/>
      <c r="I1283" s="259"/>
    </row>
    <row r="1284" spans="2:9" x14ac:dyDescent="0.15">
      <c r="B1284" s="259"/>
      <c r="G1284" s="556"/>
      <c r="I1284" s="259"/>
    </row>
    <row r="1285" spans="2:9" x14ac:dyDescent="0.15">
      <c r="B1285" s="259"/>
      <c r="G1285" s="556"/>
      <c r="I1285" s="259"/>
    </row>
    <row r="1286" spans="2:9" x14ac:dyDescent="0.15">
      <c r="B1286" s="259"/>
      <c r="G1286" s="556"/>
      <c r="I1286" s="259"/>
    </row>
    <row r="1287" spans="2:9" x14ac:dyDescent="0.15">
      <c r="B1287" s="259"/>
      <c r="G1287" s="556"/>
      <c r="I1287" s="259"/>
    </row>
    <row r="1288" spans="2:9" x14ac:dyDescent="0.15">
      <c r="B1288" s="259"/>
      <c r="G1288" s="556"/>
      <c r="I1288" s="259"/>
    </row>
    <row r="1289" spans="2:9" x14ac:dyDescent="0.15">
      <c r="B1289" s="259"/>
      <c r="G1289" s="556"/>
      <c r="I1289" s="259"/>
    </row>
    <row r="1290" spans="2:9" x14ac:dyDescent="0.15">
      <c r="B1290" s="259"/>
      <c r="G1290" s="556"/>
      <c r="I1290" s="259"/>
    </row>
    <row r="1291" spans="2:9" x14ac:dyDescent="0.15">
      <c r="B1291" s="259"/>
      <c r="G1291" s="556"/>
      <c r="I1291" s="259"/>
    </row>
    <row r="1292" spans="2:9" x14ac:dyDescent="0.15">
      <c r="B1292" s="259"/>
      <c r="G1292" s="556"/>
      <c r="I1292" s="259"/>
    </row>
    <row r="1293" spans="2:9" x14ac:dyDescent="0.15">
      <c r="B1293" s="259"/>
      <c r="G1293" s="556"/>
      <c r="I1293" s="259"/>
    </row>
    <row r="1294" spans="2:9" x14ac:dyDescent="0.15">
      <c r="B1294" s="259"/>
      <c r="G1294" s="556"/>
      <c r="I1294" s="259"/>
    </row>
    <row r="1295" spans="2:9" x14ac:dyDescent="0.15">
      <c r="B1295" s="259"/>
      <c r="G1295" s="556"/>
      <c r="I1295" s="259"/>
    </row>
    <row r="1296" spans="2:9" x14ac:dyDescent="0.15">
      <c r="B1296" s="259"/>
      <c r="G1296" s="556"/>
      <c r="I1296" s="259"/>
    </row>
    <row r="1297" spans="2:9" x14ac:dyDescent="0.15">
      <c r="B1297" s="259"/>
      <c r="G1297" s="556"/>
      <c r="I1297" s="259"/>
    </row>
    <row r="1298" spans="2:9" x14ac:dyDescent="0.15">
      <c r="B1298" s="259"/>
      <c r="G1298" s="556"/>
      <c r="I1298" s="259"/>
    </row>
    <row r="1299" spans="2:9" x14ac:dyDescent="0.15">
      <c r="B1299" s="259"/>
      <c r="G1299" s="556"/>
      <c r="I1299" s="259"/>
    </row>
    <row r="1300" spans="2:9" x14ac:dyDescent="0.15">
      <c r="B1300" s="259"/>
      <c r="G1300" s="556"/>
      <c r="I1300" s="259"/>
    </row>
    <row r="1301" spans="2:9" x14ac:dyDescent="0.15">
      <c r="B1301" s="259"/>
      <c r="G1301" s="556"/>
      <c r="I1301" s="259"/>
    </row>
    <row r="1302" spans="2:9" x14ac:dyDescent="0.15">
      <c r="B1302" s="259"/>
      <c r="G1302" s="556"/>
      <c r="I1302" s="259"/>
    </row>
    <row r="1303" spans="2:9" x14ac:dyDescent="0.15">
      <c r="B1303" s="259"/>
      <c r="G1303" s="556"/>
      <c r="I1303" s="259"/>
    </row>
    <row r="1304" spans="2:9" x14ac:dyDescent="0.15">
      <c r="B1304" s="259"/>
      <c r="G1304" s="556"/>
      <c r="I1304" s="259"/>
    </row>
    <row r="1305" spans="2:9" x14ac:dyDescent="0.15">
      <c r="B1305" s="259"/>
      <c r="G1305" s="556"/>
      <c r="I1305" s="259"/>
    </row>
    <row r="1306" spans="2:9" x14ac:dyDescent="0.15">
      <c r="B1306" s="259"/>
      <c r="G1306" s="556"/>
      <c r="I1306" s="259"/>
    </row>
    <row r="1307" spans="2:9" x14ac:dyDescent="0.15">
      <c r="B1307" s="259"/>
      <c r="G1307" s="556"/>
      <c r="I1307" s="259"/>
    </row>
    <row r="1308" spans="2:9" x14ac:dyDescent="0.15">
      <c r="B1308" s="259"/>
      <c r="G1308" s="556"/>
      <c r="I1308" s="259"/>
    </row>
    <row r="1309" spans="2:9" x14ac:dyDescent="0.15">
      <c r="B1309" s="259"/>
      <c r="G1309" s="556"/>
      <c r="I1309" s="259"/>
    </row>
    <row r="1310" spans="2:9" x14ac:dyDescent="0.15">
      <c r="B1310" s="259"/>
      <c r="G1310" s="556"/>
      <c r="I1310" s="259"/>
    </row>
    <row r="1311" spans="2:9" x14ac:dyDescent="0.15">
      <c r="B1311" s="259"/>
      <c r="G1311" s="556"/>
      <c r="I1311" s="259"/>
    </row>
    <row r="1312" spans="2:9" x14ac:dyDescent="0.15">
      <c r="B1312" s="259"/>
      <c r="G1312" s="556"/>
      <c r="I1312" s="259"/>
    </row>
    <row r="1313" spans="2:9" x14ac:dyDescent="0.15">
      <c r="B1313" s="259"/>
      <c r="G1313" s="556"/>
      <c r="I1313" s="259"/>
    </row>
    <row r="1314" spans="2:9" x14ac:dyDescent="0.15">
      <c r="B1314" s="259"/>
      <c r="G1314" s="556"/>
      <c r="I1314" s="259"/>
    </row>
    <row r="1315" spans="2:9" x14ac:dyDescent="0.15">
      <c r="B1315" s="259"/>
      <c r="G1315" s="556"/>
      <c r="I1315" s="259"/>
    </row>
    <row r="1316" spans="2:9" x14ac:dyDescent="0.15">
      <c r="B1316" s="259"/>
      <c r="G1316" s="556"/>
      <c r="I1316" s="259"/>
    </row>
    <row r="1317" spans="2:9" x14ac:dyDescent="0.15">
      <c r="B1317" s="259"/>
      <c r="G1317" s="556"/>
      <c r="I1317" s="259"/>
    </row>
    <row r="1318" spans="2:9" x14ac:dyDescent="0.15">
      <c r="B1318" s="259"/>
      <c r="G1318" s="556"/>
      <c r="I1318" s="259"/>
    </row>
    <row r="1319" spans="2:9" x14ac:dyDescent="0.15">
      <c r="B1319" s="259"/>
      <c r="G1319" s="556"/>
      <c r="I1319" s="259"/>
    </row>
    <row r="1320" spans="2:9" x14ac:dyDescent="0.15">
      <c r="B1320" s="259"/>
      <c r="G1320" s="556"/>
      <c r="I1320" s="259"/>
    </row>
    <row r="1321" spans="2:9" x14ac:dyDescent="0.15">
      <c r="B1321" s="259"/>
      <c r="G1321" s="556"/>
      <c r="I1321" s="259"/>
    </row>
    <row r="1322" spans="2:9" x14ac:dyDescent="0.15">
      <c r="B1322" s="259"/>
      <c r="G1322" s="556"/>
      <c r="I1322" s="259"/>
    </row>
    <row r="1323" spans="2:9" x14ac:dyDescent="0.15">
      <c r="B1323" s="259"/>
      <c r="G1323" s="556"/>
      <c r="I1323" s="259"/>
    </row>
    <row r="1324" spans="2:9" x14ac:dyDescent="0.15">
      <c r="B1324" s="259"/>
      <c r="G1324" s="556"/>
      <c r="I1324" s="259"/>
    </row>
    <row r="1325" spans="2:9" x14ac:dyDescent="0.15">
      <c r="B1325" s="259"/>
      <c r="G1325" s="556"/>
      <c r="I1325" s="259"/>
    </row>
    <row r="1326" spans="2:9" x14ac:dyDescent="0.15">
      <c r="B1326" s="259"/>
      <c r="G1326" s="556"/>
      <c r="I1326" s="259"/>
    </row>
    <row r="1327" spans="2:9" x14ac:dyDescent="0.15">
      <c r="B1327" s="259"/>
      <c r="G1327" s="556"/>
      <c r="I1327" s="259"/>
    </row>
    <row r="1328" spans="2:9" x14ac:dyDescent="0.15">
      <c r="B1328" s="259"/>
      <c r="G1328" s="556"/>
      <c r="I1328" s="259"/>
    </row>
    <row r="1329" spans="2:9" x14ac:dyDescent="0.15">
      <c r="B1329" s="259"/>
      <c r="G1329" s="556"/>
      <c r="I1329" s="259"/>
    </row>
    <row r="1330" spans="2:9" x14ac:dyDescent="0.15">
      <c r="B1330" s="259"/>
      <c r="G1330" s="556"/>
      <c r="I1330" s="259"/>
    </row>
    <row r="1331" spans="2:9" x14ac:dyDescent="0.15">
      <c r="B1331" s="259"/>
      <c r="G1331" s="556"/>
      <c r="I1331" s="259"/>
    </row>
    <row r="1332" spans="2:9" x14ac:dyDescent="0.15">
      <c r="B1332" s="259"/>
      <c r="G1332" s="556"/>
      <c r="I1332" s="259"/>
    </row>
    <row r="1333" spans="2:9" x14ac:dyDescent="0.15">
      <c r="B1333" s="259"/>
      <c r="G1333" s="556"/>
      <c r="I1333" s="259"/>
    </row>
    <row r="1334" spans="2:9" x14ac:dyDescent="0.15">
      <c r="B1334" s="259"/>
      <c r="G1334" s="556"/>
      <c r="I1334" s="259"/>
    </row>
    <row r="1335" spans="2:9" x14ac:dyDescent="0.15">
      <c r="B1335" s="259"/>
      <c r="G1335" s="556"/>
      <c r="I1335" s="259"/>
    </row>
    <row r="1336" spans="2:9" x14ac:dyDescent="0.15">
      <c r="B1336" s="259"/>
      <c r="G1336" s="556"/>
      <c r="I1336" s="259"/>
    </row>
    <row r="1337" spans="2:9" x14ac:dyDescent="0.15">
      <c r="B1337" s="259"/>
      <c r="G1337" s="556"/>
      <c r="I1337" s="259"/>
    </row>
    <row r="1338" spans="2:9" x14ac:dyDescent="0.15">
      <c r="B1338" s="259"/>
      <c r="G1338" s="556"/>
      <c r="I1338" s="259"/>
    </row>
    <row r="1339" spans="2:9" x14ac:dyDescent="0.15">
      <c r="B1339" s="259"/>
      <c r="G1339" s="556"/>
      <c r="I1339" s="259"/>
    </row>
    <row r="1340" spans="2:9" x14ac:dyDescent="0.15">
      <c r="B1340" s="259"/>
      <c r="G1340" s="556"/>
      <c r="I1340" s="259"/>
    </row>
    <row r="1341" spans="2:9" x14ac:dyDescent="0.15">
      <c r="B1341" s="259"/>
      <c r="G1341" s="556"/>
      <c r="I1341" s="259"/>
    </row>
    <row r="1342" spans="2:9" x14ac:dyDescent="0.15">
      <c r="B1342" s="259"/>
      <c r="G1342" s="556"/>
      <c r="I1342" s="259"/>
    </row>
    <row r="1343" spans="2:9" x14ac:dyDescent="0.15">
      <c r="B1343" s="259"/>
      <c r="G1343" s="556"/>
      <c r="I1343" s="259"/>
    </row>
    <row r="1344" spans="2:9" x14ac:dyDescent="0.15">
      <c r="B1344" s="259"/>
      <c r="G1344" s="556"/>
      <c r="I1344" s="259"/>
    </row>
    <row r="1345" spans="2:9" x14ac:dyDescent="0.15">
      <c r="B1345" s="259"/>
      <c r="G1345" s="556"/>
      <c r="I1345" s="259"/>
    </row>
    <row r="1346" spans="2:9" x14ac:dyDescent="0.15">
      <c r="B1346" s="259"/>
      <c r="G1346" s="556"/>
      <c r="I1346" s="259"/>
    </row>
    <row r="1347" spans="2:9" x14ac:dyDescent="0.15">
      <c r="B1347" s="259"/>
      <c r="G1347" s="556"/>
      <c r="I1347" s="259"/>
    </row>
    <row r="1348" spans="2:9" x14ac:dyDescent="0.15">
      <c r="B1348" s="259"/>
      <c r="G1348" s="556"/>
      <c r="I1348" s="259"/>
    </row>
    <row r="1349" spans="2:9" x14ac:dyDescent="0.15">
      <c r="B1349" s="259"/>
      <c r="G1349" s="556"/>
      <c r="I1349" s="259"/>
    </row>
    <row r="1350" spans="2:9" x14ac:dyDescent="0.15">
      <c r="B1350" s="259"/>
      <c r="G1350" s="556"/>
      <c r="I1350" s="259"/>
    </row>
    <row r="1351" spans="2:9" x14ac:dyDescent="0.15">
      <c r="B1351" s="259"/>
      <c r="G1351" s="556"/>
      <c r="I1351" s="259"/>
    </row>
    <row r="1352" spans="2:9" x14ac:dyDescent="0.15">
      <c r="B1352" s="259"/>
      <c r="G1352" s="556"/>
      <c r="I1352" s="259"/>
    </row>
    <row r="1353" spans="2:9" x14ac:dyDescent="0.15">
      <c r="B1353" s="259"/>
      <c r="G1353" s="556"/>
      <c r="I1353" s="259"/>
    </row>
    <row r="1354" spans="2:9" x14ac:dyDescent="0.15">
      <c r="B1354" s="259"/>
      <c r="G1354" s="556"/>
      <c r="I1354" s="259"/>
    </row>
    <row r="1355" spans="2:9" x14ac:dyDescent="0.15">
      <c r="B1355" s="259"/>
      <c r="G1355" s="556"/>
      <c r="I1355" s="259"/>
    </row>
    <row r="1356" spans="2:9" x14ac:dyDescent="0.15">
      <c r="B1356" s="259"/>
      <c r="G1356" s="556"/>
      <c r="I1356" s="259"/>
    </row>
    <row r="1357" spans="2:9" x14ac:dyDescent="0.15">
      <c r="B1357" s="259"/>
      <c r="G1357" s="556"/>
      <c r="I1357" s="259"/>
    </row>
    <row r="1358" spans="2:9" x14ac:dyDescent="0.15">
      <c r="B1358" s="259"/>
      <c r="G1358" s="556"/>
      <c r="I1358" s="259"/>
    </row>
    <row r="1359" spans="2:9" x14ac:dyDescent="0.15">
      <c r="B1359" s="259"/>
      <c r="G1359" s="556"/>
      <c r="I1359" s="259"/>
    </row>
    <row r="1360" spans="2:9" x14ac:dyDescent="0.15">
      <c r="B1360" s="259"/>
      <c r="G1360" s="556"/>
      <c r="I1360" s="259"/>
    </row>
    <row r="1361" spans="2:9" x14ac:dyDescent="0.15">
      <c r="B1361" s="259"/>
      <c r="G1361" s="556"/>
      <c r="I1361" s="259"/>
    </row>
    <row r="1362" spans="2:9" x14ac:dyDescent="0.15">
      <c r="B1362" s="259"/>
      <c r="G1362" s="556"/>
      <c r="I1362" s="259"/>
    </row>
    <row r="1363" spans="2:9" x14ac:dyDescent="0.15">
      <c r="B1363" s="259"/>
      <c r="G1363" s="556"/>
      <c r="I1363" s="259"/>
    </row>
    <row r="1364" spans="2:9" x14ac:dyDescent="0.15">
      <c r="B1364" s="259"/>
      <c r="G1364" s="556"/>
      <c r="I1364" s="259"/>
    </row>
    <row r="1365" spans="2:9" x14ac:dyDescent="0.15">
      <c r="B1365" s="259"/>
      <c r="G1365" s="556"/>
      <c r="I1365" s="259"/>
    </row>
    <row r="1366" spans="2:9" x14ac:dyDescent="0.15">
      <c r="B1366" s="259"/>
      <c r="G1366" s="556"/>
      <c r="I1366" s="259"/>
    </row>
    <row r="1367" spans="2:9" x14ac:dyDescent="0.15">
      <c r="B1367" s="259"/>
      <c r="G1367" s="556"/>
      <c r="I1367" s="259"/>
    </row>
    <row r="1368" spans="2:9" x14ac:dyDescent="0.15">
      <c r="B1368" s="259"/>
      <c r="G1368" s="556"/>
      <c r="I1368" s="259"/>
    </row>
    <row r="1369" spans="2:9" x14ac:dyDescent="0.15">
      <c r="B1369" s="259"/>
      <c r="G1369" s="556"/>
      <c r="I1369" s="259"/>
    </row>
    <row r="1370" spans="2:9" x14ac:dyDescent="0.15">
      <c r="B1370" s="259"/>
      <c r="G1370" s="556"/>
      <c r="I1370" s="259"/>
    </row>
    <row r="1371" spans="2:9" x14ac:dyDescent="0.15">
      <c r="B1371" s="259"/>
      <c r="G1371" s="556"/>
      <c r="I1371" s="259"/>
    </row>
    <row r="1372" spans="2:9" x14ac:dyDescent="0.15">
      <c r="B1372" s="259"/>
      <c r="G1372" s="556"/>
      <c r="I1372" s="259"/>
    </row>
    <row r="1373" spans="2:9" x14ac:dyDescent="0.15">
      <c r="B1373" s="259"/>
      <c r="G1373" s="556"/>
      <c r="I1373" s="259"/>
    </row>
    <row r="1374" spans="2:9" x14ac:dyDescent="0.15">
      <c r="B1374" s="259"/>
      <c r="G1374" s="556"/>
      <c r="I1374" s="259"/>
    </row>
    <row r="1375" spans="2:9" x14ac:dyDescent="0.15">
      <c r="B1375" s="259"/>
      <c r="G1375" s="556"/>
      <c r="I1375" s="259"/>
    </row>
    <row r="1376" spans="2:9" x14ac:dyDescent="0.15">
      <c r="B1376" s="259"/>
      <c r="G1376" s="556"/>
      <c r="I1376" s="259"/>
    </row>
    <row r="1377" spans="2:9" x14ac:dyDescent="0.15">
      <c r="B1377" s="259"/>
      <c r="G1377" s="556"/>
      <c r="I1377" s="259"/>
    </row>
    <row r="1378" spans="2:9" x14ac:dyDescent="0.15">
      <c r="B1378" s="259"/>
      <c r="G1378" s="556"/>
      <c r="I1378" s="259"/>
    </row>
    <row r="1379" spans="2:9" x14ac:dyDescent="0.15">
      <c r="B1379" s="259"/>
      <c r="G1379" s="556"/>
      <c r="I1379" s="259"/>
    </row>
    <row r="1380" spans="2:9" x14ac:dyDescent="0.15">
      <c r="B1380" s="259"/>
      <c r="G1380" s="556"/>
      <c r="I1380" s="259"/>
    </row>
    <row r="1381" spans="2:9" x14ac:dyDescent="0.15">
      <c r="B1381" s="259"/>
      <c r="G1381" s="556"/>
      <c r="I1381" s="259"/>
    </row>
    <row r="1382" spans="2:9" x14ac:dyDescent="0.15">
      <c r="B1382" s="259"/>
      <c r="G1382" s="556"/>
      <c r="I1382" s="259"/>
    </row>
    <row r="1383" spans="2:9" x14ac:dyDescent="0.15">
      <c r="B1383" s="259"/>
      <c r="G1383" s="556"/>
      <c r="I1383" s="259"/>
    </row>
    <row r="1384" spans="2:9" x14ac:dyDescent="0.15">
      <c r="B1384" s="259"/>
      <c r="G1384" s="556"/>
      <c r="I1384" s="259"/>
    </row>
    <row r="1385" spans="2:9" x14ac:dyDescent="0.15">
      <c r="B1385" s="259"/>
      <c r="G1385" s="556"/>
      <c r="I1385" s="259"/>
    </row>
    <row r="1386" spans="2:9" x14ac:dyDescent="0.15">
      <c r="B1386" s="259"/>
      <c r="G1386" s="556"/>
      <c r="I1386" s="259"/>
    </row>
    <row r="1387" spans="2:9" x14ac:dyDescent="0.15">
      <c r="B1387" s="259"/>
      <c r="G1387" s="556"/>
      <c r="I1387" s="259"/>
    </row>
    <row r="1388" spans="2:9" x14ac:dyDescent="0.15">
      <c r="B1388" s="259"/>
      <c r="G1388" s="556"/>
      <c r="I1388" s="259"/>
    </row>
    <row r="1389" spans="2:9" x14ac:dyDescent="0.15">
      <c r="B1389" s="259"/>
      <c r="G1389" s="556"/>
      <c r="I1389" s="259"/>
    </row>
    <row r="1390" spans="2:9" x14ac:dyDescent="0.15">
      <c r="B1390" s="259"/>
      <c r="G1390" s="556"/>
      <c r="I1390" s="259"/>
    </row>
    <row r="1391" spans="2:9" x14ac:dyDescent="0.15">
      <c r="B1391" s="259"/>
      <c r="G1391" s="556"/>
      <c r="I1391" s="259"/>
    </row>
    <row r="1392" spans="2:9" x14ac:dyDescent="0.15">
      <c r="B1392" s="259"/>
      <c r="G1392" s="556"/>
      <c r="I1392" s="259"/>
    </row>
    <row r="1393" spans="2:9" x14ac:dyDescent="0.15">
      <c r="B1393" s="259"/>
      <c r="G1393" s="556"/>
      <c r="I1393" s="259"/>
    </row>
    <row r="1394" spans="2:9" x14ac:dyDescent="0.15">
      <c r="B1394" s="259"/>
      <c r="G1394" s="556"/>
      <c r="I1394" s="259"/>
    </row>
    <row r="1395" spans="2:9" x14ac:dyDescent="0.15">
      <c r="B1395" s="259"/>
      <c r="G1395" s="556"/>
      <c r="I1395" s="259"/>
    </row>
    <row r="1396" spans="2:9" x14ac:dyDescent="0.15">
      <c r="B1396" s="259"/>
      <c r="G1396" s="556"/>
      <c r="I1396" s="259"/>
    </row>
    <row r="1397" spans="2:9" x14ac:dyDescent="0.15">
      <c r="B1397" s="259"/>
      <c r="G1397" s="556"/>
      <c r="I1397" s="259"/>
    </row>
    <row r="1398" spans="2:9" x14ac:dyDescent="0.15">
      <c r="B1398" s="259"/>
      <c r="G1398" s="556"/>
      <c r="I1398" s="259"/>
    </row>
    <row r="1399" spans="2:9" x14ac:dyDescent="0.15">
      <c r="B1399" s="259"/>
      <c r="G1399" s="556"/>
      <c r="I1399" s="259"/>
    </row>
    <row r="1400" spans="2:9" x14ac:dyDescent="0.15">
      <c r="B1400" s="259"/>
      <c r="G1400" s="556"/>
      <c r="I1400" s="259"/>
    </row>
    <row r="1401" spans="2:9" x14ac:dyDescent="0.15">
      <c r="B1401" s="259"/>
      <c r="G1401" s="556"/>
      <c r="I1401" s="259"/>
    </row>
    <row r="1402" spans="2:9" x14ac:dyDescent="0.15">
      <c r="B1402" s="259"/>
      <c r="G1402" s="556"/>
      <c r="I1402" s="259"/>
    </row>
    <row r="1403" spans="2:9" x14ac:dyDescent="0.15">
      <c r="B1403" s="259"/>
      <c r="G1403" s="556"/>
      <c r="I1403" s="259"/>
    </row>
    <row r="1404" spans="2:9" x14ac:dyDescent="0.15">
      <c r="B1404" s="259"/>
      <c r="G1404" s="556"/>
      <c r="I1404" s="259"/>
    </row>
    <row r="1405" spans="2:9" x14ac:dyDescent="0.15">
      <c r="B1405" s="259"/>
      <c r="G1405" s="556"/>
      <c r="I1405" s="259"/>
    </row>
    <row r="1406" spans="2:9" x14ac:dyDescent="0.15">
      <c r="B1406" s="259"/>
      <c r="G1406" s="556"/>
      <c r="I1406" s="259"/>
    </row>
    <row r="1407" spans="2:9" x14ac:dyDescent="0.15">
      <c r="B1407" s="259"/>
      <c r="G1407" s="556"/>
      <c r="I1407" s="259"/>
    </row>
    <row r="1408" spans="2:9" x14ac:dyDescent="0.15">
      <c r="B1408" s="259"/>
      <c r="G1408" s="556"/>
      <c r="I1408" s="259"/>
    </row>
    <row r="1409" spans="2:9" x14ac:dyDescent="0.15">
      <c r="B1409" s="259"/>
      <c r="G1409" s="556"/>
      <c r="I1409" s="259"/>
    </row>
    <row r="1410" spans="2:9" x14ac:dyDescent="0.15">
      <c r="B1410" s="259"/>
      <c r="G1410" s="556"/>
      <c r="I1410" s="259"/>
    </row>
    <row r="1411" spans="2:9" x14ac:dyDescent="0.15">
      <c r="B1411" s="259"/>
      <c r="G1411" s="556"/>
      <c r="I1411" s="259"/>
    </row>
    <row r="1412" spans="2:9" x14ac:dyDescent="0.15">
      <c r="B1412" s="259"/>
      <c r="G1412" s="556"/>
      <c r="I1412" s="259"/>
    </row>
    <row r="1413" spans="2:9" x14ac:dyDescent="0.15">
      <c r="B1413" s="259"/>
      <c r="G1413" s="556"/>
      <c r="I1413" s="259"/>
    </row>
    <row r="1414" spans="2:9" x14ac:dyDescent="0.15">
      <c r="B1414" s="259"/>
      <c r="G1414" s="556"/>
      <c r="I1414" s="259"/>
    </row>
    <row r="1415" spans="2:9" x14ac:dyDescent="0.15">
      <c r="B1415" s="259"/>
      <c r="G1415" s="556"/>
      <c r="I1415" s="259"/>
    </row>
    <row r="1416" spans="2:9" x14ac:dyDescent="0.15">
      <c r="B1416" s="259"/>
      <c r="G1416" s="556"/>
      <c r="I1416" s="259"/>
    </row>
    <row r="1417" spans="2:9" x14ac:dyDescent="0.15">
      <c r="B1417" s="259"/>
      <c r="G1417" s="556"/>
      <c r="I1417" s="259"/>
    </row>
    <row r="1418" spans="2:9" x14ac:dyDescent="0.15">
      <c r="B1418" s="259"/>
      <c r="G1418" s="556"/>
      <c r="I1418" s="259"/>
    </row>
    <row r="1419" spans="2:9" x14ac:dyDescent="0.15">
      <c r="B1419" s="259"/>
      <c r="G1419" s="556"/>
      <c r="I1419" s="259"/>
    </row>
    <row r="1420" spans="2:9" x14ac:dyDescent="0.15">
      <c r="B1420" s="259"/>
      <c r="G1420" s="556"/>
      <c r="I1420" s="259"/>
    </row>
    <row r="1421" spans="2:9" x14ac:dyDescent="0.15">
      <c r="B1421" s="259"/>
      <c r="G1421" s="556"/>
      <c r="I1421" s="259"/>
    </row>
    <row r="1422" spans="2:9" x14ac:dyDescent="0.15">
      <c r="B1422" s="259"/>
      <c r="G1422" s="556"/>
      <c r="I1422" s="259"/>
    </row>
    <row r="1423" spans="2:9" x14ac:dyDescent="0.15">
      <c r="B1423" s="259"/>
      <c r="G1423" s="556"/>
      <c r="I1423" s="259"/>
    </row>
    <row r="1424" spans="2:9" x14ac:dyDescent="0.15">
      <c r="B1424" s="259"/>
      <c r="G1424" s="556"/>
      <c r="I1424" s="259"/>
    </row>
    <row r="1425" spans="2:9" x14ac:dyDescent="0.15">
      <c r="B1425" s="259"/>
      <c r="G1425" s="556"/>
      <c r="I1425" s="259"/>
    </row>
    <row r="1426" spans="2:9" x14ac:dyDescent="0.15">
      <c r="B1426" s="259"/>
      <c r="G1426" s="556"/>
      <c r="I1426" s="259"/>
    </row>
    <row r="1427" spans="2:9" x14ac:dyDescent="0.15">
      <c r="B1427" s="259"/>
      <c r="G1427" s="556"/>
      <c r="I1427" s="259"/>
    </row>
    <row r="1428" spans="2:9" x14ac:dyDescent="0.15">
      <c r="B1428" s="259"/>
      <c r="G1428" s="556"/>
      <c r="I1428" s="259"/>
    </row>
    <row r="1429" spans="2:9" x14ac:dyDescent="0.15">
      <c r="B1429" s="259"/>
      <c r="G1429" s="556"/>
      <c r="I1429" s="259"/>
    </row>
    <row r="1430" spans="2:9" x14ac:dyDescent="0.15">
      <c r="B1430" s="259"/>
      <c r="G1430" s="556"/>
      <c r="I1430" s="259"/>
    </row>
    <row r="1431" spans="2:9" x14ac:dyDescent="0.15">
      <c r="B1431" s="259"/>
      <c r="G1431" s="556"/>
      <c r="I1431" s="259"/>
    </row>
    <row r="1432" spans="2:9" x14ac:dyDescent="0.15">
      <c r="B1432" s="259"/>
      <c r="G1432" s="556"/>
      <c r="I1432" s="259"/>
    </row>
    <row r="1433" spans="2:9" x14ac:dyDescent="0.15">
      <c r="B1433" s="259"/>
      <c r="G1433" s="556"/>
      <c r="I1433" s="259"/>
    </row>
    <row r="1434" spans="2:9" x14ac:dyDescent="0.15">
      <c r="B1434" s="259"/>
      <c r="G1434" s="556"/>
      <c r="I1434" s="259"/>
    </row>
    <row r="1435" spans="2:9" x14ac:dyDescent="0.15">
      <c r="B1435" s="259"/>
      <c r="G1435" s="556"/>
      <c r="I1435" s="259"/>
    </row>
    <row r="1436" spans="2:9" x14ac:dyDescent="0.15">
      <c r="B1436" s="259"/>
      <c r="G1436" s="556"/>
      <c r="I1436" s="259"/>
    </row>
    <row r="1437" spans="2:9" x14ac:dyDescent="0.15">
      <c r="B1437" s="259"/>
      <c r="G1437" s="556"/>
      <c r="I1437" s="259"/>
    </row>
    <row r="1438" spans="2:9" x14ac:dyDescent="0.15">
      <c r="B1438" s="259"/>
      <c r="G1438" s="556"/>
      <c r="I1438" s="259"/>
    </row>
    <row r="1439" spans="2:9" x14ac:dyDescent="0.15">
      <c r="B1439" s="259"/>
      <c r="G1439" s="556"/>
      <c r="I1439" s="259"/>
    </row>
    <row r="1440" spans="2:9" x14ac:dyDescent="0.15">
      <c r="B1440" s="259"/>
      <c r="G1440" s="556"/>
      <c r="I1440" s="259"/>
    </row>
    <row r="1441" spans="2:9" x14ac:dyDescent="0.15">
      <c r="B1441" s="259"/>
      <c r="G1441" s="556"/>
      <c r="I1441" s="259"/>
    </row>
    <row r="1442" spans="2:9" x14ac:dyDescent="0.15">
      <c r="B1442" s="259"/>
      <c r="G1442" s="556"/>
      <c r="I1442" s="259"/>
    </row>
    <row r="1443" spans="2:9" x14ac:dyDescent="0.15">
      <c r="B1443" s="259"/>
      <c r="G1443" s="556"/>
      <c r="I1443" s="259"/>
    </row>
    <row r="1444" spans="2:9" x14ac:dyDescent="0.15">
      <c r="B1444" s="259"/>
      <c r="G1444" s="556"/>
      <c r="I1444" s="259"/>
    </row>
    <row r="1445" spans="2:9" x14ac:dyDescent="0.15">
      <c r="B1445" s="259"/>
      <c r="G1445" s="556"/>
      <c r="I1445" s="259"/>
    </row>
    <row r="1446" spans="2:9" x14ac:dyDescent="0.15">
      <c r="B1446" s="259"/>
      <c r="G1446" s="556"/>
      <c r="I1446" s="259"/>
    </row>
    <row r="1447" spans="2:9" x14ac:dyDescent="0.15">
      <c r="B1447" s="259"/>
      <c r="G1447" s="556"/>
      <c r="I1447" s="259"/>
    </row>
    <row r="1448" spans="2:9" x14ac:dyDescent="0.15">
      <c r="B1448" s="259"/>
      <c r="G1448" s="556"/>
      <c r="I1448" s="259"/>
    </row>
    <row r="1449" spans="2:9" x14ac:dyDescent="0.15">
      <c r="B1449" s="259"/>
      <c r="G1449" s="556"/>
      <c r="I1449" s="259"/>
    </row>
    <row r="1450" spans="2:9" x14ac:dyDescent="0.15">
      <c r="B1450" s="259"/>
      <c r="G1450" s="556"/>
      <c r="I1450" s="259"/>
    </row>
    <row r="1451" spans="2:9" x14ac:dyDescent="0.15">
      <c r="B1451" s="259"/>
      <c r="G1451" s="556"/>
      <c r="I1451" s="259"/>
    </row>
    <row r="1452" spans="2:9" x14ac:dyDescent="0.15">
      <c r="B1452" s="259"/>
      <c r="G1452" s="556"/>
      <c r="I1452" s="259"/>
    </row>
    <row r="1453" spans="2:9" x14ac:dyDescent="0.15">
      <c r="B1453" s="259"/>
      <c r="G1453" s="556"/>
      <c r="I1453" s="259"/>
    </row>
    <row r="1454" spans="2:9" x14ac:dyDescent="0.15">
      <c r="B1454" s="259"/>
      <c r="G1454" s="556"/>
      <c r="I1454" s="259"/>
    </row>
    <row r="1455" spans="2:9" x14ac:dyDescent="0.15">
      <c r="B1455" s="259"/>
      <c r="G1455" s="556"/>
      <c r="I1455" s="259"/>
    </row>
    <row r="1456" spans="2:9" x14ac:dyDescent="0.15">
      <c r="B1456" s="259"/>
      <c r="G1456" s="556"/>
      <c r="I1456" s="259"/>
    </row>
    <row r="1457" spans="2:9" x14ac:dyDescent="0.15">
      <c r="B1457" s="259"/>
      <c r="G1457" s="556"/>
      <c r="I1457" s="259"/>
    </row>
    <row r="1458" spans="2:9" x14ac:dyDescent="0.15">
      <c r="B1458" s="259"/>
      <c r="G1458" s="556"/>
      <c r="I1458" s="259"/>
    </row>
    <row r="1459" spans="2:9" x14ac:dyDescent="0.15">
      <c r="B1459" s="259"/>
      <c r="G1459" s="556"/>
      <c r="I1459" s="259"/>
    </row>
    <row r="1460" spans="2:9" x14ac:dyDescent="0.15">
      <c r="B1460" s="259"/>
      <c r="G1460" s="556"/>
      <c r="I1460" s="259"/>
    </row>
    <row r="1461" spans="2:9" x14ac:dyDescent="0.15">
      <c r="B1461" s="259"/>
      <c r="G1461" s="556"/>
      <c r="I1461" s="259"/>
    </row>
    <row r="1462" spans="2:9" x14ac:dyDescent="0.15">
      <c r="B1462" s="259"/>
      <c r="G1462" s="556"/>
      <c r="I1462" s="259"/>
    </row>
    <row r="1463" spans="2:9" x14ac:dyDescent="0.15">
      <c r="B1463" s="259"/>
      <c r="G1463" s="556"/>
      <c r="I1463" s="259"/>
    </row>
    <row r="1464" spans="2:9" x14ac:dyDescent="0.15">
      <c r="B1464" s="259"/>
      <c r="G1464" s="556"/>
      <c r="I1464" s="259"/>
    </row>
    <row r="1465" spans="2:9" x14ac:dyDescent="0.15">
      <c r="B1465" s="259"/>
      <c r="G1465" s="556"/>
      <c r="I1465" s="259"/>
    </row>
    <row r="1466" spans="2:9" x14ac:dyDescent="0.15">
      <c r="B1466" s="259"/>
      <c r="G1466" s="556"/>
      <c r="I1466" s="259"/>
    </row>
    <row r="1467" spans="2:9" x14ac:dyDescent="0.15">
      <c r="B1467" s="259"/>
      <c r="G1467" s="556"/>
      <c r="I1467" s="259"/>
    </row>
    <row r="1468" spans="2:9" x14ac:dyDescent="0.15">
      <c r="B1468" s="259"/>
      <c r="G1468" s="556"/>
      <c r="I1468" s="259"/>
    </row>
    <row r="1469" spans="2:9" x14ac:dyDescent="0.15">
      <c r="B1469" s="259"/>
      <c r="G1469" s="556"/>
      <c r="I1469" s="259"/>
    </row>
    <row r="1470" spans="2:9" x14ac:dyDescent="0.15">
      <c r="B1470" s="259"/>
      <c r="G1470" s="556"/>
      <c r="I1470" s="259"/>
    </row>
    <row r="1471" spans="2:9" x14ac:dyDescent="0.15">
      <c r="B1471" s="259"/>
      <c r="G1471" s="556"/>
      <c r="I1471" s="259"/>
    </row>
    <row r="1472" spans="2:9" x14ac:dyDescent="0.15">
      <c r="B1472" s="259"/>
      <c r="G1472" s="556"/>
      <c r="I1472" s="259"/>
    </row>
    <row r="1473" spans="2:9" x14ac:dyDescent="0.15">
      <c r="B1473" s="259"/>
      <c r="G1473" s="556"/>
      <c r="I1473" s="259"/>
    </row>
    <row r="1474" spans="2:9" x14ac:dyDescent="0.15">
      <c r="B1474" s="259"/>
      <c r="G1474" s="556"/>
      <c r="I1474" s="259"/>
    </row>
    <row r="1475" spans="2:9" x14ac:dyDescent="0.15">
      <c r="B1475" s="259"/>
      <c r="G1475" s="556"/>
      <c r="I1475" s="259"/>
    </row>
    <row r="1476" spans="2:9" x14ac:dyDescent="0.15">
      <c r="B1476" s="259"/>
      <c r="G1476" s="556"/>
      <c r="I1476" s="259"/>
    </row>
    <row r="1477" spans="2:9" x14ac:dyDescent="0.15">
      <c r="B1477" s="259"/>
      <c r="G1477" s="556"/>
      <c r="I1477" s="259"/>
    </row>
    <row r="1478" spans="2:9" x14ac:dyDescent="0.15">
      <c r="B1478" s="259"/>
      <c r="G1478" s="556"/>
      <c r="I1478" s="259"/>
    </row>
    <row r="1479" spans="2:9" x14ac:dyDescent="0.15">
      <c r="B1479" s="259"/>
      <c r="G1479" s="556"/>
      <c r="I1479" s="259"/>
    </row>
    <row r="1480" spans="2:9" x14ac:dyDescent="0.15">
      <c r="B1480" s="259"/>
      <c r="G1480" s="556"/>
      <c r="I1480" s="259"/>
    </row>
    <row r="1481" spans="2:9" x14ac:dyDescent="0.15">
      <c r="B1481" s="259"/>
      <c r="G1481" s="556"/>
      <c r="I1481" s="259"/>
    </row>
    <row r="1482" spans="2:9" x14ac:dyDescent="0.15">
      <c r="B1482" s="259"/>
      <c r="G1482" s="556"/>
      <c r="I1482" s="259"/>
    </row>
    <row r="1483" spans="2:9" x14ac:dyDescent="0.15">
      <c r="B1483" s="259"/>
      <c r="G1483" s="556"/>
      <c r="I1483" s="259"/>
    </row>
    <row r="1484" spans="2:9" x14ac:dyDescent="0.15">
      <c r="B1484" s="259"/>
      <c r="G1484" s="556"/>
      <c r="I1484" s="259"/>
    </row>
    <row r="1485" spans="2:9" x14ac:dyDescent="0.15">
      <c r="B1485" s="259"/>
      <c r="G1485" s="556"/>
      <c r="I1485" s="259"/>
    </row>
    <row r="1486" spans="2:9" x14ac:dyDescent="0.15">
      <c r="B1486" s="259"/>
      <c r="G1486" s="556"/>
      <c r="I1486" s="259"/>
    </row>
    <row r="1487" spans="2:9" x14ac:dyDescent="0.15">
      <c r="B1487" s="259"/>
      <c r="G1487" s="556"/>
      <c r="I1487" s="259"/>
    </row>
    <row r="1488" spans="2:9" x14ac:dyDescent="0.15">
      <c r="B1488" s="259"/>
      <c r="G1488" s="556"/>
      <c r="I1488" s="259"/>
    </row>
    <row r="1489" spans="2:9" x14ac:dyDescent="0.15">
      <c r="B1489" s="259"/>
      <c r="G1489" s="556"/>
      <c r="I1489" s="259"/>
    </row>
    <row r="1490" spans="2:9" x14ac:dyDescent="0.15">
      <c r="B1490" s="259"/>
      <c r="G1490" s="556"/>
      <c r="I1490" s="259"/>
    </row>
    <row r="1491" spans="2:9" x14ac:dyDescent="0.15">
      <c r="B1491" s="259"/>
      <c r="G1491" s="556"/>
      <c r="I1491" s="259"/>
    </row>
    <row r="1492" spans="2:9" x14ac:dyDescent="0.15">
      <c r="B1492" s="259"/>
      <c r="G1492" s="556"/>
      <c r="I1492" s="259"/>
    </row>
    <row r="1493" spans="2:9" x14ac:dyDescent="0.15">
      <c r="B1493" s="259"/>
      <c r="G1493" s="556"/>
      <c r="I1493" s="259"/>
    </row>
    <row r="1494" spans="2:9" x14ac:dyDescent="0.15">
      <c r="B1494" s="259"/>
      <c r="G1494" s="556"/>
      <c r="I1494" s="259"/>
    </row>
    <row r="1495" spans="2:9" x14ac:dyDescent="0.15">
      <c r="B1495" s="259"/>
      <c r="G1495" s="556"/>
      <c r="I1495" s="259"/>
    </row>
    <row r="1496" spans="2:9" x14ac:dyDescent="0.15">
      <c r="B1496" s="259"/>
      <c r="G1496" s="556"/>
      <c r="I1496" s="259"/>
    </row>
    <row r="1497" spans="2:9" x14ac:dyDescent="0.15">
      <c r="B1497" s="259"/>
      <c r="G1497" s="556"/>
      <c r="I1497" s="259"/>
    </row>
    <row r="1498" spans="2:9" x14ac:dyDescent="0.15">
      <c r="B1498" s="259"/>
      <c r="G1498" s="556"/>
      <c r="I1498" s="259"/>
    </row>
    <row r="1499" spans="2:9" x14ac:dyDescent="0.15">
      <c r="B1499" s="259"/>
      <c r="G1499" s="556"/>
      <c r="I1499" s="259"/>
    </row>
    <row r="1500" spans="2:9" x14ac:dyDescent="0.15">
      <c r="B1500" s="259"/>
      <c r="G1500" s="556"/>
      <c r="I1500" s="259"/>
    </row>
    <row r="1501" spans="2:9" x14ac:dyDescent="0.15">
      <c r="B1501" s="259"/>
      <c r="G1501" s="556"/>
      <c r="I1501" s="259"/>
    </row>
    <row r="1502" spans="2:9" x14ac:dyDescent="0.15">
      <c r="B1502" s="259"/>
      <c r="G1502" s="556"/>
      <c r="I1502" s="259"/>
    </row>
    <row r="1503" spans="2:9" x14ac:dyDescent="0.15">
      <c r="B1503" s="259"/>
      <c r="G1503" s="556"/>
      <c r="I1503" s="259"/>
    </row>
    <row r="1504" spans="2:9" x14ac:dyDescent="0.15">
      <c r="B1504" s="259"/>
      <c r="G1504" s="556"/>
      <c r="I1504" s="259"/>
    </row>
    <row r="1505" spans="2:9" x14ac:dyDescent="0.15">
      <c r="B1505" s="259"/>
      <c r="G1505" s="556"/>
      <c r="I1505" s="259"/>
    </row>
    <row r="1506" spans="2:9" x14ac:dyDescent="0.15">
      <c r="B1506" s="259"/>
      <c r="G1506" s="556"/>
      <c r="I1506" s="259"/>
    </row>
    <row r="1507" spans="2:9" x14ac:dyDescent="0.15">
      <c r="B1507" s="259"/>
      <c r="G1507" s="556"/>
      <c r="I1507" s="259"/>
    </row>
    <row r="1508" spans="2:9" x14ac:dyDescent="0.15">
      <c r="B1508" s="259"/>
      <c r="G1508" s="556"/>
      <c r="I1508" s="259"/>
    </row>
    <row r="1509" spans="2:9" x14ac:dyDescent="0.15">
      <c r="B1509" s="259"/>
      <c r="G1509" s="556"/>
      <c r="I1509" s="259"/>
    </row>
    <row r="1510" spans="2:9" x14ac:dyDescent="0.15">
      <c r="B1510" s="259"/>
      <c r="G1510" s="556"/>
      <c r="I1510" s="259"/>
    </row>
    <row r="1511" spans="2:9" x14ac:dyDescent="0.15">
      <c r="B1511" s="259"/>
      <c r="G1511" s="556"/>
      <c r="I1511" s="259"/>
    </row>
    <row r="1512" spans="2:9" x14ac:dyDescent="0.15">
      <c r="B1512" s="259"/>
      <c r="G1512" s="556"/>
      <c r="I1512" s="259"/>
    </row>
    <row r="1513" spans="2:9" x14ac:dyDescent="0.15">
      <c r="B1513" s="259"/>
      <c r="G1513" s="556"/>
      <c r="I1513" s="259"/>
    </row>
    <row r="1514" spans="2:9" x14ac:dyDescent="0.15">
      <c r="B1514" s="259"/>
      <c r="G1514" s="556"/>
      <c r="I1514" s="259"/>
    </row>
    <row r="1515" spans="2:9" x14ac:dyDescent="0.15">
      <c r="B1515" s="259"/>
      <c r="G1515" s="556"/>
      <c r="I1515" s="259"/>
    </row>
    <row r="1516" spans="2:9" x14ac:dyDescent="0.15">
      <c r="B1516" s="259"/>
      <c r="G1516" s="556"/>
      <c r="I1516" s="259"/>
    </row>
    <row r="1517" spans="2:9" x14ac:dyDescent="0.15">
      <c r="B1517" s="259"/>
      <c r="G1517" s="556"/>
      <c r="I1517" s="259"/>
    </row>
    <row r="1518" spans="2:9" x14ac:dyDescent="0.15">
      <c r="B1518" s="259"/>
      <c r="G1518" s="556"/>
      <c r="I1518" s="259"/>
    </row>
    <row r="1519" spans="2:9" x14ac:dyDescent="0.15">
      <c r="B1519" s="259"/>
      <c r="G1519" s="556"/>
      <c r="I1519" s="259"/>
    </row>
    <row r="1520" spans="2:9" x14ac:dyDescent="0.15">
      <c r="B1520" s="259"/>
      <c r="G1520" s="556"/>
      <c r="I1520" s="259"/>
    </row>
    <row r="1521" spans="2:9" x14ac:dyDescent="0.15">
      <c r="B1521" s="259"/>
      <c r="G1521" s="556"/>
      <c r="I1521" s="259"/>
    </row>
    <row r="1522" spans="2:9" x14ac:dyDescent="0.15">
      <c r="B1522" s="259"/>
      <c r="G1522" s="556"/>
      <c r="I1522" s="259"/>
    </row>
    <row r="1523" spans="2:9" x14ac:dyDescent="0.15">
      <c r="B1523" s="259"/>
      <c r="G1523" s="556"/>
      <c r="I1523" s="259"/>
    </row>
    <row r="1524" spans="2:9" x14ac:dyDescent="0.15">
      <c r="B1524" s="259"/>
      <c r="G1524" s="556"/>
      <c r="I1524" s="259"/>
    </row>
    <row r="1525" spans="2:9" x14ac:dyDescent="0.15">
      <c r="B1525" s="259"/>
      <c r="G1525" s="556"/>
      <c r="I1525" s="259"/>
    </row>
    <row r="1526" spans="2:9" x14ac:dyDescent="0.15">
      <c r="B1526" s="259"/>
      <c r="G1526" s="556"/>
      <c r="I1526" s="259"/>
    </row>
    <row r="1527" spans="2:9" x14ac:dyDescent="0.15">
      <c r="B1527" s="259"/>
      <c r="G1527" s="556"/>
      <c r="I1527" s="259"/>
    </row>
    <row r="1528" spans="2:9" x14ac:dyDescent="0.15">
      <c r="B1528" s="259"/>
      <c r="G1528" s="556"/>
      <c r="I1528" s="259"/>
    </row>
    <row r="1529" spans="2:9" x14ac:dyDescent="0.15">
      <c r="B1529" s="259"/>
      <c r="G1529" s="556"/>
      <c r="I1529" s="259"/>
    </row>
    <row r="1530" spans="2:9" x14ac:dyDescent="0.15">
      <c r="B1530" s="259"/>
      <c r="G1530" s="556"/>
      <c r="I1530" s="259"/>
    </row>
    <row r="1531" spans="2:9" x14ac:dyDescent="0.15">
      <c r="B1531" s="259"/>
      <c r="G1531" s="556"/>
      <c r="I1531" s="259"/>
    </row>
    <row r="1532" spans="2:9" x14ac:dyDescent="0.15">
      <c r="B1532" s="259"/>
      <c r="G1532" s="556"/>
      <c r="I1532" s="259"/>
    </row>
    <row r="1533" spans="2:9" x14ac:dyDescent="0.15">
      <c r="B1533" s="259"/>
      <c r="G1533" s="556"/>
      <c r="I1533" s="259"/>
    </row>
    <row r="1534" spans="2:9" x14ac:dyDescent="0.15">
      <c r="B1534" s="259"/>
      <c r="G1534" s="556"/>
      <c r="I1534" s="259"/>
    </row>
    <row r="1535" spans="2:9" x14ac:dyDescent="0.15">
      <c r="B1535" s="259"/>
      <c r="G1535" s="556"/>
      <c r="I1535" s="259"/>
    </row>
    <row r="1536" spans="2:9" x14ac:dyDescent="0.15">
      <c r="B1536" s="259"/>
      <c r="G1536" s="556"/>
      <c r="I1536" s="259"/>
    </row>
    <row r="1537" spans="2:9" x14ac:dyDescent="0.15">
      <c r="B1537" s="259"/>
      <c r="G1537" s="556"/>
      <c r="I1537" s="259"/>
    </row>
    <row r="1538" spans="2:9" x14ac:dyDescent="0.15">
      <c r="B1538" s="259"/>
      <c r="G1538" s="556"/>
      <c r="I1538" s="259"/>
    </row>
    <row r="1539" spans="2:9" x14ac:dyDescent="0.15">
      <c r="B1539" s="259"/>
      <c r="G1539" s="556"/>
      <c r="I1539" s="259"/>
    </row>
    <row r="1540" spans="2:9" x14ac:dyDescent="0.15">
      <c r="B1540" s="259"/>
      <c r="G1540" s="556"/>
      <c r="I1540" s="259"/>
    </row>
    <row r="1541" spans="2:9" x14ac:dyDescent="0.15">
      <c r="B1541" s="259"/>
      <c r="G1541" s="556"/>
      <c r="I1541" s="259"/>
    </row>
    <row r="1542" spans="2:9" x14ac:dyDescent="0.15">
      <c r="B1542" s="259"/>
      <c r="G1542" s="556"/>
      <c r="I1542" s="259"/>
    </row>
    <row r="1543" spans="2:9" x14ac:dyDescent="0.15">
      <c r="B1543" s="259"/>
      <c r="G1543" s="556"/>
      <c r="I1543" s="259"/>
    </row>
    <row r="1544" spans="2:9" x14ac:dyDescent="0.15">
      <c r="B1544" s="259"/>
      <c r="G1544" s="556"/>
      <c r="I1544" s="259"/>
    </row>
    <row r="1545" spans="2:9" x14ac:dyDescent="0.15">
      <c r="B1545" s="259"/>
      <c r="G1545" s="556"/>
      <c r="I1545" s="259"/>
    </row>
    <row r="1546" spans="2:9" x14ac:dyDescent="0.15">
      <c r="B1546" s="259"/>
      <c r="G1546" s="556"/>
      <c r="I1546" s="259"/>
    </row>
    <row r="1547" spans="2:9" x14ac:dyDescent="0.15">
      <c r="B1547" s="259"/>
      <c r="G1547" s="556"/>
      <c r="I1547" s="259"/>
    </row>
    <row r="1548" spans="2:9" x14ac:dyDescent="0.15">
      <c r="B1548" s="259"/>
      <c r="G1548" s="556"/>
      <c r="I1548" s="259"/>
    </row>
    <row r="1549" spans="2:9" x14ac:dyDescent="0.15">
      <c r="B1549" s="259"/>
      <c r="G1549" s="556"/>
      <c r="I1549" s="259"/>
    </row>
    <row r="1550" spans="2:9" x14ac:dyDescent="0.15">
      <c r="B1550" s="259"/>
      <c r="G1550" s="556"/>
      <c r="I1550" s="259"/>
    </row>
    <row r="1551" spans="2:9" x14ac:dyDescent="0.15">
      <c r="B1551" s="259"/>
      <c r="G1551" s="556"/>
      <c r="I1551" s="259"/>
    </row>
    <row r="1552" spans="2:9" x14ac:dyDescent="0.15">
      <c r="B1552" s="259"/>
      <c r="G1552" s="556"/>
      <c r="I1552" s="259"/>
    </row>
    <row r="1553" spans="2:9" x14ac:dyDescent="0.15">
      <c r="B1553" s="259"/>
      <c r="G1553" s="556"/>
      <c r="I1553" s="259"/>
    </row>
    <row r="1554" spans="2:9" x14ac:dyDescent="0.15">
      <c r="B1554" s="259"/>
      <c r="G1554" s="556"/>
      <c r="I1554" s="259"/>
    </row>
    <row r="1555" spans="2:9" x14ac:dyDescent="0.15">
      <c r="B1555" s="259"/>
      <c r="G1555" s="556"/>
      <c r="I1555" s="259"/>
    </row>
    <row r="1556" spans="2:9" x14ac:dyDescent="0.15">
      <c r="B1556" s="259"/>
      <c r="G1556" s="556"/>
      <c r="I1556" s="259"/>
    </row>
    <row r="1557" spans="2:9" x14ac:dyDescent="0.15">
      <c r="B1557" s="259"/>
      <c r="G1557" s="556"/>
      <c r="I1557" s="259"/>
    </row>
    <row r="1558" spans="2:9" x14ac:dyDescent="0.15">
      <c r="B1558" s="259"/>
      <c r="G1558" s="556"/>
      <c r="I1558" s="259"/>
    </row>
    <row r="1559" spans="2:9" x14ac:dyDescent="0.15">
      <c r="B1559" s="259"/>
      <c r="G1559" s="556"/>
      <c r="I1559" s="259"/>
    </row>
    <row r="1560" spans="2:9" x14ac:dyDescent="0.15">
      <c r="B1560" s="259"/>
      <c r="G1560" s="556"/>
      <c r="I1560" s="259"/>
    </row>
    <row r="1561" spans="2:9" x14ac:dyDescent="0.15">
      <c r="B1561" s="259"/>
      <c r="G1561" s="556"/>
      <c r="I1561" s="259"/>
    </row>
    <row r="1562" spans="2:9" x14ac:dyDescent="0.15">
      <c r="B1562" s="259"/>
      <c r="G1562" s="556"/>
      <c r="I1562" s="259"/>
    </row>
    <row r="1563" spans="2:9" x14ac:dyDescent="0.15">
      <c r="B1563" s="259"/>
      <c r="G1563" s="556"/>
      <c r="I1563" s="259"/>
    </row>
    <row r="1564" spans="2:9" x14ac:dyDescent="0.15">
      <c r="B1564" s="259"/>
      <c r="G1564" s="556"/>
      <c r="I1564" s="259"/>
    </row>
    <row r="1565" spans="2:9" x14ac:dyDescent="0.15">
      <c r="B1565" s="259"/>
      <c r="G1565" s="556"/>
      <c r="I1565" s="259"/>
    </row>
    <row r="1566" spans="2:9" x14ac:dyDescent="0.15">
      <c r="B1566" s="259"/>
      <c r="G1566" s="556"/>
      <c r="I1566" s="259"/>
    </row>
    <row r="1567" spans="2:9" x14ac:dyDescent="0.15">
      <c r="B1567" s="259"/>
      <c r="G1567" s="556"/>
      <c r="I1567" s="259"/>
    </row>
    <row r="1568" spans="2:9" x14ac:dyDescent="0.15">
      <c r="B1568" s="259"/>
      <c r="G1568" s="556"/>
      <c r="I1568" s="259"/>
    </row>
    <row r="1569" spans="2:9" x14ac:dyDescent="0.15">
      <c r="B1569" s="259"/>
      <c r="G1569" s="556"/>
      <c r="I1569" s="259"/>
    </row>
    <row r="1570" spans="2:9" x14ac:dyDescent="0.15">
      <c r="B1570" s="259"/>
      <c r="G1570" s="556"/>
      <c r="I1570" s="259"/>
    </row>
    <row r="1571" spans="2:9" x14ac:dyDescent="0.15">
      <c r="B1571" s="259"/>
      <c r="G1571" s="556"/>
      <c r="I1571" s="259"/>
    </row>
    <row r="1572" spans="2:9" x14ac:dyDescent="0.15">
      <c r="B1572" s="259"/>
      <c r="G1572" s="556"/>
      <c r="I1572" s="259"/>
    </row>
    <row r="1573" spans="2:9" x14ac:dyDescent="0.15">
      <c r="B1573" s="259"/>
      <c r="G1573" s="556"/>
      <c r="I1573" s="259"/>
    </row>
    <row r="1574" spans="2:9" x14ac:dyDescent="0.15">
      <c r="B1574" s="259"/>
      <c r="G1574" s="556"/>
      <c r="I1574" s="259"/>
    </row>
    <row r="1575" spans="2:9" x14ac:dyDescent="0.15">
      <c r="B1575" s="259"/>
      <c r="G1575" s="556"/>
      <c r="I1575" s="259"/>
    </row>
    <row r="1576" spans="2:9" x14ac:dyDescent="0.15">
      <c r="B1576" s="259"/>
      <c r="G1576" s="556"/>
      <c r="I1576" s="259"/>
    </row>
    <row r="1577" spans="2:9" x14ac:dyDescent="0.15">
      <c r="B1577" s="259"/>
      <c r="G1577" s="556"/>
      <c r="I1577" s="259"/>
    </row>
    <row r="1578" spans="2:9" x14ac:dyDescent="0.15">
      <c r="B1578" s="259"/>
      <c r="G1578" s="556"/>
      <c r="I1578" s="259"/>
    </row>
    <row r="1579" spans="2:9" x14ac:dyDescent="0.15">
      <c r="B1579" s="259"/>
      <c r="G1579" s="556"/>
      <c r="I1579" s="259"/>
    </row>
    <row r="1580" spans="2:9" x14ac:dyDescent="0.15">
      <c r="B1580" s="259"/>
      <c r="G1580" s="556"/>
      <c r="I1580" s="259"/>
    </row>
    <row r="1581" spans="2:9" x14ac:dyDescent="0.15">
      <c r="B1581" s="259"/>
      <c r="G1581" s="556"/>
      <c r="I1581" s="259"/>
    </row>
    <row r="1582" spans="2:9" x14ac:dyDescent="0.15">
      <c r="B1582" s="259"/>
      <c r="G1582" s="556"/>
      <c r="I1582" s="259"/>
    </row>
    <row r="1583" spans="2:9" x14ac:dyDescent="0.15">
      <c r="B1583" s="259"/>
      <c r="G1583" s="556"/>
      <c r="I1583" s="259"/>
    </row>
    <row r="1584" spans="2:9" x14ac:dyDescent="0.15">
      <c r="B1584" s="259"/>
      <c r="G1584" s="556"/>
      <c r="I1584" s="259"/>
    </row>
    <row r="1585" spans="2:9" x14ac:dyDescent="0.15">
      <c r="B1585" s="259"/>
      <c r="G1585" s="556"/>
      <c r="I1585" s="259"/>
    </row>
    <row r="1586" spans="2:9" x14ac:dyDescent="0.15">
      <c r="B1586" s="259"/>
      <c r="G1586" s="556"/>
      <c r="I1586" s="259"/>
    </row>
    <row r="1587" spans="2:9" x14ac:dyDescent="0.15">
      <c r="B1587" s="259"/>
      <c r="G1587" s="556"/>
      <c r="I1587" s="259"/>
    </row>
    <row r="1588" spans="2:9" x14ac:dyDescent="0.15">
      <c r="B1588" s="259"/>
      <c r="G1588" s="556"/>
      <c r="I1588" s="259"/>
    </row>
    <row r="1589" spans="2:9" x14ac:dyDescent="0.15">
      <c r="B1589" s="259"/>
      <c r="G1589" s="556"/>
      <c r="I1589" s="259"/>
    </row>
    <row r="1590" spans="2:9" x14ac:dyDescent="0.15">
      <c r="B1590" s="259"/>
      <c r="G1590" s="556"/>
      <c r="I1590" s="259"/>
    </row>
    <row r="1591" spans="2:9" x14ac:dyDescent="0.15">
      <c r="B1591" s="259"/>
      <c r="G1591" s="556"/>
      <c r="I1591" s="259"/>
    </row>
    <row r="1592" spans="2:9" x14ac:dyDescent="0.15">
      <c r="B1592" s="259"/>
      <c r="G1592" s="556"/>
      <c r="I1592" s="259"/>
    </row>
    <row r="1593" spans="2:9" x14ac:dyDescent="0.15">
      <c r="B1593" s="259"/>
      <c r="G1593" s="556"/>
      <c r="I1593" s="259"/>
    </row>
    <row r="1594" spans="2:9" x14ac:dyDescent="0.15">
      <c r="B1594" s="259"/>
      <c r="G1594" s="556"/>
      <c r="I1594" s="259"/>
    </row>
    <row r="1595" spans="2:9" x14ac:dyDescent="0.15">
      <c r="B1595" s="259"/>
      <c r="G1595" s="556"/>
      <c r="I1595" s="259"/>
    </row>
    <row r="1596" spans="2:9" x14ac:dyDescent="0.15">
      <c r="B1596" s="259"/>
      <c r="G1596" s="556"/>
      <c r="I1596" s="259"/>
    </row>
    <row r="1597" spans="2:9" x14ac:dyDescent="0.15">
      <c r="B1597" s="259"/>
      <c r="G1597" s="556"/>
      <c r="I1597" s="259"/>
    </row>
    <row r="1598" spans="2:9" x14ac:dyDescent="0.15">
      <c r="B1598" s="259"/>
      <c r="G1598" s="556"/>
      <c r="I1598" s="259"/>
    </row>
    <row r="1599" spans="2:9" x14ac:dyDescent="0.15">
      <c r="B1599" s="259"/>
      <c r="G1599" s="556"/>
      <c r="I1599" s="259"/>
    </row>
    <row r="1600" spans="2:9" x14ac:dyDescent="0.15">
      <c r="B1600" s="259"/>
      <c r="G1600" s="556"/>
      <c r="I1600" s="259"/>
    </row>
    <row r="1601" spans="2:9" x14ac:dyDescent="0.15">
      <c r="B1601" s="259"/>
      <c r="G1601" s="556"/>
      <c r="I1601" s="259"/>
    </row>
    <row r="1602" spans="2:9" x14ac:dyDescent="0.15">
      <c r="B1602" s="259"/>
      <c r="G1602" s="556"/>
      <c r="I1602" s="259"/>
    </row>
    <row r="1603" spans="2:9" x14ac:dyDescent="0.15">
      <c r="B1603" s="259"/>
      <c r="G1603" s="556"/>
      <c r="I1603" s="259"/>
    </row>
    <row r="1604" spans="2:9" x14ac:dyDescent="0.15">
      <c r="B1604" s="259"/>
      <c r="G1604" s="556"/>
      <c r="I1604" s="259"/>
    </row>
    <row r="1605" spans="2:9" x14ac:dyDescent="0.15">
      <c r="B1605" s="259"/>
      <c r="G1605" s="556"/>
      <c r="I1605" s="259"/>
    </row>
    <row r="1606" spans="2:9" x14ac:dyDescent="0.15">
      <c r="B1606" s="259"/>
      <c r="G1606" s="556"/>
      <c r="I1606" s="259"/>
    </row>
    <row r="1607" spans="2:9" x14ac:dyDescent="0.15">
      <c r="B1607" s="259"/>
      <c r="G1607" s="556"/>
      <c r="I1607" s="259"/>
    </row>
    <row r="1608" spans="2:9" x14ac:dyDescent="0.15">
      <c r="B1608" s="259"/>
      <c r="G1608" s="556"/>
      <c r="I1608" s="259"/>
    </row>
    <row r="1609" spans="2:9" x14ac:dyDescent="0.15">
      <c r="B1609" s="259"/>
      <c r="G1609" s="556"/>
      <c r="I1609" s="259"/>
    </row>
    <row r="1610" spans="2:9" x14ac:dyDescent="0.15">
      <c r="B1610" s="259"/>
      <c r="G1610" s="556"/>
      <c r="I1610" s="259"/>
    </row>
    <row r="1611" spans="2:9" x14ac:dyDescent="0.15">
      <c r="B1611" s="259"/>
      <c r="G1611" s="556"/>
      <c r="I1611" s="259"/>
    </row>
    <row r="1612" spans="2:9" x14ac:dyDescent="0.15">
      <c r="B1612" s="259"/>
      <c r="G1612" s="556"/>
      <c r="I1612" s="259"/>
    </row>
    <row r="1613" spans="2:9" x14ac:dyDescent="0.15">
      <c r="B1613" s="259"/>
      <c r="G1613" s="556"/>
      <c r="I1613" s="259"/>
    </row>
    <row r="1614" spans="2:9" x14ac:dyDescent="0.15">
      <c r="B1614" s="259"/>
      <c r="G1614" s="556"/>
      <c r="I1614" s="259"/>
    </row>
    <row r="1615" spans="2:9" x14ac:dyDescent="0.15">
      <c r="B1615" s="259"/>
      <c r="G1615" s="556"/>
      <c r="I1615" s="259"/>
    </row>
    <row r="1616" spans="2:9" x14ac:dyDescent="0.15">
      <c r="B1616" s="259"/>
      <c r="G1616" s="556"/>
      <c r="I1616" s="259"/>
    </row>
    <row r="1617" spans="2:9" x14ac:dyDescent="0.15">
      <c r="B1617" s="259"/>
      <c r="G1617" s="556"/>
      <c r="I1617" s="259"/>
    </row>
    <row r="1618" spans="2:9" x14ac:dyDescent="0.15">
      <c r="B1618" s="259"/>
      <c r="G1618" s="556"/>
      <c r="I1618" s="259"/>
    </row>
    <row r="1619" spans="2:9" x14ac:dyDescent="0.15">
      <c r="B1619" s="259"/>
      <c r="G1619" s="556"/>
      <c r="I1619" s="259"/>
    </row>
    <row r="1620" spans="2:9" x14ac:dyDescent="0.15">
      <c r="B1620" s="259"/>
      <c r="G1620" s="556"/>
      <c r="I1620" s="259"/>
    </row>
    <row r="1621" spans="2:9" x14ac:dyDescent="0.15">
      <c r="B1621" s="259"/>
      <c r="G1621" s="556"/>
      <c r="I1621" s="259"/>
    </row>
    <row r="1622" spans="2:9" x14ac:dyDescent="0.15">
      <c r="B1622" s="259"/>
      <c r="G1622" s="556"/>
      <c r="I1622" s="259"/>
    </row>
    <row r="1623" spans="2:9" x14ac:dyDescent="0.15">
      <c r="B1623" s="259"/>
      <c r="G1623" s="556"/>
      <c r="I1623" s="259"/>
    </row>
    <row r="1624" spans="2:9" x14ac:dyDescent="0.15">
      <c r="B1624" s="259"/>
      <c r="G1624" s="556"/>
      <c r="I1624" s="259"/>
    </row>
    <row r="1625" spans="2:9" x14ac:dyDescent="0.15">
      <c r="B1625" s="259"/>
      <c r="G1625" s="556"/>
      <c r="I1625" s="259"/>
    </row>
    <row r="1626" spans="2:9" x14ac:dyDescent="0.15">
      <c r="B1626" s="259"/>
      <c r="G1626" s="556"/>
      <c r="I1626" s="259"/>
    </row>
    <row r="1627" spans="2:9" x14ac:dyDescent="0.15">
      <c r="B1627" s="259"/>
      <c r="G1627" s="556"/>
      <c r="I1627" s="259"/>
    </row>
    <row r="1628" spans="2:9" x14ac:dyDescent="0.15">
      <c r="B1628" s="259"/>
      <c r="G1628" s="556"/>
      <c r="I1628" s="259"/>
    </row>
    <row r="1629" spans="2:9" x14ac:dyDescent="0.15">
      <c r="B1629" s="259"/>
      <c r="G1629" s="556"/>
      <c r="I1629" s="259"/>
    </row>
    <row r="1630" spans="2:9" x14ac:dyDescent="0.15">
      <c r="B1630" s="259"/>
      <c r="G1630" s="556"/>
      <c r="I1630" s="259"/>
    </row>
    <row r="1631" spans="2:9" x14ac:dyDescent="0.15">
      <c r="B1631" s="259"/>
      <c r="G1631" s="556"/>
      <c r="I1631" s="259"/>
    </row>
    <row r="1632" spans="2:9" x14ac:dyDescent="0.15">
      <c r="B1632" s="259"/>
      <c r="G1632" s="556"/>
      <c r="I1632" s="259"/>
    </row>
    <row r="1633" spans="2:9" x14ac:dyDescent="0.15">
      <c r="B1633" s="259"/>
      <c r="G1633" s="556"/>
      <c r="I1633" s="259"/>
    </row>
    <row r="1634" spans="2:9" x14ac:dyDescent="0.15">
      <c r="B1634" s="259"/>
      <c r="G1634" s="556"/>
      <c r="I1634" s="259"/>
    </row>
    <row r="1635" spans="2:9" x14ac:dyDescent="0.15">
      <c r="B1635" s="259"/>
      <c r="G1635" s="556"/>
      <c r="I1635" s="259"/>
    </row>
    <row r="1636" spans="2:9" x14ac:dyDescent="0.15">
      <c r="B1636" s="259"/>
      <c r="G1636" s="556"/>
      <c r="I1636" s="259"/>
    </row>
    <row r="1637" spans="2:9" x14ac:dyDescent="0.15">
      <c r="B1637" s="259"/>
      <c r="G1637" s="556"/>
      <c r="I1637" s="259"/>
    </row>
    <row r="1638" spans="2:9" x14ac:dyDescent="0.15">
      <c r="B1638" s="259"/>
      <c r="G1638" s="556"/>
      <c r="I1638" s="259"/>
    </row>
    <row r="1639" spans="2:9" x14ac:dyDescent="0.15">
      <c r="B1639" s="259"/>
      <c r="G1639" s="556"/>
      <c r="I1639" s="259"/>
    </row>
    <row r="1640" spans="2:9" x14ac:dyDescent="0.15">
      <c r="B1640" s="259"/>
      <c r="G1640" s="556"/>
      <c r="I1640" s="259"/>
    </row>
    <row r="1641" spans="2:9" x14ac:dyDescent="0.15">
      <c r="B1641" s="259"/>
      <c r="G1641" s="556"/>
      <c r="I1641" s="259"/>
    </row>
    <row r="1642" spans="2:9" x14ac:dyDescent="0.15">
      <c r="B1642" s="259"/>
      <c r="G1642" s="556"/>
      <c r="I1642" s="259"/>
    </row>
    <row r="1643" spans="2:9" x14ac:dyDescent="0.15">
      <c r="B1643" s="259"/>
      <c r="G1643" s="556"/>
      <c r="I1643" s="259"/>
    </row>
    <row r="1644" spans="2:9" x14ac:dyDescent="0.15">
      <c r="B1644" s="259"/>
      <c r="G1644" s="556"/>
      <c r="I1644" s="259"/>
    </row>
    <row r="1645" spans="2:9" x14ac:dyDescent="0.15">
      <c r="B1645" s="259"/>
      <c r="G1645" s="556"/>
      <c r="I1645" s="259"/>
    </row>
    <row r="1646" spans="2:9" x14ac:dyDescent="0.15">
      <c r="B1646" s="259"/>
      <c r="G1646" s="556"/>
      <c r="I1646" s="259"/>
    </row>
    <row r="1647" spans="2:9" x14ac:dyDescent="0.15">
      <c r="B1647" s="259"/>
      <c r="G1647" s="556"/>
      <c r="I1647" s="259"/>
    </row>
    <row r="1648" spans="2:9" x14ac:dyDescent="0.15">
      <c r="B1648" s="259"/>
      <c r="G1648" s="556"/>
      <c r="I1648" s="259"/>
    </row>
    <row r="1649" spans="2:9" x14ac:dyDescent="0.15">
      <c r="B1649" s="259"/>
      <c r="G1649" s="556"/>
      <c r="I1649" s="259"/>
    </row>
    <row r="1650" spans="2:9" x14ac:dyDescent="0.15">
      <c r="B1650" s="259"/>
      <c r="G1650" s="556"/>
      <c r="I1650" s="259"/>
    </row>
    <row r="1651" spans="2:9" x14ac:dyDescent="0.15">
      <c r="B1651" s="259"/>
      <c r="G1651" s="556"/>
      <c r="I1651" s="259"/>
    </row>
    <row r="1652" spans="2:9" x14ac:dyDescent="0.15">
      <c r="B1652" s="259"/>
      <c r="G1652" s="556"/>
      <c r="I1652" s="259"/>
    </row>
    <row r="1653" spans="2:9" x14ac:dyDescent="0.15">
      <c r="B1653" s="259"/>
      <c r="G1653" s="556"/>
      <c r="I1653" s="259"/>
    </row>
    <row r="1654" spans="2:9" x14ac:dyDescent="0.15">
      <c r="B1654" s="259"/>
      <c r="G1654" s="556"/>
      <c r="I1654" s="259"/>
    </row>
    <row r="1655" spans="2:9" x14ac:dyDescent="0.15">
      <c r="B1655" s="259"/>
      <c r="G1655" s="556"/>
      <c r="I1655" s="259"/>
    </row>
    <row r="1656" spans="2:9" x14ac:dyDescent="0.15">
      <c r="B1656" s="259"/>
      <c r="G1656" s="556"/>
      <c r="I1656" s="259"/>
    </row>
    <row r="1657" spans="2:9" x14ac:dyDescent="0.15">
      <c r="B1657" s="259"/>
      <c r="G1657" s="556"/>
      <c r="I1657" s="259"/>
    </row>
    <row r="1658" spans="2:9" x14ac:dyDescent="0.15">
      <c r="B1658" s="259"/>
      <c r="G1658" s="556"/>
      <c r="I1658" s="259"/>
    </row>
    <row r="1659" spans="2:9" x14ac:dyDescent="0.15">
      <c r="B1659" s="259"/>
      <c r="G1659" s="556"/>
      <c r="I1659" s="259"/>
    </row>
    <row r="1660" spans="2:9" x14ac:dyDescent="0.15">
      <c r="B1660" s="259"/>
      <c r="G1660" s="556"/>
      <c r="I1660" s="259"/>
    </row>
    <row r="1661" spans="2:9" x14ac:dyDescent="0.15">
      <c r="B1661" s="259"/>
      <c r="G1661" s="556"/>
      <c r="I1661" s="259"/>
    </row>
    <row r="1662" spans="2:9" x14ac:dyDescent="0.15">
      <c r="B1662" s="259"/>
      <c r="G1662" s="556"/>
      <c r="I1662" s="259"/>
    </row>
    <row r="1663" spans="2:9" x14ac:dyDescent="0.15">
      <c r="B1663" s="259"/>
      <c r="G1663" s="556"/>
      <c r="I1663" s="259"/>
    </row>
    <row r="1664" spans="2:9" x14ac:dyDescent="0.15">
      <c r="B1664" s="259"/>
      <c r="G1664" s="556"/>
      <c r="I1664" s="259"/>
    </row>
    <row r="1665" spans="2:9" x14ac:dyDescent="0.15">
      <c r="B1665" s="259"/>
      <c r="G1665" s="556"/>
      <c r="I1665" s="259"/>
    </row>
    <row r="1666" spans="2:9" x14ac:dyDescent="0.15">
      <c r="B1666" s="259"/>
      <c r="G1666" s="556"/>
      <c r="I1666" s="259"/>
    </row>
    <row r="1667" spans="2:9" x14ac:dyDescent="0.15">
      <c r="B1667" s="259"/>
      <c r="G1667" s="556"/>
      <c r="I1667" s="259"/>
    </row>
    <row r="1668" spans="2:9" x14ac:dyDescent="0.15">
      <c r="B1668" s="259"/>
      <c r="G1668" s="556"/>
      <c r="I1668" s="259"/>
    </row>
    <row r="1669" spans="2:9" x14ac:dyDescent="0.15">
      <c r="B1669" s="259"/>
      <c r="G1669" s="556"/>
      <c r="I1669" s="259"/>
    </row>
    <row r="1670" spans="2:9" x14ac:dyDescent="0.15">
      <c r="B1670" s="259"/>
      <c r="G1670" s="556"/>
      <c r="I1670" s="259"/>
    </row>
    <row r="1671" spans="2:9" x14ac:dyDescent="0.15">
      <c r="B1671" s="259"/>
      <c r="G1671" s="556"/>
      <c r="I1671" s="259"/>
    </row>
    <row r="1672" spans="2:9" x14ac:dyDescent="0.15">
      <c r="B1672" s="259"/>
      <c r="G1672" s="556"/>
      <c r="I1672" s="259"/>
    </row>
    <row r="1673" spans="2:9" x14ac:dyDescent="0.15">
      <c r="B1673" s="259"/>
      <c r="G1673" s="556"/>
      <c r="I1673" s="259"/>
    </row>
    <row r="1674" spans="2:9" x14ac:dyDescent="0.15">
      <c r="B1674" s="259"/>
      <c r="G1674" s="556"/>
      <c r="I1674" s="259"/>
    </row>
    <row r="1675" spans="2:9" x14ac:dyDescent="0.15">
      <c r="B1675" s="259"/>
      <c r="G1675" s="556"/>
      <c r="I1675" s="259"/>
    </row>
    <row r="1676" spans="2:9" x14ac:dyDescent="0.15">
      <c r="B1676" s="259"/>
      <c r="G1676" s="556"/>
      <c r="I1676" s="259"/>
    </row>
    <row r="1677" spans="2:9" x14ac:dyDescent="0.15">
      <c r="B1677" s="259"/>
      <c r="G1677" s="556"/>
      <c r="I1677" s="259"/>
    </row>
    <row r="1678" spans="2:9" x14ac:dyDescent="0.15">
      <c r="B1678" s="259"/>
      <c r="G1678" s="556"/>
      <c r="I1678" s="259"/>
    </row>
    <row r="1679" spans="2:9" x14ac:dyDescent="0.15">
      <c r="B1679" s="259"/>
      <c r="G1679" s="556"/>
      <c r="I1679" s="259"/>
    </row>
    <row r="1680" spans="2:9" x14ac:dyDescent="0.15">
      <c r="B1680" s="259"/>
      <c r="G1680" s="556"/>
      <c r="I1680" s="259"/>
    </row>
    <row r="1681" spans="2:9" x14ac:dyDescent="0.15">
      <c r="B1681" s="259"/>
      <c r="G1681" s="556"/>
      <c r="I1681" s="259"/>
    </row>
    <row r="1682" spans="2:9" x14ac:dyDescent="0.15">
      <c r="B1682" s="259"/>
      <c r="G1682" s="556"/>
      <c r="I1682" s="259"/>
    </row>
    <row r="1683" spans="2:9" x14ac:dyDescent="0.15">
      <c r="B1683" s="259"/>
      <c r="G1683" s="556"/>
      <c r="I1683" s="259"/>
    </row>
    <row r="1684" spans="2:9" x14ac:dyDescent="0.15">
      <c r="B1684" s="259"/>
      <c r="G1684" s="556"/>
      <c r="I1684" s="259"/>
    </row>
    <row r="1685" spans="2:9" x14ac:dyDescent="0.15">
      <c r="B1685" s="259"/>
      <c r="G1685" s="556"/>
      <c r="I1685" s="259"/>
    </row>
    <row r="1686" spans="2:9" x14ac:dyDescent="0.15">
      <c r="B1686" s="259"/>
      <c r="G1686" s="556"/>
      <c r="I1686" s="259"/>
    </row>
    <row r="1687" spans="2:9" x14ac:dyDescent="0.15">
      <c r="B1687" s="259"/>
      <c r="G1687" s="556"/>
      <c r="I1687" s="259"/>
    </row>
    <row r="1688" spans="2:9" x14ac:dyDescent="0.15">
      <c r="B1688" s="259"/>
      <c r="G1688" s="556"/>
      <c r="I1688" s="259"/>
    </row>
    <row r="1689" spans="2:9" x14ac:dyDescent="0.15">
      <c r="B1689" s="259"/>
      <c r="G1689" s="556"/>
      <c r="I1689" s="259"/>
    </row>
    <row r="1690" spans="2:9" x14ac:dyDescent="0.15">
      <c r="B1690" s="259"/>
      <c r="G1690" s="556"/>
      <c r="I1690" s="259"/>
    </row>
    <row r="1691" spans="2:9" x14ac:dyDescent="0.15">
      <c r="B1691" s="259"/>
      <c r="G1691" s="556"/>
      <c r="I1691" s="259"/>
    </row>
    <row r="1692" spans="2:9" x14ac:dyDescent="0.15">
      <c r="B1692" s="259"/>
      <c r="G1692" s="556"/>
      <c r="I1692" s="259"/>
    </row>
    <row r="1693" spans="2:9" x14ac:dyDescent="0.15">
      <c r="B1693" s="259"/>
      <c r="G1693" s="556"/>
      <c r="I1693" s="259"/>
    </row>
    <row r="1694" spans="2:9" x14ac:dyDescent="0.15">
      <c r="B1694" s="259"/>
      <c r="G1694" s="556"/>
      <c r="I1694" s="259"/>
    </row>
    <row r="1695" spans="2:9" x14ac:dyDescent="0.15">
      <c r="B1695" s="259"/>
      <c r="G1695" s="556"/>
      <c r="I1695" s="259"/>
    </row>
    <row r="1696" spans="2:9" x14ac:dyDescent="0.15">
      <c r="B1696" s="259"/>
      <c r="G1696" s="556"/>
      <c r="I1696" s="259"/>
    </row>
    <row r="1697" spans="2:9" x14ac:dyDescent="0.15">
      <c r="B1697" s="259"/>
      <c r="G1697" s="556"/>
      <c r="I1697" s="259"/>
    </row>
    <row r="1698" spans="2:9" x14ac:dyDescent="0.15">
      <c r="B1698" s="259"/>
      <c r="G1698" s="556"/>
      <c r="I1698" s="259"/>
    </row>
    <row r="1699" spans="2:9" x14ac:dyDescent="0.15">
      <c r="B1699" s="259"/>
      <c r="G1699" s="556"/>
      <c r="I1699" s="259"/>
    </row>
    <row r="1700" spans="2:9" x14ac:dyDescent="0.15">
      <c r="B1700" s="259"/>
      <c r="G1700" s="556"/>
      <c r="I1700" s="259"/>
    </row>
    <row r="1701" spans="2:9" x14ac:dyDescent="0.15">
      <c r="B1701" s="259"/>
      <c r="G1701" s="556"/>
      <c r="I1701" s="259"/>
    </row>
    <row r="1702" spans="2:9" x14ac:dyDescent="0.15">
      <c r="B1702" s="259"/>
      <c r="G1702" s="556"/>
      <c r="I1702" s="259"/>
    </row>
    <row r="1703" spans="2:9" x14ac:dyDescent="0.15">
      <c r="B1703" s="259"/>
      <c r="G1703" s="556"/>
      <c r="I1703" s="259"/>
    </row>
    <row r="1704" spans="2:9" x14ac:dyDescent="0.15">
      <c r="B1704" s="259"/>
      <c r="G1704" s="556"/>
      <c r="I1704" s="259"/>
    </row>
    <row r="1705" spans="2:9" x14ac:dyDescent="0.15">
      <c r="B1705" s="259"/>
      <c r="G1705" s="556"/>
      <c r="I1705" s="259"/>
    </row>
    <row r="1706" spans="2:9" x14ac:dyDescent="0.15">
      <c r="B1706" s="259"/>
      <c r="G1706" s="556"/>
      <c r="I1706" s="259"/>
    </row>
    <row r="1707" spans="2:9" x14ac:dyDescent="0.15">
      <c r="B1707" s="259"/>
      <c r="G1707" s="556"/>
      <c r="I1707" s="259"/>
    </row>
    <row r="1708" spans="2:9" x14ac:dyDescent="0.15">
      <c r="B1708" s="259"/>
      <c r="G1708" s="556"/>
      <c r="I1708" s="259"/>
    </row>
    <row r="1709" spans="2:9" x14ac:dyDescent="0.15">
      <c r="B1709" s="259"/>
      <c r="G1709" s="556"/>
      <c r="I1709" s="259"/>
    </row>
    <row r="1710" spans="2:9" x14ac:dyDescent="0.15">
      <c r="B1710" s="259"/>
      <c r="G1710" s="556"/>
      <c r="I1710" s="259"/>
    </row>
    <row r="1711" spans="2:9" x14ac:dyDescent="0.15">
      <c r="B1711" s="259"/>
      <c r="G1711" s="556"/>
      <c r="I1711" s="259"/>
    </row>
    <row r="1712" spans="2:9" x14ac:dyDescent="0.15">
      <c r="B1712" s="259"/>
      <c r="G1712" s="556"/>
      <c r="I1712" s="259"/>
    </row>
    <row r="1713" spans="2:9" x14ac:dyDescent="0.15">
      <c r="B1713" s="259"/>
      <c r="G1713" s="556"/>
      <c r="I1713" s="259"/>
    </row>
    <row r="1714" spans="2:9" x14ac:dyDescent="0.15">
      <c r="B1714" s="259"/>
      <c r="G1714" s="556"/>
      <c r="I1714" s="259"/>
    </row>
    <row r="1715" spans="2:9" x14ac:dyDescent="0.15">
      <c r="B1715" s="259"/>
      <c r="G1715" s="556"/>
      <c r="I1715" s="259"/>
    </row>
    <row r="1716" spans="2:9" x14ac:dyDescent="0.15">
      <c r="B1716" s="259"/>
      <c r="G1716" s="556"/>
      <c r="I1716" s="259"/>
    </row>
    <row r="1717" spans="2:9" x14ac:dyDescent="0.15">
      <c r="B1717" s="259"/>
      <c r="G1717" s="556"/>
      <c r="I1717" s="259"/>
    </row>
    <row r="1718" spans="2:9" x14ac:dyDescent="0.15">
      <c r="B1718" s="259"/>
      <c r="G1718" s="556"/>
      <c r="I1718" s="259"/>
    </row>
    <row r="1719" spans="2:9" x14ac:dyDescent="0.15">
      <c r="B1719" s="259"/>
      <c r="G1719" s="556"/>
      <c r="I1719" s="259"/>
    </row>
    <row r="1720" spans="2:9" x14ac:dyDescent="0.15">
      <c r="B1720" s="259"/>
      <c r="G1720" s="556"/>
      <c r="I1720" s="259"/>
    </row>
    <row r="1721" spans="2:9" x14ac:dyDescent="0.15">
      <c r="B1721" s="259"/>
      <c r="G1721" s="556"/>
      <c r="I1721" s="259"/>
    </row>
    <row r="1722" spans="2:9" x14ac:dyDescent="0.15">
      <c r="B1722" s="259"/>
      <c r="G1722" s="556"/>
      <c r="I1722" s="259"/>
    </row>
    <row r="1723" spans="2:9" x14ac:dyDescent="0.15">
      <c r="B1723" s="259"/>
      <c r="G1723" s="556"/>
      <c r="I1723" s="259"/>
    </row>
    <row r="1724" spans="2:9" x14ac:dyDescent="0.15">
      <c r="B1724" s="259"/>
      <c r="G1724" s="556"/>
      <c r="I1724" s="259"/>
    </row>
    <row r="1725" spans="2:9" x14ac:dyDescent="0.15">
      <c r="B1725" s="259"/>
      <c r="G1725" s="556"/>
      <c r="I1725" s="259"/>
    </row>
    <row r="1726" spans="2:9" x14ac:dyDescent="0.15">
      <c r="B1726" s="259"/>
      <c r="G1726" s="556"/>
      <c r="I1726" s="259"/>
    </row>
    <row r="1727" spans="2:9" x14ac:dyDescent="0.15">
      <c r="B1727" s="259"/>
      <c r="G1727" s="556"/>
      <c r="I1727" s="259"/>
    </row>
    <row r="1728" spans="2:9" x14ac:dyDescent="0.15">
      <c r="B1728" s="259"/>
      <c r="G1728" s="556"/>
      <c r="I1728" s="259"/>
    </row>
    <row r="1729" spans="2:9" x14ac:dyDescent="0.15">
      <c r="B1729" s="259"/>
      <c r="G1729" s="556"/>
      <c r="I1729" s="259"/>
    </row>
    <row r="1730" spans="2:9" x14ac:dyDescent="0.15">
      <c r="B1730" s="259"/>
      <c r="G1730" s="556"/>
      <c r="I1730" s="259"/>
    </row>
    <row r="1731" spans="2:9" x14ac:dyDescent="0.15">
      <c r="B1731" s="259"/>
      <c r="G1731" s="556"/>
      <c r="I1731" s="259"/>
    </row>
    <row r="1732" spans="2:9" x14ac:dyDescent="0.15">
      <c r="B1732" s="259"/>
      <c r="G1732" s="556"/>
      <c r="I1732" s="259"/>
    </row>
    <row r="1733" spans="2:9" x14ac:dyDescent="0.15">
      <c r="B1733" s="259"/>
      <c r="G1733" s="556"/>
      <c r="I1733" s="259"/>
    </row>
    <row r="1734" spans="2:9" x14ac:dyDescent="0.15">
      <c r="B1734" s="259"/>
      <c r="G1734" s="556"/>
      <c r="I1734" s="259"/>
    </row>
    <row r="1735" spans="2:9" x14ac:dyDescent="0.15">
      <c r="B1735" s="259"/>
      <c r="G1735" s="556"/>
      <c r="I1735" s="259"/>
    </row>
    <row r="1736" spans="2:9" x14ac:dyDescent="0.15">
      <c r="B1736" s="259"/>
      <c r="G1736" s="556"/>
      <c r="I1736" s="259"/>
    </row>
    <row r="1737" spans="2:9" x14ac:dyDescent="0.15">
      <c r="B1737" s="259"/>
      <c r="G1737" s="556"/>
      <c r="I1737" s="259"/>
    </row>
    <row r="1738" spans="2:9" x14ac:dyDescent="0.15">
      <c r="B1738" s="259"/>
      <c r="G1738" s="556"/>
      <c r="I1738" s="259"/>
    </row>
    <row r="1739" spans="2:9" x14ac:dyDescent="0.15">
      <c r="B1739" s="259"/>
      <c r="G1739" s="556"/>
      <c r="I1739" s="259"/>
    </row>
    <row r="1740" spans="2:9" x14ac:dyDescent="0.15">
      <c r="B1740" s="259"/>
      <c r="G1740" s="556"/>
    </row>
  </sheetData>
  <mergeCells count="5">
    <mergeCell ref="A273:H273"/>
    <mergeCell ref="A534:H534"/>
    <mergeCell ref="A633:H633"/>
    <mergeCell ref="A741:H741"/>
    <mergeCell ref="A855:H855"/>
  </mergeCells>
  <pageMargins left="0.75" right="0.75" top="1" bottom="1" header="0.5" footer="0.5"/>
  <pageSetup scale="94" orientation="portrait" r:id="rId1"/>
  <headerFooter alignWithMargins="0">
    <oddHeader>&amp;C&amp;"Arial,Bold"&amp;12***PLEASE PAY WITH NEXT CHECK RUN***</oddHeader>
    <oddFooter>&amp;L&amp;D&amp;CWhiting Energy</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pageSetUpPr fitToPage="1"/>
  </sheetPr>
  <dimension ref="A1:AB63"/>
  <sheetViews>
    <sheetView workbookViewId="0">
      <pane ySplit="2" topLeftCell="A21" activePane="bottomLeft" state="frozen"/>
      <selection activeCell="E87" sqref="E87"/>
      <selection pane="bottomLeft" activeCell="A53" sqref="A53:P53"/>
    </sheetView>
  </sheetViews>
  <sheetFormatPr baseColWidth="10" defaultColWidth="8.83203125" defaultRowHeight="13" x14ac:dyDescent="0.15"/>
  <cols>
    <col min="1" max="1" width="8.83203125" style="259" bestFit="1" customWidth="1"/>
    <col min="2" max="4" width="8.83203125" style="259"/>
    <col min="5" max="5" width="8.6640625" style="259" bestFit="1" customWidth="1"/>
    <col min="6" max="6" width="12.1640625" style="259" bestFit="1" customWidth="1"/>
    <col min="7" max="7" width="10.6640625" style="259" bestFit="1" customWidth="1"/>
    <col min="8" max="8" width="11.6640625" style="259" customWidth="1"/>
    <col min="9" max="9" width="10.6640625" style="259" bestFit="1" customWidth="1"/>
    <col min="10" max="10" width="9.83203125" style="259" bestFit="1" customWidth="1"/>
    <col min="11" max="11" width="10.6640625" style="259" bestFit="1" customWidth="1"/>
    <col min="12" max="15" width="8.83203125" style="259"/>
    <col min="16" max="16" width="8.83203125" style="259" bestFit="1" customWidth="1"/>
    <col min="17" max="16384" width="8.83203125" style="259"/>
  </cols>
  <sheetData>
    <row r="1" spans="1:28" x14ac:dyDescent="0.15">
      <c r="B1" s="522" t="s">
        <v>1094</v>
      </c>
      <c r="C1" s="261" t="s">
        <v>1373</v>
      </c>
    </row>
    <row r="2" spans="1:28" ht="24" x14ac:dyDescent="0.15">
      <c r="A2" s="265" t="s">
        <v>1096</v>
      </c>
      <c r="B2" s="266"/>
      <c r="C2" s="267" t="s">
        <v>1122</v>
      </c>
      <c r="D2" s="268" t="s">
        <v>1123</v>
      </c>
      <c r="E2" s="269" t="s">
        <v>1099</v>
      </c>
      <c r="F2" s="270" t="s">
        <v>1124</v>
      </c>
      <c r="G2" s="270" t="s">
        <v>1125</v>
      </c>
      <c r="H2" s="271" t="s">
        <v>1126</v>
      </c>
      <c r="I2" s="272" t="s">
        <v>1127</v>
      </c>
      <c r="J2" s="272" t="s">
        <v>1128</v>
      </c>
      <c r="K2" s="272" t="s">
        <v>1129</v>
      </c>
      <c r="L2" s="272" t="s">
        <v>1130</v>
      </c>
      <c r="M2" s="271" t="s">
        <v>1131</v>
      </c>
      <c r="N2" s="271" t="s">
        <v>1132</v>
      </c>
      <c r="O2" s="273" t="s">
        <v>1133</v>
      </c>
      <c r="P2" s="274"/>
    </row>
    <row r="3" spans="1:28" s="275" customFormat="1" x14ac:dyDescent="0.15">
      <c r="A3" s="279">
        <v>40924</v>
      </c>
      <c r="B3" s="523" t="s">
        <v>1134</v>
      </c>
      <c r="D3" s="524">
        <v>8501</v>
      </c>
      <c r="E3" s="525">
        <v>905511424</v>
      </c>
      <c r="F3" s="275">
        <f>3.288+0.0019+0.001</f>
        <v>3.2908999999999997</v>
      </c>
      <c r="G3" s="482">
        <v>27695.14</v>
      </c>
      <c r="H3" s="279">
        <v>40931</v>
      </c>
      <c r="Q3" s="526"/>
      <c r="R3" s="526"/>
      <c r="S3" s="526"/>
      <c r="T3" s="526"/>
      <c r="U3" s="526"/>
      <c r="V3" s="526"/>
    </row>
    <row r="4" spans="1:28" s="275" customFormat="1" x14ac:dyDescent="0.15">
      <c r="A4" s="279">
        <v>40924</v>
      </c>
      <c r="B4" s="523" t="s">
        <v>1134</v>
      </c>
      <c r="D4" s="524">
        <v>8503</v>
      </c>
      <c r="E4" s="525">
        <v>905511424</v>
      </c>
      <c r="F4" s="275">
        <f>3.3255+0.0019+0.001</f>
        <v>3.3283999999999998</v>
      </c>
      <c r="G4" s="482">
        <v>28018.62</v>
      </c>
      <c r="H4" s="279">
        <v>40926</v>
      </c>
      <c r="Q4" s="526"/>
      <c r="R4" s="526"/>
      <c r="S4" s="526"/>
      <c r="T4" s="526"/>
      <c r="U4" s="526"/>
      <c r="V4" s="526"/>
    </row>
    <row r="5" spans="1:28" s="275" customFormat="1" ht="14" thickBot="1" x14ac:dyDescent="0.2">
      <c r="A5" s="290"/>
      <c r="B5" s="280" t="s">
        <v>1345</v>
      </c>
      <c r="C5" s="281"/>
      <c r="D5" s="282">
        <f>SUM(D3:D4)</f>
        <v>17004</v>
      </c>
      <c r="E5" s="283"/>
      <c r="F5" s="284"/>
      <c r="G5" s="285">
        <f>SUM(G3:G4)</f>
        <v>55713.759999999995</v>
      </c>
      <c r="H5" s="286">
        <f>G5-SUM(I5:N5)</f>
        <v>38442.494399999996</v>
      </c>
      <c r="I5" s="286">
        <f>G5*20%</f>
        <v>11142.752</v>
      </c>
      <c r="J5" s="286">
        <f>G5*3%</f>
        <v>1671.4127999999998</v>
      </c>
      <c r="K5" s="286">
        <f>G5*3%</f>
        <v>1671.4127999999998</v>
      </c>
      <c r="L5" s="286">
        <f>G5*1%</f>
        <v>557.13759999999991</v>
      </c>
      <c r="M5" s="286">
        <f>G5*3%</f>
        <v>1671.4127999999998</v>
      </c>
      <c r="N5" s="286">
        <f>G5*1%</f>
        <v>557.13759999999991</v>
      </c>
      <c r="O5" s="286"/>
      <c r="P5" s="286">
        <f>SUM(H5:O5)</f>
        <v>55713.759999999995</v>
      </c>
      <c r="Q5" s="287"/>
      <c r="R5" s="287"/>
      <c r="S5" s="287"/>
      <c r="T5" s="287"/>
      <c r="U5" s="287"/>
      <c r="V5" s="287"/>
      <c r="W5" s="287"/>
      <c r="X5" s="287"/>
      <c r="Y5" s="287"/>
      <c r="Z5" s="287"/>
      <c r="AA5" s="287"/>
      <c r="AB5" s="287"/>
    </row>
    <row r="6" spans="1:28" s="275" customFormat="1" ht="14" thickTop="1" x14ac:dyDescent="0.15"/>
    <row r="7" spans="1:28" s="275" customFormat="1" x14ac:dyDescent="0.15">
      <c r="A7" s="279">
        <v>40973</v>
      </c>
      <c r="B7" s="523" t="s">
        <v>1134</v>
      </c>
      <c r="D7" s="524">
        <v>7001</v>
      </c>
      <c r="E7" s="525">
        <v>905668982</v>
      </c>
      <c r="F7" s="275">
        <f>3.5+0.0019+0.001</f>
        <v>3.5028999999999999</v>
      </c>
      <c r="G7" s="482">
        <v>24278.76</v>
      </c>
      <c r="H7" s="279">
        <v>40968</v>
      </c>
      <c r="Q7" s="526"/>
      <c r="R7" s="526"/>
      <c r="S7" s="526"/>
      <c r="T7" s="526"/>
      <c r="U7" s="526"/>
      <c r="V7" s="526"/>
    </row>
    <row r="8" spans="1:28" s="275" customFormat="1" ht="14" thickBot="1" x14ac:dyDescent="0.2">
      <c r="A8" s="290"/>
      <c r="B8" s="280" t="s">
        <v>1347</v>
      </c>
      <c r="C8" s="281"/>
      <c r="D8" s="282">
        <f>SUM(D6:D7)</f>
        <v>7001</v>
      </c>
      <c r="E8" s="283"/>
      <c r="F8" s="284"/>
      <c r="G8" s="285">
        <f>SUM(G7)</f>
        <v>24278.76</v>
      </c>
      <c r="H8" s="286">
        <f>G8-SUM(I8:N8)</f>
        <v>16752.344400000002</v>
      </c>
      <c r="I8" s="286">
        <f>G8*20%</f>
        <v>4855.7519999999995</v>
      </c>
      <c r="J8" s="286">
        <f>G8*3%</f>
        <v>728.36279999999988</v>
      </c>
      <c r="K8" s="286">
        <f>G8*3%</f>
        <v>728.36279999999988</v>
      </c>
      <c r="L8" s="286">
        <f>G8*1%</f>
        <v>242.7876</v>
      </c>
      <c r="M8" s="286">
        <f>G8*3%</f>
        <v>728.36279999999988</v>
      </c>
      <c r="N8" s="286">
        <f>G8*1%</f>
        <v>242.7876</v>
      </c>
      <c r="O8" s="286"/>
      <c r="P8" s="286">
        <f>SUM(H8:O8)</f>
        <v>24278.76</v>
      </c>
      <c r="Q8" s="287"/>
      <c r="R8" s="287"/>
      <c r="S8" s="287"/>
      <c r="T8" s="287"/>
      <c r="U8" s="287"/>
      <c r="V8" s="287"/>
      <c r="W8" s="287"/>
      <c r="X8" s="287"/>
      <c r="Y8" s="287"/>
      <c r="Z8" s="287"/>
      <c r="AA8" s="287"/>
      <c r="AB8" s="287"/>
    </row>
    <row r="9" spans="1:28" ht="15" thickTop="1" thickBot="1" x14ac:dyDescent="0.2"/>
    <row r="10" spans="1:28" s="275" customFormat="1" ht="26" thickBot="1" x14ac:dyDescent="0.3">
      <c r="A10" s="798" t="s">
        <v>4</v>
      </c>
      <c r="B10" s="799"/>
      <c r="C10" s="799"/>
      <c r="D10" s="799"/>
      <c r="E10" s="799"/>
      <c r="F10" s="799"/>
      <c r="G10" s="799"/>
      <c r="H10" s="799"/>
      <c r="I10" s="799"/>
      <c r="J10" s="799"/>
      <c r="K10" s="799"/>
      <c r="L10" s="799"/>
      <c r="M10" s="799"/>
      <c r="N10" s="799"/>
      <c r="O10" s="799"/>
      <c r="P10" s="800"/>
    </row>
    <row r="11" spans="1:28" s="275" customFormat="1" x14ac:dyDescent="0.15"/>
    <row r="12" spans="1:28" s="275" customFormat="1" x14ac:dyDescent="0.15">
      <c r="A12" s="279">
        <v>41283</v>
      </c>
      <c r="B12" s="523" t="s">
        <v>1134</v>
      </c>
      <c r="C12" s="275">
        <v>550736</v>
      </c>
      <c r="D12" s="524">
        <v>8500</v>
      </c>
      <c r="E12" s="525">
        <v>906583579</v>
      </c>
      <c r="F12" s="275">
        <f>3.366+0.0019+0.001</f>
        <v>3.3689</v>
      </c>
      <c r="G12" s="482">
        <v>28635.65</v>
      </c>
      <c r="H12" s="279"/>
      <c r="Q12" s="526"/>
      <c r="R12" s="526"/>
      <c r="S12" s="526"/>
      <c r="T12" s="526"/>
      <c r="U12" s="526"/>
      <c r="V12" s="526"/>
    </row>
    <row r="13" spans="1:28" s="275" customFormat="1" x14ac:dyDescent="0.15">
      <c r="A13" s="279">
        <v>41298</v>
      </c>
      <c r="B13" s="523" t="s">
        <v>1134</v>
      </c>
      <c r="C13" s="275">
        <v>552184</v>
      </c>
      <c r="D13" s="524">
        <v>8505</v>
      </c>
      <c r="E13" s="525">
        <v>906634051</v>
      </c>
      <c r="F13" s="275">
        <f>3.243+0.0019+0.001</f>
        <v>3.2458999999999998</v>
      </c>
      <c r="G13" s="482">
        <v>27606.39</v>
      </c>
      <c r="H13" s="279"/>
      <c r="Q13" s="526"/>
      <c r="R13" s="526"/>
      <c r="S13" s="526"/>
      <c r="T13" s="526"/>
      <c r="U13" s="526"/>
      <c r="V13" s="526"/>
    </row>
    <row r="14" spans="1:28" s="275" customFormat="1" ht="14" thickBot="1" x14ac:dyDescent="0.2">
      <c r="A14" s="290"/>
      <c r="B14" s="280" t="s">
        <v>1345</v>
      </c>
      <c r="C14" s="281"/>
      <c r="D14" s="282">
        <f>SUM(D12:D13)</f>
        <v>17005</v>
      </c>
      <c r="E14" s="283"/>
      <c r="F14" s="284"/>
      <c r="G14" s="285">
        <f>SUM(G12:G13)</f>
        <v>56242.04</v>
      </c>
      <c r="H14" s="286">
        <f>G14-SUM(I14:N14)</f>
        <v>38807.007599999997</v>
      </c>
      <c r="I14" s="286">
        <f>G14*20%</f>
        <v>11248.408000000001</v>
      </c>
      <c r="J14" s="286">
        <f>G14*3%</f>
        <v>1687.2611999999999</v>
      </c>
      <c r="K14" s="286">
        <f>G14*3%</f>
        <v>1687.2611999999999</v>
      </c>
      <c r="L14" s="286">
        <f>G14*1%</f>
        <v>562.42039999999997</v>
      </c>
      <c r="M14" s="286">
        <f>G14*3%</f>
        <v>1687.2611999999999</v>
      </c>
      <c r="N14" s="286">
        <f>G14*1%</f>
        <v>562.42039999999997</v>
      </c>
      <c r="O14" s="286"/>
      <c r="P14" s="286">
        <f>SUM(H14:O14)</f>
        <v>56242.040000000008</v>
      </c>
      <c r="Q14" s="287"/>
      <c r="R14" s="287"/>
      <c r="S14" s="287"/>
      <c r="T14" s="287"/>
      <c r="U14" s="287"/>
      <c r="V14" s="287"/>
      <c r="W14" s="287"/>
      <c r="X14" s="287"/>
      <c r="Y14" s="287"/>
      <c r="Z14" s="287"/>
      <c r="AA14" s="287"/>
      <c r="AB14" s="287"/>
    </row>
    <row r="15" spans="1:28" s="275" customFormat="1" ht="14" thickTop="1" x14ac:dyDescent="0.15"/>
    <row r="16" spans="1:28" s="275" customFormat="1" x14ac:dyDescent="0.15">
      <c r="A16" s="279">
        <v>41299</v>
      </c>
      <c r="B16" s="523" t="s">
        <v>1134</v>
      </c>
      <c r="C16" s="275">
        <v>552315</v>
      </c>
      <c r="D16" s="524">
        <v>-2500</v>
      </c>
      <c r="E16" s="525">
        <v>906641949</v>
      </c>
      <c r="F16" s="275">
        <f>3.2112+0.0019+0.001</f>
        <v>3.2140999999999997</v>
      </c>
      <c r="G16" s="482">
        <v>-8035.25</v>
      </c>
      <c r="H16" s="279"/>
      <c r="Q16" s="526"/>
      <c r="R16" s="526"/>
      <c r="S16" s="526"/>
      <c r="T16" s="526"/>
      <c r="U16" s="526"/>
      <c r="V16" s="526"/>
    </row>
    <row r="17" spans="1:28" s="275" customFormat="1" x14ac:dyDescent="0.15">
      <c r="A17" s="279">
        <v>41299</v>
      </c>
      <c r="B17" s="523" t="s">
        <v>1134</v>
      </c>
      <c r="C17" s="275">
        <v>552315</v>
      </c>
      <c r="D17" s="524">
        <v>8504</v>
      </c>
      <c r="E17" s="525">
        <v>906651950</v>
      </c>
      <c r="F17" s="275">
        <f>3.2112+0.0019+0.001</f>
        <v>3.2140999999999997</v>
      </c>
      <c r="G17" s="482">
        <f>19024.37+8035.25</f>
        <v>27059.62</v>
      </c>
      <c r="H17" s="279"/>
      <c r="Q17" s="526"/>
      <c r="R17" s="526"/>
      <c r="S17" s="526"/>
      <c r="T17" s="526"/>
      <c r="U17" s="526"/>
      <c r="V17" s="526"/>
    </row>
    <row r="18" spans="1:28" s="275" customFormat="1" x14ac:dyDescent="0.15">
      <c r="A18" s="279">
        <v>41304</v>
      </c>
      <c r="B18" s="523" t="s">
        <v>1134</v>
      </c>
      <c r="C18" s="275">
        <v>552850</v>
      </c>
      <c r="D18" s="524">
        <v>8500</v>
      </c>
      <c r="E18" s="525">
        <v>906655225</v>
      </c>
      <c r="F18" s="275">
        <f>3.2786+0.0019+0.001</f>
        <v>3.2814999999999999</v>
      </c>
      <c r="G18" s="482">
        <v>27614.07</v>
      </c>
      <c r="H18" s="279"/>
      <c r="Q18" s="526"/>
      <c r="R18" s="526"/>
      <c r="S18" s="526"/>
      <c r="T18" s="526"/>
      <c r="U18" s="526"/>
      <c r="V18" s="526"/>
    </row>
    <row r="19" spans="1:28" s="275" customFormat="1" ht="14" thickBot="1" x14ac:dyDescent="0.2">
      <c r="A19" s="290"/>
      <c r="B19" s="280" t="s">
        <v>1346</v>
      </c>
      <c r="C19" s="281"/>
      <c r="D19" s="282">
        <f>SUM(D16:D18)</f>
        <v>14504</v>
      </c>
      <c r="E19" s="283"/>
      <c r="F19" s="284"/>
      <c r="G19" s="285">
        <f>SUM(G16:G18)</f>
        <v>46638.44</v>
      </c>
      <c r="H19" s="286">
        <f>G19-SUM(I19:N19)</f>
        <v>32180.5236</v>
      </c>
      <c r="I19" s="286">
        <f>G19*20%</f>
        <v>9327.6880000000001</v>
      </c>
      <c r="J19" s="286">
        <f>G19*3%</f>
        <v>1399.1532</v>
      </c>
      <c r="K19" s="286">
        <f>G19*3%</f>
        <v>1399.1532</v>
      </c>
      <c r="L19" s="286">
        <f>G19*1%</f>
        <v>466.38440000000003</v>
      </c>
      <c r="M19" s="286">
        <f>G19*3%</f>
        <v>1399.1532</v>
      </c>
      <c r="N19" s="286">
        <f>G19*1%</f>
        <v>466.38440000000003</v>
      </c>
      <c r="O19" s="286"/>
      <c r="P19" s="286">
        <f>SUM(H19:O19)</f>
        <v>46638.44000000001</v>
      </c>
      <c r="Q19" s="287"/>
      <c r="R19" s="287"/>
      <c r="S19" s="287"/>
      <c r="T19" s="287"/>
      <c r="U19" s="287"/>
      <c r="V19" s="287"/>
      <c r="W19" s="287"/>
      <c r="X19" s="287"/>
      <c r="Y19" s="287"/>
      <c r="Z19" s="287"/>
      <c r="AA19" s="287"/>
      <c r="AB19" s="287"/>
    </row>
    <row r="20" spans="1:28" ht="15" thickTop="1" thickBot="1" x14ac:dyDescent="0.2"/>
    <row r="21" spans="1:28" s="275" customFormat="1" ht="31" thickBot="1" x14ac:dyDescent="0.35">
      <c r="A21" s="767" t="s">
        <v>1137</v>
      </c>
      <c r="B21" s="768"/>
      <c r="C21" s="768"/>
      <c r="D21" s="768"/>
      <c r="E21" s="768"/>
      <c r="F21" s="768"/>
      <c r="G21" s="768"/>
      <c r="H21" s="768"/>
      <c r="I21" s="768"/>
      <c r="J21" s="768"/>
      <c r="K21" s="768"/>
      <c r="L21" s="768"/>
      <c r="M21" s="768"/>
      <c r="N21" s="768"/>
      <c r="O21" s="768"/>
      <c r="P21" s="769"/>
      <c r="Q21" s="289"/>
      <c r="R21" s="289"/>
      <c r="S21" s="289"/>
      <c r="T21" s="289"/>
    </row>
    <row r="22" spans="1:28" s="275" customFormat="1" x14ac:dyDescent="0.15"/>
    <row r="23" spans="1:28" s="275" customFormat="1" x14ac:dyDescent="0.15">
      <c r="A23" s="279">
        <v>41654</v>
      </c>
      <c r="B23" s="523" t="s">
        <v>1138</v>
      </c>
      <c r="D23" s="524">
        <v>7009</v>
      </c>
      <c r="E23" s="525">
        <v>14054298</v>
      </c>
      <c r="F23" s="278">
        <f>G23/D23</f>
        <v>3.2604408617491796</v>
      </c>
      <c r="G23" s="482">
        <v>22852.43</v>
      </c>
      <c r="H23" s="279"/>
      <c r="Q23" s="526"/>
      <c r="R23" s="526"/>
      <c r="S23" s="526"/>
      <c r="T23" s="526"/>
      <c r="U23" s="526"/>
      <c r="V23" s="526"/>
    </row>
    <row r="24" spans="1:28" s="275" customFormat="1" ht="14" thickBot="1" x14ac:dyDescent="0.2">
      <c r="A24" s="290"/>
      <c r="B24" s="280" t="s">
        <v>1345</v>
      </c>
      <c r="C24" s="281"/>
      <c r="D24" s="282">
        <f>SUM(D23:D23)</f>
        <v>7009</v>
      </c>
      <c r="E24" s="283"/>
      <c r="F24" s="284"/>
      <c r="G24" s="285">
        <f>SUM(G23:G23)</f>
        <v>22852.43</v>
      </c>
      <c r="H24" s="286">
        <f>G24-SUM(I24:N24)</f>
        <v>15768.1767</v>
      </c>
      <c r="I24" s="286">
        <f>G24*20%</f>
        <v>4570.4859999999999</v>
      </c>
      <c r="J24" s="286">
        <f>G24*3%</f>
        <v>685.5729</v>
      </c>
      <c r="K24" s="286">
        <f>G24*3%</f>
        <v>685.5729</v>
      </c>
      <c r="L24" s="286">
        <f>G24*1%</f>
        <v>228.52430000000001</v>
      </c>
      <c r="M24" s="286">
        <f>G24*3%</f>
        <v>685.5729</v>
      </c>
      <c r="N24" s="286">
        <f>G24*1%</f>
        <v>228.52430000000001</v>
      </c>
      <c r="O24" s="286"/>
      <c r="P24" s="286">
        <f>SUM(H24:O24)</f>
        <v>22852.43</v>
      </c>
      <c r="Q24" s="287"/>
      <c r="R24" s="287"/>
      <c r="S24" s="287"/>
      <c r="T24" s="287"/>
      <c r="U24" s="287"/>
      <c r="V24" s="287"/>
      <c r="W24" s="287"/>
      <c r="X24" s="287"/>
      <c r="Y24" s="287"/>
      <c r="Z24" s="287"/>
      <c r="AA24" s="287"/>
      <c r="AB24" s="287"/>
    </row>
    <row r="25" spans="1:28" s="275" customFormat="1" ht="14" thickTop="1" x14ac:dyDescent="0.15"/>
    <row r="26" spans="1:28" s="275" customFormat="1" x14ac:dyDescent="0.15">
      <c r="A26" s="279">
        <v>41697</v>
      </c>
      <c r="B26" s="523" t="s">
        <v>1138</v>
      </c>
      <c r="D26" s="524">
        <v>8504</v>
      </c>
      <c r="E26" s="525">
        <v>14087307</v>
      </c>
      <c r="F26" s="278">
        <f>G26/D26</f>
        <v>3.3235900752587018</v>
      </c>
      <c r="G26" s="482">
        <v>28263.81</v>
      </c>
      <c r="H26" s="279"/>
      <c r="Q26" s="526"/>
      <c r="R26" s="526"/>
      <c r="S26" s="526"/>
      <c r="T26" s="526"/>
      <c r="U26" s="526"/>
      <c r="V26" s="526"/>
    </row>
    <row r="27" spans="1:28" s="275" customFormat="1" ht="14" thickBot="1" x14ac:dyDescent="0.2">
      <c r="A27" s="290"/>
      <c r="B27" s="280" t="s">
        <v>1346</v>
      </c>
      <c r="C27" s="281"/>
      <c r="D27" s="282">
        <f>SUM(D26:D26)</f>
        <v>8504</v>
      </c>
      <c r="E27" s="283"/>
      <c r="F27" s="284"/>
      <c r="G27" s="285">
        <f>SUM(G26:G26)</f>
        <v>28263.81</v>
      </c>
      <c r="H27" s="286">
        <f>G27-SUM(I27:N27)</f>
        <v>19502.028899999998</v>
      </c>
      <c r="I27" s="286">
        <f>G27*20%</f>
        <v>5652.7620000000006</v>
      </c>
      <c r="J27" s="286">
        <f>G27*3%</f>
        <v>847.91430000000003</v>
      </c>
      <c r="K27" s="286">
        <f>G27*3%</f>
        <v>847.91430000000003</v>
      </c>
      <c r="L27" s="286">
        <f>G27*1%</f>
        <v>282.63810000000001</v>
      </c>
      <c r="M27" s="286">
        <f>G27*3%</f>
        <v>847.91430000000003</v>
      </c>
      <c r="N27" s="286">
        <f>G27*1%</f>
        <v>282.63810000000001</v>
      </c>
      <c r="O27" s="286"/>
      <c r="P27" s="286">
        <f>SUM(H27:O27)</f>
        <v>28263.81</v>
      </c>
      <c r="Q27" s="287"/>
      <c r="R27" s="287"/>
      <c r="S27" s="287"/>
      <c r="T27" s="287"/>
      <c r="U27" s="287"/>
      <c r="V27" s="287"/>
      <c r="W27" s="287"/>
      <c r="X27" s="287"/>
      <c r="Y27" s="287"/>
      <c r="Z27" s="287"/>
      <c r="AA27" s="287"/>
      <c r="AB27" s="287"/>
    </row>
    <row r="28" spans="1:28" s="275" customFormat="1" ht="14" thickTop="1" x14ac:dyDescent="0.15"/>
    <row r="29" spans="1:28" s="275" customFormat="1" x14ac:dyDescent="0.15">
      <c r="A29" s="279">
        <v>41702</v>
      </c>
      <c r="B29" s="523" t="s">
        <v>1138</v>
      </c>
      <c r="D29" s="524">
        <v>8501</v>
      </c>
      <c r="E29" s="525">
        <v>14090609</v>
      </c>
      <c r="F29" s="278">
        <f>G29/D29</f>
        <v>3.3602905540524644</v>
      </c>
      <c r="G29" s="482">
        <f>28318.53+8.5+16.15+212.53+10.12</f>
        <v>28565.829999999998</v>
      </c>
      <c r="H29" s="279"/>
      <c r="Q29" s="526"/>
      <c r="R29" s="526"/>
      <c r="S29" s="526"/>
      <c r="T29" s="526"/>
      <c r="U29" s="526"/>
      <c r="V29" s="526"/>
    </row>
    <row r="30" spans="1:28" s="275" customFormat="1" x14ac:dyDescent="0.15">
      <c r="A30" s="279">
        <v>41704</v>
      </c>
      <c r="B30" s="523" t="s">
        <v>1138</v>
      </c>
      <c r="D30" s="524">
        <v>8512</v>
      </c>
      <c r="E30" s="525">
        <v>14093479</v>
      </c>
      <c r="F30" s="278">
        <f>G30/D30</f>
        <v>3.315089285714286</v>
      </c>
      <c r="G30" s="482">
        <v>28218.04</v>
      </c>
      <c r="H30" s="279"/>
      <c r="Q30" s="526"/>
      <c r="R30" s="526"/>
      <c r="S30" s="526"/>
      <c r="T30" s="526"/>
      <c r="U30" s="526"/>
      <c r="V30" s="526"/>
    </row>
    <row r="31" spans="1:28" s="275" customFormat="1" x14ac:dyDescent="0.15">
      <c r="A31" s="279">
        <v>41709</v>
      </c>
      <c r="B31" s="523" t="s">
        <v>1138</v>
      </c>
      <c r="D31" s="524">
        <v>8514</v>
      </c>
      <c r="E31" s="525">
        <v>14095675</v>
      </c>
      <c r="F31" s="278">
        <f>G31/D31</f>
        <v>3.2393399107352598</v>
      </c>
      <c r="G31" s="482">
        <v>27579.74</v>
      </c>
      <c r="H31" s="279"/>
      <c r="Q31" s="526"/>
      <c r="R31" s="526"/>
      <c r="S31" s="526"/>
      <c r="T31" s="526"/>
      <c r="U31" s="526"/>
      <c r="V31" s="526"/>
    </row>
    <row r="32" spans="1:28" s="275" customFormat="1" ht="14" thickBot="1" x14ac:dyDescent="0.2">
      <c r="A32" s="290"/>
      <c r="B32" s="280" t="s">
        <v>1347</v>
      </c>
      <c r="C32" s="281"/>
      <c r="D32" s="282">
        <f>SUM(D29:D31)</f>
        <v>25527</v>
      </c>
      <c r="E32" s="283"/>
      <c r="F32" s="284"/>
      <c r="G32" s="285">
        <f>SUM(G29:G31)</f>
        <v>84363.61</v>
      </c>
      <c r="H32" s="286">
        <f>G32-SUM(I32:N32)</f>
        <v>58210.890899999999</v>
      </c>
      <c r="I32" s="286">
        <f>G32*20%</f>
        <v>16872.722000000002</v>
      </c>
      <c r="J32" s="286">
        <f>G32*3%</f>
        <v>2530.9083000000001</v>
      </c>
      <c r="K32" s="286">
        <f>G32*3%</f>
        <v>2530.9083000000001</v>
      </c>
      <c r="L32" s="286">
        <f>G32*1%</f>
        <v>843.63610000000006</v>
      </c>
      <c r="M32" s="286">
        <f>G32*3%</f>
        <v>2530.9083000000001</v>
      </c>
      <c r="N32" s="286">
        <f>G32*1%</f>
        <v>843.63610000000006</v>
      </c>
      <c r="O32" s="286"/>
      <c r="P32" s="286">
        <f>SUM(H32:O32)</f>
        <v>84363.61</v>
      </c>
      <c r="Q32" s="287"/>
      <c r="R32" s="287"/>
      <c r="S32" s="287"/>
      <c r="T32" s="287"/>
      <c r="U32" s="287"/>
      <c r="V32" s="287"/>
      <c r="W32" s="287"/>
      <c r="X32" s="287"/>
      <c r="Y32" s="287"/>
      <c r="Z32" s="287"/>
      <c r="AA32" s="287"/>
      <c r="AB32" s="287"/>
    </row>
    <row r="33" spans="1:28" s="275" customFormat="1" ht="14" thickTop="1" x14ac:dyDescent="0.15"/>
    <row r="34" spans="1:28" s="275" customFormat="1" x14ac:dyDescent="0.15">
      <c r="A34" s="279">
        <v>41733</v>
      </c>
      <c r="B34" s="523" t="s">
        <v>1138</v>
      </c>
      <c r="D34" s="524">
        <v>8513</v>
      </c>
      <c r="E34" s="525">
        <v>14115510</v>
      </c>
      <c r="F34" s="278">
        <f>G34/D34</f>
        <v>3.1444896041348529</v>
      </c>
      <c r="G34" s="482">
        <v>26769.040000000001</v>
      </c>
      <c r="H34" s="279"/>
      <c r="Q34" s="526"/>
      <c r="R34" s="526"/>
      <c r="S34" s="526"/>
      <c r="T34" s="526"/>
      <c r="U34" s="526"/>
      <c r="V34" s="526"/>
    </row>
    <row r="35" spans="1:28" s="275" customFormat="1" ht="14" thickBot="1" x14ac:dyDescent="0.2">
      <c r="A35" s="290"/>
      <c r="B35" s="280" t="s">
        <v>1348</v>
      </c>
      <c r="C35" s="281"/>
      <c r="D35" s="282">
        <f>SUM(D34:D34)</f>
        <v>8513</v>
      </c>
      <c r="E35" s="283"/>
      <c r="F35" s="284"/>
      <c r="G35" s="285">
        <f>SUM(G34:G34)</f>
        <v>26769.040000000001</v>
      </c>
      <c r="H35" s="286">
        <f>G35-SUM(I35:N35)</f>
        <v>18470.637599999998</v>
      </c>
      <c r="I35" s="286">
        <f>G35*20%</f>
        <v>5353.8080000000009</v>
      </c>
      <c r="J35" s="286">
        <f>G35*3%</f>
        <v>803.07119999999998</v>
      </c>
      <c r="K35" s="286">
        <f>G35*3%</f>
        <v>803.07119999999998</v>
      </c>
      <c r="L35" s="286">
        <f>G35*1%</f>
        <v>267.69040000000001</v>
      </c>
      <c r="M35" s="286">
        <f>G35*3%</f>
        <v>803.07119999999998</v>
      </c>
      <c r="N35" s="286">
        <f>G35*1%</f>
        <v>267.69040000000001</v>
      </c>
      <c r="O35" s="286"/>
      <c r="P35" s="286">
        <f>SUM(H35:O35)</f>
        <v>26769.039999999994</v>
      </c>
      <c r="Q35" s="287"/>
      <c r="R35" s="287"/>
      <c r="S35" s="287"/>
      <c r="T35" s="287"/>
      <c r="U35" s="287"/>
      <c r="V35" s="287"/>
      <c r="W35" s="287"/>
      <c r="X35" s="287"/>
      <c r="Y35" s="287"/>
      <c r="Z35" s="287"/>
      <c r="AA35" s="287"/>
      <c r="AB35" s="287"/>
    </row>
    <row r="36" spans="1:28" s="275" customFormat="1" ht="15" thickTop="1" thickBot="1" x14ac:dyDescent="0.2"/>
    <row r="37" spans="1:28" s="275" customFormat="1" ht="31" thickBot="1" x14ac:dyDescent="0.35">
      <c r="A37" s="767" t="s">
        <v>1103</v>
      </c>
      <c r="B37" s="768"/>
      <c r="C37" s="768"/>
      <c r="D37" s="768"/>
      <c r="E37" s="768"/>
      <c r="F37" s="768"/>
      <c r="G37" s="768"/>
      <c r="H37" s="768"/>
      <c r="I37" s="768"/>
      <c r="J37" s="768"/>
      <c r="K37" s="768"/>
      <c r="L37" s="768"/>
      <c r="M37" s="768"/>
      <c r="N37" s="768"/>
      <c r="O37" s="768"/>
      <c r="P37" s="769"/>
      <c r="Q37" s="289"/>
      <c r="R37" s="289"/>
      <c r="S37" s="289"/>
      <c r="T37" s="289"/>
    </row>
    <row r="38" spans="1:28" s="275" customFormat="1" x14ac:dyDescent="0.15"/>
    <row r="39" spans="1:28" s="275" customFormat="1" x14ac:dyDescent="0.15">
      <c r="A39" s="279">
        <v>42054</v>
      </c>
      <c r="B39" s="523" t="s">
        <v>1138</v>
      </c>
      <c r="D39" s="524">
        <v>8499</v>
      </c>
      <c r="E39" s="525">
        <v>15076896</v>
      </c>
      <c r="F39" s="278">
        <f>G39/D39</f>
        <v>2.2645852453229791</v>
      </c>
      <c r="G39" s="482">
        <v>19246.71</v>
      </c>
      <c r="H39" s="279"/>
      <c r="Q39" s="526"/>
      <c r="R39" s="526"/>
      <c r="S39" s="526"/>
      <c r="T39" s="526"/>
      <c r="U39" s="526"/>
      <c r="V39" s="526"/>
    </row>
    <row r="40" spans="1:28" s="275" customFormat="1" x14ac:dyDescent="0.15">
      <c r="A40" s="279">
        <v>42055</v>
      </c>
      <c r="B40" s="523" t="s">
        <v>1138</v>
      </c>
      <c r="D40" s="524">
        <v>8011</v>
      </c>
      <c r="E40" s="525">
        <v>15074484</v>
      </c>
      <c r="F40" s="278">
        <f>G40/D40</f>
        <v>2.2406840594182995</v>
      </c>
      <c r="G40" s="482">
        <v>17950.12</v>
      </c>
      <c r="H40" s="279"/>
      <c r="Q40" s="526"/>
      <c r="R40" s="526"/>
      <c r="S40" s="526"/>
      <c r="T40" s="526"/>
      <c r="U40" s="526"/>
      <c r="V40" s="526"/>
    </row>
    <row r="41" spans="1:28" s="275" customFormat="1" x14ac:dyDescent="0.15">
      <c r="A41" s="279">
        <v>42051</v>
      </c>
      <c r="B41" s="523" t="s">
        <v>1138</v>
      </c>
      <c r="D41" s="524">
        <v>8008</v>
      </c>
      <c r="E41" s="525">
        <v>15079718</v>
      </c>
      <c r="F41" s="278">
        <f>G41/D41</f>
        <v>2.228386613386613</v>
      </c>
      <c r="G41" s="482">
        <v>17844.919999999998</v>
      </c>
      <c r="H41" s="279"/>
      <c r="Q41" s="526"/>
      <c r="R41" s="526"/>
      <c r="S41" s="526"/>
      <c r="T41" s="526"/>
      <c r="U41" s="526"/>
      <c r="V41" s="526"/>
    </row>
    <row r="42" spans="1:28" s="275" customFormat="1" x14ac:dyDescent="0.15">
      <c r="A42" s="279">
        <v>42062</v>
      </c>
      <c r="B42" s="523" t="s">
        <v>1138</v>
      </c>
      <c r="D42" s="524">
        <v>8520</v>
      </c>
      <c r="E42" s="525">
        <v>15086119</v>
      </c>
      <c r="F42" s="278">
        <f>G42/D42</f>
        <v>2.5346854460093899</v>
      </c>
      <c r="G42" s="482">
        <v>21595.52</v>
      </c>
      <c r="H42" s="279"/>
      <c r="Q42" s="526"/>
      <c r="R42" s="526"/>
      <c r="S42" s="526"/>
      <c r="T42" s="526"/>
      <c r="U42" s="526"/>
      <c r="V42" s="526"/>
    </row>
    <row r="43" spans="1:28" s="275" customFormat="1" ht="14" thickBot="1" x14ac:dyDescent="0.2">
      <c r="A43" s="290"/>
      <c r="B43" s="280" t="s">
        <v>1346</v>
      </c>
      <c r="C43" s="281"/>
      <c r="D43" s="282">
        <f>SUM(D39:D42)</f>
        <v>33038</v>
      </c>
      <c r="E43" s="283"/>
      <c r="F43" s="284"/>
      <c r="G43" s="285">
        <f>SUM(G39:G42)</f>
        <v>76637.27</v>
      </c>
      <c r="H43" s="286">
        <f>G43-SUM(I43:N43)</f>
        <v>53646.089000000007</v>
      </c>
      <c r="I43" s="286">
        <f>G43*20%</f>
        <v>15327.454000000002</v>
      </c>
      <c r="J43" s="286">
        <f>G43*3%</f>
        <v>2299.1181000000001</v>
      </c>
      <c r="K43" s="286">
        <f>G43*3%</f>
        <v>2299.1181000000001</v>
      </c>
      <c r="L43" s="286">
        <f>G43*1%</f>
        <v>766.37270000000001</v>
      </c>
      <c r="M43" s="286">
        <f>G43*3%</f>
        <v>2299.1181000000001</v>
      </c>
      <c r="N43" s="286"/>
      <c r="O43" s="286"/>
      <c r="P43" s="286">
        <f>SUM(H43:O43)</f>
        <v>76637.270000000033</v>
      </c>
      <c r="Q43" s="287"/>
      <c r="R43" s="287"/>
      <c r="S43" s="287"/>
      <c r="T43" s="287"/>
      <c r="U43" s="287"/>
      <c r="V43" s="287"/>
      <c r="W43" s="287"/>
      <c r="X43" s="287"/>
      <c r="Y43" s="287"/>
      <c r="Z43" s="287"/>
      <c r="AA43" s="287"/>
      <c r="AB43" s="287"/>
    </row>
    <row r="44" spans="1:28" s="275" customFormat="1" ht="14" thickTop="1" x14ac:dyDescent="0.15"/>
    <row r="45" spans="1:28" s="275" customFormat="1" x14ac:dyDescent="0.15">
      <c r="A45" s="279">
        <v>42076</v>
      </c>
      <c r="B45" s="523" t="s">
        <v>1138</v>
      </c>
      <c r="D45" s="524">
        <v>7010</v>
      </c>
      <c r="E45" s="525">
        <v>15098212</v>
      </c>
      <c r="F45" s="278">
        <f>G45/D45</f>
        <v>1.9887845934379458</v>
      </c>
      <c r="G45" s="482">
        <v>13941.38</v>
      </c>
      <c r="H45" s="279"/>
      <c r="Q45" s="526"/>
      <c r="R45" s="526"/>
      <c r="S45" s="526"/>
      <c r="T45" s="526"/>
      <c r="U45" s="526"/>
      <c r="V45" s="526"/>
    </row>
    <row r="46" spans="1:28" s="275" customFormat="1" ht="14" thickBot="1" x14ac:dyDescent="0.2">
      <c r="A46" s="290"/>
      <c r="B46" s="280" t="s">
        <v>1347</v>
      </c>
      <c r="C46" s="281"/>
      <c r="D46" s="282">
        <f>SUM(D45:D45)</f>
        <v>7010</v>
      </c>
      <c r="E46" s="283"/>
      <c r="F46" s="284"/>
      <c r="G46" s="285">
        <f>SUM(G45:G45)</f>
        <v>13941.38</v>
      </c>
      <c r="H46" s="286">
        <f>G46-SUM(I46:N46)</f>
        <v>9758.9660000000003</v>
      </c>
      <c r="I46" s="286">
        <f>G46*20%</f>
        <v>2788.2759999999998</v>
      </c>
      <c r="J46" s="286">
        <f>G46*3%</f>
        <v>418.24139999999994</v>
      </c>
      <c r="K46" s="286">
        <f>G46*3%</f>
        <v>418.24139999999994</v>
      </c>
      <c r="L46" s="286">
        <f>G46*1%</f>
        <v>139.41380000000001</v>
      </c>
      <c r="M46" s="286">
        <f>G46*3%</f>
        <v>418.24139999999994</v>
      </c>
      <c r="N46" s="286"/>
      <c r="O46" s="286"/>
      <c r="P46" s="286">
        <f>SUM(H46:O46)</f>
        <v>13941.380000000003</v>
      </c>
      <c r="Q46" s="287"/>
      <c r="R46" s="287"/>
      <c r="S46" s="287"/>
      <c r="T46" s="287"/>
      <c r="U46" s="287"/>
      <c r="V46" s="287"/>
      <c r="W46" s="287"/>
      <c r="X46" s="287"/>
      <c r="Y46" s="287"/>
      <c r="Z46" s="287"/>
      <c r="AA46" s="287"/>
      <c r="AB46" s="287"/>
    </row>
    <row r="47" spans="1:28" ht="15" thickTop="1" thickBot="1" x14ac:dyDescent="0.2"/>
    <row r="48" spans="1:28" s="295" customFormat="1" ht="31" thickBot="1" x14ac:dyDescent="0.35">
      <c r="A48" s="773" t="s">
        <v>1106</v>
      </c>
      <c r="B48" s="774"/>
      <c r="C48" s="774"/>
      <c r="D48" s="774"/>
      <c r="E48" s="774"/>
      <c r="F48" s="774"/>
      <c r="G48" s="774"/>
      <c r="H48" s="774"/>
      <c r="I48" s="774"/>
      <c r="J48" s="774"/>
      <c r="K48" s="774"/>
      <c r="L48" s="774"/>
      <c r="M48" s="774"/>
      <c r="N48" s="774"/>
      <c r="O48" s="774"/>
      <c r="P48" s="775"/>
      <c r="Q48" s="527"/>
      <c r="R48" s="527"/>
      <c r="S48" s="527"/>
      <c r="T48" s="527"/>
    </row>
    <row r="49" spans="1:28" s="295" customFormat="1" x14ac:dyDescent="0.15"/>
    <row r="50" spans="1:28" s="295" customFormat="1" x14ac:dyDescent="0.15">
      <c r="A50" s="294"/>
      <c r="B50" s="523" t="s">
        <v>1138</v>
      </c>
      <c r="D50" s="524">
        <v>0</v>
      </c>
      <c r="E50" s="525"/>
      <c r="F50" s="298" t="e">
        <f>G50/D50</f>
        <v>#DIV/0!</v>
      </c>
      <c r="G50" s="482">
        <v>0</v>
      </c>
      <c r="H50" s="294"/>
      <c r="Q50" s="528"/>
      <c r="R50" s="528"/>
      <c r="S50" s="528"/>
      <c r="T50" s="528"/>
      <c r="U50" s="528"/>
      <c r="V50" s="528"/>
    </row>
    <row r="51" spans="1:28" s="295" customFormat="1" ht="14" thickBot="1" x14ac:dyDescent="0.2">
      <c r="A51" s="299"/>
      <c r="B51" s="280" t="s">
        <v>1347</v>
      </c>
      <c r="C51" s="281"/>
      <c r="D51" s="282">
        <f>SUM(D50:D50)</f>
        <v>0</v>
      </c>
      <c r="E51" s="283"/>
      <c r="F51" s="284"/>
      <c r="G51" s="285">
        <f>SUM(G50:G50)</f>
        <v>0</v>
      </c>
      <c r="H51" s="286">
        <f>G51-SUM(I51:N51)</f>
        <v>0</v>
      </c>
      <c r="I51" s="286">
        <f>G51*20%</f>
        <v>0</v>
      </c>
      <c r="J51" s="286">
        <f>G51*3%</f>
        <v>0</v>
      </c>
      <c r="K51" s="286">
        <f>G51*3%</f>
        <v>0</v>
      </c>
      <c r="L51" s="286">
        <f>G51*1%</f>
        <v>0</v>
      </c>
      <c r="M51" s="286">
        <f>G51*3%</f>
        <v>0</v>
      </c>
      <c r="N51" s="286"/>
      <c r="O51" s="286"/>
      <c r="P51" s="286">
        <f>SUM(H51:O51)</f>
        <v>0</v>
      </c>
      <c r="Q51" s="287"/>
      <c r="R51" s="287"/>
      <c r="S51" s="287"/>
      <c r="T51" s="287"/>
      <c r="U51" s="287"/>
      <c r="V51" s="287"/>
      <c r="W51" s="287"/>
      <c r="X51" s="287"/>
      <c r="Y51" s="287"/>
      <c r="Z51" s="287"/>
      <c r="AA51" s="287"/>
      <c r="AB51" s="287"/>
    </row>
    <row r="52" spans="1:28" s="295" customFormat="1" ht="15" thickTop="1" thickBot="1" x14ac:dyDescent="0.2"/>
    <row r="53" spans="1:28" ht="31" thickBot="1" x14ac:dyDescent="0.35">
      <c r="A53" s="770" t="s">
        <v>1112</v>
      </c>
      <c r="B53" s="771"/>
      <c r="C53" s="771"/>
      <c r="D53" s="771"/>
      <c r="E53" s="771"/>
      <c r="F53" s="771"/>
      <c r="G53" s="771"/>
      <c r="H53" s="771"/>
      <c r="I53" s="771"/>
      <c r="J53" s="771"/>
      <c r="K53" s="771"/>
      <c r="L53" s="771"/>
      <c r="M53" s="771"/>
      <c r="N53" s="771"/>
      <c r="O53" s="771"/>
      <c r="P53" s="772"/>
      <c r="Q53" s="304"/>
      <c r="R53" s="304"/>
      <c r="S53" s="304"/>
      <c r="T53" s="304"/>
    </row>
    <row r="55" spans="1:28" s="319" customFormat="1" x14ac:dyDescent="0.15">
      <c r="A55" s="305">
        <v>42054</v>
      </c>
      <c r="B55" s="529" t="s">
        <v>1138</v>
      </c>
      <c r="C55" s="306"/>
      <c r="D55" s="530">
        <v>8499</v>
      </c>
      <c r="E55" s="531">
        <v>15076896</v>
      </c>
      <c r="F55" s="309">
        <f>G55/D55</f>
        <v>2.2645852453229791</v>
      </c>
      <c r="G55" s="352">
        <v>19246.71</v>
      </c>
      <c r="H55" s="305"/>
      <c r="I55" s="306"/>
      <c r="J55" s="306"/>
      <c r="K55" s="306"/>
      <c r="L55" s="306"/>
      <c r="M55" s="306"/>
      <c r="N55" s="306"/>
      <c r="O55" s="306"/>
      <c r="P55" s="306"/>
      <c r="Q55" s="532"/>
      <c r="R55" s="532"/>
      <c r="S55" s="532"/>
      <c r="T55" s="532"/>
      <c r="U55" s="532"/>
      <c r="V55" s="532"/>
    </row>
    <row r="56" spans="1:28" s="319" customFormat="1" x14ac:dyDescent="0.15">
      <c r="A56" s="305">
        <v>42055</v>
      </c>
      <c r="B56" s="529" t="s">
        <v>1138</v>
      </c>
      <c r="C56" s="306"/>
      <c r="D56" s="530">
        <v>8011</v>
      </c>
      <c r="E56" s="531">
        <v>15074484</v>
      </c>
      <c r="F56" s="309">
        <f>G56/D56</f>
        <v>2.2406840594182995</v>
      </c>
      <c r="G56" s="352">
        <v>17950.12</v>
      </c>
      <c r="H56" s="305"/>
      <c r="I56" s="306"/>
      <c r="J56" s="306"/>
      <c r="K56" s="306"/>
      <c r="L56" s="306"/>
      <c r="M56" s="306"/>
      <c r="N56" s="306"/>
      <c r="O56" s="306"/>
      <c r="P56" s="306"/>
      <c r="Q56" s="532"/>
      <c r="R56" s="532"/>
      <c r="S56" s="532"/>
      <c r="T56" s="532"/>
      <c r="U56" s="532"/>
      <c r="V56" s="532"/>
    </row>
    <row r="57" spans="1:28" s="319" customFormat="1" x14ac:dyDescent="0.15">
      <c r="A57" s="305">
        <v>42051</v>
      </c>
      <c r="B57" s="529" t="s">
        <v>1138</v>
      </c>
      <c r="C57" s="306"/>
      <c r="D57" s="530">
        <v>8008</v>
      </c>
      <c r="E57" s="531">
        <v>15079718</v>
      </c>
      <c r="F57" s="309">
        <f>G57/D57</f>
        <v>2.228386613386613</v>
      </c>
      <c r="G57" s="352">
        <v>17844.919999999998</v>
      </c>
      <c r="H57" s="305"/>
      <c r="I57" s="306"/>
      <c r="J57" s="306"/>
      <c r="K57" s="306"/>
      <c r="L57" s="306"/>
      <c r="M57" s="306"/>
      <c r="N57" s="306"/>
      <c r="O57" s="306"/>
      <c r="P57" s="306"/>
      <c r="Q57" s="532"/>
      <c r="R57" s="532"/>
      <c r="S57" s="532"/>
      <c r="T57" s="532"/>
      <c r="U57" s="532"/>
      <c r="V57" s="532"/>
    </row>
    <row r="58" spans="1:28" s="319" customFormat="1" x14ac:dyDescent="0.15">
      <c r="A58" s="305">
        <v>42062</v>
      </c>
      <c r="B58" s="529" t="s">
        <v>1138</v>
      </c>
      <c r="C58" s="306"/>
      <c r="D58" s="530">
        <v>8520</v>
      </c>
      <c r="E58" s="531">
        <v>15086119</v>
      </c>
      <c r="F58" s="309">
        <f>G58/D58</f>
        <v>2.5346854460093899</v>
      </c>
      <c r="G58" s="352">
        <v>21595.52</v>
      </c>
      <c r="H58" s="305"/>
      <c r="I58" s="306"/>
      <c r="J58" s="306"/>
      <c r="K58" s="306"/>
      <c r="L58" s="306"/>
      <c r="M58" s="306"/>
      <c r="N58" s="306"/>
      <c r="O58" s="306"/>
      <c r="P58" s="306"/>
      <c r="Q58" s="532"/>
      <c r="R58" s="532"/>
      <c r="S58" s="532"/>
      <c r="T58" s="532"/>
      <c r="U58" s="532"/>
      <c r="V58" s="532"/>
    </row>
    <row r="59" spans="1:28" s="319" customFormat="1" ht="14" thickBot="1" x14ac:dyDescent="0.2">
      <c r="A59" s="311"/>
      <c r="B59" s="312" t="s">
        <v>1346</v>
      </c>
      <c r="C59" s="459"/>
      <c r="D59" s="533">
        <f>SUM(D55:D58)</f>
        <v>33038</v>
      </c>
      <c r="E59" s="315"/>
      <c r="F59" s="534"/>
      <c r="G59" s="316">
        <f>SUM(G55:G58)</f>
        <v>76637.27</v>
      </c>
      <c r="H59" s="317">
        <f>G59-SUM(I59:N59)</f>
        <v>53646.089000000007</v>
      </c>
      <c r="I59" s="317">
        <f>G59*20%</f>
        <v>15327.454000000002</v>
      </c>
      <c r="J59" s="317">
        <f>G59*3%</f>
        <v>2299.1181000000001</v>
      </c>
      <c r="K59" s="317">
        <f>G59*3%</f>
        <v>2299.1181000000001</v>
      </c>
      <c r="L59" s="317">
        <f>G59*1%</f>
        <v>766.37270000000001</v>
      </c>
      <c r="M59" s="317">
        <f>G59*3%</f>
        <v>2299.1181000000001</v>
      </c>
      <c r="N59" s="317"/>
      <c r="O59" s="317"/>
      <c r="P59" s="317">
        <f>SUM(H59:O59)</f>
        <v>76637.270000000033</v>
      </c>
      <c r="Q59" s="337"/>
      <c r="R59" s="337"/>
      <c r="S59" s="337"/>
      <c r="T59" s="337"/>
      <c r="U59" s="337"/>
      <c r="V59" s="337"/>
      <c r="W59" s="337"/>
      <c r="X59" s="337"/>
      <c r="Y59" s="337"/>
      <c r="Z59" s="337"/>
      <c r="AA59" s="337"/>
      <c r="AB59" s="337"/>
    </row>
    <row r="60" spans="1:28" ht="14" thickTop="1" x14ac:dyDescent="0.15">
      <c r="A60" s="535"/>
      <c r="B60" s="535"/>
      <c r="C60" s="535"/>
      <c r="D60" s="535"/>
      <c r="E60" s="535"/>
      <c r="F60" s="535"/>
      <c r="G60" s="535"/>
      <c r="H60" s="535"/>
      <c r="I60" s="535"/>
      <c r="J60" s="535"/>
      <c r="K60" s="535"/>
      <c r="L60" s="535"/>
      <c r="M60" s="535"/>
      <c r="N60" s="535"/>
      <c r="O60" s="535"/>
      <c r="P60" s="535"/>
    </row>
    <row r="61" spans="1:28" s="319" customFormat="1" x14ac:dyDescent="0.15">
      <c r="A61" s="305">
        <v>42076</v>
      </c>
      <c r="B61" s="529" t="s">
        <v>1138</v>
      </c>
      <c r="C61" s="306"/>
      <c r="D61" s="530">
        <v>7010</v>
      </c>
      <c r="E61" s="531">
        <v>15098212</v>
      </c>
      <c r="F61" s="309">
        <f>G61/D61</f>
        <v>1.9887845934379458</v>
      </c>
      <c r="G61" s="352">
        <v>13941.38</v>
      </c>
      <c r="H61" s="305"/>
      <c r="I61" s="306"/>
      <c r="J61" s="306"/>
      <c r="K61" s="306"/>
      <c r="L61" s="306"/>
      <c r="M61" s="306"/>
      <c r="N61" s="306"/>
      <c r="O61" s="306"/>
      <c r="P61" s="306"/>
      <c r="Q61" s="532"/>
      <c r="R61" s="532"/>
      <c r="S61" s="532"/>
      <c r="T61" s="532"/>
      <c r="U61" s="532"/>
      <c r="V61" s="532"/>
    </row>
    <row r="62" spans="1:28" s="319" customFormat="1" ht="14" thickBot="1" x14ac:dyDescent="0.2">
      <c r="A62" s="311"/>
      <c r="B62" s="312" t="s">
        <v>1347</v>
      </c>
      <c r="C62" s="459"/>
      <c r="D62" s="533">
        <f>SUM(D61:D61)</f>
        <v>7010</v>
      </c>
      <c r="E62" s="315"/>
      <c r="F62" s="534"/>
      <c r="G62" s="316">
        <f>SUM(G61:G61)</f>
        <v>13941.38</v>
      </c>
      <c r="H62" s="317">
        <f>G62-SUM(I62:N62)</f>
        <v>9758.9660000000003</v>
      </c>
      <c r="I62" s="317">
        <f>G62*20%</f>
        <v>2788.2759999999998</v>
      </c>
      <c r="J62" s="317">
        <f>G62*3%</f>
        <v>418.24139999999994</v>
      </c>
      <c r="K62" s="317">
        <f>G62*3%</f>
        <v>418.24139999999994</v>
      </c>
      <c r="L62" s="317">
        <f>G62*1%</f>
        <v>139.41380000000001</v>
      </c>
      <c r="M62" s="317">
        <f>G62*3%</f>
        <v>418.24139999999994</v>
      </c>
      <c r="N62" s="317"/>
      <c r="O62" s="317"/>
      <c r="P62" s="317">
        <f>SUM(H62:O62)</f>
        <v>13941.380000000003</v>
      </c>
      <c r="Q62" s="337"/>
      <c r="R62" s="337"/>
      <c r="S62" s="337"/>
      <c r="T62" s="337"/>
      <c r="U62" s="337"/>
      <c r="V62" s="337"/>
      <c r="W62" s="337"/>
      <c r="X62" s="337"/>
      <c r="Y62" s="337"/>
      <c r="Z62" s="337"/>
      <c r="AA62" s="337"/>
      <c r="AB62" s="337"/>
    </row>
    <row r="63" spans="1:28" ht="14" thickTop="1" x14ac:dyDescent="0.15"/>
  </sheetData>
  <mergeCells count="5">
    <mergeCell ref="A10:P10"/>
    <mergeCell ref="A21:P21"/>
    <mergeCell ref="A37:P37"/>
    <mergeCell ref="A48:P48"/>
    <mergeCell ref="A53:P53"/>
  </mergeCells>
  <pageMargins left="0.75" right="0.75" top="1" bottom="1" header="0.5" footer="0.5"/>
  <pageSetup scale="73" orientation="landscape" r:id="rId1"/>
  <headerFooter alignWithMargins="0">
    <oddFooter>&amp;C&amp;A</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L359"/>
  <sheetViews>
    <sheetView workbookViewId="0">
      <pane ySplit="2" topLeftCell="A37" activePane="bottomLeft" state="frozen"/>
      <selection activeCell="D245" sqref="D245"/>
      <selection pane="bottomLeft" activeCell="K250" sqref="K250"/>
    </sheetView>
  </sheetViews>
  <sheetFormatPr baseColWidth="10" defaultColWidth="8.83203125" defaultRowHeight="13" outlineLevelCol="1" x14ac:dyDescent="0.15"/>
  <cols>
    <col min="1" max="1" width="7.83203125" style="259" bestFit="1" customWidth="1"/>
    <col min="2" max="2" width="11.1640625" style="259" bestFit="1" customWidth="1"/>
    <col min="3" max="3" width="23.83203125" style="259" bestFit="1" customWidth="1"/>
    <col min="4" max="4" width="16.33203125" style="347" customWidth="1"/>
    <col min="5" max="5" width="8" style="259" hidden="1" customWidth="1" outlineLevel="1"/>
    <col min="6" max="6" width="9.83203125" style="259" customWidth="1" collapsed="1"/>
    <col min="7" max="7" width="19.1640625" style="259" customWidth="1"/>
    <col min="8" max="8" width="25.1640625" style="259" customWidth="1"/>
    <col min="9" max="9" width="15" style="259" customWidth="1"/>
    <col min="10" max="10" width="2.33203125" style="259" customWidth="1"/>
    <col min="11" max="11" width="15.33203125" style="259" customWidth="1"/>
    <col min="12" max="16384" width="8.83203125" style="259"/>
  </cols>
  <sheetData>
    <row r="1" spans="1:11" x14ac:dyDescent="0.15">
      <c r="A1" s="260" t="s">
        <v>1094</v>
      </c>
      <c r="B1" s="260"/>
      <c r="C1" s="261" t="s">
        <v>1211</v>
      </c>
    </row>
    <row r="2" spans="1:11" ht="24" x14ac:dyDescent="0.15">
      <c r="A2" s="353" t="s">
        <v>1330</v>
      </c>
      <c r="B2" s="469" t="s">
        <v>1223</v>
      </c>
      <c r="C2" s="469" t="s">
        <v>1142</v>
      </c>
      <c r="D2" s="469" t="s">
        <v>1224</v>
      </c>
      <c r="E2" s="470" t="s">
        <v>1331</v>
      </c>
      <c r="F2" s="471" t="s">
        <v>1332</v>
      </c>
      <c r="G2" s="472" t="s">
        <v>115</v>
      </c>
      <c r="H2" s="473" t="s">
        <v>115</v>
      </c>
      <c r="I2" s="347"/>
      <c r="J2" s="347"/>
      <c r="K2" s="347" t="s">
        <v>1333</v>
      </c>
    </row>
    <row r="4" spans="1:11" s="275" customFormat="1" x14ac:dyDescent="0.15">
      <c r="A4" s="359">
        <v>30603902</v>
      </c>
      <c r="B4" s="359" t="s">
        <v>1334</v>
      </c>
      <c r="C4" s="287" t="s">
        <v>1335</v>
      </c>
      <c r="D4" s="474"/>
      <c r="E4" s="511"/>
      <c r="F4" s="362"/>
      <c r="G4" s="358">
        <v>10046.36</v>
      </c>
      <c r="H4" s="358"/>
      <c r="I4" s="358">
        <v>10046.359999999999</v>
      </c>
    </row>
    <row r="5" spans="1:11" s="275" customFormat="1" x14ac:dyDescent="0.15">
      <c r="A5" s="359">
        <v>77570</v>
      </c>
      <c r="B5" s="359" t="s">
        <v>1334</v>
      </c>
      <c r="C5" s="287" t="s">
        <v>1336</v>
      </c>
      <c r="D5" s="474"/>
      <c r="E5" s="511">
        <v>33880</v>
      </c>
      <c r="F5" s="512"/>
      <c r="G5" s="358">
        <v>11371.63</v>
      </c>
      <c r="H5" s="358"/>
      <c r="I5" s="358">
        <v>11371.63</v>
      </c>
    </row>
    <row r="6" spans="1:11" s="275" customFormat="1" ht="14.25" customHeight="1" thickBot="1" x14ac:dyDescent="0.2">
      <c r="A6" s="359"/>
      <c r="B6" s="359"/>
      <c r="C6" s="291" t="s">
        <v>1337</v>
      </c>
      <c r="D6" s="476"/>
      <c r="E6" s="366">
        <f>SUM(E4:E5)</f>
        <v>33880</v>
      </c>
      <c r="F6" s="367"/>
      <c r="G6" s="327"/>
      <c r="H6" s="327">
        <v>21417.99</v>
      </c>
    </row>
    <row r="7" spans="1:11" s="275" customFormat="1" ht="14" thickTop="1" x14ac:dyDescent="0.15">
      <c r="D7" s="478"/>
    </row>
    <row r="8" spans="1:11" s="275" customFormat="1" x14ac:dyDescent="0.15">
      <c r="A8" s="359">
        <v>30603902</v>
      </c>
      <c r="B8" s="359" t="s">
        <v>1334</v>
      </c>
      <c r="C8" s="287" t="s">
        <v>1335</v>
      </c>
      <c r="D8" s="474"/>
      <c r="E8" s="511"/>
      <c r="F8" s="362"/>
      <c r="G8" s="358">
        <v>7190.38</v>
      </c>
      <c r="H8" s="358"/>
      <c r="I8" s="358">
        <v>7190.38</v>
      </c>
    </row>
    <row r="9" spans="1:11" s="275" customFormat="1" x14ac:dyDescent="0.15">
      <c r="A9" s="359">
        <v>77570</v>
      </c>
      <c r="B9" s="359" t="s">
        <v>1334</v>
      </c>
      <c r="C9" s="287" t="s">
        <v>1336</v>
      </c>
      <c r="D9" s="474"/>
      <c r="E9" s="511">
        <v>25800</v>
      </c>
      <c r="F9" s="512"/>
      <c r="G9" s="358">
        <v>3493.66</v>
      </c>
      <c r="H9" s="358"/>
      <c r="I9" s="358">
        <v>3493.66</v>
      </c>
    </row>
    <row r="10" spans="1:11" s="275" customFormat="1" ht="14.25" customHeight="1" thickBot="1" x14ac:dyDescent="0.2">
      <c r="A10" s="359"/>
      <c r="B10" s="359"/>
      <c r="C10" s="291" t="s">
        <v>1338</v>
      </c>
      <c r="D10" s="476"/>
      <c r="E10" s="366">
        <f>SUM(E8:E9)</f>
        <v>25800</v>
      </c>
      <c r="F10" s="367"/>
      <c r="G10" s="327"/>
      <c r="H10" s="327">
        <v>10684.039999999995</v>
      </c>
    </row>
    <row r="11" spans="1:11" s="275" customFormat="1" ht="14" thickTop="1" x14ac:dyDescent="0.15">
      <c r="D11" s="478"/>
    </row>
    <row r="12" spans="1:11" s="275" customFormat="1" x14ac:dyDescent="0.15">
      <c r="A12" s="359">
        <v>30603902</v>
      </c>
      <c r="B12" s="359" t="s">
        <v>1334</v>
      </c>
      <c r="C12" s="287" t="s">
        <v>1335</v>
      </c>
      <c r="D12" s="474"/>
      <c r="E12" s="511"/>
      <c r="F12" s="362"/>
      <c r="G12" s="358">
        <v>6303.46</v>
      </c>
      <c r="H12" s="358"/>
      <c r="I12" s="358">
        <v>6303.4599999999991</v>
      </c>
    </row>
    <row r="13" spans="1:11" s="275" customFormat="1" x14ac:dyDescent="0.15">
      <c r="A13" s="359">
        <v>77570</v>
      </c>
      <c r="B13" s="359" t="s">
        <v>1334</v>
      </c>
      <c r="C13" s="287" t="s">
        <v>1336</v>
      </c>
      <c r="D13" s="474"/>
      <c r="E13" s="511">
        <v>19976</v>
      </c>
      <c r="F13" s="512"/>
      <c r="G13" s="358">
        <v>2664.79</v>
      </c>
      <c r="H13" s="358"/>
      <c r="I13" s="358">
        <v>2664.7899999999991</v>
      </c>
    </row>
    <row r="14" spans="1:11" s="275" customFormat="1" ht="14.25" customHeight="1" thickBot="1" x14ac:dyDescent="0.2">
      <c r="A14" s="359"/>
      <c r="B14" s="359"/>
      <c r="C14" s="291" t="s">
        <v>1339</v>
      </c>
      <c r="D14" s="476"/>
      <c r="E14" s="366">
        <f>SUM(E12:E13)</f>
        <v>19976</v>
      </c>
      <c r="F14" s="367"/>
      <c r="G14" s="327"/>
      <c r="H14" s="327">
        <v>8968.2500000000018</v>
      </c>
    </row>
    <row r="15" spans="1:11" s="275" customFormat="1" ht="14" thickTop="1" x14ac:dyDescent="0.15">
      <c r="D15" s="478"/>
    </row>
    <row r="16" spans="1:11" s="275" customFormat="1" x14ac:dyDescent="0.15">
      <c r="A16" s="359">
        <v>30603902</v>
      </c>
      <c r="B16" s="359" t="s">
        <v>1334</v>
      </c>
      <c r="C16" s="287" t="s">
        <v>1335</v>
      </c>
      <c r="D16" s="474"/>
      <c r="E16" s="511"/>
      <c r="F16" s="362"/>
      <c r="G16" s="358">
        <f>8759.69+243.36</f>
        <v>9003.0500000000011</v>
      </c>
      <c r="H16" s="358"/>
      <c r="I16" s="358">
        <v>9003.0500000000029</v>
      </c>
    </row>
    <row r="17" spans="1:11" s="275" customFormat="1" x14ac:dyDescent="0.15">
      <c r="A17" s="359">
        <v>77570</v>
      </c>
      <c r="B17" s="359" t="s">
        <v>1334</v>
      </c>
      <c r="C17" s="287" t="s">
        <v>1336</v>
      </c>
      <c r="D17" s="480">
        <v>27275.3</v>
      </c>
      <c r="E17" s="511">
        <v>26490</v>
      </c>
      <c r="F17" s="512"/>
      <c r="G17" s="358">
        <v>3578.65</v>
      </c>
      <c r="H17" s="358"/>
      <c r="I17" s="358">
        <v>3578.65</v>
      </c>
    </row>
    <row r="18" spans="1:11" s="275" customFormat="1" ht="14.25" customHeight="1" thickBot="1" x14ac:dyDescent="0.2">
      <c r="A18" s="359"/>
      <c r="B18" s="359"/>
      <c r="C18" s="291" t="s">
        <v>1213</v>
      </c>
      <c r="D18" s="476"/>
      <c r="E18" s="366">
        <f>SUM(E16:E17)</f>
        <v>26490</v>
      </c>
      <c r="F18" s="367"/>
      <c r="G18" s="327"/>
      <c r="H18" s="327">
        <v>12581.700000000003</v>
      </c>
    </row>
    <row r="19" spans="1:11" s="275" customFormat="1" ht="14" thickTop="1" x14ac:dyDescent="0.15">
      <c r="D19" s="478"/>
    </row>
    <row r="20" spans="1:11" s="275" customFormat="1" x14ac:dyDescent="0.15">
      <c r="A20" s="359">
        <v>30603902</v>
      </c>
      <c r="B20" s="359" t="s">
        <v>1334</v>
      </c>
      <c r="C20" s="287" t="s">
        <v>1335</v>
      </c>
      <c r="D20" s="474"/>
      <c r="E20" s="511"/>
      <c r="F20" s="362"/>
      <c r="G20" s="358">
        <v>8908.0300000000007</v>
      </c>
      <c r="H20" s="358"/>
      <c r="I20" s="358">
        <v>8908.0300000000025</v>
      </c>
    </row>
    <row r="21" spans="1:11" s="275" customFormat="1" x14ac:dyDescent="0.15">
      <c r="A21" s="359">
        <v>77570</v>
      </c>
      <c r="B21" s="359" t="s">
        <v>1334</v>
      </c>
      <c r="C21" s="287" t="s">
        <v>1336</v>
      </c>
      <c r="D21" s="480">
        <v>24195.599999999999</v>
      </c>
      <c r="E21" s="511">
        <v>23460</v>
      </c>
      <c r="F21" s="512"/>
      <c r="G21" s="358">
        <v>3193.07</v>
      </c>
      <c r="H21" s="358"/>
      <c r="I21" s="358">
        <v>3193.07</v>
      </c>
    </row>
    <row r="22" spans="1:11" s="275" customFormat="1" ht="14.25" customHeight="1" thickBot="1" x14ac:dyDescent="0.2">
      <c r="A22" s="359"/>
      <c r="B22" s="359"/>
      <c r="C22" s="291" t="s">
        <v>1214</v>
      </c>
      <c r="D22" s="476"/>
      <c r="E22" s="366">
        <f>SUM(E20:E21)</f>
        <v>23460</v>
      </c>
      <c r="F22" s="367"/>
      <c r="G22" s="327"/>
      <c r="H22" s="327">
        <v>12101.1</v>
      </c>
    </row>
    <row r="23" spans="1:11" s="275" customFormat="1" ht="14" thickTop="1" x14ac:dyDescent="0.15">
      <c r="D23" s="478"/>
    </row>
    <row r="24" spans="1:11" s="275" customFormat="1" x14ac:dyDescent="0.15">
      <c r="A24" s="359">
        <v>30603902</v>
      </c>
      <c r="B24" s="359" t="s">
        <v>1334</v>
      </c>
      <c r="C24" s="287" t="s">
        <v>1335</v>
      </c>
      <c r="D24" s="474"/>
      <c r="E24" s="511"/>
      <c r="F24" s="362"/>
      <c r="G24" s="358">
        <v>11811.14</v>
      </c>
      <c r="H24" s="358"/>
      <c r="I24" s="358">
        <v>11811.139999999998</v>
      </c>
    </row>
    <row r="25" spans="1:11" s="275" customFormat="1" x14ac:dyDescent="0.15">
      <c r="A25" s="359">
        <v>77570</v>
      </c>
      <c r="B25" s="359" t="s">
        <v>1334</v>
      </c>
      <c r="C25" s="287" t="s">
        <v>1336</v>
      </c>
      <c r="D25" s="480">
        <v>35906.6</v>
      </c>
      <c r="E25" s="511">
        <v>34880</v>
      </c>
      <c r="F25" s="512"/>
      <c r="G25" s="358">
        <v>4659.29</v>
      </c>
      <c r="H25" s="358"/>
      <c r="I25" s="358">
        <v>4659.2899999999981</v>
      </c>
    </row>
    <row r="26" spans="1:11" s="275" customFormat="1" ht="14.25" customHeight="1" thickBot="1" x14ac:dyDescent="0.2">
      <c r="A26" s="359"/>
      <c r="B26" s="359"/>
      <c r="C26" s="291" t="s">
        <v>1215</v>
      </c>
      <c r="D26" s="476"/>
      <c r="E26" s="366">
        <f>SUM(E24:E25)</f>
        <v>34880</v>
      </c>
      <c r="F26" s="367"/>
      <c r="G26" s="327"/>
      <c r="H26" s="327">
        <v>16470.43</v>
      </c>
    </row>
    <row r="27" spans="1:11" s="275" customFormat="1" ht="14" thickTop="1" x14ac:dyDescent="0.15">
      <c r="D27" s="478"/>
    </row>
    <row r="28" spans="1:11" s="275" customFormat="1" x14ac:dyDescent="0.15">
      <c r="A28" s="359">
        <v>30603902</v>
      </c>
      <c r="B28" s="359" t="s">
        <v>1334</v>
      </c>
      <c r="C28" s="287" t="s">
        <v>1335</v>
      </c>
      <c r="D28" s="474"/>
      <c r="E28" s="511"/>
      <c r="F28" s="362"/>
      <c r="G28" s="482">
        <f>(G29/K29)*K28</f>
        <v>11053.275619103775</v>
      </c>
      <c r="H28" s="358"/>
      <c r="I28" s="358">
        <v>11053.275619103773</v>
      </c>
      <c r="K28" s="278">
        <v>57240.78</v>
      </c>
    </row>
    <row r="29" spans="1:11" s="275" customFormat="1" x14ac:dyDescent="0.15">
      <c r="A29" s="359">
        <v>77570</v>
      </c>
      <c r="B29" s="359" t="s">
        <v>1334</v>
      </c>
      <c r="C29" s="287" t="s">
        <v>1336</v>
      </c>
      <c r="D29" s="480">
        <v>30918.7</v>
      </c>
      <c r="E29" s="293">
        <v>29990</v>
      </c>
      <c r="F29" s="512"/>
      <c r="G29" s="482">
        <v>4034.8</v>
      </c>
      <c r="H29" s="358"/>
      <c r="I29" s="358">
        <v>4034.7999999999997</v>
      </c>
      <c r="K29" s="278">
        <f>SUM(I29,'NG Cogen'!I29)</f>
        <v>20894.719999999998</v>
      </c>
    </row>
    <row r="30" spans="1:11" s="275" customFormat="1" ht="14.25" customHeight="1" thickBot="1" x14ac:dyDescent="0.2">
      <c r="A30" s="359"/>
      <c r="B30" s="359"/>
      <c r="C30" s="291" t="s">
        <v>1216</v>
      </c>
      <c r="D30" s="476"/>
      <c r="E30" s="366">
        <f>SUM(E28:E29)</f>
        <v>29990</v>
      </c>
      <c r="F30" s="367"/>
      <c r="G30" s="327"/>
      <c r="H30" s="327">
        <v>15088.075619103778</v>
      </c>
    </row>
    <row r="31" spans="1:11" s="275" customFormat="1" ht="14" thickTop="1" x14ac:dyDescent="0.15">
      <c r="D31" s="478"/>
    </row>
    <row r="32" spans="1:11" s="275" customFormat="1" x14ac:dyDescent="0.15">
      <c r="A32" s="359">
        <v>30603902</v>
      </c>
      <c r="B32" s="359" t="s">
        <v>1334</v>
      </c>
      <c r="C32" s="287" t="s">
        <v>1335</v>
      </c>
      <c r="D32" s="474"/>
      <c r="E32" s="511"/>
      <c r="F32" s="362"/>
      <c r="G32" s="482">
        <f>(G33/K33)*K32</f>
        <v>62644.948126478528</v>
      </c>
      <c r="H32" s="358"/>
      <c r="I32" s="358">
        <v>62644.948126478521</v>
      </c>
      <c r="K32" s="278">
        <f>'NG Cogen'!K32</f>
        <v>152266.99</v>
      </c>
    </row>
    <row r="33" spans="1:11" s="275" customFormat="1" x14ac:dyDescent="0.15">
      <c r="A33" s="359">
        <v>77570</v>
      </c>
      <c r="B33" s="359" t="s">
        <v>1334</v>
      </c>
      <c r="C33" s="287" t="s">
        <v>1336</v>
      </c>
      <c r="D33" s="483">
        <v>90858.7</v>
      </c>
      <c r="E33" s="293">
        <v>88470</v>
      </c>
      <c r="F33" s="512"/>
      <c r="G33" s="482">
        <v>29629.26</v>
      </c>
      <c r="H33" s="358"/>
      <c r="I33" s="358">
        <v>29629.259999999995</v>
      </c>
      <c r="K33" s="278">
        <f>SUM(I33,'NG Cogen'!I33)</f>
        <v>72017.91</v>
      </c>
    </row>
    <row r="34" spans="1:11" s="275" customFormat="1" ht="14.25" customHeight="1" thickBot="1" x14ac:dyDescent="0.2">
      <c r="A34" s="359"/>
      <c r="B34" s="359"/>
      <c r="C34" s="291" t="s">
        <v>1217</v>
      </c>
      <c r="D34" s="476"/>
      <c r="E34" s="366">
        <f>SUM(E32:E33)</f>
        <v>88470</v>
      </c>
      <c r="F34" s="367"/>
      <c r="G34" s="327"/>
      <c r="H34" s="327">
        <v>92274.208126478537</v>
      </c>
    </row>
    <row r="35" spans="1:11" s="275" customFormat="1" ht="14" thickTop="1" x14ac:dyDescent="0.15">
      <c r="D35" s="478"/>
    </row>
    <row r="36" spans="1:11" s="275" customFormat="1" x14ac:dyDescent="0.15">
      <c r="A36" s="359">
        <v>30603902</v>
      </c>
      <c r="B36" s="359" t="s">
        <v>1334</v>
      </c>
      <c r="C36" s="287" t="s">
        <v>1335</v>
      </c>
      <c r="D36" s="474"/>
      <c r="E36" s="511"/>
      <c r="F36" s="362"/>
      <c r="G36" s="482">
        <f>(G37/K37)*K36</f>
        <v>74766.843740776181</v>
      </c>
      <c r="H36" s="358"/>
      <c r="I36" s="358">
        <v>74766.843740776152</v>
      </c>
      <c r="K36" s="278">
        <f>'NG Cogen'!K36</f>
        <v>147607.29999999999</v>
      </c>
    </row>
    <row r="37" spans="1:11" s="275" customFormat="1" x14ac:dyDescent="0.15">
      <c r="A37" s="359">
        <v>77570</v>
      </c>
      <c r="B37" s="359" t="s">
        <v>1334</v>
      </c>
      <c r="C37" s="287" t="s">
        <v>1336</v>
      </c>
      <c r="D37" s="483">
        <v>126304.6</v>
      </c>
      <c r="E37" s="293">
        <v>122930</v>
      </c>
      <c r="F37" s="512"/>
      <c r="G37" s="482">
        <v>41124.36</v>
      </c>
      <c r="H37" s="358"/>
      <c r="I37" s="358">
        <v>41124.36</v>
      </c>
      <c r="K37" s="278">
        <f>SUM(I37,'NG Cogen'!I37)</f>
        <v>81189.139999999985</v>
      </c>
    </row>
    <row r="38" spans="1:11" s="275" customFormat="1" ht="14.25" customHeight="1" thickBot="1" x14ac:dyDescent="0.2">
      <c r="A38" s="359"/>
      <c r="B38" s="359"/>
      <c r="C38" s="291" t="s">
        <v>1218</v>
      </c>
      <c r="D38" s="476"/>
      <c r="E38" s="366">
        <f>SUM(E36:E37)</f>
        <v>122930</v>
      </c>
      <c r="F38" s="367"/>
      <c r="G38" s="327"/>
      <c r="H38" s="327">
        <v>115891.20374077617</v>
      </c>
    </row>
    <row r="39" spans="1:11" s="275" customFormat="1" ht="14" thickTop="1" x14ac:dyDescent="0.15">
      <c r="D39" s="478"/>
    </row>
    <row r="40" spans="1:11" s="275" customFormat="1" x14ac:dyDescent="0.15">
      <c r="A40" s="359">
        <v>30603902</v>
      </c>
      <c r="B40" s="359" t="s">
        <v>1334</v>
      </c>
      <c r="C40" s="287" t="s">
        <v>1335</v>
      </c>
      <c r="D40" s="474"/>
      <c r="E40" s="511"/>
      <c r="F40" s="362"/>
      <c r="G40" s="482">
        <f>(G41/K41)*K40</f>
        <v>96812.990225645015</v>
      </c>
      <c r="H40" s="358"/>
      <c r="I40" s="358">
        <v>96812.990225645015</v>
      </c>
      <c r="K40" s="278">
        <f>'NG Cogen'!K40</f>
        <v>187709.06</v>
      </c>
    </row>
    <row r="41" spans="1:11" s="275" customFormat="1" x14ac:dyDescent="0.15">
      <c r="A41" s="359">
        <v>77570</v>
      </c>
      <c r="B41" s="359" t="s">
        <v>1334</v>
      </c>
      <c r="C41" s="287" t="s">
        <v>1336</v>
      </c>
      <c r="D41" s="483">
        <v>94726.9</v>
      </c>
      <c r="E41" s="293">
        <v>92280</v>
      </c>
      <c r="F41" s="512"/>
      <c r="G41" s="482">
        <v>30883.71</v>
      </c>
      <c r="H41" s="358"/>
      <c r="I41" s="358">
        <v>30883.709999999992</v>
      </c>
      <c r="K41" s="278">
        <f>SUM(I41,'NG Cogen'!I41)</f>
        <v>59879.899999999994</v>
      </c>
    </row>
    <row r="42" spans="1:11" s="275" customFormat="1" ht="14.25" customHeight="1" thickBot="1" x14ac:dyDescent="0.2">
      <c r="A42" s="359"/>
      <c r="B42" s="359"/>
      <c r="C42" s="291" t="s">
        <v>1219</v>
      </c>
      <c r="D42" s="476"/>
      <c r="E42" s="366">
        <f>SUM(E40:E41)</f>
        <v>92280</v>
      </c>
      <c r="F42" s="367"/>
      <c r="G42" s="327"/>
      <c r="H42" s="327">
        <v>127696.70022564501</v>
      </c>
    </row>
    <row r="43" spans="1:11" s="275" customFormat="1" ht="14" thickTop="1" x14ac:dyDescent="0.15">
      <c r="D43" s="478"/>
    </row>
    <row r="44" spans="1:11" s="275" customFormat="1" x14ac:dyDescent="0.15">
      <c r="A44" s="359">
        <v>30603902</v>
      </c>
      <c r="B44" s="359" t="s">
        <v>1334</v>
      </c>
      <c r="C44" s="287" t="s">
        <v>1335</v>
      </c>
      <c r="D44" s="474"/>
      <c r="E44" s="511"/>
      <c r="F44" s="362"/>
      <c r="G44" s="482">
        <f>(G45/K45)*K44</f>
        <v>230198.54894894781</v>
      </c>
      <c r="H44" s="358"/>
      <c r="I44" s="358">
        <v>230198.54894894784</v>
      </c>
      <c r="K44" s="278">
        <f>'NG Cogen'!K44</f>
        <v>418591.7</v>
      </c>
    </row>
    <row r="45" spans="1:11" s="275" customFormat="1" x14ac:dyDescent="0.15">
      <c r="A45" s="359">
        <v>77570</v>
      </c>
      <c r="B45" s="359" t="s">
        <v>1334</v>
      </c>
      <c r="C45" s="287" t="s">
        <v>1336</v>
      </c>
      <c r="D45" s="483">
        <v>140802.20000000001</v>
      </c>
      <c r="E45" s="293">
        <v>137110</v>
      </c>
      <c r="F45" s="512"/>
      <c r="G45" s="482">
        <f>K45*(D45/SUM(D45,'NG Cogen'!D45))</f>
        <v>43718.084444138069</v>
      </c>
      <c r="H45" s="358"/>
      <c r="I45" s="358">
        <v>43718.084444138083</v>
      </c>
      <c r="K45" s="278">
        <f>'NG Cogen'!K45</f>
        <v>79496.710000000006</v>
      </c>
    </row>
    <row r="46" spans="1:11" s="275" customFormat="1" ht="14.25" customHeight="1" thickBot="1" x14ac:dyDescent="0.2">
      <c r="A46" s="359"/>
      <c r="B46" s="359"/>
      <c r="C46" s="291" t="s">
        <v>1220</v>
      </c>
      <c r="D46" s="476"/>
      <c r="E46" s="366">
        <f>SUM(E44:E45)</f>
        <v>137110</v>
      </c>
      <c r="F46" s="367"/>
      <c r="G46" s="327"/>
      <c r="H46" s="327">
        <v>273916.63339308591</v>
      </c>
    </row>
    <row r="47" spans="1:11" s="275" customFormat="1" ht="14" thickTop="1" x14ac:dyDescent="0.15">
      <c r="D47" s="478"/>
    </row>
    <row r="48" spans="1:11" s="275" customFormat="1" x14ac:dyDescent="0.15">
      <c r="A48" s="359">
        <v>30603902</v>
      </c>
      <c r="B48" s="359" t="s">
        <v>1334</v>
      </c>
      <c r="C48" s="287" t="s">
        <v>1335</v>
      </c>
      <c r="D48" s="474"/>
      <c r="E48" s="511"/>
      <c r="F48" s="362"/>
      <c r="G48" s="482">
        <f>(G49/K49)*K48</f>
        <v>74313.768408550182</v>
      </c>
      <c r="H48" s="358"/>
      <c r="I48" s="358">
        <v>74313.768408550197</v>
      </c>
      <c r="K48" s="278">
        <f>'NG Cogen'!K48</f>
        <v>169298.49</v>
      </c>
    </row>
    <row r="49" spans="1:11" s="275" customFormat="1" x14ac:dyDescent="0.15">
      <c r="A49" s="359">
        <v>77570</v>
      </c>
      <c r="B49" s="359" t="s">
        <v>1334</v>
      </c>
      <c r="C49" s="287" t="s">
        <v>1336</v>
      </c>
      <c r="D49" s="483">
        <v>106767.1</v>
      </c>
      <c r="E49" s="293">
        <v>103970</v>
      </c>
      <c r="F49" s="362"/>
      <c r="G49" s="482">
        <f>K49*(D49/SUM(D49,'NG Cogen'!D49))</f>
        <v>34777.169753967712</v>
      </c>
      <c r="H49" s="358"/>
      <c r="I49" s="358">
        <v>34777.169753967704</v>
      </c>
      <c r="K49" s="278">
        <f>'NG Cogen'!K49</f>
        <v>79227.88</v>
      </c>
    </row>
    <row r="50" spans="1:11" s="275" customFormat="1" ht="14.25" customHeight="1" thickBot="1" x14ac:dyDescent="0.2">
      <c r="A50" s="359"/>
      <c r="B50" s="359"/>
      <c r="C50" s="291" t="s">
        <v>1221</v>
      </c>
      <c r="D50" s="476"/>
      <c r="E50" s="366">
        <f>SUM(E48:E49)</f>
        <v>103970</v>
      </c>
      <c r="F50" s="367"/>
      <c r="G50" s="327"/>
      <c r="H50" s="327">
        <v>109090.93816251791</v>
      </c>
    </row>
    <row r="51" spans="1:11" s="275" customFormat="1" ht="14" thickTop="1" x14ac:dyDescent="0.15">
      <c r="D51" s="478"/>
    </row>
    <row r="52" spans="1:11" s="275" customFormat="1" x14ac:dyDescent="0.15">
      <c r="A52" s="359">
        <v>81773</v>
      </c>
      <c r="B52" s="359" t="s">
        <v>1334</v>
      </c>
      <c r="C52" s="287" t="s">
        <v>1349</v>
      </c>
      <c r="D52" s="474"/>
      <c r="E52" s="511"/>
      <c r="F52" s="362"/>
      <c r="G52" s="482">
        <v>22652.63</v>
      </c>
      <c r="H52" s="358"/>
      <c r="I52" s="358">
        <v>22652.630000000005</v>
      </c>
      <c r="K52" s="278">
        <f>SUM(I52,'NG Cogen'!I52)</f>
        <v>88197.439999999988</v>
      </c>
    </row>
    <row r="53" spans="1:11" s="275" customFormat="1" x14ac:dyDescent="0.15">
      <c r="A53" s="359">
        <v>77570</v>
      </c>
      <c r="B53" s="359" t="s">
        <v>1334</v>
      </c>
      <c r="C53" s="287" t="s">
        <v>1336</v>
      </c>
      <c r="D53" s="483">
        <v>44621.599999999999</v>
      </c>
      <c r="E53" s="293">
        <v>43350</v>
      </c>
      <c r="F53" s="362"/>
      <c r="G53" s="482">
        <f>K53*(D53/SUM(D53,'NG Cogen'!D53))</f>
        <v>19955.113470169788</v>
      </c>
      <c r="H53" s="358"/>
      <c r="I53" s="358">
        <v>19955.113470169788</v>
      </c>
      <c r="K53" s="278">
        <f>'NG Cogen'!K53</f>
        <v>77772.02</v>
      </c>
    </row>
    <row r="54" spans="1:11" s="275" customFormat="1" ht="14.25" customHeight="1" thickBot="1" x14ac:dyDescent="0.2">
      <c r="A54" s="359"/>
      <c r="B54" s="359"/>
      <c r="C54" s="291" t="s">
        <v>1222</v>
      </c>
      <c r="D54" s="476"/>
      <c r="E54" s="366">
        <f>SUM(E52:E53)</f>
        <v>43350</v>
      </c>
      <c r="F54" s="367"/>
      <c r="G54" s="327"/>
      <c r="H54" s="327">
        <v>42607.743470169786</v>
      </c>
    </row>
    <row r="55" spans="1:11" s="275" customFormat="1" ht="14" thickTop="1" x14ac:dyDescent="0.15">
      <c r="D55" s="478"/>
    </row>
    <row r="56" spans="1:11" s="275" customFormat="1" x14ac:dyDescent="0.15">
      <c r="A56" s="359">
        <v>81773</v>
      </c>
      <c r="B56" s="359" t="s">
        <v>1334</v>
      </c>
      <c r="C56" s="287" t="s">
        <v>1349</v>
      </c>
      <c r="D56" s="474"/>
      <c r="E56" s="293"/>
      <c r="F56" s="393"/>
      <c r="G56" s="482">
        <v>20685.439999999999</v>
      </c>
      <c r="H56" s="358"/>
      <c r="I56" s="358">
        <v>20685.440000000002</v>
      </c>
      <c r="K56" s="278">
        <f>'NG Cogen'!K56</f>
        <v>74831.070000000007</v>
      </c>
    </row>
    <row r="57" spans="1:11" s="275" customFormat="1" x14ac:dyDescent="0.15">
      <c r="A57" s="359">
        <v>77570</v>
      </c>
      <c r="B57" s="359" t="s">
        <v>1334</v>
      </c>
      <c r="C57" s="287" t="s">
        <v>1336</v>
      </c>
      <c r="D57" s="483">
        <v>39924.1</v>
      </c>
      <c r="E57" s="293">
        <v>38720</v>
      </c>
      <c r="F57" s="393"/>
      <c r="G57" s="482">
        <f>K57*(D57/SUM(D57,'NG Cogen'!D57))</f>
        <v>20330.990193947746</v>
      </c>
      <c r="H57" s="358"/>
      <c r="I57" s="358">
        <v>20330.990193947742</v>
      </c>
      <c r="K57" s="278">
        <f>'NG Cogen'!K57</f>
        <v>74854.97</v>
      </c>
    </row>
    <row r="58" spans="1:11" s="275" customFormat="1" ht="14.25" customHeight="1" thickBot="1" x14ac:dyDescent="0.2">
      <c r="A58" s="359"/>
      <c r="B58" s="359"/>
      <c r="C58" s="291" t="s">
        <v>170</v>
      </c>
      <c r="D58" s="476"/>
      <c r="E58" s="366">
        <f>SUM(E56:E57)</f>
        <v>38720</v>
      </c>
      <c r="F58" s="367"/>
      <c r="G58" s="327"/>
      <c r="H58" s="327">
        <v>41016.430193947759</v>
      </c>
    </row>
    <row r="59" spans="1:11" s="275" customFormat="1" ht="14" thickTop="1" x14ac:dyDescent="0.15">
      <c r="D59" s="478"/>
    </row>
    <row r="60" spans="1:11" s="275" customFormat="1" x14ac:dyDescent="0.15">
      <c r="A60" s="359">
        <v>81773</v>
      </c>
      <c r="B60" s="359" t="s">
        <v>1334</v>
      </c>
      <c r="C60" s="287" t="s">
        <v>1349</v>
      </c>
      <c r="D60" s="474"/>
      <c r="E60" s="293"/>
      <c r="F60" s="362"/>
      <c r="G60" s="482">
        <v>20552.009999999998</v>
      </c>
      <c r="H60" s="358"/>
      <c r="I60" s="358">
        <v>20552.010000000002</v>
      </c>
      <c r="K60" s="278">
        <f>'NG Cogen'!K60</f>
        <v>56900.62</v>
      </c>
    </row>
    <row r="61" spans="1:11" s="275" customFormat="1" x14ac:dyDescent="0.15">
      <c r="A61" s="359">
        <v>81773</v>
      </c>
      <c r="B61" s="359">
        <v>77570</v>
      </c>
      <c r="C61" s="287" t="s">
        <v>1351</v>
      </c>
      <c r="D61" s="483">
        <v>35738.699999999997</v>
      </c>
      <c r="E61" s="293">
        <v>34700</v>
      </c>
      <c r="F61" s="362"/>
      <c r="G61" s="482">
        <f>K61*(D61/SUM(D61,'NG Cogen'!D61))</f>
        <v>25224.597271223924</v>
      </c>
      <c r="H61" s="358"/>
      <c r="I61" s="358">
        <v>25224.597271223924</v>
      </c>
      <c r="K61" s="278">
        <f>'NG Cogen'!K61</f>
        <v>74648.820000000007</v>
      </c>
    </row>
    <row r="62" spans="1:11" s="275" customFormat="1" ht="14.25" customHeight="1" thickBot="1" x14ac:dyDescent="0.2">
      <c r="A62" s="359"/>
      <c r="B62" s="359"/>
      <c r="C62" s="291" t="s">
        <v>1369</v>
      </c>
      <c r="D62" s="476"/>
      <c r="E62" s="366">
        <f>SUM(E60:E61)</f>
        <v>34700</v>
      </c>
      <c r="F62" s="367"/>
      <c r="G62" s="327"/>
      <c r="H62" s="327">
        <v>45776.607271223933</v>
      </c>
    </row>
    <row r="63" spans="1:11" s="275" customFormat="1" ht="14.25" customHeight="1" thickTop="1" x14ac:dyDescent="0.15">
      <c r="A63" s="359"/>
      <c r="B63" s="359"/>
      <c r="C63" s="293"/>
      <c r="D63" s="474"/>
      <c r="E63" s="485" t="s">
        <v>1352</v>
      </c>
      <c r="F63" s="486">
        <f>(SUM(H18:H62)*10)/SUM(D17:D61)</f>
        <v>11.334164413579577</v>
      </c>
      <c r="G63" s="361"/>
      <c r="H63" s="361"/>
    </row>
    <row r="64" spans="1:11" ht="14" thickBot="1" x14ac:dyDescent="0.2"/>
    <row r="65" spans="1:12" s="275" customFormat="1" ht="31" thickBot="1" x14ac:dyDescent="0.35">
      <c r="A65" s="767" t="s">
        <v>1137</v>
      </c>
      <c r="B65" s="768"/>
      <c r="C65" s="768"/>
      <c r="D65" s="768"/>
      <c r="E65" s="768"/>
      <c r="F65" s="768"/>
      <c r="G65" s="768"/>
      <c r="H65" s="768"/>
      <c r="I65" s="768"/>
      <c r="J65" s="768"/>
      <c r="K65" s="768"/>
      <c r="L65" s="769"/>
    </row>
    <row r="66" spans="1:12" s="275" customFormat="1" x14ac:dyDescent="0.15">
      <c r="D66" s="478"/>
    </row>
    <row r="67" spans="1:12" s="275" customFormat="1" x14ac:dyDescent="0.15">
      <c r="A67" s="359">
        <v>81773</v>
      </c>
      <c r="B67" s="359" t="s">
        <v>1334</v>
      </c>
      <c r="C67" s="287" t="s">
        <v>1349</v>
      </c>
      <c r="D67" s="474"/>
      <c r="E67" s="293"/>
      <c r="F67" s="362"/>
      <c r="G67" s="482">
        <v>14928.85</v>
      </c>
      <c r="H67" s="358"/>
      <c r="I67" s="358">
        <v>14928.85</v>
      </c>
      <c r="K67" s="278">
        <f>'NG Cogen'!K67</f>
        <v>74094.42</v>
      </c>
    </row>
    <row r="68" spans="1:12" s="275" customFormat="1" x14ac:dyDescent="0.15">
      <c r="A68" s="359">
        <v>81773</v>
      </c>
      <c r="B68" s="359">
        <v>77570</v>
      </c>
      <c r="C68" s="287" t="s">
        <v>1351</v>
      </c>
      <c r="D68" s="487">
        <v>31150.799999999999</v>
      </c>
      <c r="E68" s="293">
        <v>30270</v>
      </c>
      <c r="F68" s="362"/>
      <c r="G68" s="482">
        <f>K68*(D68/SUM(D68,'NG Cogen'!D68))</f>
        <v>14830.456854529022</v>
      </c>
      <c r="H68" s="358"/>
      <c r="I68" s="358">
        <v>14830.45685452902</v>
      </c>
      <c r="K68" s="278">
        <f>'NG Cogen'!K68</f>
        <v>74906.69</v>
      </c>
    </row>
    <row r="69" spans="1:12" s="275" customFormat="1" ht="14" thickBot="1" x14ac:dyDescent="0.2">
      <c r="A69" s="359"/>
      <c r="B69" s="359"/>
      <c r="C69" s="291" t="s">
        <v>1353</v>
      </c>
      <c r="D69" s="476"/>
      <c r="E69" s="366">
        <f>SUM(E67:E68)</f>
        <v>30270</v>
      </c>
      <c r="F69" s="327">
        <f>(H69*10)/D68</f>
        <v>9.5533042023090964</v>
      </c>
      <c r="G69" s="327"/>
      <c r="H69" s="327">
        <v>29759.306854529023</v>
      </c>
    </row>
    <row r="70" spans="1:12" s="275" customFormat="1" ht="14" thickTop="1" x14ac:dyDescent="0.15">
      <c r="D70" s="478"/>
    </row>
    <row r="71" spans="1:12" s="275" customFormat="1" x14ac:dyDescent="0.15">
      <c r="A71" s="359">
        <v>81773</v>
      </c>
      <c r="B71" s="359" t="s">
        <v>1334</v>
      </c>
      <c r="C71" s="287" t="s">
        <v>1349</v>
      </c>
      <c r="D71" s="488">
        <v>24647.9</v>
      </c>
      <c r="E71" s="293"/>
      <c r="F71" s="362"/>
      <c r="G71" s="489">
        <v>11642.39</v>
      </c>
      <c r="H71" s="358"/>
      <c r="I71" s="358">
        <v>11642.39</v>
      </c>
      <c r="K71" s="278">
        <f>'NG Cogen'!K71</f>
        <v>67259.819999999992</v>
      </c>
    </row>
    <row r="72" spans="1:12" s="275" customFormat="1" x14ac:dyDescent="0.15">
      <c r="A72" s="359">
        <v>81773</v>
      </c>
      <c r="B72" s="359">
        <v>77570</v>
      </c>
      <c r="C72" s="287" t="s">
        <v>1351</v>
      </c>
      <c r="D72" s="488">
        <v>24573</v>
      </c>
      <c r="E72" s="293">
        <v>23820</v>
      </c>
      <c r="F72" s="393"/>
      <c r="G72" s="482">
        <f>K72*(D72/SUM(D72,'NG Cogen'!D72))</f>
        <v>12210.615609706567</v>
      </c>
      <c r="H72" s="358"/>
      <c r="I72" s="358">
        <v>12210.61560970657</v>
      </c>
      <c r="K72" s="278">
        <f>'NG Cogen'!K72</f>
        <v>74873.39</v>
      </c>
    </row>
    <row r="73" spans="1:12" s="275" customFormat="1" ht="14" thickBot="1" x14ac:dyDescent="0.2">
      <c r="A73" s="359"/>
      <c r="B73" s="359"/>
      <c r="C73" s="291" t="s">
        <v>1354</v>
      </c>
      <c r="D73" s="476"/>
      <c r="E73" s="366">
        <f>SUM(E71:E72)</f>
        <v>23820</v>
      </c>
      <c r="F73" s="367"/>
      <c r="G73" s="327"/>
      <c r="H73" s="327">
        <v>23853.005609706564</v>
      </c>
    </row>
    <row r="74" spans="1:12" s="275" customFormat="1" ht="14" thickTop="1" x14ac:dyDescent="0.15">
      <c r="D74" s="478"/>
    </row>
    <row r="75" spans="1:12" s="275" customFormat="1" x14ac:dyDescent="0.15">
      <c r="A75" s="359">
        <v>81773</v>
      </c>
      <c r="B75" s="359" t="s">
        <v>1334</v>
      </c>
      <c r="C75" s="287" t="s">
        <v>1349</v>
      </c>
      <c r="D75" s="488">
        <v>35781</v>
      </c>
      <c r="E75" s="293"/>
      <c r="F75" s="362"/>
      <c r="G75" s="489">
        <v>16440.2</v>
      </c>
      <c r="H75" s="358"/>
      <c r="I75" s="358">
        <v>16440.2</v>
      </c>
      <c r="K75" s="278">
        <f>'NG Cogen'!K75</f>
        <v>69867.73</v>
      </c>
    </row>
    <row r="76" spans="1:12" s="275" customFormat="1" x14ac:dyDescent="0.15">
      <c r="A76" s="359">
        <v>81773</v>
      </c>
      <c r="B76" s="359">
        <v>77570</v>
      </c>
      <c r="C76" s="287" t="s">
        <v>1351</v>
      </c>
      <c r="D76" s="488">
        <v>35673.9</v>
      </c>
      <c r="E76" s="293">
        <v>34570</v>
      </c>
      <c r="F76" s="393"/>
      <c r="G76" s="482">
        <f>K76*(D76/SUM(D76,'NG Cogen'!D76))</f>
        <v>17352.140817604592</v>
      </c>
      <c r="H76" s="358"/>
      <c r="I76" s="358">
        <v>17352.140817604592</v>
      </c>
      <c r="K76" s="278">
        <f>'NG Cogen'!K76</f>
        <v>74889.820000000007</v>
      </c>
    </row>
    <row r="77" spans="1:12" s="275" customFormat="1" ht="14" thickBot="1" x14ac:dyDescent="0.2">
      <c r="A77" s="359"/>
      <c r="B77" s="359"/>
      <c r="C77" s="291" t="s">
        <v>1355</v>
      </c>
      <c r="D77" s="476"/>
      <c r="E77" s="366">
        <f>SUM(E75:E76)</f>
        <v>34570</v>
      </c>
      <c r="F77" s="367"/>
      <c r="G77" s="327"/>
      <c r="H77" s="327">
        <v>33792.340817604592</v>
      </c>
    </row>
    <row r="78" spans="1:12" s="275" customFormat="1" ht="14" thickTop="1" x14ac:dyDescent="0.15">
      <c r="D78" s="478"/>
    </row>
    <row r="79" spans="1:12" s="275" customFormat="1" x14ac:dyDescent="0.15">
      <c r="A79" s="359">
        <v>81773</v>
      </c>
      <c r="B79" s="359" t="s">
        <v>1334</v>
      </c>
      <c r="C79" s="287" t="s">
        <v>1349</v>
      </c>
      <c r="D79" s="488">
        <v>47003.3</v>
      </c>
      <c r="E79" s="293"/>
      <c r="F79" s="362"/>
      <c r="G79" s="489">
        <v>21052.79</v>
      </c>
      <c r="H79" s="358"/>
      <c r="I79" s="358">
        <v>21052.79</v>
      </c>
      <c r="K79" s="278">
        <f>'NG Cogen'!K79</f>
        <v>80768.09</v>
      </c>
    </row>
    <row r="80" spans="1:12" s="275" customFormat="1" x14ac:dyDescent="0.15">
      <c r="A80" s="359">
        <v>81773</v>
      </c>
      <c r="B80" s="359">
        <v>77570</v>
      </c>
      <c r="C80" s="287" t="s">
        <v>1351</v>
      </c>
      <c r="D80" s="488">
        <v>46866.1</v>
      </c>
      <c r="E80" s="293">
        <v>45420</v>
      </c>
      <c r="F80" s="393"/>
      <c r="G80" s="482">
        <f>K80*(D80/SUM(D80,'NG Cogen'!D80))</f>
        <v>19384.10524549993</v>
      </c>
      <c r="H80" s="358"/>
      <c r="I80" s="358">
        <v>19384.10524549993</v>
      </c>
      <c r="K80" s="278">
        <f>'NG Cogen'!K80</f>
        <v>75026.990000000005</v>
      </c>
    </row>
    <row r="81" spans="1:11" s="275" customFormat="1" ht="14" thickBot="1" x14ac:dyDescent="0.2">
      <c r="A81" s="359"/>
      <c r="B81" s="359"/>
      <c r="C81" s="291" t="s">
        <v>1356</v>
      </c>
      <c r="D81" s="476"/>
      <c r="E81" s="366">
        <f>SUM(E79:E80)</f>
        <v>45420</v>
      </c>
      <c r="F81" s="367"/>
      <c r="G81" s="327"/>
      <c r="H81" s="327">
        <v>40436.895245499923</v>
      </c>
    </row>
    <row r="82" spans="1:11" s="275" customFormat="1" ht="14" thickTop="1" x14ac:dyDescent="0.15">
      <c r="D82" s="478"/>
    </row>
    <row r="83" spans="1:11" s="275" customFormat="1" x14ac:dyDescent="0.15">
      <c r="A83" s="359">
        <v>81773</v>
      </c>
      <c r="B83" s="359" t="s">
        <v>1334</v>
      </c>
      <c r="C83" s="287" t="s">
        <v>1349</v>
      </c>
      <c r="D83" s="488">
        <v>103482.6</v>
      </c>
      <c r="E83" s="293"/>
      <c r="F83" s="362"/>
      <c r="G83" s="489">
        <v>53703.71</v>
      </c>
      <c r="H83" s="358"/>
      <c r="I83" s="358">
        <v>53703.709999999992</v>
      </c>
      <c r="K83" s="278">
        <f>'NG Cogen'!K83</f>
        <v>113456.93999999999</v>
      </c>
    </row>
    <row r="84" spans="1:11" s="275" customFormat="1" x14ac:dyDescent="0.15">
      <c r="A84" s="359">
        <v>81773</v>
      </c>
      <c r="B84" s="359">
        <v>77570</v>
      </c>
      <c r="C84" s="287" t="s">
        <v>1351</v>
      </c>
      <c r="D84" s="488">
        <v>103542.1</v>
      </c>
      <c r="E84" s="293">
        <v>100510</v>
      </c>
      <c r="F84" s="393"/>
      <c r="G84" s="482">
        <f>K84*(D84/SUM(D84,'NG Cogen'!D84))</f>
        <v>35186.361945138917</v>
      </c>
      <c r="H84" s="358"/>
      <c r="I84" s="358">
        <v>35186.361945138917</v>
      </c>
      <c r="K84" s="278">
        <f>'NG Cogen'!K84</f>
        <v>79964.84</v>
      </c>
    </row>
    <row r="85" spans="1:11" s="275" customFormat="1" ht="14" thickBot="1" x14ac:dyDescent="0.2">
      <c r="A85" s="359"/>
      <c r="B85" s="359"/>
      <c r="C85" s="291" t="s">
        <v>1357</v>
      </c>
      <c r="D85" s="476"/>
      <c r="E85" s="366">
        <f>SUM(E83:E84)</f>
        <v>100510</v>
      </c>
      <c r="F85" s="367"/>
      <c r="G85" s="327"/>
      <c r="H85" s="327">
        <v>88890.071945138887</v>
      </c>
    </row>
    <row r="86" spans="1:11" s="275" customFormat="1" ht="14" thickTop="1" x14ac:dyDescent="0.15">
      <c r="D86" s="478"/>
    </row>
    <row r="87" spans="1:11" s="275" customFormat="1" x14ac:dyDescent="0.15">
      <c r="A87" s="359">
        <v>81773</v>
      </c>
      <c r="B87" s="359" t="s">
        <v>1334</v>
      </c>
      <c r="C87" s="287" t="s">
        <v>1349</v>
      </c>
      <c r="D87" s="488">
        <v>136398.39999999999</v>
      </c>
      <c r="E87" s="293"/>
      <c r="F87" s="362"/>
      <c r="G87" s="489">
        <v>115308.33</v>
      </c>
      <c r="H87" s="358"/>
      <c r="I87" s="358">
        <v>115308.32999999999</v>
      </c>
      <c r="K87" s="278">
        <f>'NG Cogen'!K87</f>
        <v>156486.91999999998</v>
      </c>
    </row>
    <row r="88" spans="1:11" s="275" customFormat="1" x14ac:dyDescent="0.15">
      <c r="A88" s="359">
        <v>81773</v>
      </c>
      <c r="B88" s="359">
        <v>77570</v>
      </c>
      <c r="C88" s="287" t="s">
        <v>1351</v>
      </c>
      <c r="D88" s="488">
        <v>82421.5</v>
      </c>
      <c r="E88" s="293">
        <v>80230</v>
      </c>
      <c r="F88" s="393"/>
      <c r="G88" s="482">
        <f>K88*(D88/SUM(D88,'NG Cogen'!D88))</f>
        <v>44145.987555773325</v>
      </c>
      <c r="H88" s="358"/>
      <c r="I88" s="358">
        <v>44145.987555773325</v>
      </c>
      <c r="K88" s="278">
        <f>'NG Cogen'!K88</f>
        <v>77991.45</v>
      </c>
    </row>
    <row r="89" spans="1:11" s="275" customFormat="1" ht="14" thickBot="1" x14ac:dyDescent="0.2">
      <c r="A89" s="359"/>
      <c r="B89" s="359"/>
      <c r="C89" s="291" t="s">
        <v>1358</v>
      </c>
      <c r="D89" s="476"/>
      <c r="E89" s="366">
        <f>SUM(E87:E88)</f>
        <v>80230</v>
      </c>
      <c r="F89" s="367"/>
      <c r="G89" s="327"/>
      <c r="H89" s="327">
        <v>159454.31755577333</v>
      </c>
    </row>
    <row r="90" spans="1:11" s="275" customFormat="1" ht="14" thickTop="1" x14ac:dyDescent="0.15">
      <c r="D90" s="478"/>
    </row>
    <row r="91" spans="1:11" s="275" customFormat="1" x14ac:dyDescent="0.15">
      <c r="A91" s="359">
        <v>81773</v>
      </c>
      <c r="B91" s="359" t="s">
        <v>1334</v>
      </c>
      <c r="C91" s="287" t="s">
        <v>1349</v>
      </c>
      <c r="D91" s="488">
        <f>9467.28*10</f>
        <v>94672.8</v>
      </c>
      <c r="E91" s="293"/>
      <c r="F91" s="362"/>
      <c r="G91" s="489">
        <v>-112242.94</v>
      </c>
      <c r="H91" s="358"/>
      <c r="I91" s="358">
        <v>-112242.93999999997</v>
      </c>
      <c r="K91" s="278">
        <f>'NG Cogen'!K91</f>
        <v>-147475.24999999997</v>
      </c>
    </row>
    <row r="92" spans="1:11" s="275" customFormat="1" x14ac:dyDescent="0.15">
      <c r="A92" s="359">
        <v>81773</v>
      </c>
      <c r="B92" s="359">
        <v>77570</v>
      </c>
      <c r="C92" s="287" t="s">
        <v>1351</v>
      </c>
      <c r="D92" s="488">
        <v>148696</v>
      </c>
      <c r="E92" s="293">
        <v>14477</v>
      </c>
      <c r="F92" s="393"/>
      <c r="G92" s="482">
        <f>K92*(D92/SUM(D92,'NG Cogen'!D92))</f>
        <v>42496.852731441308</v>
      </c>
      <c r="H92" s="358"/>
      <c r="I92" s="358">
        <v>42496.852731441308</v>
      </c>
      <c r="K92" s="278">
        <f>'NG Cogen'!K92</f>
        <v>81025.13</v>
      </c>
    </row>
    <row r="93" spans="1:11" s="275" customFormat="1" ht="14" thickBot="1" x14ac:dyDescent="0.2">
      <c r="A93" s="359"/>
      <c r="B93" s="359"/>
      <c r="C93" s="291" t="s">
        <v>1359</v>
      </c>
      <c r="D93" s="476"/>
      <c r="E93" s="366">
        <f>SUM(E91:E92)</f>
        <v>14477</v>
      </c>
      <c r="F93" s="367"/>
      <c r="G93" s="327"/>
      <c r="H93" s="327">
        <v>-69746.08726855868</v>
      </c>
    </row>
    <row r="94" spans="1:11" s="275" customFormat="1" ht="14" thickTop="1" x14ac:dyDescent="0.15">
      <c r="D94" s="478"/>
    </row>
    <row r="95" spans="1:11" s="275" customFormat="1" x14ac:dyDescent="0.15">
      <c r="A95" s="359">
        <v>81773</v>
      </c>
      <c r="B95" s="359" t="s">
        <v>1334</v>
      </c>
      <c r="C95" s="287" t="s">
        <v>1349</v>
      </c>
      <c r="D95" s="488">
        <f>9686.79*10</f>
        <v>96867.900000000009</v>
      </c>
      <c r="E95" s="293"/>
      <c r="F95" s="362"/>
      <c r="G95" s="489">
        <v>-30478.22</v>
      </c>
      <c r="H95" s="358"/>
      <c r="I95" s="358">
        <v>-30478.220000000005</v>
      </c>
      <c r="K95" s="278">
        <f>'NG Cogen'!K95</f>
        <v>2340.2099999999955</v>
      </c>
    </row>
    <row r="96" spans="1:11" s="275" customFormat="1" x14ac:dyDescent="0.15">
      <c r="A96" s="359">
        <v>81773</v>
      </c>
      <c r="B96" s="359">
        <v>77570</v>
      </c>
      <c r="C96" s="287" t="s">
        <v>1351</v>
      </c>
      <c r="D96" s="488">
        <v>96874</v>
      </c>
      <c r="E96" s="293">
        <v>9435</v>
      </c>
      <c r="F96" s="393"/>
      <c r="G96" s="482">
        <f>K96*(D96/SUM(D96,'NG Cogen'!D96))</f>
        <v>42075.942395796577</v>
      </c>
      <c r="H96" s="358"/>
      <c r="I96" s="358">
        <v>42075.94239579657</v>
      </c>
      <c r="K96" s="278">
        <f>'NG Cogen'!K96</f>
        <v>78778.27</v>
      </c>
    </row>
    <row r="97" spans="1:11" s="275" customFormat="1" ht="14" thickBot="1" x14ac:dyDescent="0.2">
      <c r="A97" s="359"/>
      <c r="B97" s="359"/>
      <c r="C97" s="291" t="s">
        <v>1360</v>
      </c>
      <c r="D97" s="476"/>
      <c r="E97" s="366">
        <f>SUM(E95:E96)</f>
        <v>9435</v>
      </c>
      <c r="F97" s="367"/>
      <c r="G97" s="327"/>
      <c r="H97" s="327">
        <v>11597.722395796576</v>
      </c>
    </row>
    <row r="98" spans="1:11" s="275" customFormat="1" ht="14" thickTop="1" x14ac:dyDescent="0.15">
      <c r="D98" s="478"/>
    </row>
    <row r="99" spans="1:11" s="275" customFormat="1" x14ac:dyDescent="0.15">
      <c r="A99" s="359">
        <v>81773</v>
      </c>
      <c r="B99" s="359" t="s">
        <v>1334</v>
      </c>
      <c r="C99" s="287" t="s">
        <v>1349</v>
      </c>
      <c r="D99" s="488">
        <v>93425.9</v>
      </c>
      <c r="E99" s="293"/>
      <c r="F99" s="362"/>
      <c r="G99" s="489">
        <v>-15422.34</v>
      </c>
      <c r="H99" s="358"/>
      <c r="I99" s="358">
        <v>-15422.340000000002</v>
      </c>
      <c r="K99" s="278">
        <f>'NG Cogen'!K99</f>
        <v>32281.190000000002</v>
      </c>
    </row>
    <row r="100" spans="1:11" s="275" customFormat="1" x14ac:dyDescent="0.15">
      <c r="A100" s="359">
        <v>81773</v>
      </c>
      <c r="B100" s="359">
        <v>77570</v>
      </c>
      <c r="C100" s="287" t="s">
        <v>1351</v>
      </c>
      <c r="D100" s="488">
        <v>93444</v>
      </c>
      <c r="E100" s="293">
        <v>9089</v>
      </c>
      <c r="F100" s="393"/>
      <c r="G100" s="482">
        <f>K100*(D100/SUM(D100,'NG Cogen'!D100))</f>
        <v>38491.730256201707</v>
      </c>
      <c r="H100" s="358"/>
      <c r="I100" s="358">
        <v>38491.730256201699</v>
      </c>
      <c r="K100" s="278">
        <f>'NG Cogen'!K100</f>
        <v>79007.649999999994</v>
      </c>
    </row>
    <row r="101" spans="1:11" s="275" customFormat="1" ht="14" thickBot="1" x14ac:dyDescent="0.2">
      <c r="A101" s="359"/>
      <c r="B101" s="359"/>
      <c r="C101" s="291" t="s">
        <v>1361</v>
      </c>
      <c r="D101" s="476"/>
      <c r="E101" s="366">
        <f>SUM(E99:E100)</f>
        <v>9089</v>
      </c>
      <c r="F101" s="367"/>
      <c r="G101" s="327"/>
      <c r="H101" s="327">
        <v>23069.390256201703</v>
      </c>
    </row>
    <row r="102" spans="1:11" s="275" customFormat="1" ht="14" thickTop="1" x14ac:dyDescent="0.15">
      <c r="D102" s="478"/>
    </row>
    <row r="103" spans="1:11" s="275" customFormat="1" x14ac:dyDescent="0.15">
      <c r="A103" s="359">
        <v>81773</v>
      </c>
      <c r="B103" s="359" t="s">
        <v>1334</v>
      </c>
      <c r="C103" s="287" t="s">
        <v>1349</v>
      </c>
      <c r="D103" s="488">
        <v>50555.1</v>
      </c>
      <c r="E103" s="293"/>
      <c r="F103" s="362"/>
      <c r="G103" s="489">
        <v>54354.879999999997</v>
      </c>
      <c r="H103" s="358"/>
      <c r="I103" s="358">
        <v>54354.87999999999</v>
      </c>
      <c r="K103" s="278">
        <f>'NG Cogen'!K103</f>
        <v>127856.76999999999</v>
      </c>
    </row>
    <row r="104" spans="1:11" s="275" customFormat="1" x14ac:dyDescent="0.15">
      <c r="A104" s="359">
        <v>81773</v>
      </c>
      <c r="B104" s="359">
        <v>77570</v>
      </c>
      <c r="C104" s="287" t="s">
        <v>1351</v>
      </c>
      <c r="D104" s="488">
        <v>50561</v>
      </c>
      <c r="E104" s="293">
        <v>4912</v>
      </c>
      <c r="F104" s="393"/>
      <c r="G104" s="482">
        <f>K104*(D104/SUM(D104,'NG Cogen'!D104))</f>
        <v>22553.826408081339</v>
      </c>
      <c r="H104" s="358"/>
      <c r="I104" s="358">
        <v>22553.826408081339</v>
      </c>
      <c r="K104" s="278">
        <f>'NG Cogen'!K104</f>
        <v>78667.850000000006</v>
      </c>
    </row>
    <row r="105" spans="1:11" s="275" customFormat="1" ht="14" thickBot="1" x14ac:dyDescent="0.2">
      <c r="A105" s="359"/>
      <c r="B105" s="359"/>
      <c r="C105" s="291" t="s">
        <v>1362</v>
      </c>
      <c r="D105" s="476"/>
      <c r="E105" s="366">
        <f>SUM(E103:E104)</f>
        <v>4912</v>
      </c>
      <c r="F105" s="367"/>
      <c r="G105" s="327"/>
      <c r="H105" s="327">
        <v>76908.706408081343</v>
      </c>
    </row>
    <row r="106" spans="1:11" s="275" customFormat="1" ht="14" thickTop="1" x14ac:dyDescent="0.15">
      <c r="D106" s="478"/>
    </row>
    <row r="107" spans="1:11" s="275" customFormat="1" x14ac:dyDescent="0.15">
      <c r="A107" s="359">
        <v>81773</v>
      </c>
      <c r="B107" s="359" t="s">
        <v>1334</v>
      </c>
      <c r="C107" s="287" t="s">
        <v>1349</v>
      </c>
      <c r="D107" s="488">
        <v>28807.3</v>
      </c>
      <c r="E107" s="293"/>
      <c r="F107" s="362"/>
      <c r="G107" s="489">
        <v>41241.9</v>
      </c>
      <c r="H107" s="358"/>
      <c r="I107" s="358">
        <v>41241.899999999994</v>
      </c>
      <c r="K107" s="278">
        <f>'NG Cogen'!K107</f>
        <v>101045.37999999999</v>
      </c>
    </row>
    <row r="108" spans="1:11" s="275" customFormat="1" x14ac:dyDescent="0.15">
      <c r="A108" s="359">
        <v>81773</v>
      </c>
      <c r="B108" s="359">
        <v>77570</v>
      </c>
      <c r="C108" s="287" t="s">
        <v>1351</v>
      </c>
      <c r="D108" s="488">
        <v>28806</v>
      </c>
      <c r="E108" s="293">
        <v>4912</v>
      </c>
      <c r="F108" s="393"/>
      <c r="G108" s="482">
        <f>K108*(D108/SUM(D108,'NG Cogen'!D108))</f>
        <v>14804.151653807445</v>
      </c>
      <c r="H108" s="358"/>
      <c r="I108" s="358">
        <v>14804.151653807445</v>
      </c>
      <c r="K108" s="278">
        <f>'NG Cogen'!K108</f>
        <v>78132.679999999993</v>
      </c>
    </row>
    <row r="109" spans="1:11" s="275" customFormat="1" ht="14" thickBot="1" x14ac:dyDescent="0.2">
      <c r="A109" s="359"/>
      <c r="B109" s="359"/>
      <c r="C109" s="291" t="s">
        <v>1363</v>
      </c>
      <c r="D109" s="476"/>
      <c r="E109" s="366">
        <f>SUM(E107:E108)</f>
        <v>4912</v>
      </c>
      <c r="F109" s="367"/>
      <c r="G109" s="327"/>
      <c r="H109" s="327">
        <v>56046.051653807437</v>
      </c>
    </row>
    <row r="110" spans="1:11" s="275" customFormat="1" ht="14" thickTop="1" x14ac:dyDescent="0.15">
      <c r="D110" s="478"/>
    </row>
    <row r="111" spans="1:11" s="275" customFormat="1" x14ac:dyDescent="0.15">
      <c r="A111" s="359">
        <v>81773</v>
      </c>
      <c r="B111" s="359" t="s">
        <v>1334</v>
      </c>
      <c r="C111" s="287" t="s">
        <v>1349</v>
      </c>
      <c r="D111" s="488">
        <v>25979.4</v>
      </c>
      <c r="E111" s="293"/>
      <c r="F111" s="362"/>
      <c r="G111" s="489">
        <v>41080.82</v>
      </c>
      <c r="H111" s="358"/>
      <c r="I111" s="358">
        <v>41080.819999999992</v>
      </c>
      <c r="K111" s="278">
        <f>'NG Cogen'!K111</f>
        <v>84144.97</v>
      </c>
    </row>
    <row r="112" spans="1:11" s="275" customFormat="1" x14ac:dyDescent="0.15">
      <c r="A112" s="359">
        <v>81773</v>
      </c>
      <c r="B112" s="359">
        <v>77570</v>
      </c>
      <c r="C112" s="287" t="s">
        <v>1351</v>
      </c>
      <c r="D112" s="488">
        <v>25988</v>
      </c>
      <c r="E112" s="293">
        <v>4912</v>
      </c>
      <c r="F112" s="393"/>
      <c r="G112" s="482">
        <f>K112*(D112/SUM(D112,'NG Cogen'!D112))</f>
        <v>19558.788049314211</v>
      </c>
      <c r="H112" s="358"/>
      <c r="I112" s="358">
        <v>19558.788049314207</v>
      </c>
      <c r="K112" s="278">
        <f>'NG Cogen'!K112</f>
        <v>77040.009999999995</v>
      </c>
    </row>
    <row r="113" spans="1:12" s="275" customFormat="1" ht="14" thickBot="1" x14ac:dyDescent="0.2">
      <c r="A113" s="359"/>
      <c r="B113" s="359"/>
      <c r="C113" s="291" t="s">
        <v>1364</v>
      </c>
      <c r="D113" s="476"/>
      <c r="E113" s="366">
        <f>SUM(E111:E112)</f>
        <v>4912</v>
      </c>
      <c r="F113" s="367"/>
      <c r="G113" s="327"/>
      <c r="H113" s="327">
        <v>60639.608049314193</v>
      </c>
    </row>
    <row r="114" spans="1:12" ht="14" thickTop="1" x14ac:dyDescent="0.15"/>
    <row r="116" spans="1:12" s="290" customFormat="1" ht="14" thickBot="1" x14ac:dyDescent="0.2">
      <c r="C116" s="290" t="s">
        <v>146</v>
      </c>
      <c r="D116" s="491">
        <f>SUM(D68,D72,D76,D80)</f>
        <v>138263.80000000002</v>
      </c>
      <c r="E116" s="478"/>
      <c r="H116" s="327">
        <v>127841.5485273401</v>
      </c>
    </row>
    <row r="117" spans="1:12" s="290" customFormat="1" ht="14" thickTop="1" x14ac:dyDescent="0.15">
      <c r="C117" s="290" t="s">
        <v>1365</v>
      </c>
      <c r="D117" s="478"/>
      <c r="E117" s="478"/>
      <c r="G117" s="492">
        <f>(H116*10)/D116</f>
        <v>9.2462053355498757</v>
      </c>
    </row>
    <row r="118" spans="1:12" s="275" customFormat="1" x14ac:dyDescent="0.15">
      <c r="D118" s="478"/>
    </row>
    <row r="119" spans="1:12" s="275" customFormat="1" x14ac:dyDescent="0.15">
      <c r="C119" s="290" t="s">
        <v>1366</v>
      </c>
      <c r="D119" s="493">
        <f>SUM(D84,D88,D92,D96,D100)</f>
        <v>524977.6</v>
      </c>
      <c r="G119" s="494">
        <f>D119/SUM('NG Cogen'!D119,'NG Main'!D119)</f>
        <v>0.50595061865462665</v>
      </c>
    </row>
    <row r="120" spans="1:12" ht="14" thickBot="1" x14ac:dyDescent="0.2"/>
    <row r="121" spans="1:12" s="275" customFormat="1" ht="31" thickBot="1" x14ac:dyDescent="0.35">
      <c r="A121" s="767" t="s">
        <v>1103</v>
      </c>
      <c r="B121" s="768"/>
      <c r="C121" s="768"/>
      <c r="D121" s="768"/>
      <c r="E121" s="768"/>
      <c r="F121" s="768"/>
      <c r="G121" s="768"/>
      <c r="H121" s="768"/>
      <c r="I121" s="768"/>
      <c r="J121" s="768"/>
      <c r="K121" s="768"/>
      <c r="L121" s="769"/>
    </row>
    <row r="122" spans="1:12" s="275" customFormat="1" x14ac:dyDescent="0.15">
      <c r="D122" s="478"/>
    </row>
    <row r="123" spans="1:12" s="275" customFormat="1" x14ac:dyDescent="0.15">
      <c r="A123" s="359">
        <v>81773</v>
      </c>
      <c r="B123" s="359" t="s">
        <v>1334</v>
      </c>
      <c r="C123" s="287" t="s">
        <v>1349</v>
      </c>
      <c r="D123" s="488">
        <v>23871.3</v>
      </c>
      <c r="E123" s="293"/>
      <c r="F123" s="362"/>
      <c r="G123" s="489">
        <v>53068.84</v>
      </c>
      <c r="H123" s="358"/>
      <c r="I123" s="358">
        <v>53068.839999999989</v>
      </c>
      <c r="K123" s="278">
        <f>'NG Cogen'!K123</f>
        <v>110665.17</v>
      </c>
    </row>
    <row r="124" spans="1:12" s="275" customFormat="1" x14ac:dyDescent="0.15">
      <c r="A124" s="359">
        <v>81773</v>
      </c>
      <c r="B124" s="359">
        <v>77570</v>
      </c>
      <c r="C124" s="287" t="s">
        <v>1351</v>
      </c>
      <c r="D124" s="488">
        <v>23872</v>
      </c>
      <c r="E124" s="293"/>
      <c r="F124" s="362"/>
      <c r="G124" s="482">
        <f>K124*(D124/SUM(D124,'NG Cogen'!D124))</f>
        <v>12434.409398919632</v>
      </c>
      <c r="H124" s="358"/>
      <c r="I124" s="358">
        <v>12434.409398919635</v>
      </c>
      <c r="K124" s="278">
        <f>'NG Cogen'!K124</f>
        <v>78162.91</v>
      </c>
    </row>
    <row r="125" spans="1:12" s="275" customFormat="1" ht="14" thickBot="1" x14ac:dyDescent="0.2">
      <c r="A125" s="359"/>
      <c r="B125" s="359"/>
      <c r="C125" s="291" t="s">
        <v>1353</v>
      </c>
      <c r="D125" s="476"/>
      <c r="E125" s="366"/>
      <c r="F125" s="327">
        <f>(H125*10)/D124</f>
        <v>27.439363856786041</v>
      </c>
      <c r="G125" s="327"/>
      <c r="H125" s="327">
        <v>65503.249398919637</v>
      </c>
    </row>
    <row r="126" spans="1:12" s="275" customFormat="1" ht="14" thickTop="1" x14ac:dyDescent="0.15">
      <c r="D126" s="478"/>
    </row>
    <row r="127" spans="1:12" s="275" customFormat="1" x14ac:dyDescent="0.15">
      <c r="A127" s="359">
        <v>81773</v>
      </c>
      <c r="B127" s="359" t="s">
        <v>1334</v>
      </c>
      <c r="C127" s="287" t="s">
        <v>1349</v>
      </c>
      <c r="D127" s="488">
        <v>27410.9</v>
      </c>
      <c r="E127" s="293"/>
      <c r="F127" s="362"/>
      <c r="G127" s="489">
        <v>55931.58</v>
      </c>
      <c r="H127" s="358"/>
      <c r="I127" s="358">
        <v>55931.57999999998</v>
      </c>
      <c r="K127" s="278">
        <f>'NG Cogen'!K127</f>
        <v>106722.02999999997</v>
      </c>
    </row>
    <row r="128" spans="1:12" s="275" customFormat="1" x14ac:dyDescent="0.15">
      <c r="A128" s="359">
        <v>81773</v>
      </c>
      <c r="B128" s="359">
        <v>77570</v>
      </c>
      <c r="C128" s="287" t="s">
        <v>1351</v>
      </c>
      <c r="D128" s="488">
        <v>27409</v>
      </c>
      <c r="E128" s="293"/>
      <c r="F128" s="393"/>
      <c r="G128" s="482">
        <f>K128*(D128/SUM(D128,'NG Cogen'!D128))</f>
        <v>13918.21503173129</v>
      </c>
      <c r="H128" s="358"/>
      <c r="I128" s="358">
        <v>13918.21503173129</v>
      </c>
      <c r="K128" s="278">
        <f>'NG Cogen'!K128</f>
        <v>78174.880000000005</v>
      </c>
    </row>
    <row r="129" spans="1:11" s="275" customFormat="1" ht="14" thickBot="1" x14ac:dyDescent="0.2">
      <c r="A129" s="359"/>
      <c r="B129" s="359"/>
      <c r="C129" s="291" t="s">
        <v>1354</v>
      </c>
      <c r="D129" s="476"/>
      <c r="E129" s="383"/>
      <c r="F129" s="327">
        <f>(H129*10)/D128</f>
        <v>25.484255183235899</v>
      </c>
      <c r="G129" s="327"/>
      <c r="H129" s="327">
        <v>69849.795031731279</v>
      </c>
    </row>
    <row r="130" spans="1:11" s="275" customFormat="1" ht="14" thickTop="1" x14ac:dyDescent="0.15">
      <c r="D130" s="478"/>
      <c r="E130" s="295"/>
    </row>
    <row r="131" spans="1:11" s="275" customFormat="1" x14ac:dyDescent="0.15">
      <c r="A131" s="359">
        <v>81773</v>
      </c>
      <c r="B131" s="359" t="s">
        <v>1334</v>
      </c>
      <c r="C131" s="287" t="s">
        <v>1349</v>
      </c>
      <c r="D131" s="488">
        <v>43748</v>
      </c>
      <c r="E131" s="293"/>
      <c r="F131" s="362"/>
      <c r="G131" s="489">
        <v>55717.05</v>
      </c>
      <c r="H131" s="358"/>
      <c r="I131" s="358">
        <v>55717.05000000001</v>
      </c>
      <c r="K131" s="278">
        <f>'NG Cogen'!K131</f>
        <v>110569.42000000001</v>
      </c>
    </row>
    <row r="132" spans="1:11" s="275" customFormat="1" x14ac:dyDescent="0.15">
      <c r="A132" s="359">
        <v>81773</v>
      </c>
      <c r="B132" s="359">
        <v>77570</v>
      </c>
      <c r="C132" s="287" t="s">
        <v>1351</v>
      </c>
      <c r="D132" s="488">
        <v>43748</v>
      </c>
      <c r="E132" s="293"/>
      <c r="F132" s="393"/>
      <c r="G132" s="482">
        <f>K132*(D132/SUM(D132,'NG Cogen'!D132))</f>
        <v>21440.290387922942</v>
      </c>
      <c r="H132" s="358"/>
      <c r="I132" s="358">
        <v>21440.290387922945</v>
      </c>
      <c r="K132" s="278">
        <f>'NG Cogen'!K132</f>
        <v>78303.03</v>
      </c>
    </row>
    <row r="133" spans="1:11" s="275" customFormat="1" ht="14" thickBot="1" x14ac:dyDescent="0.2">
      <c r="A133" s="359"/>
      <c r="B133" s="359"/>
      <c r="C133" s="291" t="s">
        <v>1355</v>
      </c>
      <c r="D133" s="476"/>
      <c r="E133" s="383"/>
      <c r="F133" s="327">
        <f>(H133*10)/D132</f>
        <v>17.636769769571853</v>
      </c>
      <c r="G133" s="327"/>
      <c r="H133" s="327">
        <v>77157.340387922945</v>
      </c>
    </row>
    <row r="134" spans="1:11" s="275" customFormat="1" ht="14" thickTop="1" x14ac:dyDescent="0.15">
      <c r="D134" s="478"/>
      <c r="E134" s="295"/>
    </row>
    <row r="135" spans="1:11" s="275" customFormat="1" x14ac:dyDescent="0.15">
      <c r="A135" s="359">
        <v>81773</v>
      </c>
      <c r="B135" s="359" t="s">
        <v>1334</v>
      </c>
      <c r="C135" s="287" t="s">
        <v>1349</v>
      </c>
      <c r="D135" s="488">
        <v>39033.800000000003</v>
      </c>
      <c r="E135" s="293"/>
      <c r="F135" s="362"/>
      <c r="G135" s="489">
        <v>60912.74</v>
      </c>
      <c r="H135" s="358"/>
      <c r="I135" s="358">
        <v>60912.74</v>
      </c>
      <c r="K135" s="278">
        <f>'NG Cogen'!K135</f>
        <v>119347.94999999998</v>
      </c>
    </row>
    <row r="136" spans="1:11" s="275" customFormat="1" x14ac:dyDescent="0.15">
      <c r="A136" s="359">
        <v>81773</v>
      </c>
      <c r="B136" s="359">
        <v>77570</v>
      </c>
      <c r="C136" s="287" t="s">
        <v>1351</v>
      </c>
      <c r="D136" s="488">
        <v>39035</v>
      </c>
      <c r="E136" s="293"/>
      <c r="F136" s="393"/>
      <c r="G136" s="482">
        <f>K136*(D136/SUM(D136,'NG Cogen'!D136))</f>
        <v>17496.937467015461</v>
      </c>
      <c r="H136" s="358"/>
      <c r="I136" s="358">
        <v>17496.937467015461</v>
      </c>
      <c r="K136" s="278">
        <f>'NG Cogen'!K136</f>
        <v>78648.14</v>
      </c>
    </row>
    <row r="137" spans="1:11" s="275" customFormat="1" ht="14" thickBot="1" x14ac:dyDescent="0.2">
      <c r="A137" s="359"/>
      <c r="B137" s="359"/>
      <c r="C137" s="291" t="s">
        <v>1356</v>
      </c>
      <c r="D137" s="476"/>
      <c r="E137" s="383"/>
      <c r="F137" s="327">
        <f>(H137*10)/D136</f>
        <v>20.087018692715631</v>
      </c>
      <c r="G137" s="327"/>
      <c r="H137" s="327">
        <v>78409.67746701547</v>
      </c>
    </row>
    <row r="138" spans="1:11" s="275" customFormat="1" ht="14" thickTop="1" x14ac:dyDescent="0.15">
      <c r="D138" s="478"/>
      <c r="E138" s="295"/>
    </row>
    <row r="139" spans="1:11" s="275" customFormat="1" x14ac:dyDescent="0.15">
      <c r="A139" s="359">
        <v>81773</v>
      </c>
      <c r="B139" s="359" t="s">
        <v>1334</v>
      </c>
      <c r="C139" s="287" t="s">
        <v>1349</v>
      </c>
      <c r="D139" s="488">
        <v>110319.9</v>
      </c>
      <c r="E139" s="293"/>
      <c r="F139" s="362"/>
      <c r="G139" s="489">
        <v>91307.98</v>
      </c>
      <c r="H139" s="358"/>
      <c r="I139" s="358">
        <v>91307.980000000025</v>
      </c>
      <c r="K139" s="278">
        <f>'NG Cogen'!K139</f>
        <v>166668.51</v>
      </c>
    </row>
    <row r="140" spans="1:11" s="275" customFormat="1" x14ac:dyDescent="0.15">
      <c r="A140" s="359">
        <v>81773</v>
      </c>
      <c r="B140" s="359">
        <v>77570</v>
      </c>
      <c r="C140" s="287" t="s">
        <v>1351</v>
      </c>
      <c r="D140" s="488">
        <v>110334</v>
      </c>
      <c r="E140" s="293"/>
      <c r="F140" s="393"/>
      <c r="G140" s="482">
        <f>K140*(D140/SUM(D140,'NG Cogen'!D140))</f>
        <v>39128.45810249327</v>
      </c>
      <c r="H140" s="358"/>
      <c r="I140" s="358">
        <v>39128.45810249327</v>
      </c>
      <c r="K140" s="278">
        <f>'NG Cogen'!K140</f>
        <v>77789.86</v>
      </c>
    </row>
    <row r="141" spans="1:11" s="275" customFormat="1" ht="14" thickBot="1" x14ac:dyDescent="0.2">
      <c r="A141" s="359"/>
      <c r="B141" s="359"/>
      <c r="C141" s="291" t="s">
        <v>1357</v>
      </c>
      <c r="D141" s="476"/>
      <c r="E141" s="383"/>
      <c r="F141" s="327">
        <f>(H141*10)/D140</f>
        <v>11.821962233082575</v>
      </c>
      <c r="G141" s="327"/>
      <c r="H141" s="327">
        <v>130436.43810249328</v>
      </c>
    </row>
    <row r="142" spans="1:11" s="275" customFormat="1" ht="14" thickTop="1" x14ac:dyDescent="0.15">
      <c r="D142" s="478"/>
      <c r="E142" s="295"/>
    </row>
    <row r="143" spans="1:11" s="275" customFormat="1" x14ac:dyDescent="0.15">
      <c r="A143" s="359">
        <v>81773</v>
      </c>
      <c r="B143" s="359" t="s">
        <v>1334</v>
      </c>
      <c r="C143" s="287" t="s">
        <v>1349</v>
      </c>
      <c r="D143" s="488">
        <v>148583.6</v>
      </c>
      <c r="E143" s="293"/>
      <c r="F143" s="362"/>
      <c r="G143" s="489">
        <v>145801.04999999999</v>
      </c>
      <c r="H143" s="358"/>
      <c r="I143" s="358">
        <v>145801.05000000005</v>
      </c>
      <c r="K143" s="278">
        <f>'NG Cogen'!K143</f>
        <v>241787.91000000006</v>
      </c>
    </row>
    <row r="144" spans="1:11" s="275" customFormat="1" x14ac:dyDescent="0.15">
      <c r="A144" s="359">
        <v>81773</v>
      </c>
      <c r="B144" s="359">
        <v>77570</v>
      </c>
      <c r="C144" s="287" t="s">
        <v>1351</v>
      </c>
      <c r="D144" s="488">
        <v>148593</v>
      </c>
      <c r="E144" s="293"/>
      <c r="F144" s="393"/>
      <c r="G144" s="482">
        <f>K144*(D144/SUM(D144,'NG Cogen'!D144))</f>
        <v>43086.51470488964</v>
      </c>
      <c r="H144" s="358"/>
      <c r="I144" s="358">
        <v>43086.51470488964</v>
      </c>
      <c r="K144" s="278">
        <f>'NG Cogen'!K144</f>
        <v>78349.240000000005</v>
      </c>
    </row>
    <row r="145" spans="1:11" s="275" customFormat="1" ht="14" thickBot="1" x14ac:dyDescent="0.2">
      <c r="A145" s="359"/>
      <c r="B145" s="359"/>
      <c r="C145" s="291" t="s">
        <v>1358</v>
      </c>
      <c r="D145" s="476"/>
      <c r="E145" s="383"/>
      <c r="F145" s="327">
        <f>(H145*10)/D144</f>
        <v>12.711740438976912</v>
      </c>
      <c r="G145" s="327"/>
      <c r="H145" s="327">
        <v>188887.56470488964</v>
      </c>
    </row>
    <row r="146" spans="1:11" s="275" customFormat="1" ht="14" thickTop="1" x14ac:dyDescent="0.15">
      <c r="D146" s="478"/>
      <c r="E146" s="295"/>
    </row>
    <row r="147" spans="1:11" s="275" customFormat="1" x14ac:dyDescent="0.15">
      <c r="A147" s="359">
        <v>81773</v>
      </c>
      <c r="B147" s="359" t="s">
        <v>1334</v>
      </c>
      <c r="C147" s="287" t="s">
        <v>1349</v>
      </c>
      <c r="D147" s="488">
        <v>205833.9</v>
      </c>
      <c r="E147" s="293"/>
      <c r="F147" s="362"/>
      <c r="G147" s="489">
        <v>187760.66</v>
      </c>
      <c r="H147" s="358"/>
      <c r="I147" s="358">
        <v>187760.66</v>
      </c>
      <c r="K147" s="278">
        <f>'NG Cogen'!K147</f>
        <v>313606.96999999997</v>
      </c>
    </row>
    <row r="148" spans="1:11" s="275" customFormat="1" x14ac:dyDescent="0.15">
      <c r="A148" s="359">
        <v>81773</v>
      </c>
      <c r="B148" s="359">
        <v>77570</v>
      </c>
      <c r="C148" s="287" t="s">
        <v>1351</v>
      </c>
      <c r="D148" s="488">
        <v>205838</v>
      </c>
      <c r="E148" s="293"/>
      <c r="F148" s="393"/>
      <c r="G148" s="482">
        <f>K148*(D148/SUM(D148,'NG Cogen'!D148))</f>
        <v>47299.459519096243</v>
      </c>
      <c r="H148" s="358"/>
      <c r="I148" s="358">
        <v>47299.459519096228</v>
      </c>
      <c r="K148" s="278">
        <f>'NG Cogen'!K148</f>
        <v>79166.7</v>
      </c>
    </row>
    <row r="149" spans="1:11" s="275" customFormat="1" ht="14" thickBot="1" x14ac:dyDescent="0.2">
      <c r="A149" s="359"/>
      <c r="B149" s="359"/>
      <c r="C149" s="291" t="s">
        <v>1359</v>
      </c>
      <c r="D149" s="476"/>
      <c r="E149" s="383"/>
      <c r="F149" s="327">
        <f>(H149*10)/D148</f>
        <v>11.419665927530207</v>
      </c>
      <c r="G149" s="327"/>
      <c r="H149" s="327">
        <v>235060.1195190963</v>
      </c>
    </row>
    <row r="150" spans="1:11" s="275" customFormat="1" ht="14" thickTop="1" x14ac:dyDescent="0.15">
      <c r="D150" s="478"/>
      <c r="E150" s="295"/>
    </row>
    <row r="151" spans="1:11" s="275" customFormat="1" x14ac:dyDescent="0.15">
      <c r="A151" s="359">
        <v>81773</v>
      </c>
      <c r="B151" s="359" t="s">
        <v>1334</v>
      </c>
      <c r="C151" s="287" t="s">
        <v>1349</v>
      </c>
      <c r="D151" s="488">
        <v>91435.199999999997</v>
      </c>
      <c r="E151" s="293"/>
      <c r="F151" s="362"/>
      <c r="G151" s="489">
        <v>15177.48</v>
      </c>
      <c r="H151" s="358"/>
      <c r="I151" s="358">
        <v>15177.479999999998</v>
      </c>
      <c r="K151" s="278">
        <f>'NG Cogen'!K151</f>
        <v>46317.24</v>
      </c>
    </row>
    <row r="152" spans="1:11" s="275" customFormat="1" x14ac:dyDescent="0.15">
      <c r="A152" s="359">
        <v>81773</v>
      </c>
      <c r="B152" s="359">
        <v>77570</v>
      </c>
      <c r="C152" s="287" t="s">
        <v>1351</v>
      </c>
      <c r="D152" s="488">
        <v>91419</v>
      </c>
      <c r="E152" s="293"/>
      <c r="F152" s="393"/>
      <c r="G152" s="482">
        <f>K152*(D152/SUM(D152,'NG Cogen'!D152))</f>
        <v>42765.540278707005</v>
      </c>
      <c r="H152" s="358"/>
      <c r="I152" s="358">
        <v>42765.54027870702</v>
      </c>
      <c r="K152" s="278">
        <f>'NG Cogen'!K152</f>
        <v>77192.13</v>
      </c>
    </row>
    <row r="153" spans="1:11" s="275" customFormat="1" ht="14" thickBot="1" x14ac:dyDescent="0.2">
      <c r="A153" s="359"/>
      <c r="B153" s="359"/>
      <c r="C153" s="291" t="s">
        <v>1360</v>
      </c>
      <c r="D153" s="476"/>
      <c r="E153" s="383"/>
      <c r="F153" s="327">
        <f>(H153*10)/D152</f>
        <v>6.3381813713458914</v>
      </c>
      <c r="G153" s="327"/>
      <c r="H153" s="327">
        <v>57943.020278707008</v>
      </c>
    </row>
    <row r="154" spans="1:11" s="275" customFormat="1" ht="14" thickTop="1" x14ac:dyDescent="0.15">
      <c r="D154" s="478"/>
      <c r="E154" s="295"/>
    </row>
    <row r="155" spans="1:11" s="275" customFormat="1" x14ac:dyDescent="0.15">
      <c r="A155" s="359">
        <v>81773</v>
      </c>
      <c r="B155" s="359" t="s">
        <v>1334</v>
      </c>
      <c r="C155" s="287" t="s">
        <v>1349</v>
      </c>
      <c r="D155" s="488">
        <v>148230.6</v>
      </c>
      <c r="E155" s="293"/>
      <c r="F155" s="362"/>
      <c r="G155" s="489">
        <v>144966.41</v>
      </c>
      <c r="H155" s="358"/>
      <c r="I155" s="358">
        <v>144966.41000000003</v>
      </c>
      <c r="K155" s="278">
        <f>'NG Cogen'!K155</f>
        <v>261251.42000000004</v>
      </c>
    </row>
    <row r="156" spans="1:11" s="275" customFormat="1" x14ac:dyDescent="0.15">
      <c r="A156" s="359">
        <v>81773</v>
      </c>
      <c r="B156" s="359">
        <v>77570</v>
      </c>
      <c r="C156" s="287" t="s">
        <v>1351</v>
      </c>
      <c r="D156" s="488">
        <v>148222</v>
      </c>
      <c r="E156" s="293"/>
      <c r="F156" s="393"/>
      <c r="G156" s="482">
        <f>K156*(D156/SUM(D156,'NG Cogen'!D156))</f>
        <v>40797.391810035966</v>
      </c>
      <c r="H156" s="358"/>
      <c r="I156" s="358">
        <v>40797.391810035973</v>
      </c>
      <c r="K156" s="278">
        <f>'NG Cogen'!K156</f>
        <v>78514.789999999994</v>
      </c>
    </row>
    <row r="157" spans="1:11" s="275" customFormat="1" ht="14" thickBot="1" x14ac:dyDescent="0.2">
      <c r="A157" s="359"/>
      <c r="B157" s="359"/>
      <c r="C157" s="291" t="s">
        <v>1361</v>
      </c>
      <c r="D157" s="476"/>
      <c r="E157" s="383"/>
      <c r="F157" s="327">
        <f>(H157*10)/D156</f>
        <v>12.532809016882508</v>
      </c>
      <c r="G157" s="327"/>
      <c r="H157" s="327">
        <v>185763.80181003592</v>
      </c>
    </row>
    <row r="158" spans="1:11" s="275" customFormat="1" ht="14" thickTop="1" x14ac:dyDescent="0.15">
      <c r="D158" s="478"/>
      <c r="E158" s="295"/>
    </row>
    <row r="159" spans="1:11" s="275" customFormat="1" x14ac:dyDescent="0.15">
      <c r="A159" s="359">
        <v>81773</v>
      </c>
      <c r="B159" s="359" t="s">
        <v>1334</v>
      </c>
      <c r="C159" s="287" t="s">
        <v>1349</v>
      </c>
      <c r="D159" s="488">
        <v>50525.5</v>
      </c>
      <c r="E159" s="293"/>
      <c r="F159" s="362"/>
      <c r="G159" s="489">
        <v>85515.87</v>
      </c>
      <c r="H159" s="358"/>
      <c r="I159" s="358">
        <v>85515.87</v>
      </c>
      <c r="K159" s="278">
        <f>'NG Cogen'!K159</f>
        <v>152418.19</v>
      </c>
    </row>
    <row r="160" spans="1:11" s="275" customFormat="1" x14ac:dyDescent="0.15">
      <c r="A160" s="359">
        <v>81773</v>
      </c>
      <c r="B160" s="359">
        <v>77570</v>
      </c>
      <c r="C160" s="287" t="s">
        <v>1351</v>
      </c>
      <c r="D160" s="488">
        <v>50535</v>
      </c>
      <c r="E160" s="293"/>
      <c r="F160" s="393"/>
      <c r="G160" s="482">
        <f>K160*(D160/SUM(D160,'NG Cogen'!D160))</f>
        <v>21966.341288951837</v>
      </c>
      <c r="H160" s="358"/>
      <c r="I160" s="358">
        <v>21966.341288951829</v>
      </c>
      <c r="K160" s="278">
        <f>'NG Cogen'!K160</f>
        <v>77334.039999999994</v>
      </c>
    </row>
    <row r="161" spans="1:11" s="275" customFormat="1" ht="14" thickBot="1" x14ac:dyDescent="0.2">
      <c r="A161" s="359"/>
      <c r="B161" s="359"/>
      <c r="C161" s="291" t="s">
        <v>1362</v>
      </c>
      <c r="D161" s="476"/>
      <c r="E161" s="383"/>
      <c r="F161" s="327">
        <f>(H161*10)/D160</f>
        <v>21.268865398031434</v>
      </c>
      <c r="G161" s="327"/>
      <c r="H161" s="327">
        <v>107482.21128895185</v>
      </c>
    </row>
    <row r="162" spans="1:11" s="275" customFormat="1" ht="14" thickTop="1" x14ac:dyDescent="0.15">
      <c r="D162" s="478"/>
      <c r="E162" s="295"/>
    </row>
    <row r="163" spans="1:11" s="275" customFormat="1" x14ac:dyDescent="0.15">
      <c r="A163" s="359">
        <v>81773</v>
      </c>
      <c r="B163" s="359" t="s">
        <v>1334</v>
      </c>
      <c r="C163" s="287" t="s">
        <v>1349</v>
      </c>
      <c r="D163" s="488">
        <v>23213.4</v>
      </c>
      <c r="E163" s="293"/>
      <c r="F163" s="362"/>
      <c r="G163" s="489">
        <v>19654.32</v>
      </c>
      <c r="H163" s="358"/>
      <c r="I163" s="358">
        <v>19654.32</v>
      </c>
      <c r="K163" s="278">
        <f>'NG Cogen'!K163</f>
        <v>130705.12000000002</v>
      </c>
    </row>
    <row r="164" spans="1:11" s="275" customFormat="1" x14ac:dyDescent="0.15">
      <c r="A164" s="359">
        <v>81773</v>
      </c>
      <c r="B164" s="359">
        <v>77570</v>
      </c>
      <c r="C164" s="287" t="s">
        <v>1351</v>
      </c>
      <c r="D164" s="488">
        <v>23215</v>
      </c>
      <c r="E164" s="293"/>
      <c r="F164" s="393"/>
      <c r="G164" s="482">
        <f>K164*(D164/SUM(D164,'NG Cogen'!D164))</f>
        <v>12308.52168239427</v>
      </c>
      <c r="H164" s="358"/>
      <c r="I164" s="358">
        <v>12308.521682394274</v>
      </c>
      <c r="K164" s="278">
        <f>'NG Cogen'!K164</f>
        <v>76973.990000000005</v>
      </c>
    </row>
    <row r="165" spans="1:11" s="275" customFormat="1" ht="14" thickBot="1" x14ac:dyDescent="0.2">
      <c r="A165" s="359"/>
      <c r="B165" s="359"/>
      <c r="C165" s="291" t="s">
        <v>1363</v>
      </c>
      <c r="D165" s="476"/>
      <c r="E165" s="383"/>
      <c r="F165" s="327">
        <f>(H165*10)/D164</f>
        <v>13.768185088259433</v>
      </c>
      <c r="G165" s="327"/>
      <c r="H165" s="327">
        <v>31962.841682394272</v>
      </c>
    </row>
    <row r="166" spans="1:11" s="275" customFormat="1" ht="14" thickTop="1" x14ac:dyDescent="0.15">
      <c r="D166" s="478"/>
      <c r="E166" s="295"/>
    </row>
    <row r="167" spans="1:11" s="275" customFormat="1" x14ac:dyDescent="0.15">
      <c r="A167" s="359">
        <v>81773</v>
      </c>
      <c r="B167" s="359" t="s">
        <v>1334</v>
      </c>
      <c r="C167" s="287" t="s">
        <v>1349</v>
      </c>
      <c r="D167" s="488">
        <v>22856.6</v>
      </c>
      <c r="E167" s="293"/>
      <c r="F167" s="362"/>
      <c r="G167" s="489">
        <v>25673.05</v>
      </c>
      <c r="H167" s="358"/>
      <c r="I167" s="358">
        <v>25673.050000000003</v>
      </c>
      <c r="K167" s="278">
        <f>'NG Cogen'!K167</f>
        <v>92221.84</v>
      </c>
    </row>
    <row r="168" spans="1:11" s="275" customFormat="1" x14ac:dyDescent="0.15">
      <c r="A168" s="359">
        <v>81773</v>
      </c>
      <c r="B168" s="359">
        <v>77570</v>
      </c>
      <c r="C168" s="287" t="s">
        <v>1351</v>
      </c>
      <c r="D168" s="488">
        <v>22857</v>
      </c>
      <c r="E168" s="293"/>
      <c r="F168" s="393"/>
      <c r="G168" s="482">
        <f>K168*(D168/SUM(D168,'NG Cogen'!D168))</f>
        <v>14898.008820634015</v>
      </c>
      <c r="H168" s="358"/>
      <c r="I168" s="358">
        <v>14898.008820634017</v>
      </c>
      <c r="K168" s="278">
        <f>'NG Cogen'!K168</f>
        <v>76670.94</v>
      </c>
    </row>
    <row r="169" spans="1:11" s="275" customFormat="1" ht="14" thickBot="1" x14ac:dyDescent="0.2">
      <c r="A169" s="359"/>
      <c r="B169" s="359"/>
      <c r="C169" s="291" t="s">
        <v>1364</v>
      </c>
      <c r="D169" s="476"/>
      <c r="E169" s="366"/>
      <c r="F169" s="327">
        <f>(H169*10)/D168</f>
        <v>17.749949171209703</v>
      </c>
      <c r="G169" s="327"/>
      <c r="H169" s="327">
        <v>40571.058820634018</v>
      </c>
    </row>
    <row r="170" spans="1:11" s="275" customFormat="1" ht="14" thickTop="1" x14ac:dyDescent="0.15">
      <c r="D170" s="478"/>
    </row>
    <row r="171" spans="1:11" s="275" customFormat="1" x14ac:dyDescent="0.15">
      <c r="D171" s="478"/>
    </row>
    <row r="172" spans="1:11" s="290" customFormat="1" ht="14" thickBot="1" x14ac:dyDescent="0.2">
      <c r="C172" s="290" t="s">
        <v>146</v>
      </c>
      <c r="D172" s="491">
        <f>SUM(D124,D128,D132,D136)</f>
        <v>134064</v>
      </c>
      <c r="E172" s="478"/>
      <c r="H172" s="327">
        <v>290920.06228558935</v>
      </c>
    </row>
    <row r="173" spans="1:11" s="290" customFormat="1" ht="14" thickTop="1" x14ac:dyDescent="0.15">
      <c r="C173" s="290" t="s">
        <v>1365</v>
      </c>
      <c r="D173" s="478"/>
      <c r="E173" s="478"/>
      <c r="G173" s="492">
        <f>(H172*10)/D172</f>
        <v>21.700088188148147</v>
      </c>
    </row>
    <row r="174" spans="1:11" s="275" customFormat="1" x14ac:dyDescent="0.15">
      <c r="D174" s="478"/>
    </row>
    <row r="175" spans="1:11" s="275" customFormat="1" x14ac:dyDescent="0.15">
      <c r="C175" s="290" t="s">
        <v>1366</v>
      </c>
      <c r="D175" s="493">
        <f>SUM(D140,D144,D148,D152,D156)</f>
        <v>704406</v>
      </c>
      <c r="G175" s="494">
        <f>D175/SUM('NG Cogen'!D175,'NG Main'!D175)</f>
        <v>0.54845800057461469</v>
      </c>
    </row>
    <row r="176" spans="1:11" s="275" customFormat="1" x14ac:dyDescent="0.15">
      <c r="D176" s="478"/>
    </row>
    <row r="177" spans="1:12" s="478" customFormat="1" x14ac:dyDescent="0.15">
      <c r="G177" s="478" t="s">
        <v>1370</v>
      </c>
    </row>
    <row r="178" spans="1:12" s="275" customFormat="1" x14ac:dyDescent="0.15">
      <c r="C178" s="290" t="s">
        <v>1371</v>
      </c>
      <c r="D178" s="496">
        <f>SUM(D68,D72,D76,D80,D84,D88,D92,D96,D100,D104,D108,D112)</f>
        <v>768596.4</v>
      </c>
      <c r="E178" s="479"/>
      <c r="G178" s="513">
        <f>SUM(H69:H113)</f>
        <v>534701.32952289493</v>
      </c>
    </row>
    <row r="179" spans="1:12" s="275" customFormat="1" x14ac:dyDescent="0.15">
      <c r="C179" s="290" t="s">
        <v>1372</v>
      </c>
      <c r="D179" s="514">
        <f>SUM(D124,D128,D132,D136,D140,D144,D148,D152,D156,D160,D164,D168)</f>
        <v>935077</v>
      </c>
      <c r="E179" s="479"/>
      <c r="G179" s="515">
        <f>SUM(H125:H169)</f>
        <v>1269027.1184927914</v>
      </c>
    </row>
    <row r="180" spans="1:12" s="275" customFormat="1" x14ac:dyDescent="0.15">
      <c r="D180" s="496">
        <f>D179-D178</f>
        <v>166480.59999999998</v>
      </c>
      <c r="G180" s="516">
        <f>G179-G178</f>
        <v>734325.7889698965</v>
      </c>
    </row>
    <row r="181" spans="1:12" s="275" customFormat="1" ht="14" thickBot="1" x14ac:dyDescent="0.2">
      <c r="D181" s="478"/>
    </row>
    <row r="182" spans="1:12" ht="31" thickBot="1" x14ac:dyDescent="0.35">
      <c r="A182" s="770" t="s">
        <v>1106</v>
      </c>
      <c r="B182" s="771"/>
      <c r="C182" s="771"/>
      <c r="D182" s="771"/>
      <c r="E182" s="771"/>
      <c r="F182" s="771"/>
      <c r="G182" s="771"/>
      <c r="H182" s="771"/>
      <c r="I182" s="771"/>
      <c r="J182" s="771"/>
      <c r="K182" s="771"/>
      <c r="L182" s="772"/>
    </row>
    <row r="184" spans="1:12" s="275" customFormat="1" x14ac:dyDescent="0.15">
      <c r="A184" s="359">
        <v>81773</v>
      </c>
      <c r="B184" s="359" t="s">
        <v>1334</v>
      </c>
      <c r="C184" s="287" t="s">
        <v>1349</v>
      </c>
      <c r="D184" s="488">
        <v>28012.3</v>
      </c>
      <c r="E184" s="293"/>
      <c r="F184" s="362"/>
      <c r="G184" s="489">
        <v>24134.03</v>
      </c>
      <c r="H184" s="358"/>
      <c r="I184" s="358">
        <v>24134.03</v>
      </c>
      <c r="K184" s="278">
        <f>'NG Cogen'!K184</f>
        <v>135991.87</v>
      </c>
    </row>
    <row r="185" spans="1:12" s="275" customFormat="1" x14ac:dyDescent="0.15">
      <c r="A185" s="359">
        <v>81773</v>
      </c>
      <c r="B185" s="359">
        <v>77570</v>
      </c>
      <c r="C185" s="287" t="s">
        <v>1351</v>
      </c>
      <c r="D185" s="488">
        <v>28012</v>
      </c>
      <c r="E185" s="293"/>
      <c r="F185" s="362"/>
      <c r="G185" s="482">
        <f>K185*(D185/SUM(D185,'NG Cogen'!D185))</f>
        <v>13727.266829618615</v>
      </c>
      <c r="H185" s="358"/>
      <c r="I185" s="358">
        <v>13727.266829618615</v>
      </c>
      <c r="K185" s="278">
        <f>'NG Cogen'!K185</f>
        <v>77107.820000000007</v>
      </c>
    </row>
    <row r="186" spans="1:12" s="275" customFormat="1" ht="14" thickBot="1" x14ac:dyDescent="0.2">
      <c r="A186" s="359"/>
      <c r="B186" s="359"/>
      <c r="C186" s="291" t="s">
        <v>1353</v>
      </c>
      <c r="D186" s="476"/>
      <c r="E186" s="366"/>
      <c r="F186" s="327">
        <f>(H186*10)/D185</f>
        <v>13.516099110959095</v>
      </c>
      <c r="G186" s="327"/>
      <c r="H186" s="327">
        <v>37861.296829618615</v>
      </c>
    </row>
    <row r="187" spans="1:12" s="275" customFormat="1" ht="14" thickTop="1" x14ac:dyDescent="0.15">
      <c r="D187" s="478"/>
    </row>
    <row r="188" spans="1:12" s="275" customFormat="1" x14ac:dyDescent="0.15">
      <c r="A188" s="359">
        <v>81773</v>
      </c>
      <c r="B188" s="359" t="s">
        <v>1334</v>
      </c>
      <c r="C188" s="287" t="s">
        <v>1349</v>
      </c>
      <c r="D188" s="488">
        <v>28831.9</v>
      </c>
      <c r="E188" s="293"/>
      <c r="F188" s="362"/>
      <c r="G188" s="489">
        <v>23981.77</v>
      </c>
      <c r="H188" s="358"/>
      <c r="I188" s="358">
        <v>23981.769999999997</v>
      </c>
      <c r="K188" s="278">
        <f>'NG Cogen'!K188</f>
        <v>131554.51999999999</v>
      </c>
    </row>
    <row r="189" spans="1:12" s="275" customFormat="1" x14ac:dyDescent="0.15">
      <c r="A189" s="359">
        <v>81773</v>
      </c>
      <c r="B189" s="359">
        <v>77570</v>
      </c>
      <c r="C189" s="287" t="s">
        <v>1351</v>
      </c>
      <c r="D189" s="488">
        <v>28833</v>
      </c>
      <c r="E189" s="293"/>
      <c r="F189" s="393"/>
      <c r="G189" s="482">
        <f>K189*(D189/SUM(D189,'NG Cogen'!D189))</f>
        <v>14095.444818273456</v>
      </c>
      <c r="H189" s="358"/>
      <c r="I189" s="358">
        <v>14095.444818273452</v>
      </c>
      <c r="K189" s="278">
        <f>'NG Cogen'!K189</f>
        <v>77112.100000000006</v>
      </c>
    </row>
    <row r="190" spans="1:12" s="275" customFormat="1" ht="14" thickBot="1" x14ac:dyDescent="0.2">
      <c r="A190" s="359"/>
      <c r="B190" s="359"/>
      <c r="C190" s="291" t="s">
        <v>1354</v>
      </c>
      <c r="D190" s="476"/>
      <c r="E190" s="383"/>
      <c r="F190" s="327">
        <f>(H190*10)/D189</f>
        <v>13.206123129148354</v>
      </c>
      <c r="G190" s="327"/>
      <c r="H190" s="327">
        <v>38077.214818273453</v>
      </c>
    </row>
    <row r="191" spans="1:12" s="275" customFormat="1" ht="14" thickTop="1" x14ac:dyDescent="0.15">
      <c r="D191" s="478"/>
      <c r="E191" s="295"/>
    </row>
    <row r="192" spans="1:12" s="275" customFormat="1" x14ac:dyDescent="0.15">
      <c r="A192" s="359">
        <v>81773</v>
      </c>
      <c r="B192" s="359" t="s">
        <v>1334</v>
      </c>
      <c r="C192" s="287" t="s">
        <v>1349</v>
      </c>
      <c r="D192" s="488">
        <v>31496.7</v>
      </c>
      <c r="E192" s="293"/>
      <c r="F192" s="362"/>
      <c r="G192" s="489">
        <v>26631.46</v>
      </c>
      <c r="H192" s="358"/>
      <c r="I192" s="358">
        <v>26631.460000000003</v>
      </c>
      <c r="K192" s="278">
        <f>'NG Cogen'!K192</f>
        <v>132563.43999999997</v>
      </c>
    </row>
    <row r="193" spans="1:11" s="275" customFormat="1" x14ac:dyDescent="0.15">
      <c r="A193" s="359">
        <v>81773</v>
      </c>
      <c r="B193" s="359">
        <v>77570</v>
      </c>
      <c r="C193" s="287" t="s">
        <v>1351</v>
      </c>
      <c r="D193" s="488">
        <v>31497</v>
      </c>
      <c r="E193" s="293"/>
      <c r="F193" s="393"/>
      <c r="G193" s="482">
        <f>K193*(D193/SUM(D193,'NG Cogen'!D193))</f>
        <v>15519.17526959578</v>
      </c>
      <c r="H193" s="358"/>
      <c r="I193" s="358">
        <v>15519.17526959578</v>
      </c>
      <c r="K193" s="278">
        <f>'NG Cogen'!K193</f>
        <v>77098.23</v>
      </c>
    </row>
    <row r="194" spans="1:11" s="275" customFormat="1" ht="14" thickBot="1" x14ac:dyDescent="0.2">
      <c r="A194" s="359"/>
      <c r="B194" s="359"/>
      <c r="C194" s="291" t="s">
        <v>1355</v>
      </c>
      <c r="D194" s="476"/>
      <c r="E194" s="383"/>
      <c r="F194" s="327">
        <f>(H194*10)/D193</f>
        <v>13.382428570846672</v>
      </c>
      <c r="G194" s="327"/>
      <c r="H194" s="327">
        <v>42150.635269595761</v>
      </c>
    </row>
    <row r="195" spans="1:11" s="275" customFormat="1" ht="14" thickTop="1" x14ac:dyDescent="0.15">
      <c r="D195" s="478"/>
      <c r="E195" s="295"/>
    </row>
    <row r="196" spans="1:11" s="275" customFormat="1" x14ac:dyDescent="0.15">
      <c r="A196" s="359">
        <v>81773</v>
      </c>
      <c r="B196" s="359" t="s">
        <v>1334</v>
      </c>
      <c r="C196" s="287" t="s">
        <v>1349</v>
      </c>
      <c r="D196" s="488">
        <v>64549.9</v>
      </c>
      <c r="E196" s="293"/>
      <c r="F196" s="362"/>
      <c r="G196" s="489">
        <v>57160.160000000003</v>
      </c>
      <c r="H196" s="358"/>
      <c r="I196" s="358">
        <v>57160.159999999996</v>
      </c>
      <c r="K196" s="278">
        <f>'NG Cogen'!K196</f>
        <v>154305.88999999998</v>
      </c>
    </row>
    <row r="197" spans="1:11" s="275" customFormat="1" x14ac:dyDescent="0.15">
      <c r="A197" s="359">
        <v>81773</v>
      </c>
      <c r="B197" s="359">
        <v>77570</v>
      </c>
      <c r="C197" s="287" t="s">
        <v>1351</v>
      </c>
      <c r="D197" s="488">
        <v>64562</v>
      </c>
      <c r="E197" s="293"/>
      <c r="F197" s="393"/>
      <c r="G197" s="482">
        <f>K197*(D197/SUM(D197,'NG Cogen'!D197))</f>
        <v>28429.517397059746</v>
      </c>
      <c r="H197" s="358"/>
      <c r="I197" s="358">
        <v>28429.51739705975</v>
      </c>
      <c r="K197" s="278">
        <f>'NG Cogen'!K197</f>
        <v>77308.19</v>
      </c>
    </row>
    <row r="198" spans="1:11" s="275" customFormat="1" ht="14" thickBot="1" x14ac:dyDescent="0.2">
      <c r="A198" s="359"/>
      <c r="B198" s="359"/>
      <c r="C198" s="291" t="s">
        <v>1356</v>
      </c>
      <c r="D198" s="476"/>
      <c r="E198" s="383"/>
      <c r="F198" s="327">
        <f>(H198*10)/D197</f>
        <v>13.256974287825617</v>
      </c>
      <c r="G198" s="327"/>
      <c r="H198" s="327">
        <v>85589.677397059757</v>
      </c>
    </row>
    <row r="199" spans="1:11" s="275" customFormat="1" ht="14" thickTop="1" x14ac:dyDescent="0.15">
      <c r="D199" s="478"/>
      <c r="E199" s="295"/>
    </row>
    <row r="200" spans="1:11" s="275" customFormat="1" x14ac:dyDescent="0.15">
      <c r="A200" s="359">
        <v>81773</v>
      </c>
      <c r="B200" s="359" t="s">
        <v>1334</v>
      </c>
      <c r="C200" s="287" t="s">
        <v>1349</v>
      </c>
      <c r="D200" s="488">
        <v>71856.3</v>
      </c>
      <c r="E200" s="293"/>
      <c r="F200" s="362"/>
      <c r="G200" s="489">
        <v>64682.67</v>
      </c>
      <c r="H200" s="358"/>
      <c r="I200" s="358">
        <v>64682.669999999991</v>
      </c>
      <c r="K200" s="278">
        <f>'NG Cogen'!K200</f>
        <v>181134.30999999997</v>
      </c>
    </row>
    <row r="201" spans="1:11" s="275" customFormat="1" x14ac:dyDescent="0.15">
      <c r="A201" s="359">
        <v>81773</v>
      </c>
      <c r="B201" s="359">
        <v>77570</v>
      </c>
      <c r="C201" s="287" t="s">
        <v>1351</v>
      </c>
      <c r="D201" s="488">
        <v>71876</v>
      </c>
      <c r="E201" s="293"/>
      <c r="F201" s="393"/>
      <c r="G201" s="482">
        <f>K201*(D201/SUM(D201,'NG Cogen'!D201))</f>
        <v>29040.663022615248</v>
      </c>
      <c r="H201" s="358"/>
      <c r="I201" s="358">
        <v>29040.663022615248</v>
      </c>
      <c r="K201" s="278">
        <f>'NG Cogen'!K201</f>
        <v>78037.59</v>
      </c>
    </row>
    <row r="202" spans="1:11" s="275" customFormat="1" ht="14" thickBot="1" x14ac:dyDescent="0.2">
      <c r="A202" s="359"/>
      <c r="B202" s="359"/>
      <c r="C202" s="291" t="s">
        <v>1357</v>
      </c>
      <c r="D202" s="476"/>
      <c r="E202" s="383"/>
      <c r="F202" s="327">
        <f>(H202*10)/D201</f>
        <v>13.039586652375656</v>
      </c>
      <c r="G202" s="327"/>
      <c r="H202" s="327">
        <v>93723.333022615261</v>
      </c>
    </row>
    <row r="203" spans="1:11" s="275" customFormat="1" ht="14" thickTop="1" x14ac:dyDescent="0.15">
      <c r="D203" s="478"/>
      <c r="E203" s="295"/>
    </row>
    <row r="204" spans="1:11" s="275" customFormat="1" x14ac:dyDescent="0.15">
      <c r="A204" s="359">
        <v>81773</v>
      </c>
      <c r="B204" s="359" t="s">
        <v>1334</v>
      </c>
      <c r="C204" s="287" t="s">
        <v>1349</v>
      </c>
      <c r="D204" s="488">
        <v>105802.2</v>
      </c>
      <c r="E204" s="293"/>
      <c r="F204" s="362"/>
      <c r="G204" s="489">
        <v>78771.61</v>
      </c>
      <c r="H204" s="358"/>
      <c r="I204" s="358">
        <v>78771.61</v>
      </c>
      <c r="K204" s="278">
        <f>'NG Cogen'!K204</f>
        <v>165060.33000000002</v>
      </c>
    </row>
    <row r="205" spans="1:11" s="275" customFormat="1" x14ac:dyDescent="0.15">
      <c r="A205" s="359">
        <v>81773</v>
      </c>
      <c r="B205" s="359">
        <v>77570</v>
      </c>
      <c r="C205" s="287" t="s">
        <v>1351</v>
      </c>
      <c r="D205" s="488">
        <v>105804</v>
      </c>
      <c r="E205" s="293"/>
      <c r="F205" s="393"/>
      <c r="G205" s="482">
        <f>K205*(D205/SUM(D205,'NG Cogen'!D205))</f>
        <v>37236.972131179944</v>
      </c>
      <c r="H205" s="358"/>
      <c r="I205" s="358">
        <v>37236.972131179944</v>
      </c>
      <c r="K205" s="278">
        <f>'NG Cogen'!K205</f>
        <v>78362.210000000006</v>
      </c>
    </row>
    <row r="206" spans="1:11" s="275" customFormat="1" ht="14" thickBot="1" x14ac:dyDescent="0.2">
      <c r="A206" s="359"/>
      <c r="B206" s="359"/>
      <c r="C206" s="291" t="s">
        <v>1358</v>
      </c>
      <c r="D206" s="476"/>
      <c r="E206" s="383"/>
      <c r="F206" s="327">
        <f>(H206*10)/D205</f>
        <v>10.964479805222862</v>
      </c>
      <c r="G206" s="327"/>
      <c r="H206" s="327">
        <v>116008.58213117995</v>
      </c>
    </row>
    <row r="207" spans="1:11" s="275" customFormat="1" ht="14" thickTop="1" x14ac:dyDescent="0.15">
      <c r="D207" s="478"/>
      <c r="E207" s="295"/>
    </row>
    <row r="208" spans="1:11" s="275" customFormat="1" x14ac:dyDescent="0.15">
      <c r="A208" s="359">
        <v>81773</v>
      </c>
      <c r="B208" s="359" t="s">
        <v>1334</v>
      </c>
      <c r="C208" s="287" t="s">
        <v>1349</v>
      </c>
      <c r="D208" s="488">
        <v>165492.79999999999</v>
      </c>
      <c r="E208" s="293"/>
      <c r="F208" s="362"/>
      <c r="G208" s="489">
        <v>111298.81</v>
      </c>
      <c r="H208" s="358"/>
      <c r="I208" s="358">
        <v>111298.81</v>
      </c>
      <c r="K208" s="278">
        <f>'NG Cogen'!K208</f>
        <v>208631.69</v>
      </c>
    </row>
    <row r="209" spans="1:11" s="275" customFormat="1" x14ac:dyDescent="0.15">
      <c r="A209" s="359">
        <v>81773</v>
      </c>
      <c r="B209" s="359">
        <v>77570</v>
      </c>
      <c r="C209" s="287" t="s">
        <v>1351</v>
      </c>
      <c r="D209" s="488">
        <v>165500</v>
      </c>
      <c r="E209" s="293"/>
      <c r="F209" s="393"/>
      <c r="G209" s="482">
        <f>K209*(D209/SUM(D209,'NG Cogen'!D209))</f>
        <v>42457.443776340944</v>
      </c>
      <c r="H209" s="358"/>
      <c r="I209" s="358">
        <v>42457.443776340937</v>
      </c>
      <c r="K209" s="278">
        <f>'NG Cogen'!K209</f>
        <v>79313.84</v>
      </c>
    </row>
    <row r="210" spans="1:11" s="275" customFormat="1" ht="14" thickBot="1" x14ac:dyDescent="0.2">
      <c r="A210" s="359"/>
      <c r="B210" s="359"/>
      <c r="C210" s="291" t="s">
        <v>1359</v>
      </c>
      <c r="D210" s="476"/>
      <c r="E210" s="383"/>
      <c r="F210" s="327">
        <f>(H210*10)/D209</f>
        <v>9.2904080831625961</v>
      </c>
      <c r="G210" s="327"/>
      <c r="H210" s="327">
        <v>153756.25377634098</v>
      </c>
    </row>
    <row r="211" spans="1:11" s="275" customFormat="1" ht="14" thickTop="1" x14ac:dyDescent="0.15">
      <c r="D211" s="478"/>
      <c r="E211" s="295"/>
    </row>
    <row r="212" spans="1:11" s="275" customFormat="1" x14ac:dyDescent="0.15">
      <c r="A212" s="359">
        <v>81773</v>
      </c>
      <c r="B212" s="359" t="s">
        <v>1334</v>
      </c>
      <c r="C212" s="287" t="s">
        <v>1349</v>
      </c>
      <c r="D212" s="488">
        <v>142971.20000000001</v>
      </c>
      <c r="E212" s="293"/>
      <c r="F212" s="362"/>
      <c r="G212" s="489">
        <v>104416.49</v>
      </c>
      <c r="H212" s="358"/>
      <c r="I212" s="358">
        <v>104416.49</v>
      </c>
      <c r="K212" s="278">
        <f>'NG Cogen'!K212</f>
        <v>182487.48000000004</v>
      </c>
    </row>
    <row r="213" spans="1:11" s="275" customFormat="1" x14ac:dyDescent="0.15">
      <c r="A213" s="359">
        <v>81773</v>
      </c>
      <c r="B213" s="359">
        <v>77570</v>
      </c>
      <c r="C213" s="287" t="s">
        <v>1351</v>
      </c>
      <c r="D213" s="488">
        <v>142970</v>
      </c>
      <c r="E213" s="293"/>
      <c r="F213" s="393"/>
      <c r="G213" s="482">
        <f>K213*(D213/SUM(D213,'NG Cogen'!D213))</f>
        <v>46006.532853101446</v>
      </c>
      <c r="H213" s="358"/>
      <c r="I213" s="358">
        <v>46006.532853101431</v>
      </c>
      <c r="K213" s="278">
        <f>'NG Cogen'!K213</f>
        <v>78599.83</v>
      </c>
    </row>
    <row r="214" spans="1:11" s="275" customFormat="1" ht="14" thickBot="1" x14ac:dyDescent="0.2">
      <c r="A214" s="359"/>
      <c r="B214" s="359"/>
      <c r="C214" s="291" t="s">
        <v>1360</v>
      </c>
      <c r="D214" s="476"/>
      <c r="E214" s="383"/>
      <c r="F214" s="327">
        <f>(H214*10)/D213</f>
        <v>10.521299772896517</v>
      </c>
      <c r="G214" s="327"/>
      <c r="H214" s="327">
        <v>150423.02285310152</v>
      </c>
    </row>
    <row r="215" spans="1:11" s="275" customFormat="1" ht="14" thickTop="1" x14ac:dyDescent="0.15">
      <c r="D215" s="478"/>
      <c r="E215" s="295"/>
    </row>
    <row r="216" spans="1:11" s="275" customFormat="1" x14ac:dyDescent="0.15">
      <c r="A216" s="359">
        <v>81773</v>
      </c>
      <c r="B216" s="359" t="s">
        <v>1334</v>
      </c>
      <c r="C216" s="287" t="s">
        <v>1349</v>
      </c>
      <c r="D216" s="488">
        <v>101589.8</v>
      </c>
      <c r="E216" s="293"/>
      <c r="F216" s="362"/>
      <c r="G216" s="489">
        <v>76778.100000000006</v>
      </c>
      <c r="H216" s="358"/>
      <c r="I216" s="358">
        <v>76778.099999999991</v>
      </c>
      <c r="K216" s="278">
        <f>'NG Cogen'!K216</f>
        <v>173077.51</v>
      </c>
    </row>
    <row r="217" spans="1:11" s="275" customFormat="1" x14ac:dyDescent="0.15">
      <c r="A217" s="359">
        <v>81773</v>
      </c>
      <c r="B217" s="359">
        <v>77570</v>
      </c>
      <c r="C217" s="287" t="s">
        <v>1351</v>
      </c>
      <c r="D217" s="488">
        <v>101580</v>
      </c>
      <c r="E217" s="293"/>
      <c r="F217" s="393"/>
      <c r="G217" s="482">
        <f>K217*(D217/SUM(D217,'NG Cogen'!D217))</f>
        <v>36022.040154261893</v>
      </c>
      <c r="H217" s="358"/>
      <c r="I217" s="358">
        <v>36022.040154261878</v>
      </c>
      <c r="K217" s="278">
        <f>'NG Cogen'!K217</f>
        <v>78343.149999999994</v>
      </c>
    </row>
    <row r="218" spans="1:11" s="275" customFormat="1" ht="14" thickBot="1" x14ac:dyDescent="0.2">
      <c r="A218" s="359"/>
      <c r="B218" s="359"/>
      <c r="C218" s="291" t="s">
        <v>1361</v>
      </c>
      <c r="D218" s="476"/>
      <c r="E218" s="383"/>
      <c r="F218" s="327">
        <f>(H218*10)/D217</f>
        <v>11.104561936824364</v>
      </c>
      <c r="G218" s="327"/>
      <c r="H218" s="327">
        <v>112800.14015426188</v>
      </c>
    </row>
    <row r="219" spans="1:11" s="275" customFormat="1" ht="14" thickTop="1" x14ac:dyDescent="0.15">
      <c r="D219" s="478"/>
      <c r="E219" s="295"/>
    </row>
    <row r="220" spans="1:11" s="275" customFormat="1" x14ac:dyDescent="0.15">
      <c r="A220" s="359">
        <v>81773</v>
      </c>
      <c r="B220" s="359" t="s">
        <v>1334</v>
      </c>
      <c r="C220" s="287" t="s">
        <v>1349</v>
      </c>
      <c r="D220" s="488">
        <v>64834.6</v>
      </c>
      <c r="E220" s="293"/>
      <c r="F220" s="362"/>
      <c r="G220" s="489">
        <v>38997.4</v>
      </c>
      <c r="H220" s="358"/>
      <c r="I220" s="358">
        <v>38997.4</v>
      </c>
      <c r="K220" s="278">
        <f>'NG Cogen'!K220</f>
        <v>120490.50000000003</v>
      </c>
    </row>
    <row r="221" spans="1:11" s="275" customFormat="1" x14ac:dyDescent="0.15">
      <c r="A221" s="359">
        <v>81773</v>
      </c>
      <c r="B221" s="359">
        <v>77570</v>
      </c>
      <c r="C221" s="287" t="s">
        <v>1351</v>
      </c>
      <c r="D221" s="488">
        <v>64814</v>
      </c>
      <c r="E221" s="293"/>
      <c r="F221" s="393"/>
      <c r="G221" s="482">
        <f>K221*(D221/SUM(D221,'NG Cogen'!D221))</f>
        <v>26548.093058646238</v>
      </c>
      <c r="H221" s="358"/>
      <c r="I221" s="358">
        <v>26548.093058646235</v>
      </c>
      <c r="K221" s="278">
        <f>'NG Cogen'!K221</f>
        <v>78007.91</v>
      </c>
    </row>
    <row r="222" spans="1:11" s="275" customFormat="1" ht="14" thickBot="1" x14ac:dyDescent="0.2">
      <c r="A222" s="359"/>
      <c r="B222" s="359"/>
      <c r="C222" s="291" t="s">
        <v>1362</v>
      </c>
      <c r="D222" s="476"/>
      <c r="E222" s="383"/>
      <c r="F222" s="327">
        <f>(H222*10)/D221</f>
        <v>10.112860347864078</v>
      </c>
      <c r="G222" s="327"/>
      <c r="H222" s="327">
        <v>65545.493058646243</v>
      </c>
    </row>
    <row r="223" spans="1:11" s="275" customFormat="1" ht="14" thickTop="1" x14ac:dyDescent="0.15">
      <c r="D223" s="478"/>
      <c r="E223" s="295"/>
    </row>
    <row r="224" spans="1:11" s="275" customFormat="1" x14ac:dyDescent="0.15">
      <c r="A224" s="359">
        <v>81773</v>
      </c>
      <c r="B224" s="359" t="s">
        <v>1334</v>
      </c>
      <c r="C224" s="287" t="s">
        <v>1349</v>
      </c>
      <c r="D224" s="488">
        <v>41455.300000000003</v>
      </c>
      <c r="E224" s="293"/>
      <c r="F224" s="362"/>
      <c r="G224" s="489">
        <v>30372.03</v>
      </c>
      <c r="H224" s="358"/>
      <c r="I224" s="358">
        <v>30372.029999999995</v>
      </c>
      <c r="K224" s="278">
        <f>'NG Cogen'!K224</f>
        <v>95614.39</v>
      </c>
    </row>
    <row r="225" spans="1:11" s="275" customFormat="1" x14ac:dyDescent="0.15">
      <c r="A225" s="359">
        <v>81773</v>
      </c>
      <c r="B225" s="359">
        <v>77570</v>
      </c>
      <c r="C225" s="287" t="s">
        <v>1351</v>
      </c>
      <c r="D225" s="488">
        <v>41459</v>
      </c>
      <c r="E225" s="293"/>
      <c r="F225" s="393"/>
      <c r="G225" s="482">
        <f>K225*(D225/SUM(D225,'NG Cogen'!D225))</f>
        <v>22471.909055926688</v>
      </c>
      <c r="H225" s="358"/>
      <c r="I225" s="358">
        <v>22471.909055926681</v>
      </c>
      <c r="K225" s="278">
        <f>'NG Cogen'!K225</f>
        <v>77485.509999999995</v>
      </c>
    </row>
    <row r="226" spans="1:11" s="275" customFormat="1" ht="14" thickBot="1" x14ac:dyDescent="0.2">
      <c r="A226" s="359"/>
      <c r="B226" s="359"/>
      <c r="C226" s="291" t="s">
        <v>1363</v>
      </c>
      <c r="D226" s="476"/>
      <c r="E226" s="383"/>
      <c r="F226" s="327">
        <f>(H226*10)/D225</f>
        <v>12.746071795249929</v>
      </c>
      <c r="G226" s="327"/>
      <c r="H226" s="327">
        <v>52843.939055926676</v>
      </c>
    </row>
    <row r="227" spans="1:11" s="275" customFormat="1" ht="14" thickTop="1" x14ac:dyDescent="0.15">
      <c r="D227" s="478"/>
      <c r="E227" s="295"/>
    </row>
    <row r="228" spans="1:11" s="275" customFormat="1" x14ac:dyDescent="0.15">
      <c r="A228" s="359">
        <v>81773</v>
      </c>
      <c r="B228" s="359" t="s">
        <v>1334</v>
      </c>
      <c r="C228" s="287" t="s">
        <v>1349</v>
      </c>
      <c r="D228" s="488">
        <v>25279.5</v>
      </c>
      <c r="E228" s="293"/>
      <c r="F228" s="362"/>
      <c r="G228" s="489">
        <v>17584.64</v>
      </c>
      <c r="H228" s="358"/>
      <c r="I228" s="358">
        <v>17584.639999999996</v>
      </c>
      <c r="K228" s="278">
        <f>'NG Cogen'!K228</f>
        <v>70824.240000000005</v>
      </c>
    </row>
    <row r="229" spans="1:11" s="275" customFormat="1" x14ac:dyDescent="0.15">
      <c r="A229" s="359">
        <v>81773</v>
      </c>
      <c r="B229" s="359">
        <v>77570</v>
      </c>
      <c r="C229" s="287" t="s">
        <v>1351</v>
      </c>
      <c r="D229" s="488">
        <v>25281</v>
      </c>
      <c r="E229" s="293"/>
      <c r="F229" s="393"/>
      <c r="G229" s="482">
        <f>K229*(D229/SUM(D229,'NG Cogen'!D229))</f>
        <v>15674.082088517724</v>
      </c>
      <c r="H229" s="358"/>
      <c r="I229" s="358">
        <v>15674.082088517724</v>
      </c>
      <c r="K229" s="278">
        <f>'NG Cogen'!K229</f>
        <v>77284.179999999993</v>
      </c>
    </row>
    <row r="230" spans="1:11" s="275" customFormat="1" ht="14" thickBot="1" x14ac:dyDescent="0.2">
      <c r="A230" s="359"/>
      <c r="B230" s="359"/>
      <c r="C230" s="291" t="s">
        <v>1364</v>
      </c>
      <c r="D230" s="476"/>
      <c r="E230" s="366"/>
      <c r="F230" s="327">
        <f>(H230*10)/D229</f>
        <v>13.15561967031277</v>
      </c>
      <c r="G230" s="327"/>
      <c r="H230" s="327">
        <v>33258.722088517716</v>
      </c>
    </row>
    <row r="231" spans="1:11" s="275" customFormat="1" ht="14" thickTop="1" x14ac:dyDescent="0.15">
      <c r="D231" s="478"/>
    </row>
    <row r="232" spans="1:11" s="275" customFormat="1" x14ac:dyDescent="0.15">
      <c r="D232" s="478"/>
    </row>
    <row r="233" spans="1:11" s="290" customFormat="1" ht="14" thickBot="1" x14ac:dyDescent="0.2">
      <c r="C233" s="290" t="s">
        <v>146</v>
      </c>
      <c r="D233" s="491">
        <f>SUM(D185,D189,D193,D197)</f>
        <v>152904</v>
      </c>
      <c r="E233" s="478"/>
      <c r="H233" s="327">
        <v>203678.82431454759</v>
      </c>
    </row>
    <row r="234" spans="1:11" s="290" customFormat="1" ht="14" thickTop="1" x14ac:dyDescent="0.15">
      <c r="C234" s="290" t="s">
        <v>1365</v>
      </c>
      <c r="D234" s="478"/>
      <c r="E234" s="478"/>
      <c r="G234" s="492">
        <f>(H233*10)/D233</f>
        <v>13.32069954445584</v>
      </c>
    </row>
    <row r="235" spans="1:11" s="275" customFormat="1" x14ac:dyDescent="0.15">
      <c r="D235" s="478"/>
    </row>
    <row r="236" spans="1:11" s="275" customFormat="1" x14ac:dyDescent="0.15">
      <c r="C236" s="290" t="s">
        <v>1366</v>
      </c>
      <c r="D236" s="493">
        <f>SUM(D201,D205,D209,D213,D217)</f>
        <v>587730</v>
      </c>
      <c r="G236" s="494">
        <f>D236/SUM('NG Cogen'!D237,'NG Main'!D236)</f>
        <v>1</v>
      </c>
    </row>
    <row r="237" spans="1:11" s="275" customFormat="1" x14ac:dyDescent="0.15">
      <c r="D237" s="478"/>
    </row>
    <row r="238" spans="1:11" s="478" customFormat="1" x14ac:dyDescent="0.15">
      <c r="G238" s="478" t="s">
        <v>1370</v>
      </c>
    </row>
    <row r="239" spans="1:11" s="275" customFormat="1" x14ac:dyDescent="0.15">
      <c r="C239" s="290" t="s">
        <v>1371</v>
      </c>
      <c r="D239" s="496">
        <f>SUM(D129,D133,D137,D141,D145,D149,D153,D157,D161,D165,D169,D173)</f>
        <v>0</v>
      </c>
      <c r="E239" s="479"/>
      <c r="G239" s="513">
        <f>SUM(H130:H174)</f>
        <v>1424594.1363477299</v>
      </c>
    </row>
    <row r="240" spans="1:11" s="275" customFormat="1" x14ac:dyDescent="0.15">
      <c r="C240" s="290" t="s">
        <v>1372</v>
      </c>
      <c r="D240" s="514">
        <f>SUM(D185,D189,D193,D197,D201,D205,D209,D213,D217,D221,D225,D229)</f>
        <v>872188</v>
      </c>
      <c r="E240" s="479"/>
      <c r="G240" s="515">
        <f>SUM(H186:H230)</f>
        <v>982038.31045513775</v>
      </c>
    </row>
    <row r="241" spans="1:12" s="275" customFormat="1" x14ac:dyDescent="0.15">
      <c r="D241" s="496">
        <f>D240-D239</f>
        <v>872188</v>
      </c>
      <c r="G241" s="516">
        <f>G240-G239</f>
        <v>-442555.8258925922</v>
      </c>
    </row>
    <row r="242" spans="1:12" ht="14" thickBot="1" x14ac:dyDescent="0.2"/>
    <row r="243" spans="1:12" s="275" customFormat="1" ht="31" thickBot="1" x14ac:dyDescent="0.35">
      <c r="A243" s="767" t="s">
        <v>1110</v>
      </c>
      <c r="B243" s="768"/>
      <c r="C243" s="768"/>
      <c r="D243" s="768"/>
      <c r="E243" s="768"/>
      <c r="F243" s="768"/>
      <c r="G243" s="768"/>
      <c r="H243" s="768"/>
      <c r="I243" s="768"/>
      <c r="J243" s="768"/>
      <c r="K243" s="768"/>
      <c r="L243" s="769"/>
    </row>
    <row r="244" spans="1:12" s="275" customFormat="1" x14ac:dyDescent="0.15">
      <c r="D244" s="478"/>
    </row>
    <row r="245" spans="1:12" s="275" customFormat="1" x14ac:dyDescent="0.15">
      <c r="A245" s="359">
        <v>81773</v>
      </c>
      <c r="B245" s="359" t="s">
        <v>1334</v>
      </c>
      <c r="C245" s="287" t="s">
        <v>1349</v>
      </c>
      <c r="D245" s="488">
        <v>37680.400000000001</v>
      </c>
      <c r="E245" s="475"/>
      <c r="F245" s="362"/>
      <c r="G245" s="489">
        <v>23564.34</v>
      </c>
      <c r="H245" s="358"/>
      <c r="I245" s="358">
        <v>23564.34</v>
      </c>
      <c r="K245" s="278">
        <f>'NG Cogen'!K245</f>
        <v>99171.64999999998</v>
      </c>
    </row>
    <row r="246" spans="1:12" s="275" customFormat="1" x14ac:dyDescent="0.15">
      <c r="A246" s="359">
        <v>81773</v>
      </c>
      <c r="B246" s="359">
        <v>77570</v>
      </c>
      <c r="C246" s="287" t="s">
        <v>1351</v>
      </c>
      <c r="D246" s="488">
        <v>37682</v>
      </c>
      <c r="E246" s="293"/>
      <c r="F246" s="362"/>
      <c r="G246" s="482">
        <f>K246*(D246/SUM(D246,'NG Cogen'!D246))</f>
        <v>18489.871677461346</v>
      </c>
      <c r="H246" s="358"/>
      <c r="I246" s="358">
        <v>18489.871677461349</v>
      </c>
      <c r="K246" s="278">
        <f>'NG Cogen'!K246</f>
        <v>77653.83</v>
      </c>
    </row>
    <row r="247" spans="1:12" s="275" customFormat="1" ht="14" thickBot="1" x14ac:dyDescent="0.2">
      <c r="A247" s="359"/>
      <c r="B247" s="359"/>
      <c r="C247" s="291" t="s">
        <v>1353</v>
      </c>
      <c r="D247" s="476"/>
      <c r="E247" s="366"/>
      <c r="F247" s="327">
        <f>(H247*10)/D246</f>
        <v>11.160291830970047</v>
      </c>
      <c r="G247" s="327"/>
      <c r="H247" s="327">
        <v>42054.211677461331</v>
      </c>
    </row>
    <row r="248" spans="1:12" s="275" customFormat="1" ht="14" thickTop="1" x14ac:dyDescent="0.15">
      <c r="D248" s="478"/>
    </row>
    <row r="249" spans="1:12" s="275" customFormat="1" x14ac:dyDescent="0.15">
      <c r="A249" s="359">
        <v>81773</v>
      </c>
      <c r="B249" s="359" t="s">
        <v>1334</v>
      </c>
      <c r="C249" s="287" t="s">
        <v>1349</v>
      </c>
      <c r="D249" s="488">
        <v>37473.800000000003</v>
      </c>
      <c r="E249" s="475"/>
      <c r="F249" s="362"/>
      <c r="G249" s="489">
        <v>23718.75</v>
      </c>
      <c r="H249" s="358"/>
      <c r="I249" s="358">
        <v>23718.75</v>
      </c>
      <c r="K249" s="278">
        <f>'NG Cogen'!K249</f>
        <v>98701.56</v>
      </c>
    </row>
    <row r="250" spans="1:12" s="275" customFormat="1" x14ac:dyDescent="0.15">
      <c r="A250" s="359">
        <v>81773</v>
      </c>
      <c r="B250" s="359">
        <v>77570</v>
      </c>
      <c r="C250" s="287" t="s">
        <v>1351</v>
      </c>
      <c r="D250" s="488">
        <v>37478</v>
      </c>
      <c r="E250" s="293"/>
      <c r="F250" s="393"/>
      <c r="G250" s="482">
        <f>K250*(D250/SUM(D250,'NG Cogen'!D250))</f>
        <v>18690.528745478725</v>
      </c>
      <c r="H250" s="358"/>
      <c r="I250" s="358">
        <v>18690.528745478732</v>
      </c>
      <c r="K250" s="278">
        <f>'NG Cogen'!K250</f>
        <v>77625.19</v>
      </c>
    </row>
    <row r="251" spans="1:12" s="275" customFormat="1" ht="14" thickBot="1" x14ac:dyDescent="0.2">
      <c r="A251" s="359"/>
      <c r="B251" s="359"/>
      <c r="C251" s="291" t="s">
        <v>1354</v>
      </c>
      <c r="D251" s="476"/>
      <c r="E251" s="383"/>
      <c r="F251" s="327">
        <f>(H251*10)/D250</f>
        <v>11.315779589486825</v>
      </c>
      <c r="G251" s="327"/>
      <c r="H251" s="327">
        <v>42409.278745478725</v>
      </c>
    </row>
    <row r="252" spans="1:12" s="275" customFormat="1" ht="14" thickTop="1" x14ac:dyDescent="0.15">
      <c r="D252" s="478"/>
      <c r="E252" s="295"/>
    </row>
    <row r="253" spans="1:12" s="275" customFormat="1" x14ac:dyDescent="0.15">
      <c r="A253" s="359">
        <v>81773</v>
      </c>
      <c r="B253" s="359" t="s">
        <v>1334</v>
      </c>
      <c r="C253" s="287" t="s">
        <v>1349</v>
      </c>
      <c r="D253" s="488">
        <v>37132.9</v>
      </c>
      <c r="E253" s="475"/>
      <c r="F253" s="362"/>
      <c r="G253" s="489">
        <v>24116.65</v>
      </c>
      <c r="H253" s="358"/>
      <c r="I253" s="358">
        <v>24116.650000000005</v>
      </c>
      <c r="K253" s="278">
        <f>'NG Cogen'!K253</f>
        <v>100826.45</v>
      </c>
    </row>
    <row r="254" spans="1:12" s="275" customFormat="1" x14ac:dyDescent="0.15">
      <c r="A254" s="359">
        <v>81773</v>
      </c>
      <c r="B254" s="359">
        <v>77570</v>
      </c>
      <c r="C254" s="287" t="s">
        <v>1351</v>
      </c>
      <c r="D254" s="488">
        <v>37135</v>
      </c>
      <c r="E254" s="293"/>
      <c r="F254" s="393"/>
      <c r="G254" s="482">
        <f>K254*(D254/SUM(D254,'NG Cogen'!D254))</f>
        <v>18618.094368580842</v>
      </c>
      <c r="H254" s="358"/>
      <c r="I254" s="358">
        <v>18618.094368580842</v>
      </c>
      <c r="K254" s="278">
        <f>'NG Cogen'!K254</f>
        <v>77615.92</v>
      </c>
    </row>
    <row r="255" spans="1:12" s="275" customFormat="1" ht="14" thickBot="1" x14ac:dyDescent="0.2">
      <c r="A255" s="359"/>
      <c r="B255" s="359"/>
      <c r="C255" s="291" t="s">
        <v>1355</v>
      </c>
      <c r="D255" s="476"/>
      <c r="E255" s="383"/>
      <c r="F255" s="327">
        <f>(H255*10)/D254</f>
        <v>11.507942471679234</v>
      </c>
      <c r="G255" s="327"/>
      <c r="H255" s="327">
        <v>42734.744368580839</v>
      </c>
    </row>
    <row r="256" spans="1:12" s="275" customFormat="1" ht="14" thickTop="1" x14ac:dyDescent="0.15">
      <c r="D256" s="478"/>
      <c r="E256" s="295"/>
    </row>
    <row r="257" spans="1:11" s="275" customFormat="1" x14ac:dyDescent="0.15">
      <c r="A257" s="359">
        <v>81773</v>
      </c>
      <c r="B257" s="359" t="s">
        <v>1334</v>
      </c>
      <c r="C257" s="287" t="s">
        <v>1349</v>
      </c>
      <c r="D257" s="488">
        <v>57090.3</v>
      </c>
      <c r="E257" s="475"/>
      <c r="F257" s="362"/>
      <c r="G257" s="489">
        <v>42571.63</v>
      </c>
      <c r="H257" s="358"/>
      <c r="I257" s="358">
        <v>42571.63</v>
      </c>
      <c r="K257" s="278">
        <f>'NG Cogen'!K257</f>
        <v>110544.74999999997</v>
      </c>
    </row>
    <row r="258" spans="1:11" s="275" customFormat="1" x14ac:dyDescent="0.15">
      <c r="A258" s="359">
        <v>81773</v>
      </c>
      <c r="B258" s="359">
        <v>77570</v>
      </c>
      <c r="C258" s="287" t="s">
        <v>1351</v>
      </c>
      <c r="D258" s="488">
        <v>57091</v>
      </c>
      <c r="E258" s="293"/>
      <c r="F258" s="393"/>
      <c r="G258" s="482">
        <f>K258*(D258/SUM(D258,'NG Cogen'!D258))</f>
        <v>28130.293715328233</v>
      </c>
      <c r="H258" s="358"/>
      <c r="I258" s="358">
        <v>28130.293715328229</v>
      </c>
      <c r="K258" s="278">
        <f>'NG Cogen'!K258</f>
        <v>77646.429999999993</v>
      </c>
    </row>
    <row r="259" spans="1:11" s="275" customFormat="1" ht="14" thickBot="1" x14ac:dyDescent="0.2">
      <c r="A259" s="359"/>
      <c r="B259" s="359"/>
      <c r="C259" s="291" t="s">
        <v>1356</v>
      </c>
      <c r="D259" s="476"/>
      <c r="E259" s="383"/>
      <c r="F259" s="327">
        <f>(H259*10)/D258</f>
        <v>12.384075198425009</v>
      </c>
      <c r="G259" s="327"/>
      <c r="H259" s="327">
        <v>70701.923715328216</v>
      </c>
    </row>
    <row r="260" spans="1:11" s="275" customFormat="1" ht="14" thickTop="1" x14ac:dyDescent="0.15">
      <c r="D260" s="478"/>
      <c r="E260" s="295"/>
    </row>
    <row r="261" spans="1:11" s="275" customFormat="1" x14ac:dyDescent="0.15">
      <c r="A261" s="359">
        <v>81773</v>
      </c>
      <c r="B261" s="359" t="s">
        <v>1334</v>
      </c>
      <c r="C261" s="287" t="s">
        <v>1349</v>
      </c>
      <c r="D261" s="488">
        <v>74839.3</v>
      </c>
      <c r="E261" s="475"/>
      <c r="F261" s="362"/>
      <c r="G261" s="489">
        <v>48813.09</v>
      </c>
      <c r="H261" s="358"/>
      <c r="I261" s="358">
        <v>48813.089999999982</v>
      </c>
      <c r="K261" s="278">
        <f>'NG Cogen'!K261</f>
        <v>137301.69999999998</v>
      </c>
    </row>
    <row r="262" spans="1:11" s="275" customFormat="1" x14ac:dyDescent="0.15">
      <c r="A262" s="359">
        <v>81773</v>
      </c>
      <c r="B262" s="359">
        <v>77570</v>
      </c>
      <c r="C262" s="287" t="s">
        <v>1351</v>
      </c>
      <c r="D262" s="488">
        <v>74842</v>
      </c>
      <c r="E262" s="293"/>
      <c r="F262" s="393"/>
      <c r="G262" s="482">
        <f>K262*(D262/SUM(D262,'NG Cogen'!D262))</f>
        <v>28489.636243393652</v>
      </c>
      <c r="H262" s="358"/>
      <c r="I262" s="358">
        <v>28489.636243393652</v>
      </c>
      <c r="K262" s="278">
        <f>'NG Cogen'!K262</f>
        <v>78868.58</v>
      </c>
    </row>
    <row r="263" spans="1:11" s="275" customFormat="1" ht="14" thickBot="1" x14ac:dyDescent="0.2">
      <c r="A263" s="359"/>
      <c r="B263" s="359"/>
      <c r="C263" s="291" t="s">
        <v>1357</v>
      </c>
      <c r="D263" s="476"/>
      <c r="E263" s="383"/>
      <c r="F263" s="327">
        <f>(H263*10)/D262</f>
        <v>10.328789482295187</v>
      </c>
      <c r="G263" s="327"/>
      <c r="H263" s="327">
        <v>77302.726243393641</v>
      </c>
    </row>
    <row r="264" spans="1:11" s="275" customFormat="1" ht="14" thickTop="1" x14ac:dyDescent="0.15">
      <c r="D264" s="478"/>
      <c r="E264" s="295"/>
    </row>
    <row r="265" spans="1:11" s="275" customFormat="1" x14ac:dyDescent="0.15">
      <c r="A265" s="359">
        <v>81773</v>
      </c>
      <c r="B265" s="359" t="s">
        <v>1334</v>
      </c>
      <c r="C265" s="287" t="s">
        <v>1349</v>
      </c>
      <c r="D265" s="488">
        <v>157784.20000000001</v>
      </c>
      <c r="E265" s="293"/>
      <c r="F265" s="362"/>
      <c r="G265" s="489">
        <v>105208.26</v>
      </c>
      <c r="H265" s="358"/>
      <c r="I265" s="358">
        <v>105208.25999999998</v>
      </c>
      <c r="K265" s="278">
        <f>'NG Cogen'!K265</f>
        <v>192890.47999999998</v>
      </c>
    </row>
    <row r="266" spans="1:11" s="275" customFormat="1" x14ac:dyDescent="0.15">
      <c r="A266" s="359">
        <v>81773</v>
      </c>
      <c r="B266" s="359">
        <v>77570</v>
      </c>
      <c r="C266" s="287" t="s">
        <v>1351</v>
      </c>
      <c r="D266" s="488">
        <v>157796</v>
      </c>
      <c r="E266" s="293"/>
      <c r="F266" s="393"/>
      <c r="G266" s="482">
        <f>K266*(D266/SUM(D266,'NG Cogen'!D266))</f>
        <v>43640.582271395622</v>
      </c>
      <c r="H266" s="358"/>
      <c r="I266" s="358">
        <v>43640.582271395622</v>
      </c>
      <c r="K266" s="278">
        <f>'NG Cogen'!K266</f>
        <v>79864.289999999994</v>
      </c>
    </row>
    <row r="267" spans="1:11" s="275" customFormat="1" ht="14" thickBot="1" x14ac:dyDescent="0.2">
      <c r="A267" s="359"/>
      <c r="B267" s="359"/>
      <c r="C267" s="291" t="s">
        <v>1358</v>
      </c>
      <c r="D267" s="476"/>
      <c r="E267" s="383"/>
      <c r="F267" s="327">
        <f>(H267*10)/D266</f>
        <v>9.4329921082534209</v>
      </c>
      <c r="G267" s="327"/>
      <c r="H267" s="327">
        <v>148848.84227139567</v>
      </c>
    </row>
    <row r="268" spans="1:11" s="275" customFormat="1" ht="14" thickTop="1" x14ac:dyDescent="0.15">
      <c r="D268" s="478"/>
      <c r="E268" s="295"/>
    </row>
    <row r="269" spans="1:11" s="275" customFormat="1" x14ac:dyDescent="0.15">
      <c r="A269" s="359">
        <v>81773</v>
      </c>
      <c r="B269" s="359" t="s">
        <v>1334</v>
      </c>
      <c r="C269" s="287" t="s">
        <v>1349</v>
      </c>
      <c r="D269" s="488">
        <v>169365.3</v>
      </c>
      <c r="E269" s="293"/>
      <c r="F269" s="362"/>
      <c r="G269" s="489">
        <v>114305.22</v>
      </c>
      <c r="H269" s="358"/>
      <c r="I269" s="358">
        <v>114305.22000000002</v>
      </c>
      <c r="K269" s="278">
        <f>'NG Cogen'!K269</f>
        <v>208362.29000000004</v>
      </c>
    </row>
    <row r="270" spans="1:11" s="275" customFormat="1" x14ac:dyDescent="0.15">
      <c r="A270" s="359">
        <v>81773</v>
      </c>
      <c r="B270" s="359">
        <v>77570</v>
      </c>
      <c r="C270" s="287" t="s">
        <v>1351</v>
      </c>
      <c r="D270" s="488">
        <v>169360</v>
      </c>
      <c r="E270" s="293"/>
      <c r="F270" s="393"/>
      <c r="G270" s="482">
        <f>K270*(D270/SUM(D270,'NG Cogen'!D270))</f>
        <v>43964.578358346866</v>
      </c>
      <c r="H270" s="358"/>
      <c r="I270" s="358">
        <v>43964.578358346866</v>
      </c>
      <c r="K270" s="278">
        <f>'NG Cogen'!K270</f>
        <v>80066.880000000005</v>
      </c>
    </row>
    <row r="271" spans="1:11" s="275" customFormat="1" ht="14" thickBot="1" x14ac:dyDescent="0.2">
      <c r="A271" s="359"/>
      <c r="B271" s="359"/>
      <c r="C271" s="291" t="s">
        <v>1359</v>
      </c>
      <c r="D271" s="476"/>
      <c r="E271" s="383"/>
      <c r="F271" s="327">
        <f>(H271*10)/D270</f>
        <v>9.3451699550275649</v>
      </c>
      <c r="G271" s="327"/>
      <c r="H271" s="327">
        <v>158269.79835834683</v>
      </c>
    </row>
    <row r="272" spans="1:11" s="275" customFormat="1" ht="14" thickTop="1" x14ac:dyDescent="0.15">
      <c r="D272" s="478"/>
      <c r="E272" s="295"/>
    </row>
    <row r="273" spans="1:11" s="275" customFormat="1" x14ac:dyDescent="0.15">
      <c r="A273" s="359">
        <v>81773</v>
      </c>
      <c r="B273" s="359" t="s">
        <v>1334</v>
      </c>
      <c r="C273" s="287" t="s">
        <v>1349</v>
      </c>
      <c r="D273" s="488">
        <v>151667.1</v>
      </c>
      <c r="E273" s="293"/>
      <c r="F273" s="362"/>
      <c r="G273" s="489">
        <v>106954.82</v>
      </c>
      <c r="H273" s="358"/>
      <c r="I273" s="358">
        <v>106954.82000000002</v>
      </c>
      <c r="K273" s="278">
        <f>'NG Cogen'!K273</f>
        <v>201305.66000000003</v>
      </c>
    </row>
    <row r="274" spans="1:11" s="275" customFormat="1" x14ac:dyDescent="0.15">
      <c r="A274" s="359">
        <v>81773</v>
      </c>
      <c r="B274" s="359">
        <v>77570</v>
      </c>
      <c r="C274" s="287" t="s">
        <v>1351</v>
      </c>
      <c r="D274" s="488">
        <v>151659</v>
      </c>
      <c r="E274" s="293"/>
      <c r="F274" s="393"/>
      <c r="G274" s="482">
        <f>K274*(D274/SUM(D274,'NG Cogen'!D274))</f>
        <v>43531.470948667826</v>
      </c>
      <c r="H274" s="358"/>
      <c r="I274" s="358">
        <v>43531.470948667826</v>
      </c>
      <c r="K274" s="278">
        <f>'NG Cogen'!K274</f>
        <v>79732.350000000006</v>
      </c>
    </row>
    <row r="275" spans="1:11" s="275" customFormat="1" ht="14" thickBot="1" x14ac:dyDescent="0.2">
      <c r="A275" s="359"/>
      <c r="B275" s="359"/>
      <c r="C275" s="291" t="s">
        <v>1360</v>
      </c>
      <c r="D275" s="476"/>
      <c r="E275" s="383"/>
      <c r="F275" s="327">
        <f>(H275*10)/D274</f>
        <v>9.9226746153322836</v>
      </c>
      <c r="G275" s="327"/>
      <c r="H275" s="327">
        <v>150486.29094866788</v>
      </c>
    </row>
    <row r="276" spans="1:11" s="275" customFormat="1" ht="14" thickTop="1" x14ac:dyDescent="0.15">
      <c r="D276" s="478"/>
      <c r="E276" s="295"/>
    </row>
    <row r="277" spans="1:11" s="275" customFormat="1" x14ac:dyDescent="0.15">
      <c r="A277" s="359">
        <v>81773</v>
      </c>
      <c r="B277" s="359" t="s">
        <v>1334</v>
      </c>
      <c r="C277" s="287" t="s">
        <v>1349</v>
      </c>
      <c r="D277" s="488">
        <v>167367.20000000001</v>
      </c>
      <c r="E277" s="293"/>
      <c r="F277" s="362"/>
      <c r="G277" s="489">
        <v>110852.83</v>
      </c>
      <c r="H277" s="358"/>
      <c r="I277" s="358">
        <v>110852.83000000002</v>
      </c>
      <c r="K277" s="278">
        <f>'NG Cogen'!K277</f>
        <v>204774.78000000003</v>
      </c>
    </row>
    <row r="278" spans="1:11" s="275" customFormat="1" x14ac:dyDescent="0.15">
      <c r="A278" s="359">
        <v>81773</v>
      </c>
      <c r="B278" s="359">
        <v>77570</v>
      </c>
      <c r="C278" s="287" t="s">
        <v>1351</v>
      </c>
      <c r="D278" s="488">
        <v>167377</v>
      </c>
      <c r="E278" s="293"/>
      <c r="F278" s="393"/>
      <c r="G278" s="482">
        <f>K278*(D278/SUM(D278,'NG Cogen'!D278))</f>
        <v>43623.044687158224</v>
      </c>
      <c r="H278" s="358"/>
      <c r="I278" s="358">
        <v>43623.04468715821</v>
      </c>
      <c r="K278" s="278">
        <f>'NG Cogen'!K278</f>
        <v>80068.929999999993</v>
      </c>
    </row>
    <row r="279" spans="1:11" s="275" customFormat="1" ht="14" thickBot="1" x14ac:dyDescent="0.2">
      <c r="A279" s="359"/>
      <c r="B279" s="359"/>
      <c r="C279" s="291" t="s">
        <v>1361</v>
      </c>
      <c r="D279" s="476"/>
      <c r="E279" s="383"/>
      <c r="F279" s="327">
        <f>(H279*10)/D278</f>
        <v>9.2292175560057945</v>
      </c>
      <c r="G279" s="327"/>
      <c r="H279" s="327">
        <v>154475.87468715818</v>
      </c>
    </row>
    <row r="280" spans="1:11" s="275" customFormat="1" ht="14" thickTop="1" x14ac:dyDescent="0.15">
      <c r="D280" s="478"/>
      <c r="E280" s="295"/>
    </row>
    <row r="281" spans="1:11" s="275" customFormat="1" x14ac:dyDescent="0.15">
      <c r="A281" s="359">
        <v>81773</v>
      </c>
      <c r="B281" s="359" t="s">
        <v>1334</v>
      </c>
      <c r="C281" s="287" t="s">
        <v>1349</v>
      </c>
      <c r="D281" s="488">
        <v>46235.1</v>
      </c>
      <c r="E281" s="293"/>
      <c r="F281" s="362"/>
      <c r="G281" s="489">
        <v>29327.82</v>
      </c>
      <c r="H281" s="358"/>
      <c r="I281" s="358">
        <v>29327.819999999996</v>
      </c>
      <c r="K281" s="278">
        <f>'NG Cogen'!K281</f>
        <v>116322.48</v>
      </c>
    </row>
    <row r="282" spans="1:11" s="275" customFormat="1" x14ac:dyDescent="0.15">
      <c r="A282" s="359">
        <v>81773</v>
      </c>
      <c r="B282" s="359">
        <v>77570</v>
      </c>
      <c r="C282" s="287" t="s">
        <v>1351</v>
      </c>
      <c r="D282" s="488">
        <v>46229</v>
      </c>
      <c r="E282" s="293"/>
      <c r="F282" s="393"/>
      <c r="G282" s="482">
        <f>K282*(D282/SUM(D282,'NG Cogen'!D282))</f>
        <v>20847.49181624877</v>
      </c>
      <c r="H282" s="358"/>
      <c r="I282" s="358">
        <v>20847.49181624877</v>
      </c>
      <c r="K282" s="278">
        <f>'NG Cogen'!K282</f>
        <v>78470.429999999993</v>
      </c>
    </row>
    <row r="283" spans="1:11" s="275" customFormat="1" ht="14" thickBot="1" x14ac:dyDescent="0.2">
      <c r="A283" s="359"/>
      <c r="B283" s="359"/>
      <c r="C283" s="291" t="s">
        <v>1362</v>
      </c>
      <c r="D283" s="476"/>
      <c r="E283" s="383"/>
      <c r="F283" s="327">
        <f>(H283*10)/D282</f>
        <v>10.85364420953271</v>
      </c>
      <c r="G283" s="327"/>
      <c r="H283" s="327">
        <v>50175.311816248766</v>
      </c>
    </row>
    <row r="284" spans="1:11" s="275" customFormat="1" ht="14" thickTop="1" x14ac:dyDescent="0.15">
      <c r="D284" s="478"/>
      <c r="E284" s="295"/>
    </row>
    <row r="285" spans="1:11" s="275" customFormat="1" x14ac:dyDescent="0.15">
      <c r="A285" s="359">
        <v>81773</v>
      </c>
      <c r="B285" s="359" t="s">
        <v>1334</v>
      </c>
      <c r="C285" s="287" t="s">
        <v>1349</v>
      </c>
      <c r="D285" s="488">
        <v>28822.2</v>
      </c>
      <c r="E285" s="293"/>
      <c r="F285" s="362"/>
      <c r="G285" s="489">
        <v>27423.71</v>
      </c>
      <c r="H285" s="358"/>
      <c r="I285" s="358">
        <v>27423.709999999995</v>
      </c>
      <c r="K285" s="278">
        <f>'NG Cogen'!K285</f>
        <v>93002.54</v>
      </c>
    </row>
    <row r="286" spans="1:11" s="275" customFormat="1" x14ac:dyDescent="0.15">
      <c r="A286" s="359">
        <v>81773</v>
      </c>
      <c r="B286" s="359">
        <v>77570</v>
      </c>
      <c r="C286" s="287" t="s">
        <v>1351</v>
      </c>
      <c r="D286" s="488">
        <v>28821</v>
      </c>
      <c r="E286" s="293"/>
      <c r="F286" s="393"/>
      <c r="G286" s="482">
        <f>K286*(D286/SUM(D286,'NG Cogen'!D286))</f>
        <v>16678.729260358974</v>
      </c>
      <c r="H286" s="358"/>
      <c r="I286" s="358">
        <v>16678.729260358974</v>
      </c>
      <c r="K286" s="278">
        <f>'NG Cogen'!K286</f>
        <v>78154.67</v>
      </c>
    </row>
    <row r="287" spans="1:11" s="275" customFormat="1" ht="14" thickBot="1" x14ac:dyDescent="0.2">
      <c r="A287" s="359"/>
      <c r="B287" s="359"/>
      <c r="C287" s="291" t="s">
        <v>1363</v>
      </c>
      <c r="D287" s="476"/>
      <c r="E287" s="383"/>
      <c r="F287" s="327">
        <f>(H287*10)/D286</f>
        <v>15.302189119169697</v>
      </c>
      <c r="G287" s="327"/>
      <c r="H287" s="327">
        <v>44102.43926035898</v>
      </c>
    </row>
    <row r="288" spans="1:11" s="275" customFormat="1" ht="14" thickTop="1" x14ac:dyDescent="0.15">
      <c r="D288" s="478"/>
      <c r="E288" s="295"/>
    </row>
    <row r="289" spans="1:12" s="275" customFormat="1" x14ac:dyDescent="0.15">
      <c r="A289" s="359">
        <v>81773</v>
      </c>
      <c r="B289" s="359" t="s">
        <v>1334</v>
      </c>
      <c r="C289" s="287" t="s">
        <v>1349</v>
      </c>
      <c r="D289" s="488">
        <v>52346.7</v>
      </c>
      <c r="E289" s="293"/>
      <c r="F289" s="362"/>
      <c r="G289" s="489">
        <v>22931.86</v>
      </c>
      <c r="H289" s="358"/>
      <c r="I289" s="358">
        <v>22931.86</v>
      </c>
      <c r="K289" s="278">
        <f>'NG Cogen'!K289</f>
        <v>72943.100000000006</v>
      </c>
    </row>
    <row r="290" spans="1:12" s="275" customFormat="1" x14ac:dyDescent="0.15">
      <c r="A290" s="359">
        <v>80543</v>
      </c>
      <c r="B290" s="359">
        <v>77570</v>
      </c>
      <c r="C290" s="287" t="s">
        <v>1351</v>
      </c>
      <c r="D290" s="488">
        <f>10+52334</f>
        <v>52344</v>
      </c>
      <c r="E290" s="293"/>
      <c r="F290" s="393"/>
      <c r="G290" s="482">
        <f>K290*(D290/SUM(D290,'NG Cogen'!D290))</f>
        <v>32669.632576072694</v>
      </c>
      <c r="H290" s="358"/>
      <c r="I290" s="358">
        <v>32669.632576072687</v>
      </c>
      <c r="K290" s="278">
        <f>'NG Cogen'!K290</f>
        <v>78024.149999999994</v>
      </c>
    </row>
    <row r="291" spans="1:12" s="275" customFormat="1" ht="14" thickBot="1" x14ac:dyDescent="0.2">
      <c r="A291" s="359"/>
      <c r="B291" s="359"/>
      <c r="C291" s="291" t="s">
        <v>1364</v>
      </c>
      <c r="D291" s="476"/>
      <c r="E291" s="366"/>
      <c r="F291" s="327">
        <f>(H291*10)/D290</f>
        <v>10.622323967612848</v>
      </c>
      <c r="G291" s="327"/>
      <c r="H291" s="327">
        <v>55601.492576072691</v>
      </c>
    </row>
    <row r="292" spans="1:12" s="275" customFormat="1" ht="14" thickTop="1" x14ac:dyDescent="0.15">
      <c r="D292" s="478"/>
    </row>
    <row r="293" spans="1:12" s="275" customFormat="1" x14ac:dyDescent="0.15">
      <c r="D293" s="478"/>
    </row>
    <row r="294" spans="1:12" s="290" customFormat="1" ht="14" thickBot="1" x14ac:dyDescent="0.2">
      <c r="C294" s="290" t="s">
        <v>146</v>
      </c>
      <c r="D294" s="491">
        <f>SUM(D246,D250,D254,D258)</f>
        <v>169386</v>
      </c>
      <c r="E294" s="478"/>
      <c r="H294" s="327">
        <v>197900.15850684911</v>
      </c>
    </row>
    <row r="295" spans="1:12" s="290" customFormat="1" ht="14" thickTop="1" x14ac:dyDescent="0.15">
      <c r="C295" s="290" t="s">
        <v>1365</v>
      </c>
      <c r="D295" s="478"/>
      <c r="E295" s="478"/>
      <c r="G295" s="492">
        <f>(H294*10)/D294</f>
        <v>11.68338342642539</v>
      </c>
    </row>
    <row r="296" spans="1:12" s="275" customFormat="1" x14ac:dyDescent="0.15">
      <c r="D296" s="478"/>
    </row>
    <row r="297" spans="1:12" s="275" customFormat="1" x14ac:dyDescent="0.15">
      <c r="C297" s="290" t="s">
        <v>1366</v>
      </c>
      <c r="D297" s="493">
        <f>SUM(D262,D266,D270,D274,D278)</f>
        <v>721034</v>
      </c>
      <c r="G297" s="494" t="e">
        <f>D297/SUM('NG Cogen'!#REF!,'NG Main'!D297)</f>
        <v>#REF!</v>
      </c>
    </row>
    <row r="298" spans="1:12" s="275" customFormat="1" x14ac:dyDescent="0.15">
      <c r="D298" s="478"/>
    </row>
    <row r="299" spans="1:12" ht="14" thickBot="1" x14ac:dyDescent="0.2"/>
    <row r="300" spans="1:12" ht="31" thickBot="1" x14ac:dyDescent="0.35">
      <c r="A300" s="770" t="s">
        <v>1112</v>
      </c>
      <c r="B300" s="771"/>
      <c r="C300" s="771"/>
      <c r="D300" s="771"/>
      <c r="E300" s="771"/>
      <c r="F300" s="771"/>
      <c r="G300" s="771"/>
      <c r="H300" s="771"/>
      <c r="I300" s="771"/>
      <c r="J300" s="771"/>
      <c r="K300" s="771"/>
      <c r="L300" s="772"/>
    </row>
    <row r="302" spans="1:12" x14ac:dyDescent="0.15">
      <c r="A302" s="351">
        <v>81773</v>
      </c>
      <c r="B302" s="351" t="s">
        <v>1334</v>
      </c>
      <c r="C302" s="337" t="s">
        <v>1349</v>
      </c>
      <c r="D302" s="348">
        <v>37680.400000000001</v>
      </c>
      <c r="E302" s="497"/>
      <c r="F302" s="498"/>
      <c r="G302" s="499">
        <v>23564.34</v>
      </c>
      <c r="H302" s="500"/>
      <c r="I302" s="500">
        <v>23564.34</v>
      </c>
      <c r="J302" s="319"/>
      <c r="K302" s="349">
        <f>'NG Cogen'!K303</f>
        <v>77653.83</v>
      </c>
    </row>
    <row r="303" spans="1:12" x14ac:dyDescent="0.15">
      <c r="A303" s="351">
        <v>81773</v>
      </c>
      <c r="B303" s="351">
        <v>77570</v>
      </c>
      <c r="C303" s="337" t="s">
        <v>1351</v>
      </c>
      <c r="D303" s="348">
        <v>37682</v>
      </c>
      <c r="E303" s="261"/>
      <c r="F303" s="498"/>
      <c r="G303" s="350">
        <f>K303*(D303/SUM(D303,'NG Cogen'!D304))</f>
        <v>0</v>
      </c>
      <c r="H303" s="500"/>
      <c r="I303" s="500">
        <v>18489.871677461349</v>
      </c>
      <c r="J303" s="319"/>
      <c r="K303" s="349">
        <f>'NG Cogen'!K304</f>
        <v>0</v>
      </c>
    </row>
    <row r="304" spans="1:12" ht="14" thickBot="1" x14ac:dyDescent="0.2">
      <c r="A304" s="351"/>
      <c r="B304" s="351"/>
      <c r="C304" s="340" t="s">
        <v>1353</v>
      </c>
      <c r="D304" s="503"/>
      <c r="E304" s="517"/>
      <c r="F304" s="481">
        <f>(H304*10)/D303</f>
        <v>11.160291830970047</v>
      </c>
      <c r="G304" s="481"/>
      <c r="H304" s="481">
        <v>42054.211677461331</v>
      </c>
      <c r="I304" s="319"/>
      <c r="J304" s="319"/>
      <c r="K304" s="319"/>
    </row>
    <row r="305" spans="1:11" ht="14" thickTop="1" x14ac:dyDescent="0.15"/>
    <row r="306" spans="1:11" x14ac:dyDescent="0.15">
      <c r="A306" s="351">
        <v>81773</v>
      </c>
      <c r="B306" s="351" t="s">
        <v>1334</v>
      </c>
      <c r="C306" s="337" t="s">
        <v>1349</v>
      </c>
      <c r="D306" s="348">
        <v>37473.800000000003</v>
      </c>
      <c r="E306" s="497"/>
      <c r="F306" s="498"/>
      <c r="G306" s="499">
        <v>23718.75</v>
      </c>
      <c r="H306" s="500"/>
      <c r="I306" s="500">
        <v>23718.75</v>
      </c>
      <c r="J306" s="319"/>
      <c r="K306" s="349">
        <f>'NG Cogen'!K307</f>
        <v>77625.19</v>
      </c>
    </row>
    <row r="307" spans="1:11" x14ac:dyDescent="0.15">
      <c r="A307" s="351">
        <v>81773</v>
      </c>
      <c r="B307" s="351">
        <v>77570</v>
      </c>
      <c r="C307" s="337" t="s">
        <v>1351</v>
      </c>
      <c r="D307" s="348">
        <v>37478</v>
      </c>
      <c r="E307" s="261"/>
      <c r="F307" s="505"/>
      <c r="G307" s="350">
        <f>K307*(D307/SUM(D307,'NG Cogen'!D308))</f>
        <v>0</v>
      </c>
      <c r="H307" s="500"/>
      <c r="I307" s="500">
        <v>18690.528745478732</v>
      </c>
      <c r="J307" s="319"/>
      <c r="K307" s="349">
        <f>'NG Cogen'!K308</f>
        <v>0</v>
      </c>
    </row>
    <row r="308" spans="1:11" ht="14" thickBot="1" x14ac:dyDescent="0.2">
      <c r="A308" s="351"/>
      <c r="B308" s="351"/>
      <c r="C308" s="340" t="s">
        <v>1354</v>
      </c>
      <c r="D308" s="503"/>
      <c r="E308" s="433"/>
      <c r="F308" s="481">
        <f>(H308*10)/D307</f>
        <v>11.315779589486825</v>
      </c>
      <c r="G308" s="481"/>
      <c r="H308" s="481">
        <v>42409.278745478725</v>
      </c>
      <c r="I308" s="319"/>
      <c r="J308" s="319"/>
      <c r="K308" s="319"/>
    </row>
    <row r="309" spans="1:11" ht="14" thickTop="1" x14ac:dyDescent="0.15">
      <c r="E309" s="300"/>
    </row>
    <row r="310" spans="1:11" x14ac:dyDescent="0.15">
      <c r="A310" s="351">
        <v>81773</v>
      </c>
      <c r="B310" s="351" t="s">
        <v>1334</v>
      </c>
      <c r="C310" s="337" t="s">
        <v>1349</v>
      </c>
      <c r="D310" s="348">
        <v>37132.9</v>
      </c>
      <c r="E310" s="497"/>
      <c r="F310" s="498"/>
      <c r="G310" s="499">
        <v>24116.65</v>
      </c>
      <c r="H310" s="500"/>
      <c r="I310" s="500">
        <v>24116.650000000005</v>
      </c>
      <c r="J310" s="319"/>
      <c r="K310" s="349">
        <f>'NG Cogen'!K311</f>
        <v>77615.92</v>
      </c>
    </row>
    <row r="311" spans="1:11" x14ac:dyDescent="0.15">
      <c r="A311" s="351">
        <v>81773</v>
      </c>
      <c r="B311" s="351">
        <v>77570</v>
      </c>
      <c r="C311" s="337" t="s">
        <v>1351</v>
      </c>
      <c r="D311" s="348">
        <v>37135</v>
      </c>
      <c r="E311" s="261"/>
      <c r="F311" s="505"/>
      <c r="G311" s="350">
        <f>K311*(D311/SUM(D311,'NG Cogen'!D312))</f>
        <v>0</v>
      </c>
      <c r="H311" s="500"/>
      <c r="I311" s="500">
        <v>18618.094368580842</v>
      </c>
      <c r="J311" s="319"/>
      <c r="K311" s="349">
        <f>'NG Cogen'!K312</f>
        <v>0</v>
      </c>
    </row>
    <row r="312" spans="1:11" ht="14" thickBot="1" x14ac:dyDescent="0.2">
      <c r="A312" s="351"/>
      <c r="B312" s="351"/>
      <c r="C312" s="340" t="s">
        <v>1355</v>
      </c>
      <c r="D312" s="503"/>
      <c r="E312" s="433"/>
      <c r="F312" s="481">
        <f>(H312*10)/D311</f>
        <v>11.507942471679234</v>
      </c>
      <c r="G312" s="481"/>
      <c r="H312" s="481">
        <v>42734.744368580839</v>
      </c>
      <c r="I312" s="319"/>
      <c r="J312" s="319"/>
      <c r="K312" s="319"/>
    </row>
    <row r="313" spans="1:11" ht="14" thickTop="1" x14ac:dyDescent="0.15">
      <c r="E313" s="300"/>
    </row>
    <row r="314" spans="1:11" x14ac:dyDescent="0.15">
      <c r="A314" s="351">
        <v>81773</v>
      </c>
      <c r="B314" s="351" t="s">
        <v>1334</v>
      </c>
      <c r="C314" s="337" t="s">
        <v>1349</v>
      </c>
      <c r="D314" s="348">
        <v>57090.3</v>
      </c>
      <c r="E314" s="497"/>
      <c r="F314" s="498"/>
      <c r="G314" s="499">
        <v>42571.63</v>
      </c>
      <c r="H314" s="500"/>
      <c r="I314" s="500">
        <v>42571.63</v>
      </c>
      <c r="J314" s="319"/>
      <c r="K314" s="349">
        <f>'NG Cogen'!K315</f>
        <v>77646.429999999993</v>
      </c>
    </row>
    <row r="315" spans="1:11" x14ac:dyDescent="0.15">
      <c r="A315" s="351">
        <v>81773</v>
      </c>
      <c r="B315" s="351">
        <v>77570</v>
      </c>
      <c r="C315" s="337" t="s">
        <v>1351</v>
      </c>
      <c r="D315" s="348">
        <v>57091</v>
      </c>
      <c r="E315" s="261"/>
      <c r="F315" s="505"/>
      <c r="G315" s="350">
        <f>K315*(D315/SUM(D315,'NG Cogen'!D316))</f>
        <v>0</v>
      </c>
      <c r="H315" s="500"/>
      <c r="I315" s="500">
        <v>28130.293715328229</v>
      </c>
      <c r="J315" s="319"/>
      <c r="K315" s="349">
        <f>'NG Cogen'!K316</f>
        <v>0</v>
      </c>
    </row>
    <row r="316" spans="1:11" ht="14" thickBot="1" x14ac:dyDescent="0.2">
      <c r="A316" s="351"/>
      <c r="B316" s="351"/>
      <c r="C316" s="340" t="s">
        <v>1356</v>
      </c>
      <c r="D316" s="503"/>
      <c r="E316" s="433"/>
      <c r="F316" s="481">
        <f>(H316*10)/D315</f>
        <v>12.384075198425009</v>
      </c>
      <c r="G316" s="481"/>
      <c r="H316" s="481">
        <v>70701.923715328216</v>
      </c>
      <c r="I316" s="319"/>
      <c r="J316" s="319"/>
      <c r="K316" s="319"/>
    </row>
    <row r="317" spans="1:11" ht="14" thickTop="1" x14ac:dyDescent="0.15">
      <c r="E317" s="300"/>
    </row>
    <row r="318" spans="1:11" x14ac:dyDescent="0.15">
      <c r="A318" s="351">
        <v>81773</v>
      </c>
      <c r="B318" s="351" t="s">
        <v>1334</v>
      </c>
      <c r="C318" s="337" t="s">
        <v>1349</v>
      </c>
      <c r="D318" s="348">
        <v>74839.3</v>
      </c>
      <c r="E318" s="497"/>
      <c r="F318" s="498"/>
      <c r="G318" s="499">
        <v>48813.09</v>
      </c>
      <c r="H318" s="500"/>
      <c r="I318" s="500">
        <v>48813.089999999982</v>
      </c>
      <c r="J318" s="319"/>
      <c r="K318" s="349">
        <f>'NG Cogen'!K319</f>
        <v>78868.58</v>
      </c>
    </row>
    <row r="319" spans="1:11" x14ac:dyDescent="0.15">
      <c r="A319" s="351">
        <v>81773</v>
      </c>
      <c r="B319" s="351">
        <v>77570</v>
      </c>
      <c r="C319" s="337" t="s">
        <v>1351</v>
      </c>
      <c r="D319" s="348">
        <v>74842</v>
      </c>
      <c r="E319" s="261"/>
      <c r="F319" s="505"/>
      <c r="G319" s="350">
        <f>K319*(D319/SUM(D319,'NG Cogen'!D320))</f>
        <v>0</v>
      </c>
      <c r="H319" s="500"/>
      <c r="I319" s="500">
        <v>28489.636243393652</v>
      </c>
      <c r="J319" s="319"/>
      <c r="K319" s="349">
        <f>'NG Cogen'!K320</f>
        <v>0</v>
      </c>
    </row>
    <row r="320" spans="1:11" ht="14" thickBot="1" x14ac:dyDescent="0.2">
      <c r="A320" s="351"/>
      <c r="B320" s="351"/>
      <c r="C320" s="340" t="s">
        <v>1357</v>
      </c>
      <c r="D320" s="503"/>
      <c r="E320" s="433"/>
      <c r="F320" s="481">
        <f>(H320*10)/D319</f>
        <v>10.328789482295187</v>
      </c>
      <c r="G320" s="481"/>
      <c r="H320" s="481">
        <v>77302.726243393641</v>
      </c>
      <c r="I320" s="319"/>
      <c r="J320" s="319"/>
      <c r="K320" s="319"/>
    </row>
    <row r="321" spans="1:11" ht="14" thickTop="1" x14ac:dyDescent="0.15">
      <c r="E321" s="300"/>
    </row>
    <row r="322" spans="1:11" x14ac:dyDescent="0.15">
      <c r="A322" s="351">
        <v>81773</v>
      </c>
      <c r="B322" s="351" t="s">
        <v>1334</v>
      </c>
      <c r="C322" s="337" t="s">
        <v>1349</v>
      </c>
      <c r="D322" s="348">
        <v>157784.20000000001</v>
      </c>
      <c r="E322" s="261"/>
      <c r="F322" s="498"/>
      <c r="G322" s="499">
        <v>105208.26</v>
      </c>
      <c r="H322" s="500"/>
      <c r="I322" s="500">
        <v>105208.25999999998</v>
      </c>
      <c r="J322" s="319"/>
      <c r="K322" s="349">
        <f>'NG Cogen'!K323</f>
        <v>79864.289999999994</v>
      </c>
    </row>
    <row r="323" spans="1:11" x14ac:dyDescent="0.15">
      <c r="A323" s="351">
        <v>81773</v>
      </c>
      <c r="B323" s="351">
        <v>77570</v>
      </c>
      <c r="C323" s="337" t="s">
        <v>1351</v>
      </c>
      <c r="D323" s="348">
        <v>157796</v>
      </c>
      <c r="E323" s="261"/>
      <c r="F323" s="505"/>
      <c r="G323" s="350">
        <f>K323*(D323/SUM(D323,'NG Cogen'!D324))</f>
        <v>0</v>
      </c>
      <c r="H323" s="500"/>
      <c r="I323" s="500">
        <v>43640.582271395622</v>
      </c>
      <c r="J323" s="319"/>
      <c r="K323" s="349">
        <f>'NG Cogen'!K324</f>
        <v>0</v>
      </c>
    </row>
    <row r="324" spans="1:11" ht="14" thickBot="1" x14ac:dyDescent="0.2">
      <c r="A324" s="351"/>
      <c r="B324" s="351"/>
      <c r="C324" s="340" t="s">
        <v>1358</v>
      </c>
      <c r="D324" s="503"/>
      <c r="E324" s="433"/>
      <c r="F324" s="481">
        <f>(H324*10)/D323</f>
        <v>9.4329921082534209</v>
      </c>
      <c r="G324" s="481"/>
      <c r="H324" s="481">
        <v>148848.84227139567</v>
      </c>
      <c r="I324" s="319"/>
      <c r="J324" s="319"/>
      <c r="K324" s="319"/>
    </row>
    <row r="325" spans="1:11" ht="14" thickTop="1" x14ac:dyDescent="0.15">
      <c r="E325" s="300"/>
    </row>
    <row r="326" spans="1:11" x14ac:dyDescent="0.15">
      <c r="A326" s="351">
        <v>81773</v>
      </c>
      <c r="B326" s="351" t="s">
        <v>1334</v>
      </c>
      <c r="C326" s="337" t="s">
        <v>1349</v>
      </c>
      <c r="D326" s="348">
        <v>169365.3</v>
      </c>
      <c r="E326" s="261"/>
      <c r="F326" s="498"/>
      <c r="G326" s="499">
        <v>114305.22</v>
      </c>
      <c r="H326" s="500"/>
      <c r="I326" s="500">
        <v>114305.22000000002</v>
      </c>
      <c r="J326" s="319"/>
      <c r="K326" s="349">
        <f>'NG Cogen'!K327</f>
        <v>80066.880000000005</v>
      </c>
    </row>
    <row r="327" spans="1:11" x14ac:dyDescent="0.15">
      <c r="A327" s="351">
        <v>81773</v>
      </c>
      <c r="B327" s="351">
        <v>77570</v>
      </c>
      <c r="C327" s="337" t="s">
        <v>1351</v>
      </c>
      <c r="D327" s="348">
        <v>169360</v>
      </c>
      <c r="E327" s="261"/>
      <c r="F327" s="505"/>
      <c r="G327" s="350">
        <f>K327*(D327/SUM(D327,'NG Cogen'!D328))</f>
        <v>0</v>
      </c>
      <c r="H327" s="500"/>
      <c r="I327" s="500">
        <v>43964.578358346866</v>
      </c>
      <c r="J327" s="319"/>
      <c r="K327" s="349">
        <f>'NG Cogen'!K328</f>
        <v>0</v>
      </c>
    </row>
    <row r="328" spans="1:11" ht="14" thickBot="1" x14ac:dyDescent="0.2">
      <c r="A328" s="351"/>
      <c r="B328" s="351"/>
      <c r="C328" s="340" t="s">
        <v>1359</v>
      </c>
      <c r="D328" s="503"/>
      <c r="E328" s="433"/>
      <c r="F328" s="481">
        <f>(H328*10)/D327</f>
        <v>9.3451699550275649</v>
      </c>
      <c r="G328" s="481"/>
      <c r="H328" s="481">
        <v>158269.79835834683</v>
      </c>
      <c r="I328" s="319"/>
      <c r="J328" s="319"/>
      <c r="K328" s="319"/>
    </row>
    <row r="329" spans="1:11" ht="14" thickTop="1" x14ac:dyDescent="0.15">
      <c r="E329" s="300"/>
    </row>
    <row r="330" spans="1:11" x14ac:dyDescent="0.15">
      <c r="A330" s="351">
        <v>81773</v>
      </c>
      <c r="B330" s="351" t="s">
        <v>1334</v>
      </c>
      <c r="C330" s="337" t="s">
        <v>1349</v>
      </c>
      <c r="D330" s="348">
        <v>151667.1</v>
      </c>
      <c r="E330" s="261"/>
      <c r="F330" s="498"/>
      <c r="G330" s="499">
        <v>106954.82</v>
      </c>
      <c r="H330" s="500"/>
      <c r="I330" s="500">
        <v>106954.82000000002</v>
      </c>
      <c r="J330" s="319"/>
      <c r="K330" s="349">
        <f>'NG Cogen'!K331</f>
        <v>79732.350000000006</v>
      </c>
    </row>
    <row r="331" spans="1:11" x14ac:dyDescent="0.15">
      <c r="A331" s="351">
        <v>81773</v>
      </c>
      <c r="B331" s="351">
        <v>77570</v>
      </c>
      <c r="C331" s="337" t="s">
        <v>1351</v>
      </c>
      <c r="D331" s="348">
        <v>151659</v>
      </c>
      <c r="E331" s="261"/>
      <c r="F331" s="505"/>
      <c r="G331" s="350">
        <f>K331*(D331/SUM(D331,'NG Cogen'!D332))</f>
        <v>0</v>
      </c>
      <c r="H331" s="500"/>
      <c r="I331" s="500">
        <v>43531.470948667826</v>
      </c>
      <c r="J331" s="319"/>
      <c r="K331" s="349">
        <f>'NG Cogen'!K332</f>
        <v>0</v>
      </c>
    </row>
    <row r="332" spans="1:11" ht="14" thickBot="1" x14ac:dyDescent="0.2">
      <c r="A332" s="351"/>
      <c r="B332" s="351"/>
      <c r="C332" s="340" t="s">
        <v>1360</v>
      </c>
      <c r="D332" s="503"/>
      <c r="E332" s="433"/>
      <c r="F332" s="481">
        <f>(H332*10)/D331</f>
        <v>9.9226746153322836</v>
      </c>
      <c r="G332" s="481"/>
      <c r="H332" s="481">
        <v>150486.29094866788</v>
      </c>
      <c r="I332" s="319"/>
      <c r="J332" s="319"/>
      <c r="K332" s="319"/>
    </row>
    <row r="333" spans="1:11" ht="14" thickTop="1" x14ac:dyDescent="0.15">
      <c r="E333" s="300"/>
    </row>
    <row r="334" spans="1:11" x14ac:dyDescent="0.15">
      <c r="A334" s="351">
        <v>81773</v>
      </c>
      <c r="B334" s="351" t="s">
        <v>1334</v>
      </c>
      <c r="C334" s="337" t="s">
        <v>1349</v>
      </c>
      <c r="D334" s="348">
        <v>167367.20000000001</v>
      </c>
      <c r="E334" s="261"/>
      <c r="F334" s="498"/>
      <c r="G334" s="499">
        <v>110852.83</v>
      </c>
      <c r="H334" s="500"/>
      <c r="I334" s="500">
        <v>110852.83000000002</v>
      </c>
      <c r="J334" s="319"/>
      <c r="K334" s="349">
        <f>'NG Cogen'!K335</f>
        <v>80068.929999999993</v>
      </c>
    </row>
    <row r="335" spans="1:11" x14ac:dyDescent="0.15">
      <c r="A335" s="351">
        <v>81773</v>
      </c>
      <c r="B335" s="351">
        <v>77570</v>
      </c>
      <c r="C335" s="337" t="s">
        <v>1351</v>
      </c>
      <c r="D335" s="348">
        <v>167377</v>
      </c>
      <c r="E335" s="261"/>
      <c r="F335" s="505"/>
      <c r="G335" s="350">
        <f>K335*(D335/SUM(D335,'NG Cogen'!D336))</f>
        <v>0</v>
      </c>
      <c r="H335" s="500"/>
      <c r="I335" s="500">
        <v>43623.04468715821</v>
      </c>
      <c r="J335" s="319"/>
      <c r="K335" s="349">
        <f>'NG Cogen'!K336</f>
        <v>0</v>
      </c>
    </row>
    <row r="336" spans="1:11" ht="14" thickBot="1" x14ac:dyDescent="0.2">
      <c r="A336" s="351"/>
      <c r="B336" s="351"/>
      <c r="C336" s="340" t="s">
        <v>1361</v>
      </c>
      <c r="D336" s="503"/>
      <c r="E336" s="433"/>
      <c r="F336" s="481">
        <f>(H336*10)/D335</f>
        <v>9.2292175560057945</v>
      </c>
      <c r="G336" s="481"/>
      <c r="H336" s="481">
        <v>154475.87468715818</v>
      </c>
      <c r="I336" s="319"/>
      <c r="J336" s="319"/>
      <c r="K336" s="319"/>
    </row>
    <row r="337" spans="1:11" ht="14" thickTop="1" x14ac:dyDescent="0.15">
      <c r="E337" s="300"/>
    </row>
    <row r="338" spans="1:11" x14ac:dyDescent="0.15">
      <c r="A338" s="351">
        <v>81773</v>
      </c>
      <c r="B338" s="351" t="s">
        <v>1334</v>
      </c>
      <c r="C338" s="337" t="s">
        <v>1349</v>
      </c>
      <c r="D338" s="348">
        <v>46235.1</v>
      </c>
      <c r="E338" s="261"/>
      <c r="F338" s="498"/>
      <c r="G338" s="499">
        <v>29327.82</v>
      </c>
      <c r="H338" s="500"/>
      <c r="I338" s="500">
        <v>29327.819999999996</v>
      </c>
      <c r="J338" s="319"/>
      <c r="K338" s="349">
        <f>'NG Cogen'!K339</f>
        <v>78470.429999999993</v>
      </c>
    </row>
    <row r="339" spans="1:11" x14ac:dyDescent="0.15">
      <c r="A339" s="351">
        <v>81773</v>
      </c>
      <c r="B339" s="351">
        <v>77570</v>
      </c>
      <c r="C339" s="337" t="s">
        <v>1351</v>
      </c>
      <c r="D339" s="348">
        <v>46229</v>
      </c>
      <c r="E339" s="261"/>
      <c r="F339" s="505"/>
      <c r="G339" s="350">
        <f>K339*(D339/SUM(D339,'NG Cogen'!D340))</f>
        <v>0</v>
      </c>
      <c r="H339" s="500"/>
      <c r="I339" s="500">
        <v>20847.49181624877</v>
      </c>
      <c r="J339" s="319"/>
      <c r="K339" s="349">
        <f>'NG Cogen'!K340</f>
        <v>0</v>
      </c>
    </row>
    <row r="340" spans="1:11" ht="14" thickBot="1" x14ac:dyDescent="0.2">
      <c r="A340" s="351"/>
      <c r="B340" s="351"/>
      <c r="C340" s="340" t="s">
        <v>1362</v>
      </c>
      <c r="D340" s="503"/>
      <c r="E340" s="433"/>
      <c r="F340" s="481">
        <f>(H340*10)/D339</f>
        <v>10.85364420953271</v>
      </c>
      <c r="G340" s="481"/>
      <c r="H340" s="481">
        <v>50175.311816248766</v>
      </c>
      <c r="I340" s="319"/>
      <c r="J340" s="319"/>
      <c r="K340" s="319"/>
    </row>
    <row r="341" spans="1:11" ht="14" thickTop="1" x14ac:dyDescent="0.15">
      <c r="E341" s="300"/>
    </row>
    <row r="342" spans="1:11" x14ac:dyDescent="0.15">
      <c r="A342" s="351">
        <v>81773</v>
      </c>
      <c r="B342" s="351" t="s">
        <v>1334</v>
      </c>
      <c r="C342" s="337" t="s">
        <v>1349</v>
      </c>
      <c r="D342" s="348">
        <v>28822.2</v>
      </c>
      <c r="E342" s="261"/>
      <c r="F342" s="498"/>
      <c r="G342" s="499">
        <v>27423.71</v>
      </c>
      <c r="H342" s="500"/>
      <c r="I342" s="500">
        <v>27423.709999999995</v>
      </c>
      <c r="J342" s="319"/>
      <c r="K342" s="349">
        <f>'NG Cogen'!K343</f>
        <v>78154.67</v>
      </c>
    </row>
    <row r="343" spans="1:11" x14ac:dyDescent="0.15">
      <c r="A343" s="351">
        <v>81773</v>
      </c>
      <c r="B343" s="351">
        <v>77570</v>
      </c>
      <c r="C343" s="337" t="s">
        <v>1351</v>
      </c>
      <c r="D343" s="348">
        <v>28821</v>
      </c>
      <c r="E343" s="261"/>
      <c r="F343" s="505"/>
      <c r="G343" s="350">
        <f>K343*(D343/SUM(D343,'NG Cogen'!D344))</f>
        <v>0</v>
      </c>
      <c r="H343" s="500"/>
      <c r="I343" s="500">
        <v>16678.729260358974</v>
      </c>
      <c r="J343" s="319"/>
      <c r="K343" s="349">
        <f>'NG Cogen'!K344</f>
        <v>0</v>
      </c>
    </row>
    <row r="344" spans="1:11" ht="14" thickBot="1" x14ac:dyDescent="0.2">
      <c r="A344" s="351"/>
      <c r="B344" s="351"/>
      <c r="C344" s="340" t="s">
        <v>1363</v>
      </c>
      <c r="D344" s="503"/>
      <c r="E344" s="433"/>
      <c r="F344" s="481">
        <f>(H344*10)/D343</f>
        <v>15.302189119169697</v>
      </c>
      <c r="G344" s="481"/>
      <c r="H344" s="481">
        <v>44102.43926035898</v>
      </c>
      <c r="I344" s="319"/>
      <c r="J344" s="319"/>
      <c r="K344" s="319"/>
    </row>
    <row r="345" spans="1:11" ht="14" thickTop="1" x14ac:dyDescent="0.15">
      <c r="E345" s="300"/>
    </row>
    <row r="346" spans="1:11" x14ac:dyDescent="0.15">
      <c r="A346" s="351">
        <v>81773</v>
      </c>
      <c r="B346" s="351" t="s">
        <v>1334</v>
      </c>
      <c r="C346" s="337" t="s">
        <v>1349</v>
      </c>
      <c r="D346" s="348">
        <v>52346.7</v>
      </c>
      <c r="E346" s="261"/>
      <c r="F346" s="498"/>
      <c r="G346" s="499">
        <v>22931.86</v>
      </c>
      <c r="H346" s="500"/>
      <c r="I346" s="500">
        <v>22931.86</v>
      </c>
      <c r="J346" s="319"/>
      <c r="K346" s="349">
        <f>'NG Cogen'!K347</f>
        <v>78024.149999999994</v>
      </c>
    </row>
    <row r="347" spans="1:11" x14ac:dyDescent="0.15">
      <c r="A347" s="351">
        <v>80543</v>
      </c>
      <c r="B347" s="351">
        <v>77570</v>
      </c>
      <c r="C347" s="337" t="s">
        <v>1351</v>
      </c>
      <c r="D347" s="348">
        <f>10+52334</f>
        <v>52344</v>
      </c>
      <c r="E347" s="261"/>
      <c r="F347" s="505"/>
      <c r="G347" s="350">
        <f>K347*(D347/SUM(D347,'NG Cogen'!D348))</f>
        <v>0</v>
      </c>
      <c r="H347" s="500"/>
      <c r="I347" s="500">
        <v>32669.632576072687</v>
      </c>
      <c r="J347" s="319"/>
      <c r="K347" s="349">
        <f>'NG Cogen'!K348</f>
        <v>0</v>
      </c>
    </row>
    <row r="348" spans="1:11" ht="14" thickBot="1" x14ac:dyDescent="0.2">
      <c r="A348" s="351"/>
      <c r="B348" s="351"/>
      <c r="C348" s="340" t="s">
        <v>1364</v>
      </c>
      <c r="D348" s="503"/>
      <c r="E348" s="517"/>
      <c r="F348" s="481">
        <f>(H348*10)/D347</f>
        <v>10.622323967612848</v>
      </c>
      <c r="G348" s="481"/>
      <c r="H348" s="481">
        <v>55601.492576072691</v>
      </c>
      <c r="I348" s="319"/>
      <c r="J348" s="319"/>
      <c r="K348" s="319"/>
    </row>
    <row r="349" spans="1:11" ht="14" thickTop="1" x14ac:dyDescent="0.15"/>
    <row r="351" spans="1:11" s="260" customFormat="1" ht="14" thickBot="1" x14ac:dyDescent="0.2">
      <c r="C351" s="260" t="s">
        <v>146</v>
      </c>
      <c r="D351" s="506">
        <f>SUM(D303,D307,D311,D315)</f>
        <v>169386</v>
      </c>
      <c r="E351" s="347"/>
      <c r="H351" s="481">
        <v>197900.15850684911</v>
      </c>
    </row>
    <row r="352" spans="1:11" s="260" customFormat="1" ht="14" thickTop="1" x14ac:dyDescent="0.15">
      <c r="C352" s="260" t="s">
        <v>1365</v>
      </c>
      <c r="D352" s="347"/>
      <c r="E352" s="347"/>
      <c r="G352" s="507">
        <f>(H351*10)/D351</f>
        <v>11.68338342642539</v>
      </c>
    </row>
    <row r="354" spans="3:7" x14ac:dyDescent="0.15">
      <c r="C354" s="260" t="s">
        <v>1366</v>
      </c>
      <c r="D354" s="508">
        <f>SUM(D319,D323,D327,D331,D335)</f>
        <v>721034</v>
      </c>
      <c r="G354" s="509">
        <f>D354/SUM('NG Cogen'!D357,'NG Main'!D354)</f>
        <v>1</v>
      </c>
    </row>
    <row r="356" spans="3:7" s="347" customFormat="1" x14ac:dyDescent="0.15">
      <c r="G356" s="347" t="s">
        <v>1370</v>
      </c>
    </row>
    <row r="357" spans="3:7" x14ac:dyDescent="0.15">
      <c r="C357" s="260" t="s">
        <v>1371</v>
      </c>
      <c r="D357" s="510">
        <f>SUM(D251,D255,D259,D263,D267,D271,D275,D279,D283,D287,D291,D295)</f>
        <v>0</v>
      </c>
      <c r="E357" s="468"/>
      <c r="G357" s="518">
        <f>SUM(H252:H296)</f>
        <v>1150599.6027524008</v>
      </c>
    </row>
    <row r="358" spans="3:7" x14ac:dyDescent="0.15">
      <c r="C358" s="260" t="s">
        <v>1372</v>
      </c>
      <c r="D358" s="519">
        <f>SUM(D303,D307,D311,D315,D319,D323,D327,D331,D335,D339,D343,D347)</f>
        <v>1017814</v>
      </c>
      <c r="E358" s="468"/>
      <c r="G358" s="520">
        <f>SUM(H304:H348)</f>
        <v>1037162.9346684918</v>
      </c>
    </row>
    <row r="359" spans="3:7" x14ac:dyDescent="0.15">
      <c r="D359" s="510">
        <f>D358-D357</f>
        <v>1017814</v>
      </c>
      <c r="G359" s="521">
        <f>G358-G357</f>
        <v>-113436.66808390897</v>
      </c>
    </row>
  </sheetData>
  <mergeCells count="5">
    <mergeCell ref="A65:L65"/>
    <mergeCell ref="A121:L121"/>
    <mergeCell ref="A182:L182"/>
    <mergeCell ref="A243:L243"/>
    <mergeCell ref="A300:L300"/>
  </mergeCells>
  <printOptions horizontalCentered="1"/>
  <pageMargins left="0.2" right="0.2" top="0.75" bottom="0.75" header="0.3" footer="0.3"/>
  <pageSetup scale="58" orientation="landscape" r:id="rId1"/>
  <headerFooter>
    <oddFooter>&amp;L&amp;D&amp;C&amp;A</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L358"/>
  <sheetViews>
    <sheetView workbookViewId="0">
      <pane ySplit="2" topLeftCell="A255" activePane="bottomLeft" state="frozen"/>
      <selection activeCell="D245" sqref="D245"/>
      <selection pane="bottomLeft" activeCell="D245" sqref="D245"/>
    </sheetView>
  </sheetViews>
  <sheetFormatPr baseColWidth="10" defaultColWidth="8.83203125" defaultRowHeight="13" outlineLevelCol="1" x14ac:dyDescent="0.15"/>
  <cols>
    <col min="1" max="1" width="8.83203125" style="259"/>
    <col min="2" max="2" width="11.1640625" style="259" bestFit="1" customWidth="1"/>
    <col min="3" max="3" width="23.1640625" style="259" customWidth="1"/>
    <col min="4" max="4" width="10.33203125" style="347" customWidth="1"/>
    <col min="5" max="5" width="7.83203125" style="468" hidden="1" customWidth="1" outlineLevel="1"/>
    <col min="6" max="6" width="7.1640625" style="259" customWidth="1" collapsed="1"/>
    <col min="7" max="7" width="12.1640625" style="259" bestFit="1" customWidth="1"/>
    <col min="8" max="9" width="10.6640625" style="259" bestFit="1" customWidth="1"/>
    <col min="10" max="10" width="2.5" style="259" customWidth="1"/>
    <col min="11" max="12" width="11.1640625" style="259" bestFit="1" customWidth="1"/>
    <col min="13" max="16384" width="8.83203125" style="259"/>
  </cols>
  <sheetData>
    <row r="1" spans="1:11" x14ac:dyDescent="0.15">
      <c r="A1" s="260" t="s">
        <v>1094</v>
      </c>
      <c r="B1" s="260"/>
      <c r="C1" s="261" t="s">
        <v>1210</v>
      </c>
    </row>
    <row r="2" spans="1:11" ht="24" x14ac:dyDescent="0.15">
      <c r="A2" s="353" t="s">
        <v>1330</v>
      </c>
      <c r="B2" s="469" t="s">
        <v>1223</v>
      </c>
      <c r="C2" s="469" t="s">
        <v>1142</v>
      </c>
      <c r="D2" s="469" t="s">
        <v>1224</v>
      </c>
      <c r="E2" s="470" t="s">
        <v>1331</v>
      </c>
      <c r="F2" s="471" t="s">
        <v>1332</v>
      </c>
      <c r="G2" s="472" t="s">
        <v>115</v>
      </c>
      <c r="H2" s="473" t="s">
        <v>115</v>
      </c>
      <c r="I2" s="347"/>
      <c r="J2" s="347"/>
      <c r="K2" s="347" t="s">
        <v>1333</v>
      </c>
    </row>
    <row r="4" spans="1:11" s="275" customFormat="1" ht="12.5" customHeight="1" x14ac:dyDescent="0.15">
      <c r="A4" s="359">
        <v>30603902</v>
      </c>
      <c r="B4" s="359" t="s">
        <v>1334</v>
      </c>
      <c r="C4" s="287" t="s">
        <v>1335</v>
      </c>
      <c r="D4" s="474"/>
      <c r="E4" s="475"/>
      <c r="F4" s="362"/>
      <c r="G4" s="358">
        <v>35618.92</v>
      </c>
      <c r="H4" s="358"/>
      <c r="I4" s="358">
        <v>35618.920000000006</v>
      </c>
    </row>
    <row r="5" spans="1:11" s="275" customFormat="1" ht="12.5" customHeight="1" x14ac:dyDescent="0.15">
      <c r="A5" s="359">
        <v>77570</v>
      </c>
      <c r="B5" s="359" t="s">
        <v>1334</v>
      </c>
      <c r="C5" s="287" t="s">
        <v>1336</v>
      </c>
      <c r="D5" s="474"/>
      <c r="E5" s="475">
        <v>123830</v>
      </c>
      <c r="F5" s="362"/>
      <c r="G5" s="358">
        <v>41128.06</v>
      </c>
      <c r="H5" s="358"/>
      <c r="I5" s="358">
        <v>41128.060000000005</v>
      </c>
    </row>
    <row r="6" spans="1:11" s="275" customFormat="1" ht="12.5" customHeight="1" thickBot="1" x14ac:dyDescent="0.2">
      <c r="A6" s="359"/>
      <c r="B6" s="359"/>
      <c r="C6" s="291" t="s">
        <v>1337</v>
      </c>
      <c r="D6" s="476"/>
      <c r="E6" s="477">
        <f>SUM(E4:E5)</f>
        <v>123830</v>
      </c>
      <c r="F6" s="367"/>
      <c r="G6" s="327"/>
      <c r="H6" s="327">
        <v>76746.98000000001</v>
      </c>
    </row>
    <row r="7" spans="1:11" s="275" customFormat="1" ht="12.5" customHeight="1" thickTop="1" x14ac:dyDescent="0.15">
      <c r="D7" s="478"/>
      <c r="E7" s="479"/>
    </row>
    <row r="8" spans="1:11" s="275" customFormat="1" ht="12.5" customHeight="1" x14ac:dyDescent="0.15">
      <c r="A8" s="359">
        <v>30603902</v>
      </c>
      <c r="B8" s="359" t="s">
        <v>1334</v>
      </c>
      <c r="C8" s="287" t="s">
        <v>1335</v>
      </c>
      <c r="D8" s="474"/>
      <c r="E8" s="475"/>
      <c r="F8" s="362"/>
      <c r="G8" s="358">
        <v>24072.16</v>
      </c>
      <c r="H8" s="358"/>
      <c r="I8" s="358">
        <v>24072.159999999996</v>
      </c>
    </row>
    <row r="9" spans="1:11" s="275" customFormat="1" ht="12.5" customHeight="1" x14ac:dyDescent="0.15">
      <c r="A9" s="359">
        <v>77570</v>
      </c>
      <c r="B9" s="359" t="s">
        <v>1334</v>
      </c>
      <c r="C9" s="287" t="s">
        <v>1336</v>
      </c>
      <c r="D9" s="474"/>
      <c r="E9" s="475">
        <v>89630</v>
      </c>
      <c r="F9" s="362"/>
      <c r="G9" s="358">
        <v>11731.89</v>
      </c>
      <c r="H9" s="358"/>
      <c r="I9" s="358">
        <v>11731.890000000001</v>
      </c>
    </row>
    <row r="10" spans="1:11" s="275" customFormat="1" ht="12.5" customHeight="1" thickBot="1" x14ac:dyDescent="0.2">
      <c r="A10" s="359"/>
      <c r="B10" s="359"/>
      <c r="C10" s="291" t="s">
        <v>1338</v>
      </c>
      <c r="D10" s="476"/>
      <c r="E10" s="477">
        <f>SUM(E8:E9)</f>
        <v>89630</v>
      </c>
      <c r="F10" s="367"/>
      <c r="G10" s="327"/>
      <c r="H10" s="327">
        <v>35804.050000000003</v>
      </c>
    </row>
    <row r="11" spans="1:11" s="275" customFormat="1" ht="12.5" customHeight="1" thickTop="1" x14ac:dyDescent="0.15">
      <c r="D11" s="478"/>
      <c r="E11" s="479"/>
    </row>
    <row r="12" spans="1:11" s="275" customFormat="1" ht="12.5" customHeight="1" x14ac:dyDescent="0.15">
      <c r="A12" s="359">
        <v>30603902</v>
      </c>
      <c r="B12" s="359" t="s">
        <v>1334</v>
      </c>
      <c r="C12" s="287" t="s">
        <v>1335</v>
      </c>
      <c r="D12" s="474"/>
      <c r="E12" s="475"/>
      <c r="F12" s="362"/>
      <c r="G12" s="358">
        <v>35719.58</v>
      </c>
      <c r="H12" s="358"/>
      <c r="I12" s="358">
        <v>35719.579999999994</v>
      </c>
    </row>
    <row r="13" spans="1:11" s="275" customFormat="1" ht="12.5" customHeight="1" x14ac:dyDescent="0.15">
      <c r="A13" s="359">
        <v>77570</v>
      </c>
      <c r="B13" s="359" t="s">
        <v>1334</v>
      </c>
      <c r="C13" s="287" t="s">
        <v>1336</v>
      </c>
      <c r="D13" s="474"/>
      <c r="E13" s="475">
        <v>115266.7</v>
      </c>
      <c r="F13" s="362"/>
      <c r="G13" s="358">
        <v>14595.17</v>
      </c>
      <c r="H13" s="358"/>
      <c r="I13" s="358">
        <v>14595.170000000002</v>
      </c>
    </row>
    <row r="14" spans="1:11" s="275" customFormat="1" ht="12.5" customHeight="1" thickBot="1" x14ac:dyDescent="0.2">
      <c r="A14" s="359"/>
      <c r="B14" s="359"/>
      <c r="C14" s="291" t="s">
        <v>1339</v>
      </c>
      <c r="D14" s="476"/>
      <c r="E14" s="477">
        <f>SUM(E12:E13)</f>
        <v>115266.7</v>
      </c>
      <c r="F14" s="367"/>
      <c r="G14" s="327"/>
      <c r="H14" s="327">
        <v>50314.749999999993</v>
      </c>
    </row>
    <row r="15" spans="1:11" s="275" customFormat="1" ht="12.5" customHeight="1" thickTop="1" x14ac:dyDescent="0.15">
      <c r="D15" s="478"/>
      <c r="E15" s="479"/>
    </row>
    <row r="16" spans="1:11" s="275" customFormat="1" ht="12.5" customHeight="1" x14ac:dyDescent="0.15">
      <c r="A16" s="359">
        <v>30603902</v>
      </c>
      <c r="B16" s="359" t="s">
        <v>1334</v>
      </c>
      <c r="C16" s="287" t="s">
        <v>1335</v>
      </c>
      <c r="D16" s="474"/>
      <c r="E16" s="475"/>
      <c r="F16" s="362"/>
      <c r="G16" s="358">
        <f>39905.24+1108.63</f>
        <v>41013.869999999995</v>
      </c>
      <c r="H16" s="358"/>
      <c r="I16" s="358">
        <v>41013.870000000003</v>
      </c>
    </row>
    <row r="17" spans="1:12" s="275" customFormat="1" ht="12.5" customHeight="1" x14ac:dyDescent="0.15">
      <c r="A17" s="359">
        <v>77570</v>
      </c>
      <c r="B17" s="359">
        <v>77570</v>
      </c>
      <c r="C17" s="287" t="s">
        <v>1336</v>
      </c>
      <c r="D17" s="480">
        <v>127758.39999999999</v>
      </c>
      <c r="E17" s="475">
        <v>124080</v>
      </c>
      <c r="F17" s="362"/>
      <c r="G17" s="358">
        <v>16159.13</v>
      </c>
      <c r="H17" s="358"/>
      <c r="I17" s="358">
        <v>16159.130000000001</v>
      </c>
    </row>
    <row r="18" spans="1:12" s="275" customFormat="1" ht="12.5" customHeight="1" thickBot="1" x14ac:dyDescent="0.2">
      <c r="A18" s="359"/>
      <c r="B18" s="359"/>
      <c r="C18" s="291" t="s">
        <v>1340</v>
      </c>
      <c r="D18" s="476"/>
      <c r="E18" s="477">
        <f>SUM(E16:E17)</f>
        <v>124080</v>
      </c>
      <c r="F18" s="481">
        <f>(H18*10)/D17</f>
        <v>4.4750873523776136</v>
      </c>
      <c r="G18" s="327"/>
      <c r="H18" s="327">
        <v>57173.000000000007</v>
      </c>
    </row>
    <row r="19" spans="1:12" s="275" customFormat="1" ht="12.5" customHeight="1" thickTop="1" x14ac:dyDescent="0.15">
      <c r="D19" s="478"/>
      <c r="E19" s="479"/>
    </row>
    <row r="20" spans="1:12" s="275" customFormat="1" ht="12.5" customHeight="1" x14ac:dyDescent="0.15">
      <c r="A20" s="359">
        <v>30603902</v>
      </c>
      <c r="B20" s="359" t="s">
        <v>1334</v>
      </c>
      <c r="C20" s="287" t="s">
        <v>1335</v>
      </c>
      <c r="D20" s="474"/>
      <c r="E20" s="475"/>
      <c r="F20" s="362"/>
      <c r="G20" s="358">
        <v>43492.15</v>
      </c>
      <c r="H20" s="358"/>
      <c r="I20" s="358">
        <v>43492.149999999994</v>
      </c>
    </row>
    <row r="21" spans="1:12" s="275" customFormat="1" ht="12.5" customHeight="1" x14ac:dyDescent="0.15">
      <c r="A21" s="359">
        <v>77570</v>
      </c>
      <c r="B21" s="359">
        <v>77570</v>
      </c>
      <c r="C21" s="287" t="s">
        <v>1336</v>
      </c>
      <c r="D21" s="480">
        <v>126062.5</v>
      </c>
      <c r="E21" s="475">
        <v>122230</v>
      </c>
      <c r="F21" s="362"/>
      <c r="G21" s="358">
        <v>15946.81</v>
      </c>
      <c r="H21" s="358"/>
      <c r="I21" s="358">
        <v>15946.81</v>
      </c>
    </row>
    <row r="22" spans="1:12" s="275" customFormat="1" ht="12.5" customHeight="1" thickBot="1" x14ac:dyDescent="0.2">
      <c r="A22" s="359"/>
      <c r="B22" s="359"/>
      <c r="C22" s="291" t="s">
        <v>1341</v>
      </c>
      <c r="D22" s="476"/>
      <c r="E22" s="477">
        <f>SUM(E20:E21)</f>
        <v>122230</v>
      </c>
      <c r="F22" s="481">
        <f>(H22*10)/D21</f>
        <v>4.7150389687654934</v>
      </c>
      <c r="G22" s="327"/>
      <c r="H22" s="327">
        <v>59438.96</v>
      </c>
    </row>
    <row r="23" spans="1:12" s="275" customFormat="1" ht="12.5" customHeight="1" thickTop="1" x14ac:dyDescent="0.15">
      <c r="D23" s="478"/>
      <c r="E23" s="479"/>
    </row>
    <row r="24" spans="1:12" s="275" customFormat="1" ht="12.5" customHeight="1" x14ac:dyDescent="0.15">
      <c r="A24" s="359">
        <v>30603902</v>
      </c>
      <c r="B24" s="359" t="s">
        <v>1334</v>
      </c>
      <c r="C24" s="287" t="s">
        <v>1335</v>
      </c>
      <c r="D24" s="474"/>
      <c r="E24" s="475"/>
      <c r="F24" s="362"/>
      <c r="G24" s="358">
        <v>37401.93</v>
      </c>
      <c r="H24" s="358"/>
      <c r="I24" s="358">
        <v>37401.93</v>
      </c>
    </row>
    <row r="25" spans="1:12" s="275" customFormat="1" ht="12.5" customHeight="1" x14ac:dyDescent="0.15">
      <c r="A25" s="359">
        <v>77570</v>
      </c>
      <c r="B25" s="359">
        <v>77570</v>
      </c>
      <c r="C25" s="287" t="s">
        <v>1336</v>
      </c>
      <c r="D25" s="480">
        <v>116676</v>
      </c>
      <c r="E25" s="475">
        <v>113340</v>
      </c>
      <c r="F25" s="362"/>
      <c r="G25" s="358">
        <v>14771.62</v>
      </c>
      <c r="H25" s="358"/>
      <c r="I25" s="358">
        <v>14771.62</v>
      </c>
    </row>
    <row r="26" spans="1:12" s="275" customFormat="1" ht="12.5" customHeight="1" thickBot="1" x14ac:dyDescent="0.2">
      <c r="A26" s="359"/>
      <c r="B26" s="359"/>
      <c r="C26" s="291" t="s">
        <v>1342</v>
      </c>
      <c r="D26" s="476"/>
      <c r="E26" s="477">
        <f>SUM(E24:E25)</f>
        <v>113340</v>
      </c>
      <c r="F26" s="481">
        <f>(H26*10)/D25</f>
        <v>4.4716608385614869</v>
      </c>
      <c r="G26" s="327"/>
      <c r="H26" s="327">
        <v>52173.55</v>
      </c>
    </row>
    <row r="27" spans="1:12" s="275" customFormat="1" ht="12.5" customHeight="1" thickTop="1" x14ac:dyDescent="0.15">
      <c r="D27" s="478"/>
      <c r="E27" s="479"/>
    </row>
    <row r="28" spans="1:12" s="275" customFormat="1" ht="12.5" customHeight="1" x14ac:dyDescent="0.15">
      <c r="A28" s="359">
        <v>30603902</v>
      </c>
      <c r="B28" s="359" t="s">
        <v>1334</v>
      </c>
      <c r="C28" s="287" t="s">
        <v>1335</v>
      </c>
      <c r="D28" s="474"/>
      <c r="E28" s="475"/>
      <c r="F28" s="362"/>
      <c r="G28" s="482">
        <f>((G29/K29)*K28)+2096.25</f>
        <v>48283.754380896222</v>
      </c>
      <c r="H28" s="358"/>
      <c r="I28" s="358">
        <v>48283.754380896207</v>
      </c>
      <c r="K28" s="278">
        <f>57240.78</f>
        <v>57240.78</v>
      </c>
      <c r="L28" s="275">
        <v>2096.25</v>
      </c>
    </row>
    <row r="29" spans="1:12" s="275" customFormat="1" ht="12.5" customHeight="1" x14ac:dyDescent="0.15">
      <c r="A29" s="359">
        <v>77570</v>
      </c>
      <c r="B29" s="359">
        <v>77570</v>
      </c>
      <c r="C29" s="287" t="s">
        <v>1336</v>
      </c>
      <c r="D29" s="480">
        <v>133355.70000000001</v>
      </c>
      <c r="E29" s="474">
        <v>129350</v>
      </c>
      <c r="F29" s="362"/>
      <c r="G29" s="482">
        <v>16859.919999999998</v>
      </c>
      <c r="H29" s="358"/>
      <c r="I29" s="358">
        <v>16859.919999999998</v>
      </c>
      <c r="K29" s="278">
        <f>SUM(I29,'NG Main'!I29)</f>
        <v>20894.719999999998</v>
      </c>
    </row>
    <row r="30" spans="1:12" s="275" customFormat="1" ht="12.5" customHeight="1" thickBot="1" x14ac:dyDescent="0.2">
      <c r="A30" s="359"/>
      <c r="B30" s="359"/>
      <c r="C30" s="291" t="s">
        <v>1343</v>
      </c>
      <c r="D30" s="476"/>
      <c r="E30" s="477">
        <f>SUM(E28:E29)</f>
        <v>129350</v>
      </c>
      <c r="F30" s="481">
        <f>(H30*10)/D29</f>
        <v>4.8849561271768813</v>
      </c>
      <c r="G30" s="327"/>
      <c r="H30" s="327">
        <v>65143.674380896206</v>
      </c>
    </row>
    <row r="31" spans="1:12" s="275" customFormat="1" ht="12.5" customHeight="1" thickTop="1" x14ac:dyDescent="0.15">
      <c r="D31" s="478"/>
      <c r="E31" s="479"/>
    </row>
    <row r="32" spans="1:12" s="275" customFormat="1" ht="12.5" customHeight="1" x14ac:dyDescent="0.15">
      <c r="A32" s="359">
        <v>30603902</v>
      </c>
      <c r="B32" s="359" t="s">
        <v>1334</v>
      </c>
      <c r="C32" s="287" t="s">
        <v>1335</v>
      </c>
      <c r="D32" s="474"/>
      <c r="E32" s="475"/>
      <c r="F32" s="362"/>
      <c r="G32" s="482">
        <f>(G33/K33)*K32</f>
        <v>89622.041873521463</v>
      </c>
      <c r="H32" s="358"/>
      <c r="I32" s="358">
        <v>89622.041873521448</v>
      </c>
      <c r="K32" s="278">
        <v>152266.99</v>
      </c>
    </row>
    <row r="33" spans="1:12" s="275" customFormat="1" ht="12.5" customHeight="1" x14ac:dyDescent="0.15">
      <c r="A33" s="359">
        <v>77570</v>
      </c>
      <c r="B33" s="359">
        <v>77570</v>
      </c>
      <c r="C33" s="287" t="s">
        <v>1336</v>
      </c>
      <c r="D33" s="483">
        <v>130203.1</v>
      </c>
      <c r="E33" s="474">
        <v>126780</v>
      </c>
      <c r="F33" s="362"/>
      <c r="G33" s="482">
        <v>42388.65</v>
      </c>
      <c r="H33" s="358"/>
      <c r="I33" s="358">
        <v>42388.650000000009</v>
      </c>
      <c r="K33" s="278">
        <f>SUM(I33,'NG Main'!I33)</f>
        <v>72017.91</v>
      </c>
    </row>
    <row r="34" spans="1:12" s="275" customFormat="1" ht="12.5" customHeight="1" thickBot="1" x14ac:dyDescent="0.2">
      <c r="A34" s="359"/>
      <c r="B34" s="359"/>
      <c r="C34" s="291" t="s">
        <v>1344</v>
      </c>
      <c r="D34" s="476"/>
      <c r="E34" s="477">
        <f>SUM(E32:E33)</f>
        <v>126780</v>
      </c>
      <c r="F34" s="481">
        <f>(H34*10)/D33</f>
        <v>10.138828635686972</v>
      </c>
      <c r="G34" s="327"/>
      <c r="H34" s="327">
        <v>132010.69187352146</v>
      </c>
    </row>
    <row r="35" spans="1:12" s="275" customFormat="1" ht="12.5" customHeight="1" thickTop="1" x14ac:dyDescent="0.15">
      <c r="D35" s="478"/>
      <c r="E35" s="479"/>
    </row>
    <row r="36" spans="1:12" s="275" customFormat="1" ht="12.5" customHeight="1" x14ac:dyDescent="0.15">
      <c r="A36" s="359">
        <v>30603902</v>
      </c>
      <c r="B36" s="359" t="s">
        <v>1334</v>
      </c>
      <c r="C36" s="287" t="s">
        <v>1335</v>
      </c>
      <c r="D36" s="474"/>
      <c r="E36" s="475"/>
      <c r="F36" s="362"/>
      <c r="G36" s="482">
        <f>(G37/K37)*K36</f>
        <v>72840.456259223836</v>
      </c>
      <c r="H36" s="358"/>
      <c r="I36" s="358">
        <v>72840.456259223836</v>
      </c>
      <c r="K36" s="278">
        <f>142653.06+4954.24</f>
        <v>147607.29999999999</v>
      </c>
    </row>
    <row r="37" spans="1:12" s="275" customFormat="1" ht="12.5" customHeight="1" x14ac:dyDescent="0.15">
      <c r="A37" s="359">
        <v>77570</v>
      </c>
      <c r="B37" s="359">
        <v>77570</v>
      </c>
      <c r="C37" s="287" t="s">
        <v>1336</v>
      </c>
      <c r="D37" s="483">
        <v>123037.3</v>
      </c>
      <c r="E37" s="474">
        <v>119750</v>
      </c>
      <c r="F37" s="362"/>
      <c r="G37" s="482">
        <v>40064.78</v>
      </c>
      <c r="H37" s="358"/>
      <c r="I37" s="358">
        <v>40064.779999999984</v>
      </c>
      <c r="K37" s="278">
        <f>SUM(I37,'NG Main'!I37)</f>
        <v>81189.139999999985</v>
      </c>
    </row>
    <row r="38" spans="1:12" s="275" customFormat="1" ht="12.5" customHeight="1" thickBot="1" x14ac:dyDescent="0.2">
      <c r="A38" s="359"/>
      <c r="B38" s="359"/>
      <c r="C38" s="291" t="s">
        <v>1345</v>
      </c>
      <c r="D38" s="476"/>
      <c r="E38" s="477">
        <f>SUM(E36:E37)</f>
        <v>119750</v>
      </c>
      <c r="F38" s="481">
        <f>(H38*10)/D37</f>
        <v>9.1765047070460586</v>
      </c>
      <c r="G38" s="327"/>
      <c r="H38" s="327">
        <v>112905.23625922381</v>
      </c>
    </row>
    <row r="39" spans="1:12" s="275" customFormat="1" ht="14" thickTop="1" x14ac:dyDescent="0.15">
      <c r="D39" s="478"/>
      <c r="E39" s="479"/>
    </row>
    <row r="40" spans="1:12" s="275" customFormat="1" ht="12.5" customHeight="1" x14ac:dyDescent="0.15">
      <c r="A40" s="359">
        <v>30603902</v>
      </c>
      <c r="B40" s="359" t="s">
        <v>1334</v>
      </c>
      <c r="C40" s="287" t="s">
        <v>1335</v>
      </c>
      <c r="D40" s="474"/>
      <c r="E40" s="475"/>
      <c r="F40" s="362"/>
      <c r="G40" s="482">
        <f>(G41/K41)*K40</f>
        <v>90896.069774355012</v>
      </c>
      <c r="H40" s="358"/>
      <c r="I40" s="358">
        <v>90896.069774355026</v>
      </c>
      <c r="K40" s="278">
        <v>187709.06</v>
      </c>
    </row>
    <row r="41" spans="1:12" s="275" customFormat="1" ht="12.5" customHeight="1" x14ac:dyDescent="0.15">
      <c r="A41" s="359">
        <v>77570</v>
      </c>
      <c r="B41" s="359">
        <v>77570</v>
      </c>
      <c r="C41" s="287" t="s">
        <v>1336</v>
      </c>
      <c r="D41" s="483">
        <v>88906.6</v>
      </c>
      <c r="E41" s="474">
        <v>86610</v>
      </c>
      <c r="F41" s="362"/>
      <c r="G41" s="482">
        <v>28996.19</v>
      </c>
      <c r="H41" s="358"/>
      <c r="I41" s="358">
        <v>28996.19</v>
      </c>
      <c r="K41" s="278">
        <f>SUM(I41,'NG Main'!I41)</f>
        <v>59879.899999999994</v>
      </c>
    </row>
    <row r="42" spans="1:12" s="275" customFormat="1" ht="12.5" customHeight="1" thickBot="1" x14ac:dyDescent="0.2">
      <c r="A42" s="359"/>
      <c r="B42" s="359"/>
      <c r="C42" s="291" t="s">
        <v>1346</v>
      </c>
      <c r="D42" s="476"/>
      <c r="E42" s="477">
        <f>SUM(E40:E41)</f>
        <v>86610</v>
      </c>
      <c r="F42" s="481">
        <f>(H42*10)/D41</f>
        <v>13.485192300049155</v>
      </c>
      <c r="G42" s="327"/>
      <c r="H42" s="327">
        <v>119892.25977435503</v>
      </c>
    </row>
    <row r="43" spans="1:12" s="275" customFormat="1" ht="14" thickTop="1" x14ac:dyDescent="0.15">
      <c r="D43" s="478"/>
      <c r="E43" s="479"/>
    </row>
    <row r="44" spans="1:12" s="275" customFormat="1" ht="12.5" customHeight="1" x14ac:dyDescent="0.15">
      <c r="A44" s="359">
        <v>30603902</v>
      </c>
      <c r="B44" s="359" t="s">
        <v>1334</v>
      </c>
      <c r="C44" s="287" t="s">
        <v>1335</v>
      </c>
      <c r="D44" s="474"/>
      <c r="E44" s="475"/>
      <c r="F44" s="362"/>
      <c r="G44" s="482">
        <f>(G45/K45)*K44</f>
        <v>188393.15105105221</v>
      </c>
      <c r="H44" s="358"/>
      <c r="I44" s="358">
        <v>188393.15105105223</v>
      </c>
      <c r="K44" s="278">
        <v>418591.7</v>
      </c>
    </row>
    <row r="45" spans="1:12" s="275" customFormat="1" ht="12.5" customHeight="1" x14ac:dyDescent="0.15">
      <c r="A45" s="359">
        <v>77570</v>
      </c>
      <c r="B45" s="359">
        <v>77570</v>
      </c>
      <c r="C45" s="287" t="s">
        <v>1336</v>
      </c>
      <c r="D45" s="483">
        <v>115231.7</v>
      </c>
      <c r="E45" s="474">
        <v>112210</v>
      </c>
      <c r="F45" s="362"/>
      <c r="G45" s="482">
        <f>K45*(D45/SUM(D45,'NG Main'!D45))</f>
        <v>35778.625555861938</v>
      </c>
      <c r="H45" s="358"/>
      <c r="I45" s="358">
        <v>35778.625555861945</v>
      </c>
      <c r="K45" s="278">
        <v>79496.710000000006</v>
      </c>
      <c r="L45" s="278">
        <f>K45-SUM(I45,'NG Main'!I45)</f>
        <v>0</v>
      </c>
    </row>
    <row r="46" spans="1:12" s="275" customFormat="1" ht="12.5" customHeight="1" thickBot="1" x14ac:dyDescent="0.2">
      <c r="A46" s="359"/>
      <c r="B46" s="359"/>
      <c r="C46" s="291" t="s">
        <v>1347</v>
      </c>
      <c r="D46" s="476"/>
      <c r="E46" s="477">
        <f>SUM(E44:E45)</f>
        <v>112210</v>
      </c>
      <c r="F46" s="481">
        <f>(H46*10)/D45</f>
        <v>19.454002380153558</v>
      </c>
      <c r="G46" s="327"/>
      <c r="H46" s="327">
        <v>224171.77660691409</v>
      </c>
    </row>
    <row r="47" spans="1:12" s="275" customFormat="1" ht="14" thickTop="1" x14ac:dyDescent="0.15">
      <c r="D47" s="478"/>
      <c r="E47" s="479"/>
    </row>
    <row r="48" spans="1:12" s="275" customFormat="1" ht="12.5" customHeight="1" x14ac:dyDescent="0.15">
      <c r="A48" s="359">
        <v>30603902</v>
      </c>
      <c r="B48" s="359" t="s">
        <v>1334</v>
      </c>
      <c r="C48" s="287" t="s">
        <v>1335</v>
      </c>
      <c r="D48" s="474"/>
      <c r="E48" s="475"/>
      <c r="F48" s="362"/>
      <c r="G48" s="482">
        <f>(G49/K49)*K48</f>
        <v>94984.721591449808</v>
      </c>
      <c r="H48" s="358"/>
      <c r="I48" s="358">
        <v>94984.721591449808</v>
      </c>
      <c r="K48" s="298">
        <v>169298.49</v>
      </c>
      <c r="L48" s="278">
        <f>K48-SUM(I48,'NG Main'!I48)</f>
        <v>0</v>
      </c>
    </row>
    <row r="49" spans="1:12" s="275" customFormat="1" ht="12.5" customHeight="1" x14ac:dyDescent="0.15">
      <c r="A49" s="359">
        <v>77570</v>
      </c>
      <c r="B49" s="359">
        <v>77570</v>
      </c>
      <c r="C49" s="287" t="s">
        <v>1336</v>
      </c>
      <c r="D49" s="483">
        <v>136465.20000000001</v>
      </c>
      <c r="E49" s="474">
        <v>132890</v>
      </c>
      <c r="F49" s="362"/>
      <c r="G49" s="482">
        <f>K49*(D49/SUM(D49,'NG Main'!D49))</f>
        <v>44450.710246032293</v>
      </c>
      <c r="H49" s="358"/>
      <c r="I49" s="358">
        <v>44450.710246032308</v>
      </c>
      <c r="K49" s="298">
        <v>79227.88</v>
      </c>
      <c r="L49" s="278">
        <f>K49-SUM(I49,'NG Main'!I49)</f>
        <v>0</v>
      </c>
    </row>
    <row r="50" spans="1:12" s="275" customFormat="1" ht="12.5" customHeight="1" thickBot="1" x14ac:dyDescent="0.2">
      <c r="A50" s="359"/>
      <c r="B50" s="359"/>
      <c r="C50" s="291" t="s">
        <v>1348</v>
      </c>
      <c r="D50" s="476"/>
      <c r="E50" s="477">
        <f>SUM(E48:E49)</f>
        <v>132890</v>
      </c>
      <c r="F50" s="481">
        <f>(H50*10)/D49</f>
        <v>10.217654892051753</v>
      </c>
      <c r="G50" s="327"/>
      <c r="H50" s="327">
        <v>139435.43183748209</v>
      </c>
    </row>
    <row r="51" spans="1:12" s="275" customFormat="1" ht="14" thickTop="1" x14ac:dyDescent="0.15">
      <c r="D51" s="478"/>
      <c r="E51" s="479"/>
    </row>
    <row r="52" spans="1:12" s="275" customFormat="1" ht="12.5" customHeight="1" x14ac:dyDescent="0.15">
      <c r="A52" s="359">
        <v>92662</v>
      </c>
      <c r="B52" s="359" t="s">
        <v>1334</v>
      </c>
      <c r="C52" s="287" t="s">
        <v>1349</v>
      </c>
      <c r="D52" s="474"/>
      <c r="E52" s="475"/>
      <c r="F52" s="362"/>
      <c r="G52" s="482">
        <v>65544.81</v>
      </c>
      <c r="H52" s="358"/>
      <c r="I52" s="358">
        <v>65544.809999999983</v>
      </c>
      <c r="K52" s="298">
        <f>SUM(I52,'NG Main'!I52)</f>
        <v>88197.439999999988</v>
      </c>
      <c r="L52" s="278">
        <f>K52-SUM(I52,'NG Main'!I52)</f>
        <v>0</v>
      </c>
    </row>
    <row r="53" spans="1:12" s="275" customFormat="1" ht="12.5" customHeight="1" x14ac:dyDescent="0.15">
      <c r="A53" s="359">
        <v>77570</v>
      </c>
      <c r="B53" s="359">
        <v>77570</v>
      </c>
      <c r="C53" s="287" t="s">
        <v>1336</v>
      </c>
      <c r="D53" s="483">
        <v>129284.3</v>
      </c>
      <c r="E53" s="474">
        <v>125600</v>
      </c>
      <c r="F53" s="362"/>
      <c r="G53" s="482">
        <f>K53*(D53/SUM(D53,'NG Main'!D53))</f>
        <v>57816.906529830216</v>
      </c>
      <c r="H53" s="358"/>
      <c r="I53" s="358">
        <v>57816.906529830208</v>
      </c>
      <c r="K53" s="298">
        <v>77772.02</v>
      </c>
      <c r="L53" s="278">
        <f>K53-SUM(I53,'NG Main'!I53)</f>
        <v>0</v>
      </c>
    </row>
    <row r="54" spans="1:12" s="275" customFormat="1" ht="12.5" customHeight="1" thickBot="1" x14ac:dyDescent="0.2">
      <c r="A54" s="359"/>
      <c r="B54" s="359"/>
      <c r="C54" s="291" t="s">
        <v>1337</v>
      </c>
      <c r="D54" s="476"/>
      <c r="E54" s="477">
        <f>SUM(E52:E53)</f>
        <v>125600</v>
      </c>
      <c r="F54" s="481">
        <f>(H54*10)/D53</f>
        <v>9.5418946097732071</v>
      </c>
      <c r="G54" s="327"/>
      <c r="H54" s="327">
        <v>123361.71652983021</v>
      </c>
    </row>
    <row r="55" spans="1:12" s="275" customFormat="1" ht="14" thickTop="1" x14ac:dyDescent="0.15">
      <c r="D55" s="478"/>
      <c r="E55" s="479"/>
    </row>
    <row r="56" spans="1:12" s="275" customFormat="1" ht="12.5" customHeight="1" x14ac:dyDescent="0.15">
      <c r="A56" s="359">
        <v>92662</v>
      </c>
      <c r="B56" s="359" t="s">
        <v>1334</v>
      </c>
      <c r="C56" s="287" t="s">
        <v>1349</v>
      </c>
      <c r="D56" s="474"/>
      <c r="E56" s="475"/>
      <c r="F56" s="362"/>
      <c r="G56" s="482">
        <v>54145.63</v>
      </c>
      <c r="H56" s="358"/>
      <c r="I56" s="358">
        <v>54145.63</v>
      </c>
      <c r="K56" s="298">
        <f>SUM(I56,'NG Main'!I56)</f>
        <v>74831.070000000007</v>
      </c>
      <c r="L56" s="278">
        <f>K56-SUM(I56,'NG Main'!I56)</f>
        <v>0</v>
      </c>
    </row>
    <row r="57" spans="1:12" s="275" customFormat="1" ht="12.5" customHeight="1" x14ac:dyDescent="0.15">
      <c r="A57" s="359">
        <v>77570</v>
      </c>
      <c r="B57" s="359">
        <v>77570</v>
      </c>
      <c r="C57" s="287" t="s">
        <v>1336</v>
      </c>
      <c r="D57" s="483">
        <v>107069.1</v>
      </c>
      <c r="E57" s="474">
        <v>103840</v>
      </c>
      <c r="F57" s="362"/>
      <c r="G57" s="482">
        <f>K57*(D57/SUM(D57,'NG Main'!D57))</f>
        <v>54523.979806052252</v>
      </c>
      <c r="H57" s="358"/>
      <c r="I57" s="358">
        <v>54523.979806052244</v>
      </c>
      <c r="K57" s="298">
        <v>74854.97</v>
      </c>
      <c r="L57" s="278">
        <f>K57-SUM(I57,'NG Main'!I57)</f>
        <v>0</v>
      </c>
    </row>
    <row r="58" spans="1:12" s="275" customFormat="1" ht="12.5" customHeight="1" thickBot="1" x14ac:dyDescent="0.2">
      <c r="A58" s="359"/>
      <c r="B58" s="359"/>
      <c r="C58" s="291" t="s">
        <v>1350</v>
      </c>
      <c r="D58" s="476"/>
      <c r="E58" s="477">
        <f>SUM(E56:E57)</f>
        <v>103840</v>
      </c>
      <c r="F58" s="481">
        <f>(H58*10)/D57</f>
        <v>10.149483819893154</v>
      </c>
      <c r="G58" s="327"/>
      <c r="H58" s="327">
        <v>108669.60980605223</v>
      </c>
    </row>
    <row r="59" spans="1:12" s="275" customFormat="1" ht="14" thickTop="1" x14ac:dyDescent="0.15">
      <c r="D59" s="478"/>
      <c r="E59" s="479"/>
    </row>
    <row r="60" spans="1:12" s="275" customFormat="1" ht="12.5" customHeight="1" x14ac:dyDescent="0.15">
      <c r="A60" s="359">
        <v>92662</v>
      </c>
      <c r="B60" s="359" t="s">
        <v>1334</v>
      </c>
      <c r="C60" s="287" t="s">
        <v>1349</v>
      </c>
      <c r="D60" s="474"/>
      <c r="E60" s="475"/>
      <c r="F60" s="362"/>
      <c r="G60" s="482">
        <v>36348.61</v>
      </c>
      <c r="H60" s="358"/>
      <c r="I60" s="358">
        <v>36348.61</v>
      </c>
      <c r="K60" s="298">
        <f>SUM(I60,'NG Main'!I60)</f>
        <v>56900.62</v>
      </c>
      <c r="L60" s="278">
        <f>K60-SUM(I60,'NG Main'!I60)</f>
        <v>0</v>
      </c>
    </row>
    <row r="61" spans="1:12" s="275" customFormat="1" ht="12.5" customHeight="1" x14ac:dyDescent="0.15">
      <c r="A61" s="359">
        <v>92662</v>
      </c>
      <c r="B61" s="359">
        <v>77570</v>
      </c>
      <c r="C61" s="287" t="s">
        <v>1351</v>
      </c>
      <c r="D61" s="483">
        <v>70025.2</v>
      </c>
      <c r="E61" s="474">
        <v>67990</v>
      </c>
      <c r="F61" s="362"/>
      <c r="G61" s="482">
        <f>K61*(D61/SUM(D61,'NG Main'!D61))</f>
        <v>49424.222728776076</v>
      </c>
      <c r="H61" s="358"/>
      <c r="I61" s="358">
        <v>49424.222728776083</v>
      </c>
      <c r="K61" s="484">
        <v>74648.820000000007</v>
      </c>
      <c r="L61" s="278">
        <f>K61-SUM(I61,'NG Main'!I61)</f>
        <v>0</v>
      </c>
    </row>
    <row r="62" spans="1:12" s="275" customFormat="1" ht="12.5" customHeight="1" thickBot="1" x14ac:dyDescent="0.2">
      <c r="A62" s="359"/>
      <c r="B62" s="359"/>
      <c r="C62" s="291" t="s">
        <v>1339</v>
      </c>
      <c r="D62" s="476"/>
      <c r="E62" s="477">
        <f>SUM(E60:E61)</f>
        <v>67990</v>
      </c>
      <c r="F62" s="481">
        <f>(H62*10)/D61</f>
        <v>12.248852231593204</v>
      </c>
      <c r="G62" s="327"/>
      <c r="H62" s="327">
        <v>85772.832728776048</v>
      </c>
    </row>
    <row r="63" spans="1:12" s="275" customFormat="1" ht="12.5" customHeight="1" thickTop="1" x14ac:dyDescent="0.15">
      <c r="A63" s="359"/>
      <c r="B63" s="359"/>
      <c r="C63" s="293"/>
      <c r="D63" s="474"/>
      <c r="E63" s="485" t="s">
        <v>1352</v>
      </c>
      <c r="F63" s="486">
        <f>(SUM(H18:H62)*10)/SUM(D17:D61)</f>
        <v>9.1173808281127631</v>
      </c>
      <c r="H63" s="361"/>
    </row>
    <row r="64" spans="1:12" ht="14" thickBot="1" x14ac:dyDescent="0.2"/>
    <row r="65" spans="1:12" s="275" customFormat="1" ht="31" thickBot="1" x14ac:dyDescent="0.35">
      <c r="A65" s="767" t="s">
        <v>1137</v>
      </c>
      <c r="B65" s="768"/>
      <c r="C65" s="768"/>
      <c r="D65" s="768"/>
      <c r="E65" s="768"/>
      <c r="F65" s="768"/>
      <c r="G65" s="768"/>
      <c r="H65" s="768"/>
      <c r="I65" s="768"/>
      <c r="J65" s="768"/>
      <c r="K65" s="768"/>
      <c r="L65" s="769"/>
    </row>
    <row r="66" spans="1:12" s="275" customFormat="1" x14ac:dyDescent="0.15">
      <c r="D66" s="478"/>
      <c r="E66" s="479"/>
    </row>
    <row r="67" spans="1:12" s="275" customFormat="1" x14ac:dyDescent="0.15">
      <c r="A67" s="359">
        <v>92662</v>
      </c>
      <c r="B67" s="359" t="s">
        <v>1334</v>
      </c>
      <c r="C67" s="287" t="s">
        <v>1349</v>
      </c>
      <c r="D67" s="474"/>
      <c r="E67" s="475"/>
      <c r="F67" s="362"/>
      <c r="G67" s="482">
        <v>59165.57</v>
      </c>
      <c r="H67" s="358"/>
      <c r="I67" s="358">
        <v>59165.57</v>
      </c>
      <c r="K67" s="298">
        <f>SUM(I67,'NG Main'!I67)</f>
        <v>74094.42</v>
      </c>
      <c r="L67" s="278">
        <f>K67-SUM(I67,'NG Main'!I67)</f>
        <v>0</v>
      </c>
    </row>
    <row r="68" spans="1:12" s="275" customFormat="1" x14ac:dyDescent="0.15">
      <c r="A68" s="359">
        <v>92662</v>
      </c>
      <c r="B68" s="359">
        <v>77570</v>
      </c>
      <c r="C68" s="287" t="s">
        <v>1351</v>
      </c>
      <c r="D68" s="487">
        <v>126187.8</v>
      </c>
      <c r="E68" s="474">
        <v>122620</v>
      </c>
      <c r="F68" s="362"/>
      <c r="G68" s="482">
        <f>K68*(D68/SUM(D68,'NG Main'!D68))</f>
        <v>60076.233145470978</v>
      </c>
      <c r="H68" s="358"/>
      <c r="I68" s="358">
        <v>60076.233145470971</v>
      </c>
      <c r="K68" s="298">
        <v>74906.69</v>
      </c>
      <c r="L68" s="278">
        <f>K68-SUM(I68,'NG Main'!I68)</f>
        <v>0</v>
      </c>
    </row>
    <row r="69" spans="1:12" s="275" customFormat="1" ht="14" thickBot="1" x14ac:dyDescent="0.2">
      <c r="A69" s="359"/>
      <c r="B69" s="359"/>
      <c r="C69" s="291" t="s">
        <v>1353</v>
      </c>
      <c r="D69" s="476"/>
      <c r="E69" s="477">
        <f>SUM(E67:E68)</f>
        <v>122620</v>
      </c>
      <c r="F69" s="327">
        <f>(H69*10)/D68</f>
        <v>9.4495508397381514</v>
      </c>
      <c r="G69" s="327"/>
      <c r="H69" s="327">
        <v>119241.80314547097</v>
      </c>
    </row>
    <row r="70" spans="1:12" s="275" customFormat="1" ht="14" thickTop="1" x14ac:dyDescent="0.15">
      <c r="D70" s="478"/>
      <c r="E70" s="479"/>
    </row>
    <row r="71" spans="1:12" s="275" customFormat="1" x14ac:dyDescent="0.15">
      <c r="A71" s="359">
        <v>92662</v>
      </c>
      <c r="B71" s="359" t="s">
        <v>1334</v>
      </c>
      <c r="C71" s="287" t="s">
        <v>1349</v>
      </c>
      <c r="D71" s="488">
        <v>126482.6</v>
      </c>
      <c r="E71" s="475"/>
      <c r="F71" s="362"/>
      <c r="G71" s="489">
        <v>55617.43</v>
      </c>
      <c r="H71" s="358"/>
      <c r="I71" s="358">
        <v>55617.429999999993</v>
      </c>
      <c r="K71" s="298">
        <f>SUM(I71,'NG Main'!I71)</f>
        <v>67259.819999999992</v>
      </c>
      <c r="L71" s="278">
        <f>K71-SUM(I71,'NG Main'!I71)</f>
        <v>0</v>
      </c>
    </row>
    <row r="72" spans="1:12" s="275" customFormat="1" x14ac:dyDescent="0.15">
      <c r="A72" s="359">
        <v>92662</v>
      </c>
      <c r="B72" s="359">
        <v>77570</v>
      </c>
      <c r="C72" s="287" t="s">
        <v>1351</v>
      </c>
      <c r="D72" s="488">
        <v>126104.4</v>
      </c>
      <c r="E72" s="474">
        <v>122240</v>
      </c>
      <c r="F72" s="393"/>
      <c r="G72" s="482">
        <f>K72*(D72/SUM(D72,'NG Main'!D72))</f>
        <v>62662.774390293438</v>
      </c>
      <c r="H72" s="358"/>
      <c r="I72" s="358">
        <v>62662.774390293438</v>
      </c>
      <c r="K72" s="490">
        <v>74873.39</v>
      </c>
      <c r="L72" s="278">
        <f>K72-SUM(I72,'NG Main'!I72)</f>
        <v>0</v>
      </c>
    </row>
    <row r="73" spans="1:12" s="275" customFormat="1" ht="14" thickBot="1" x14ac:dyDescent="0.2">
      <c r="A73" s="359"/>
      <c r="B73" s="359"/>
      <c r="C73" s="291" t="s">
        <v>1354</v>
      </c>
      <c r="D73" s="476"/>
      <c r="E73" s="477">
        <f>SUM(E71:E72)</f>
        <v>122240</v>
      </c>
      <c r="F73" s="327">
        <f>(H73*10)/D72</f>
        <v>9.3795461847717796</v>
      </c>
      <c r="G73" s="327"/>
      <c r="H73" s="327">
        <v>118280.20439029344</v>
      </c>
    </row>
    <row r="74" spans="1:12" s="275" customFormat="1" ht="14" thickTop="1" x14ac:dyDescent="0.15">
      <c r="D74" s="478"/>
      <c r="E74" s="479"/>
    </row>
    <row r="75" spans="1:12" s="275" customFormat="1" x14ac:dyDescent="0.15">
      <c r="A75" s="359">
        <v>92662</v>
      </c>
      <c r="B75" s="359" t="s">
        <v>1334</v>
      </c>
      <c r="C75" s="287" t="s">
        <v>1349</v>
      </c>
      <c r="D75" s="488">
        <v>118646</v>
      </c>
      <c r="E75" s="475"/>
      <c r="F75" s="362"/>
      <c r="G75" s="489">
        <v>53427.53</v>
      </c>
      <c r="H75" s="358"/>
      <c r="I75" s="358">
        <v>53427.53</v>
      </c>
      <c r="K75" s="298">
        <f>SUM(I75,'NG Main'!I75)</f>
        <v>69867.73</v>
      </c>
      <c r="L75" s="278">
        <f>K75-SUM(I75,'NG Main'!I75)</f>
        <v>0</v>
      </c>
    </row>
    <row r="76" spans="1:12" s="275" customFormat="1" x14ac:dyDescent="0.15">
      <c r="A76" s="359">
        <v>92662</v>
      </c>
      <c r="B76" s="359">
        <v>77570</v>
      </c>
      <c r="C76" s="287" t="s">
        <v>1351</v>
      </c>
      <c r="D76" s="488">
        <v>118290.5</v>
      </c>
      <c r="E76" s="474">
        <v>114630</v>
      </c>
      <c r="F76" s="393"/>
      <c r="G76" s="482">
        <f>K76*(D76/SUM(D76,'NG Main'!D76))</f>
        <v>57537.679182395419</v>
      </c>
      <c r="H76" s="358"/>
      <c r="I76" s="358">
        <v>57537.679182395412</v>
      </c>
      <c r="K76" s="490">
        <v>74889.820000000007</v>
      </c>
      <c r="L76" s="278">
        <f>K76-SUM(I76,'NG Main'!I76)</f>
        <v>0</v>
      </c>
    </row>
    <row r="77" spans="1:12" s="275" customFormat="1" ht="14" thickBot="1" x14ac:dyDescent="0.2">
      <c r="A77" s="359"/>
      <c r="B77" s="359"/>
      <c r="C77" s="291" t="s">
        <v>1355</v>
      </c>
      <c r="D77" s="476"/>
      <c r="E77" s="477">
        <f>SUM(E75:E76)</f>
        <v>114630</v>
      </c>
      <c r="F77" s="327">
        <f>(H77*10)/D76</f>
        <v>9.3807371836618678</v>
      </c>
      <c r="G77" s="327"/>
      <c r="H77" s="327">
        <v>110965.20918239543</v>
      </c>
    </row>
    <row r="78" spans="1:12" s="275" customFormat="1" ht="14" thickTop="1" x14ac:dyDescent="0.15">
      <c r="D78" s="478"/>
      <c r="E78" s="479"/>
    </row>
    <row r="79" spans="1:12" s="275" customFormat="1" x14ac:dyDescent="0.15">
      <c r="A79" s="359">
        <v>92662</v>
      </c>
      <c r="B79" s="359" t="s">
        <v>1334</v>
      </c>
      <c r="C79" s="287" t="s">
        <v>1349</v>
      </c>
      <c r="D79" s="488">
        <v>134936.6</v>
      </c>
      <c r="E79" s="475"/>
      <c r="F79" s="362"/>
      <c r="G79" s="489">
        <v>59715.3</v>
      </c>
      <c r="H79" s="358"/>
      <c r="I79" s="358">
        <v>59715.3</v>
      </c>
      <c r="K79" s="298">
        <f>SUM(I79,'NG Main'!I79)</f>
        <v>80768.09</v>
      </c>
      <c r="L79" s="278">
        <f>K79-SUM(I79,'NG Main'!I79)</f>
        <v>0</v>
      </c>
    </row>
    <row r="80" spans="1:12" s="275" customFormat="1" x14ac:dyDescent="0.15">
      <c r="A80" s="359">
        <v>92662</v>
      </c>
      <c r="B80" s="359">
        <v>77570</v>
      </c>
      <c r="C80" s="287" t="s">
        <v>1351</v>
      </c>
      <c r="D80" s="488">
        <v>134531.1</v>
      </c>
      <c r="E80" s="474">
        <v>130380</v>
      </c>
      <c r="F80" s="393"/>
      <c r="G80" s="482">
        <f>K80*(D80/SUM(D80,'NG Main'!D80))</f>
        <v>55642.884754500075</v>
      </c>
      <c r="H80" s="358"/>
      <c r="I80" s="358">
        <v>55642.884754500083</v>
      </c>
      <c r="K80" s="490">
        <v>75026.990000000005</v>
      </c>
      <c r="L80" s="278">
        <f>K80-SUM(I80,'NG Main'!I80)</f>
        <v>0</v>
      </c>
    </row>
    <row r="81" spans="1:12" s="275" customFormat="1" ht="14" thickBot="1" x14ac:dyDescent="0.2">
      <c r="A81" s="359"/>
      <c r="B81" s="359"/>
      <c r="C81" s="291" t="s">
        <v>1356</v>
      </c>
      <c r="D81" s="476"/>
      <c r="E81" s="477">
        <f>SUM(E79:E80)</f>
        <v>130380</v>
      </c>
      <c r="F81" s="327">
        <f>(H81*10)/D80</f>
        <v>8.5748339792434685</v>
      </c>
      <c r="G81" s="327"/>
      <c r="H81" s="327">
        <v>115358.18475450009</v>
      </c>
    </row>
    <row r="82" spans="1:12" s="275" customFormat="1" ht="14" thickTop="1" x14ac:dyDescent="0.15">
      <c r="D82" s="478"/>
      <c r="E82" s="479"/>
    </row>
    <row r="83" spans="1:12" s="275" customFormat="1" x14ac:dyDescent="0.15">
      <c r="A83" s="359">
        <v>92662</v>
      </c>
      <c r="B83" s="359" t="s">
        <v>1334</v>
      </c>
      <c r="C83" s="287" t="s">
        <v>1349</v>
      </c>
      <c r="D83" s="488">
        <v>131764.29999999999</v>
      </c>
      <c r="E83" s="475"/>
      <c r="F83" s="362"/>
      <c r="G83" s="489">
        <v>59753.23</v>
      </c>
      <c r="H83" s="358"/>
      <c r="I83" s="358">
        <v>59753.229999999996</v>
      </c>
      <c r="K83" s="298">
        <f>SUM(I83,'NG Main'!I83)</f>
        <v>113456.93999999999</v>
      </c>
      <c r="L83" s="278">
        <f>K83-SUM(I83,'NG Main'!I83)</f>
        <v>0</v>
      </c>
    </row>
    <row r="84" spans="1:12" s="275" customFormat="1" x14ac:dyDescent="0.15">
      <c r="A84" s="359">
        <v>92662</v>
      </c>
      <c r="B84" s="359">
        <v>77570</v>
      </c>
      <c r="C84" s="287" t="s">
        <v>1351</v>
      </c>
      <c r="D84" s="488">
        <v>131768.6</v>
      </c>
      <c r="E84" s="474">
        <v>127910</v>
      </c>
      <c r="F84" s="393"/>
      <c r="G84" s="482">
        <f>K84*(D84/SUM(D84,'NG Main'!D84))</f>
        <v>44778.47805486108</v>
      </c>
      <c r="H84" s="358"/>
      <c r="I84" s="358">
        <v>44778.478054861087</v>
      </c>
      <c r="K84" s="490">
        <v>79964.84</v>
      </c>
      <c r="L84" s="278">
        <f>K84-SUM(I84,'NG Main'!I84)</f>
        <v>0</v>
      </c>
    </row>
    <row r="85" spans="1:12" s="275" customFormat="1" ht="14" thickBot="1" x14ac:dyDescent="0.2">
      <c r="A85" s="359"/>
      <c r="B85" s="359"/>
      <c r="C85" s="291" t="s">
        <v>1357</v>
      </c>
      <c r="D85" s="476"/>
      <c r="E85" s="477">
        <f>SUM(E83:E84)</f>
        <v>127910</v>
      </c>
      <c r="F85" s="327">
        <f>(H85*10)/D84</f>
        <v>7.9329755385472014</v>
      </c>
      <c r="G85" s="327"/>
      <c r="H85" s="327">
        <v>104531.70805486108</v>
      </c>
    </row>
    <row r="86" spans="1:12" s="275" customFormat="1" ht="14" thickTop="1" x14ac:dyDescent="0.15">
      <c r="D86" s="478"/>
      <c r="E86" s="479"/>
    </row>
    <row r="87" spans="1:12" s="275" customFormat="1" x14ac:dyDescent="0.15">
      <c r="A87" s="359">
        <v>92662</v>
      </c>
      <c r="B87" s="359" t="s">
        <v>1334</v>
      </c>
      <c r="C87" s="287" t="s">
        <v>1349</v>
      </c>
      <c r="D87" s="488">
        <v>115049.7</v>
      </c>
      <c r="E87" s="475"/>
      <c r="F87" s="362"/>
      <c r="G87" s="489">
        <v>41178.589999999997</v>
      </c>
      <c r="H87" s="358"/>
      <c r="I87" s="358">
        <v>41178.590000000004</v>
      </c>
      <c r="K87" s="298">
        <f>SUM(I87,'NG Main'!I87)</f>
        <v>156486.91999999998</v>
      </c>
      <c r="L87" s="278">
        <f>K87-SUM(I87,'NG Main'!I87)</f>
        <v>0</v>
      </c>
    </row>
    <row r="88" spans="1:12" s="275" customFormat="1" x14ac:dyDescent="0.15">
      <c r="A88" s="359">
        <v>92662</v>
      </c>
      <c r="B88" s="359">
        <v>77570</v>
      </c>
      <c r="C88" s="287" t="s">
        <v>1351</v>
      </c>
      <c r="D88" s="488">
        <v>63190.2</v>
      </c>
      <c r="E88" s="474">
        <v>61510</v>
      </c>
      <c r="F88" s="393"/>
      <c r="G88" s="482">
        <f>K88*(D88/SUM(D88,'NG Main'!D88))</f>
        <v>33845.462444226658</v>
      </c>
      <c r="H88" s="358"/>
      <c r="I88" s="358">
        <v>33845.46244422665</v>
      </c>
      <c r="K88" s="490">
        <v>77991.45</v>
      </c>
      <c r="L88" s="278">
        <f>K88-SUM(I88,'NG Main'!I88)</f>
        <v>0</v>
      </c>
    </row>
    <row r="89" spans="1:12" s="275" customFormat="1" ht="14" thickBot="1" x14ac:dyDescent="0.2">
      <c r="A89" s="359"/>
      <c r="B89" s="359"/>
      <c r="C89" s="291" t="s">
        <v>1358</v>
      </c>
      <c r="D89" s="476"/>
      <c r="E89" s="477">
        <f>SUM(E87:E88)</f>
        <v>61510</v>
      </c>
      <c r="F89" s="327">
        <f>(H89*10)/D88</f>
        <v>11.872735399512367</v>
      </c>
      <c r="G89" s="327"/>
      <c r="H89" s="327">
        <v>75024.052444226632</v>
      </c>
    </row>
    <row r="90" spans="1:12" s="275" customFormat="1" ht="14" thickTop="1" x14ac:dyDescent="0.15">
      <c r="D90" s="478"/>
      <c r="E90" s="479"/>
    </row>
    <row r="91" spans="1:12" s="275" customFormat="1" x14ac:dyDescent="0.15">
      <c r="A91" s="359">
        <v>92662</v>
      </c>
      <c r="B91" s="359" t="s">
        <v>1334</v>
      </c>
      <c r="C91" s="287" t="s">
        <v>1349</v>
      </c>
      <c r="D91" s="488">
        <f>8291.08*10</f>
        <v>82910.8</v>
      </c>
      <c r="E91" s="475"/>
      <c r="F91" s="362"/>
      <c r="G91" s="489">
        <v>-35232.31</v>
      </c>
      <c r="H91" s="358"/>
      <c r="I91" s="358">
        <v>-35232.31</v>
      </c>
      <c r="K91" s="298">
        <f>SUM(I91,'NG Main'!I91)</f>
        <v>-147475.24999999997</v>
      </c>
      <c r="L91" s="278">
        <f>K91-SUM(I91,'NG Main'!I91)</f>
        <v>0</v>
      </c>
    </row>
    <row r="92" spans="1:12" s="275" customFormat="1" x14ac:dyDescent="0.15">
      <c r="A92" s="359">
        <v>92662</v>
      </c>
      <c r="B92" s="359">
        <v>77570</v>
      </c>
      <c r="C92" s="287" t="s">
        <v>1351</v>
      </c>
      <c r="D92" s="488">
        <v>134810</v>
      </c>
      <c r="E92" s="474">
        <v>13125</v>
      </c>
      <c r="F92" s="393"/>
      <c r="G92" s="482">
        <f>K92*(D92/SUM(D92,'NG Main'!D92))</f>
        <v>38528.27726855869</v>
      </c>
      <c r="H92" s="358"/>
      <c r="I92" s="358">
        <v>38528.277268558704</v>
      </c>
      <c r="K92" s="490">
        <v>81025.13</v>
      </c>
      <c r="L92" s="278">
        <f>K92-SUM(I92,'NG Main'!I92)</f>
        <v>0</v>
      </c>
    </row>
    <row r="93" spans="1:12" s="275" customFormat="1" ht="14" thickBot="1" x14ac:dyDescent="0.2">
      <c r="A93" s="359"/>
      <c r="B93" s="359"/>
      <c r="C93" s="291" t="s">
        <v>1359</v>
      </c>
      <c r="D93" s="476"/>
      <c r="E93" s="477">
        <f>SUM(E91:E92)</f>
        <v>13125</v>
      </c>
      <c r="F93" s="327">
        <f>(H93*10)/D92</f>
        <v>0.24448982038118039</v>
      </c>
      <c r="G93" s="327"/>
      <c r="H93" s="327">
        <v>3295.9672685586929</v>
      </c>
    </row>
    <row r="94" spans="1:12" s="275" customFormat="1" ht="14" thickTop="1" x14ac:dyDescent="0.15">
      <c r="D94" s="478"/>
      <c r="E94" s="479"/>
    </row>
    <row r="95" spans="1:12" s="275" customFormat="1" x14ac:dyDescent="0.15">
      <c r="A95" s="359">
        <v>92662</v>
      </c>
      <c r="B95" s="359" t="s">
        <v>1334</v>
      </c>
      <c r="C95" s="287" t="s">
        <v>1349</v>
      </c>
      <c r="D95" s="488">
        <f>8450.03*10</f>
        <v>84500.3</v>
      </c>
      <c r="E95" s="475"/>
      <c r="F95" s="362"/>
      <c r="G95" s="489">
        <v>32818.43</v>
      </c>
      <c r="H95" s="358"/>
      <c r="I95" s="358">
        <v>32818.43</v>
      </c>
      <c r="K95" s="298">
        <f>SUM(I95,'NG Main'!I95)</f>
        <v>2340.2099999999955</v>
      </c>
      <c r="L95" s="278">
        <f>K95-SUM(I95,'NG Main'!I95)</f>
        <v>0</v>
      </c>
    </row>
    <row r="96" spans="1:12" s="275" customFormat="1" x14ac:dyDescent="0.15">
      <c r="A96" s="359">
        <v>92662</v>
      </c>
      <c r="B96" s="359">
        <v>77570</v>
      </c>
      <c r="C96" s="287" t="s">
        <v>1351</v>
      </c>
      <c r="D96" s="488">
        <v>84502</v>
      </c>
      <c r="E96" s="474">
        <v>8230</v>
      </c>
      <c r="F96" s="393"/>
      <c r="G96" s="482">
        <f>K96*(D96/SUM(D96,'NG Main'!D96))</f>
        <v>36702.327604203427</v>
      </c>
      <c r="H96" s="358"/>
      <c r="I96" s="358">
        <v>36702.327604203412</v>
      </c>
      <c r="K96" s="490">
        <v>78778.27</v>
      </c>
      <c r="L96" s="278">
        <f>K96-SUM(I96,'NG Main'!I96)</f>
        <v>0</v>
      </c>
    </row>
    <row r="97" spans="1:12" s="275" customFormat="1" ht="14" thickBot="1" x14ac:dyDescent="0.2">
      <c r="A97" s="359"/>
      <c r="B97" s="359"/>
      <c r="C97" s="291" t="s">
        <v>1360</v>
      </c>
      <c r="D97" s="476"/>
      <c r="E97" s="477">
        <f>SUM(E95:E96)</f>
        <v>8230</v>
      </c>
      <c r="F97" s="327">
        <f>(H97*10)/D96</f>
        <v>8.2271138676248405</v>
      </c>
      <c r="G97" s="327"/>
      <c r="H97" s="327">
        <v>69520.757604203434</v>
      </c>
    </row>
    <row r="98" spans="1:12" s="275" customFormat="1" ht="14" thickTop="1" x14ac:dyDescent="0.15">
      <c r="D98" s="478"/>
      <c r="E98" s="479"/>
    </row>
    <row r="99" spans="1:12" s="275" customFormat="1" x14ac:dyDescent="0.15">
      <c r="A99" s="359">
        <v>92662</v>
      </c>
      <c r="B99" s="359" t="s">
        <v>1334</v>
      </c>
      <c r="C99" s="287" t="s">
        <v>1349</v>
      </c>
      <c r="D99" s="488">
        <v>98344.5</v>
      </c>
      <c r="E99" s="475"/>
      <c r="F99" s="362"/>
      <c r="G99" s="489">
        <v>47703.53</v>
      </c>
      <c r="H99" s="358"/>
      <c r="I99" s="358">
        <v>47703.530000000006</v>
      </c>
      <c r="K99" s="298">
        <f>SUM(I99,'NG Main'!I99)</f>
        <v>32281.190000000002</v>
      </c>
      <c r="L99" s="278">
        <f>K99-SUM(I99,'NG Main'!I99)</f>
        <v>0</v>
      </c>
    </row>
    <row r="100" spans="1:12" s="275" customFormat="1" x14ac:dyDescent="0.15">
      <c r="A100" s="359">
        <v>92662</v>
      </c>
      <c r="B100" s="359">
        <v>77570</v>
      </c>
      <c r="C100" s="287" t="s">
        <v>1351</v>
      </c>
      <c r="D100" s="488">
        <v>98358</v>
      </c>
      <c r="E100" s="474">
        <v>9567</v>
      </c>
      <c r="F100" s="393"/>
      <c r="G100" s="482">
        <f>K100*(D100/SUM(D100,'NG Main'!D100))</f>
        <v>40515.919743798295</v>
      </c>
      <c r="H100" s="358"/>
      <c r="I100" s="358">
        <v>40515.91974379828</v>
      </c>
      <c r="K100" s="490">
        <v>79007.649999999994</v>
      </c>
      <c r="L100" s="278">
        <f>K100-SUM(I100,'NG Main'!I100)</f>
        <v>0</v>
      </c>
    </row>
    <row r="101" spans="1:12" s="275" customFormat="1" ht="14" thickBot="1" x14ac:dyDescent="0.2">
      <c r="A101" s="359"/>
      <c r="B101" s="359"/>
      <c r="C101" s="291" t="s">
        <v>1361</v>
      </c>
      <c r="D101" s="476"/>
      <c r="E101" s="477">
        <f>SUM(E99:E100)</f>
        <v>9567</v>
      </c>
      <c r="F101" s="327">
        <f>(H101*10)/D100</f>
        <v>8.9692195595476019</v>
      </c>
      <c r="G101" s="327"/>
      <c r="H101" s="327">
        <v>88219.449743798308</v>
      </c>
    </row>
    <row r="102" spans="1:12" s="275" customFormat="1" ht="14" thickTop="1" x14ac:dyDescent="0.15">
      <c r="D102" s="478"/>
      <c r="E102" s="479"/>
    </row>
    <row r="103" spans="1:12" s="275" customFormat="1" x14ac:dyDescent="0.15">
      <c r="A103" s="359">
        <v>92662</v>
      </c>
      <c r="B103" s="359" t="s">
        <v>1334</v>
      </c>
      <c r="C103" s="287" t="s">
        <v>1349</v>
      </c>
      <c r="D103" s="488">
        <v>125794.4</v>
      </c>
      <c r="E103" s="475"/>
      <c r="F103" s="362"/>
      <c r="G103" s="489">
        <v>73501.89</v>
      </c>
      <c r="H103" s="358"/>
      <c r="I103" s="358">
        <v>73501.89</v>
      </c>
      <c r="K103" s="298">
        <f>SUM(I103,'NG Main'!I103)</f>
        <v>127856.76999999999</v>
      </c>
      <c r="L103" s="278">
        <f>K103-SUM(I103,'NG Main'!I103)</f>
        <v>0</v>
      </c>
    </row>
    <row r="104" spans="1:12" s="275" customFormat="1" x14ac:dyDescent="0.15">
      <c r="A104" s="359">
        <v>92662</v>
      </c>
      <c r="B104" s="359">
        <v>77570</v>
      </c>
      <c r="C104" s="287" t="s">
        <v>1351</v>
      </c>
      <c r="D104" s="488">
        <v>125796</v>
      </c>
      <c r="E104" s="474">
        <v>12221</v>
      </c>
      <c r="F104" s="393"/>
      <c r="G104" s="482">
        <f>K104*(D104/SUM(D104,'NG Main'!D104))</f>
        <v>56114.023591918674</v>
      </c>
      <c r="H104" s="358"/>
      <c r="I104" s="358">
        <v>56114.023591918674</v>
      </c>
      <c r="K104" s="490">
        <v>78667.850000000006</v>
      </c>
      <c r="L104" s="278">
        <f>K104-SUM(I104,'NG Main'!I104)</f>
        <v>0</v>
      </c>
    </row>
    <row r="105" spans="1:12" s="275" customFormat="1" ht="14" thickBot="1" x14ac:dyDescent="0.2">
      <c r="A105" s="359"/>
      <c r="B105" s="359"/>
      <c r="C105" s="291" t="s">
        <v>1362</v>
      </c>
      <c r="D105" s="476"/>
      <c r="E105" s="477">
        <f>SUM(E103:E104)</f>
        <v>12221</v>
      </c>
      <c r="F105" s="327">
        <f>(H105*10)/D104</f>
        <v>10.303659384393674</v>
      </c>
      <c r="G105" s="327"/>
      <c r="H105" s="327">
        <v>129615.91359191865</v>
      </c>
    </row>
    <row r="106" spans="1:12" s="275" customFormat="1" ht="14" thickTop="1" x14ac:dyDescent="0.15">
      <c r="D106" s="478"/>
      <c r="E106" s="479"/>
    </row>
    <row r="107" spans="1:12" s="275" customFormat="1" x14ac:dyDescent="0.15">
      <c r="A107" s="359">
        <v>92662</v>
      </c>
      <c r="B107" s="359" t="s">
        <v>1334</v>
      </c>
      <c r="C107" s="287" t="s">
        <v>1349</v>
      </c>
      <c r="D107" s="488">
        <v>123223.8</v>
      </c>
      <c r="E107" s="475"/>
      <c r="F107" s="362"/>
      <c r="G107" s="489">
        <v>59803.48</v>
      </c>
      <c r="H107" s="358"/>
      <c r="I107" s="358">
        <v>59803.479999999996</v>
      </c>
      <c r="K107" s="298">
        <f>SUM(I107,'NG Main'!I107)</f>
        <v>101045.37999999999</v>
      </c>
      <c r="L107" s="278">
        <f>K107-SUM(I107,'NG Main'!I107)</f>
        <v>0</v>
      </c>
    </row>
    <row r="108" spans="1:12" s="275" customFormat="1" x14ac:dyDescent="0.15">
      <c r="A108" s="359">
        <v>92662</v>
      </c>
      <c r="B108" s="359">
        <v>77570</v>
      </c>
      <c r="C108" s="287" t="s">
        <v>1351</v>
      </c>
      <c r="D108" s="488">
        <v>123225</v>
      </c>
      <c r="E108" s="474">
        <v>12221</v>
      </c>
      <c r="F108" s="393"/>
      <c r="G108" s="482">
        <f>K108*(D108/SUM(D108,'NG Main'!D108))</f>
        <v>63328.528346192543</v>
      </c>
      <c r="H108" s="358"/>
      <c r="I108" s="358">
        <v>63328.52834619255</v>
      </c>
      <c r="K108" s="490">
        <v>78132.679999999993</v>
      </c>
      <c r="L108" s="278">
        <f>K108-SUM(I108,'NG Main'!I108)</f>
        <v>0</v>
      </c>
    </row>
    <row r="109" spans="1:12" s="275" customFormat="1" ht="14" thickBot="1" x14ac:dyDescent="0.2">
      <c r="A109" s="359"/>
      <c r="B109" s="359"/>
      <c r="C109" s="291" t="s">
        <v>1363</v>
      </c>
      <c r="D109" s="476"/>
      <c r="E109" s="477">
        <f>SUM(E107:E108)</f>
        <v>12221</v>
      </c>
      <c r="F109" s="327">
        <f>(H109*10)/D108</f>
        <v>9.9924535075019314</v>
      </c>
      <c r="G109" s="327"/>
      <c r="H109" s="327">
        <v>123132.00834619254</v>
      </c>
    </row>
    <row r="110" spans="1:12" s="275" customFormat="1" ht="14" thickTop="1" x14ac:dyDescent="0.15">
      <c r="D110" s="478"/>
      <c r="E110" s="479"/>
    </row>
    <row r="111" spans="1:12" s="275" customFormat="1" x14ac:dyDescent="0.15">
      <c r="A111" s="359">
        <v>92662</v>
      </c>
      <c r="B111" s="359" t="s">
        <v>1334</v>
      </c>
      <c r="C111" s="287" t="s">
        <v>1349</v>
      </c>
      <c r="D111" s="488">
        <v>76371.100000000006</v>
      </c>
      <c r="E111" s="475"/>
      <c r="F111" s="362"/>
      <c r="G111" s="489">
        <v>43064.15</v>
      </c>
      <c r="H111" s="358"/>
      <c r="I111" s="358">
        <v>43064.15</v>
      </c>
      <c r="K111" s="298">
        <f>SUM(I111,'NG Main'!I111)</f>
        <v>84144.97</v>
      </c>
      <c r="L111" s="278">
        <f>K111-SUM(I111,'NG Main'!I111)</f>
        <v>0</v>
      </c>
    </row>
    <row r="112" spans="1:12" s="275" customFormat="1" x14ac:dyDescent="0.15">
      <c r="A112" s="359">
        <v>92662</v>
      </c>
      <c r="B112" s="359">
        <v>77570</v>
      </c>
      <c r="C112" s="287" t="s">
        <v>1351</v>
      </c>
      <c r="D112" s="488">
        <v>76376</v>
      </c>
      <c r="E112" s="474">
        <v>12221</v>
      </c>
      <c r="F112" s="393"/>
      <c r="G112" s="482">
        <f>K112*(D112/SUM(D112,'NG Main'!D112))</f>
        <v>57481.221950685787</v>
      </c>
      <c r="H112" s="358"/>
      <c r="I112" s="358">
        <v>57481.22195068578</v>
      </c>
      <c r="K112" s="490">
        <v>77040.009999999995</v>
      </c>
      <c r="L112" s="278">
        <f>K112-SUM(I112,'NG Main'!I112)</f>
        <v>0</v>
      </c>
    </row>
    <row r="113" spans="1:12" s="275" customFormat="1" ht="14" thickBot="1" x14ac:dyDescent="0.2">
      <c r="A113" s="359"/>
      <c r="B113" s="359"/>
      <c r="C113" s="291" t="s">
        <v>1364</v>
      </c>
      <c r="D113" s="476"/>
      <c r="E113" s="477">
        <f>SUM(E111:E112)</f>
        <v>12221</v>
      </c>
      <c r="F113" s="327">
        <f>(H113*10)/D112</f>
        <v>13.164524451488139</v>
      </c>
      <c r="G113" s="327"/>
      <c r="H113" s="327">
        <v>100545.37195068582</v>
      </c>
    </row>
    <row r="114" spans="1:12" s="275" customFormat="1" ht="14" thickTop="1" x14ac:dyDescent="0.15">
      <c r="D114" s="478"/>
      <c r="E114" s="479"/>
    </row>
    <row r="115" spans="1:12" s="275" customFormat="1" x14ac:dyDescent="0.15">
      <c r="D115" s="478"/>
      <c r="E115" s="479"/>
    </row>
    <row r="116" spans="1:12" s="290" customFormat="1" ht="14" thickBot="1" x14ac:dyDescent="0.2">
      <c r="C116" s="290" t="s">
        <v>146</v>
      </c>
      <c r="D116" s="491">
        <f>SUM(D68,D72,D76,D80)</f>
        <v>505113.80000000005</v>
      </c>
      <c r="E116" s="478"/>
      <c r="H116" s="327">
        <v>463845.40147265996</v>
      </c>
    </row>
    <row r="117" spans="1:12" s="290" customFormat="1" ht="14" thickTop="1" x14ac:dyDescent="0.15">
      <c r="C117" s="290" t="s">
        <v>1365</v>
      </c>
      <c r="D117" s="478"/>
      <c r="E117" s="478"/>
      <c r="F117" s="492">
        <f>(H116*10)/D116</f>
        <v>9.1829881003579779</v>
      </c>
    </row>
    <row r="118" spans="1:12" s="275" customFormat="1" x14ac:dyDescent="0.15">
      <c r="D118" s="478"/>
      <c r="E118" s="479"/>
    </row>
    <row r="119" spans="1:12" s="275" customFormat="1" x14ac:dyDescent="0.15">
      <c r="C119" s="290" t="s">
        <v>1366</v>
      </c>
      <c r="D119" s="493">
        <f>SUM(D84,D88,D92,D96,D100)</f>
        <v>512628.8</v>
      </c>
      <c r="E119" s="494">
        <f>D119/SUM('NG Cogen'!D119,'NG Main'!D119)</f>
        <v>0.49404938134537341</v>
      </c>
      <c r="F119" s="290"/>
      <c r="G119" s="333">
        <v>-112853.85</v>
      </c>
    </row>
    <row r="120" spans="1:12" ht="14" thickBot="1" x14ac:dyDescent="0.2"/>
    <row r="121" spans="1:12" s="275" customFormat="1" ht="31" thickBot="1" x14ac:dyDescent="0.35">
      <c r="A121" s="767" t="s">
        <v>1103</v>
      </c>
      <c r="B121" s="768"/>
      <c r="C121" s="768"/>
      <c r="D121" s="768"/>
      <c r="E121" s="768"/>
      <c r="F121" s="768"/>
      <c r="G121" s="768"/>
      <c r="H121" s="768"/>
      <c r="I121" s="768"/>
      <c r="J121" s="768"/>
      <c r="K121" s="768"/>
      <c r="L121" s="769"/>
    </row>
    <row r="122" spans="1:12" s="275" customFormat="1" x14ac:dyDescent="0.15">
      <c r="D122" s="478"/>
      <c r="E122" s="479"/>
    </row>
    <row r="123" spans="1:12" s="275" customFormat="1" x14ac:dyDescent="0.15">
      <c r="A123" s="359">
        <v>92662</v>
      </c>
      <c r="B123" s="359" t="s">
        <v>1334</v>
      </c>
      <c r="C123" s="287" t="s">
        <v>1349</v>
      </c>
      <c r="D123" s="488">
        <v>129533.1</v>
      </c>
      <c r="E123" s="475"/>
      <c r="F123" s="362"/>
      <c r="G123" s="489">
        <v>57596.33</v>
      </c>
      <c r="H123" s="358"/>
      <c r="I123" s="358">
        <v>57596.330000000009</v>
      </c>
      <c r="K123" s="298">
        <f>SUM(I123,'NG Main'!I123)</f>
        <v>110665.17</v>
      </c>
      <c r="L123" s="278">
        <f>K123-SUM(I123,'NG Main'!I123)</f>
        <v>0</v>
      </c>
    </row>
    <row r="124" spans="1:12" s="275" customFormat="1" x14ac:dyDescent="0.15">
      <c r="A124" s="359">
        <v>92662</v>
      </c>
      <c r="B124" s="359">
        <v>77570</v>
      </c>
      <c r="C124" s="287" t="s">
        <v>1351</v>
      </c>
      <c r="D124" s="488">
        <v>126187.8</v>
      </c>
      <c r="E124" s="495"/>
      <c r="F124" s="362"/>
      <c r="G124" s="482">
        <f>K124*(D124/SUM(D124,'NG Main'!D124))</f>
        <v>65728.500601080377</v>
      </c>
      <c r="H124" s="358"/>
      <c r="I124" s="358">
        <v>65728.500601080377</v>
      </c>
      <c r="K124" s="490">
        <v>78162.91</v>
      </c>
      <c r="L124" s="278">
        <f>K124-SUM(I124,'NG Main'!I124)</f>
        <v>0</v>
      </c>
    </row>
    <row r="125" spans="1:12" s="275" customFormat="1" ht="14" thickBot="1" x14ac:dyDescent="0.2">
      <c r="A125" s="359"/>
      <c r="B125" s="359"/>
      <c r="C125" s="291" t="s">
        <v>1353</v>
      </c>
      <c r="D125" s="476"/>
      <c r="E125" s="477"/>
      <c r="F125" s="327">
        <f>(H125*10)/D124</f>
        <v>9.7731183681053455</v>
      </c>
      <c r="G125" s="327"/>
      <c r="H125" s="327">
        <v>123324.83060108038</v>
      </c>
    </row>
    <row r="126" spans="1:12" s="275" customFormat="1" ht="14" thickTop="1" x14ac:dyDescent="0.15">
      <c r="D126" s="478"/>
      <c r="E126" s="479"/>
    </row>
    <row r="127" spans="1:12" s="275" customFormat="1" x14ac:dyDescent="0.15">
      <c r="A127" s="359">
        <v>92662</v>
      </c>
      <c r="B127" s="359" t="s">
        <v>1334</v>
      </c>
      <c r="C127" s="287" t="s">
        <v>1349</v>
      </c>
      <c r="D127" s="488">
        <v>126537.9</v>
      </c>
      <c r="E127" s="475"/>
      <c r="F127" s="362"/>
      <c r="G127" s="489">
        <v>50790.45</v>
      </c>
      <c r="H127" s="358"/>
      <c r="I127" s="358">
        <v>50790.44999999999</v>
      </c>
      <c r="K127" s="298">
        <f>SUM(I127,'NG Main'!I127)</f>
        <v>106722.02999999997</v>
      </c>
      <c r="L127" s="278">
        <f>K127-SUM(I127,'NG Main'!I127)</f>
        <v>0</v>
      </c>
    </row>
    <row r="128" spans="1:12" s="275" customFormat="1" x14ac:dyDescent="0.15">
      <c r="A128" s="359">
        <v>92662</v>
      </c>
      <c r="B128" s="359">
        <v>77570</v>
      </c>
      <c r="C128" s="287" t="s">
        <v>1351</v>
      </c>
      <c r="D128" s="488">
        <v>126540</v>
      </c>
      <c r="E128" s="474"/>
      <c r="F128" s="393"/>
      <c r="G128" s="482">
        <f>K128*(D128/SUM(D128,'NG Main'!D128))</f>
        <v>64256.664968268713</v>
      </c>
      <c r="H128" s="358"/>
      <c r="I128" s="358">
        <v>64256.664968268698</v>
      </c>
      <c r="K128" s="490">
        <v>78174.880000000005</v>
      </c>
      <c r="L128" s="278">
        <f>K128-SUM(I128,'NG Main'!I128)</f>
        <v>0</v>
      </c>
    </row>
    <row r="129" spans="1:12" s="275" customFormat="1" ht="14" thickBot="1" x14ac:dyDescent="0.2">
      <c r="A129" s="359"/>
      <c r="B129" s="359"/>
      <c r="C129" s="291" t="s">
        <v>1354</v>
      </c>
      <c r="D129" s="476"/>
      <c r="E129" s="477"/>
      <c r="F129" s="327">
        <f>(H129*10)/D128</f>
        <v>9.0917587299090172</v>
      </c>
      <c r="G129" s="327"/>
      <c r="H129" s="327">
        <v>115047.11496826871</v>
      </c>
    </row>
    <row r="130" spans="1:12" s="275" customFormat="1" ht="14" thickTop="1" x14ac:dyDescent="0.15">
      <c r="D130" s="478"/>
      <c r="E130" s="479"/>
    </row>
    <row r="131" spans="1:12" s="275" customFormat="1" x14ac:dyDescent="0.15">
      <c r="A131" s="359">
        <v>92662</v>
      </c>
      <c r="B131" s="359" t="s">
        <v>1334</v>
      </c>
      <c r="C131" s="287" t="s">
        <v>1349</v>
      </c>
      <c r="D131" s="488">
        <v>116026.2</v>
      </c>
      <c r="E131" s="475"/>
      <c r="F131" s="362"/>
      <c r="G131" s="489">
        <v>54852.37</v>
      </c>
      <c r="H131" s="358"/>
      <c r="I131" s="358">
        <v>54852.37</v>
      </c>
      <c r="K131" s="298">
        <f>SUM(I131,'NG Main'!I131)</f>
        <v>110569.42000000001</v>
      </c>
      <c r="L131" s="278">
        <f>K131-SUM(I131,'NG Main'!I131)</f>
        <v>0</v>
      </c>
    </row>
    <row r="132" spans="1:12" s="275" customFormat="1" x14ac:dyDescent="0.15">
      <c r="A132" s="359">
        <v>92662</v>
      </c>
      <c r="B132" s="359">
        <v>77570</v>
      </c>
      <c r="C132" s="287" t="s">
        <v>1351</v>
      </c>
      <c r="D132" s="488">
        <v>116026</v>
      </c>
      <c r="E132" s="474"/>
      <c r="F132" s="393"/>
      <c r="G132" s="482">
        <f>K132*(D132/SUM(D132,'NG Main'!D132))</f>
        <v>56862.739612077057</v>
      </c>
      <c r="H132" s="358"/>
      <c r="I132" s="358">
        <v>56862.73961207705</v>
      </c>
      <c r="K132" s="490">
        <v>78303.03</v>
      </c>
      <c r="L132" s="278">
        <f>K132-SUM(I132,'NG Main'!I132)</f>
        <v>0</v>
      </c>
    </row>
    <row r="133" spans="1:12" s="275" customFormat="1" ht="14" thickBot="1" x14ac:dyDescent="0.2">
      <c r="A133" s="359"/>
      <c r="B133" s="359"/>
      <c r="C133" s="291" t="s">
        <v>1355</v>
      </c>
      <c r="D133" s="476"/>
      <c r="E133" s="477"/>
      <c r="F133" s="327">
        <f>(H133*10)/D132</f>
        <v>9.6284547956558928</v>
      </c>
      <c r="G133" s="327"/>
      <c r="H133" s="327">
        <v>111715.10961207707</v>
      </c>
    </row>
    <row r="134" spans="1:12" s="275" customFormat="1" ht="14" thickTop="1" x14ac:dyDescent="0.15">
      <c r="D134" s="478"/>
      <c r="E134" s="479"/>
    </row>
    <row r="135" spans="1:12" s="275" customFormat="1" x14ac:dyDescent="0.15">
      <c r="A135" s="359">
        <v>92662</v>
      </c>
      <c r="B135" s="359" t="s">
        <v>1334</v>
      </c>
      <c r="C135" s="287" t="s">
        <v>1349</v>
      </c>
      <c r="D135" s="488">
        <v>136425.1</v>
      </c>
      <c r="E135" s="475"/>
      <c r="F135" s="362"/>
      <c r="G135" s="489">
        <v>58435.21</v>
      </c>
      <c r="H135" s="358"/>
      <c r="I135" s="358">
        <v>58435.209999999992</v>
      </c>
      <c r="K135" s="298">
        <f>SUM(I135,'NG Main'!I135)</f>
        <v>119347.94999999998</v>
      </c>
      <c r="L135" s="278">
        <f>K135-SUM(I135,'NG Main'!I135)</f>
        <v>0</v>
      </c>
    </row>
    <row r="136" spans="1:12" s="275" customFormat="1" x14ac:dyDescent="0.15">
      <c r="A136" s="359">
        <v>92662</v>
      </c>
      <c r="B136" s="359">
        <v>77570</v>
      </c>
      <c r="C136" s="287" t="s">
        <v>1351</v>
      </c>
      <c r="D136" s="488">
        <v>136426</v>
      </c>
      <c r="E136" s="474"/>
      <c r="F136" s="393"/>
      <c r="G136" s="482">
        <f>K136*(D136/SUM(D136,'NG Main'!D136))</f>
        <v>61151.202532984535</v>
      </c>
      <c r="H136" s="358"/>
      <c r="I136" s="358">
        <v>61151.202532984535</v>
      </c>
      <c r="K136" s="490">
        <v>78648.14</v>
      </c>
      <c r="L136" s="278">
        <f>K136-SUM(I136,'NG Main'!I136)</f>
        <v>0</v>
      </c>
    </row>
    <row r="137" spans="1:12" s="275" customFormat="1" ht="14" thickBot="1" x14ac:dyDescent="0.2">
      <c r="A137" s="359"/>
      <c r="B137" s="359"/>
      <c r="C137" s="291" t="s">
        <v>1356</v>
      </c>
      <c r="D137" s="476"/>
      <c r="E137" s="477"/>
      <c r="F137" s="327">
        <f>(H137*10)/D136</f>
        <v>8.7656614232612942</v>
      </c>
      <c r="G137" s="327"/>
      <c r="H137" s="327">
        <v>119586.41253298454</v>
      </c>
    </row>
    <row r="138" spans="1:12" s="275" customFormat="1" ht="14" thickTop="1" x14ac:dyDescent="0.15">
      <c r="D138" s="478"/>
      <c r="E138" s="479"/>
    </row>
    <row r="139" spans="1:12" s="275" customFormat="1" x14ac:dyDescent="0.15">
      <c r="A139" s="359">
        <v>81775</v>
      </c>
      <c r="B139" s="359" t="s">
        <v>1334</v>
      </c>
      <c r="C139" s="287" t="s">
        <v>1349</v>
      </c>
      <c r="D139" s="488">
        <v>109014</v>
      </c>
      <c r="E139" s="475"/>
      <c r="F139" s="362"/>
      <c r="G139" s="489">
        <v>75360.53</v>
      </c>
      <c r="H139" s="358"/>
      <c r="I139" s="358">
        <v>75360.53</v>
      </c>
      <c r="K139" s="298">
        <f>SUM(I139,'NG Main'!I139)</f>
        <v>166668.51</v>
      </c>
      <c r="L139" s="278">
        <f>K139-SUM(I139,'NG Main'!I139)</f>
        <v>0</v>
      </c>
    </row>
    <row r="140" spans="1:12" s="275" customFormat="1" x14ac:dyDescent="0.15">
      <c r="A140" s="359">
        <v>81775</v>
      </c>
      <c r="B140" s="359">
        <v>77570</v>
      </c>
      <c r="C140" s="287" t="s">
        <v>1351</v>
      </c>
      <c r="D140" s="488">
        <v>109017</v>
      </c>
      <c r="E140" s="474"/>
      <c r="F140" s="393"/>
      <c r="G140" s="482">
        <f>K140*(D140/SUM(D140,'NG Main'!D140))</f>
        <v>38661.401897506737</v>
      </c>
      <c r="H140" s="358"/>
      <c r="I140" s="358">
        <v>38661.401897506745</v>
      </c>
      <c r="K140" s="490">
        <v>77789.86</v>
      </c>
      <c r="L140" s="278">
        <f>K140-SUM(I140,'NG Main'!I140)</f>
        <v>0</v>
      </c>
    </row>
    <row r="141" spans="1:12" s="275" customFormat="1" ht="14" thickBot="1" x14ac:dyDescent="0.2">
      <c r="A141" s="359"/>
      <c r="B141" s="359"/>
      <c r="C141" s="291" t="s">
        <v>1357</v>
      </c>
      <c r="D141" s="476"/>
      <c r="E141" s="477"/>
      <c r="F141" s="327">
        <f>(H141*10)/D140</f>
        <v>10.459096461790979</v>
      </c>
      <c r="G141" s="327"/>
      <c r="H141" s="327">
        <v>114021.93189750673</v>
      </c>
    </row>
    <row r="142" spans="1:12" s="275" customFormat="1" ht="14" thickTop="1" x14ac:dyDescent="0.15">
      <c r="D142" s="478"/>
      <c r="E142" s="479"/>
    </row>
    <row r="143" spans="1:12" s="275" customFormat="1" x14ac:dyDescent="0.15">
      <c r="A143" s="359">
        <v>81775</v>
      </c>
      <c r="B143" s="359" t="s">
        <v>1334</v>
      </c>
      <c r="C143" s="287" t="s">
        <v>1349</v>
      </c>
      <c r="D143" s="488">
        <v>121609.9</v>
      </c>
      <c r="E143" s="475"/>
      <c r="F143" s="362"/>
      <c r="G143" s="489">
        <v>95986.86</v>
      </c>
      <c r="H143" s="358"/>
      <c r="I143" s="358">
        <v>95986.860000000015</v>
      </c>
      <c r="K143" s="298">
        <f>SUM(I143,'NG Main'!I143)</f>
        <v>241787.91000000006</v>
      </c>
      <c r="L143" s="278">
        <f>K143-SUM(I143,'NG Main'!I143)</f>
        <v>0</v>
      </c>
    </row>
    <row r="144" spans="1:12" s="275" customFormat="1" x14ac:dyDescent="0.15">
      <c r="A144" s="359">
        <v>81775</v>
      </c>
      <c r="B144" s="359">
        <v>77570</v>
      </c>
      <c r="C144" s="287" t="s">
        <v>1351</v>
      </c>
      <c r="D144" s="488">
        <v>121611</v>
      </c>
      <c r="E144" s="474"/>
      <c r="F144" s="393"/>
      <c r="G144" s="482">
        <f>K144*(D144/SUM(D144,'NG Main'!D144))</f>
        <v>35262.725295110366</v>
      </c>
      <c r="H144" s="358"/>
      <c r="I144" s="358">
        <v>35262.725295110366</v>
      </c>
      <c r="K144" s="490">
        <v>78349.240000000005</v>
      </c>
      <c r="L144" s="278">
        <f>K144-SUM(I144,'NG Main'!I144)</f>
        <v>0</v>
      </c>
    </row>
    <row r="145" spans="1:12" s="275" customFormat="1" ht="14" thickBot="1" x14ac:dyDescent="0.2">
      <c r="A145" s="359"/>
      <c r="B145" s="359"/>
      <c r="C145" s="291" t="s">
        <v>1358</v>
      </c>
      <c r="D145" s="476"/>
      <c r="E145" s="477"/>
      <c r="F145" s="327">
        <f>(H145*10)/D144</f>
        <v>10.792575120269577</v>
      </c>
      <c r="G145" s="327"/>
      <c r="H145" s="327">
        <v>131249.58529511036</v>
      </c>
    </row>
    <row r="146" spans="1:12" s="275" customFormat="1" ht="14" thickTop="1" x14ac:dyDescent="0.15">
      <c r="D146" s="478"/>
      <c r="E146" s="479"/>
    </row>
    <row r="147" spans="1:12" s="275" customFormat="1" x14ac:dyDescent="0.15">
      <c r="A147" s="359">
        <v>81775</v>
      </c>
      <c r="B147" s="359" t="s">
        <v>1334</v>
      </c>
      <c r="C147" s="287" t="s">
        <v>1349</v>
      </c>
      <c r="D147" s="488">
        <v>138682.6</v>
      </c>
      <c r="E147" s="475"/>
      <c r="F147" s="362"/>
      <c r="G147" s="489">
        <v>125846.31</v>
      </c>
      <c r="H147" s="358"/>
      <c r="I147" s="358">
        <v>125846.30999999997</v>
      </c>
      <c r="K147" s="298">
        <f>SUM(I147,'NG Main'!I147)</f>
        <v>313606.96999999997</v>
      </c>
      <c r="L147" s="278">
        <f>K147-SUM(I147,'NG Main'!I147)</f>
        <v>0</v>
      </c>
    </row>
    <row r="148" spans="1:12" s="275" customFormat="1" x14ac:dyDescent="0.15">
      <c r="A148" s="359">
        <v>81775</v>
      </c>
      <c r="B148" s="359">
        <v>77570</v>
      </c>
      <c r="C148" s="287" t="s">
        <v>1351</v>
      </c>
      <c r="D148" s="488">
        <v>138680</v>
      </c>
      <c r="E148" s="474"/>
      <c r="F148" s="393"/>
      <c r="G148" s="482">
        <f>K148*(D148/SUM(D148,'NG Main'!D148))</f>
        <v>31867.240480903754</v>
      </c>
      <c r="H148" s="358"/>
      <c r="I148" s="358">
        <v>31867.240480903751</v>
      </c>
      <c r="K148" s="490">
        <v>79166.7</v>
      </c>
      <c r="L148" s="278">
        <f>K148-SUM(I148,'NG Main'!I148)</f>
        <v>0</v>
      </c>
    </row>
    <row r="149" spans="1:12" s="275" customFormat="1" ht="14" thickBot="1" x14ac:dyDescent="0.2">
      <c r="A149" s="359"/>
      <c r="B149" s="359"/>
      <c r="C149" s="291" t="s">
        <v>1359</v>
      </c>
      <c r="D149" s="476"/>
      <c r="E149" s="477"/>
      <c r="F149" s="327">
        <f>(H149*10)/D148</f>
        <v>11.372479844310911</v>
      </c>
      <c r="G149" s="327"/>
      <c r="H149" s="327">
        <v>157713.55048090371</v>
      </c>
    </row>
    <row r="150" spans="1:12" s="275" customFormat="1" ht="14" thickTop="1" x14ac:dyDescent="0.15">
      <c r="D150" s="478"/>
      <c r="E150" s="479"/>
    </row>
    <row r="151" spans="1:12" s="275" customFormat="1" x14ac:dyDescent="0.15">
      <c r="A151" s="359">
        <v>81775</v>
      </c>
      <c r="B151" s="359" t="s">
        <v>1334</v>
      </c>
      <c r="C151" s="287" t="s">
        <v>1349</v>
      </c>
      <c r="D151" s="488">
        <v>73587.600000000006</v>
      </c>
      <c r="E151" s="475"/>
      <c r="F151" s="362"/>
      <c r="G151" s="489">
        <v>31139.759999999998</v>
      </c>
      <c r="H151" s="358"/>
      <c r="I151" s="358">
        <v>31139.760000000002</v>
      </c>
      <c r="K151" s="298">
        <f>SUM(I151,'NG Main'!I151)</f>
        <v>46317.24</v>
      </c>
      <c r="L151" s="278">
        <f>K151-SUM(I151,'NG Main'!I151)</f>
        <v>0</v>
      </c>
    </row>
    <row r="152" spans="1:12" s="275" customFormat="1" x14ac:dyDescent="0.15">
      <c r="A152" s="359">
        <v>81775</v>
      </c>
      <c r="B152" s="359">
        <v>77570</v>
      </c>
      <c r="C152" s="287" t="s">
        <v>1351</v>
      </c>
      <c r="D152" s="488">
        <v>73593</v>
      </c>
      <c r="E152" s="474"/>
      <c r="F152" s="393"/>
      <c r="G152" s="482">
        <f>K152*(D152/SUM(D152,'NG Main'!D152))</f>
        <v>34426.589721292999</v>
      </c>
      <c r="H152" s="358"/>
      <c r="I152" s="358">
        <v>34426.589721292999</v>
      </c>
      <c r="K152" s="490">
        <v>77192.13</v>
      </c>
      <c r="L152" s="278">
        <f>K152-SUM(I152,'NG Main'!I152)</f>
        <v>0</v>
      </c>
    </row>
    <row r="153" spans="1:12" s="275" customFormat="1" ht="14" thickBot="1" x14ac:dyDescent="0.2">
      <c r="A153" s="359"/>
      <c r="B153" s="359"/>
      <c r="C153" s="291" t="s">
        <v>1360</v>
      </c>
      <c r="D153" s="476"/>
      <c r="E153" s="477"/>
      <c r="F153" s="327">
        <f>(H153*10)/D152</f>
        <v>8.909318783212127</v>
      </c>
      <c r="G153" s="327"/>
      <c r="H153" s="327">
        <v>65566.349721293009</v>
      </c>
    </row>
    <row r="154" spans="1:12" s="275" customFormat="1" ht="14" thickTop="1" x14ac:dyDescent="0.15">
      <c r="D154" s="478"/>
      <c r="E154" s="479"/>
    </row>
    <row r="155" spans="1:12" s="275" customFormat="1" x14ac:dyDescent="0.15">
      <c r="A155" s="359">
        <v>81775</v>
      </c>
      <c r="B155" s="359" t="s">
        <v>1334</v>
      </c>
      <c r="C155" s="287" t="s">
        <v>1349</v>
      </c>
      <c r="D155" s="488">
        <v>137032.5</v>
      </c>
      <c r="E155" s="475"/>
      <c r="F155" s="362"/>
      <c r="G155" s="489">
        <v>116285.01</v>
      </c>
      <c r="H155" s="358"/>
      <c r="I155" s="358">
        <v>116285.01</v>
      </c>
      <c r="K155" s="298">
        <f>SUM(I155,'NG Main'!I155)</f>
        <v>261251.42000000004</v>
      </c>
      <c r="L155" s="278">
        <f>K155-SUM(I155,'NG Main'!I155)</f>
        <v>0</v>
      </c>
    </row>
    <row r="156" spans="1:12" s="275" customFormat="1" x14ac:dyDescent="0.15">
      <c r="A156" s="359">
        <v>81775</v>
      </c>
      <c r="B156" s="359">
        <v>77570</v>
      </c>
      <c r="C156" s="287" t="s">
        <v>1351</v>
      </c>
      <c r="D156" s="488">
        <v>137032</v>
      </c>
      <c r="E156" s="474"/>
      <c r="F156" s="393"/>
      <c r="G156" s="482">
        <f>K156*(D156/SUM(D156,'NG Main'!D156))</f>
        <v>37717.398189964028</v>
      </c>
      <c r="H156" s="358"/>
      <c r="I156" s="358">
        <v>37717.398189964035</v>
      </c>
      <c r="K156" s="490">
        <v>78514.789999999994</v>
      </c>
      <c r="L156" s="278">
        <f>K156-SUM(I156,'NG Main'!I156)</f>
        <v>0</v>
      </c>
    </row>
    <row r="157" spans="1:12" s="275" customFormat="1" ht="14" thickBot="1" x14ac:dyDescent="0.2">
      <c r="A157" s="359"/>
      <c r="B157" s="359"/>
      <c r="C157" s="291" t="s">
        <v>1361</v>
      </c>
      <c r="D157" s="476"/>
      <c r="E157" s="477"/>
      <c r="F157" s="327">
        <f>(H157*10)/D156</f>
        <v>11.238426658734019</v>
      </c>
      <c r="G157" s="327"/>
      <c r="H157" s="327">
        <v>154002.40818996402</v>
      </c>
    </row>
    <row r="158" spans="1:12" s="275" customFormat="1" ht="14" thickTop="1" x14ac:dyDescent="0.15">
      <c r="D158" s="478"/>
      <c r="E158" s="479"/>
    </row>
    <row r="159" spans="1:12" s="275" customFormat="1" x14ac:dyDescent="0.15">
      <c r="A159" s="359">
        <v>81775</v>
      </c>
      <c r="B159" s="359" t="s">
        <v>1334</v>
      </c>
      <c r="C159" s="287" t="s">
        <v>1349</v>
      </c>
      <c r="D159" s="488">
        <v>127375</v>
      </c>
      <c r="E159" s="475"/>
      <c r="F159" s="362"/>
      <c r="G159" s="489">
        <v>66902.320000000007</v>
      </c>
      <c r="H159" s="358"/>
      <c r="I159" s="358">
        <v>66902.320000000022</v>
      </c>
      <c r="K159" s="298">
        <f>SUM(I159,'NG Main'!I159)</f>
        <v>152418.19</v>
      </c>
      <c r="L159" s="278">
        <f>K159-SUM(I159,'NG Main'!I159)</f>
        <v>0</v>
      </c>
    </row>
    <row r="160" spans="1:12" s="275" customFormat="1" x14ac:dyDescent="0.15">
      <c r="A160" s="359">
        <v>81775</v>
      </c>
      <c r="B160" s="359">
        <v>77570</v>
      </c>
      <c r="C160" s="287" t="s">
        <v>1351</v>
      </c>
      <c r="D160" s="488">
        <v>127377</v>
      </c>
      <c r="E160" s="474"/>
      <c r="F160" s="393"/>
      <c r="G160" s="482">
        <f>K160*(D160/SUM(D160,'NG Main'!D160))</f>
        <v>55367.698711048157</v>
      </c>
      <c r="H160" s="358"/>
      <c r="I160" s="358">
        <v>55367.698711048164</v>
      </c>
      <c r="K160" s="490">
        <v>77334.039999999994</v>
      </c>
      <c r="L160" s="278">
        <f>K160-SUM(I160,'NG Main'!I160)</f>
        <v>0</v>
      </c>
    </row>
    <row r="161" spans="1:12" s="275" customFormat="1" ht="14" thickBot="1" x14ac:dyDescent="0.2">
      <c r="A161" s="359"/>
      <c r="B161" s="359"/>
      <c r="C161" s="291" t="s">
        <v>1362</v>
      </c>
      <c r="D161" s="476"/>
      <c r="E161" s="477"/>
      <c r="F161" s="327">
        <f>(H161*10)/D160</f>
        <v>9.5990656642131782</v>
      </c>
      <c r="G161" s="327"/>
      <c r="H161" s="327">
        <v>122270.01871104819</v>
      </c>
    </row>
    <row r="162" spans="1:12" s="275" customFormat="1" ht="14" thickTop="1" x14ac:dyDescent="0.15">
      <c r="D162" s="478"/>
      <c r="E162" s="479"/>
    </row>
    <row r="163" spans="1:12" s="275" customFormat="1" x14ac:dyDescent="0.15">
      <c r="A163" s="359">
        <v>81775</v>
      </c>
      <c r="B163" s="359" t="s">
        <v>1334</v>
      </c>
      <c r="C163" s="287" t="s">
        <v>1349</v>
      </c>
      <c r="D163" s="488">
        <v>121964.3</v>
      </c>
      <c r="E163" s="475"/>
      <c r="F163" s="362"/>
      <c r="G163" s="489">
        <v>111050.8</v>
      </c>
      <c r="H163" s="358"/>
      <c r="I163" s="358">
        <v>111050.80000000002</v>
      </c>
      <c r="K163" s="298">
        <f>SUM(I163,'NG Main'!I163)</f>
        <v>130705.12000000002</v>
      </c>
      <c r="L163" s="278">
        <f>K163-SUM(I163,'NG Main'!I163)</f>
        <v>0</v>
      </c>
    </row>
    <row r="164" spans="1:12" s="275" customFormat="1" x14ac:dyDescent="0.15">
      <c r="A164" s="359">
        <v>81775</v>
      </c>
      <c r="B164" s="359">
        <v>77570</v>
      </c>
      <c r="C164" s="287" t="s">
        <v>1351</v>
      </c>
      <c r="D164" s="488">
        <v>121965</v>
      </c>
      <c r="E164" s="474"/>
      <c r="F164" s="393"/>
      <c r="G164" s="482">
        <f>K164*(D164/SUM(D164,'NG Main'!D164))</f>
        <v>64665.468317605737</v>
      </c>
      <c r="H164" s="358"/>
      <c r="I164" s="358">
        <v>64665.468317605737</v>
      </c>
      <c r="K164" s="490">
        <v>76973.990000000005</v>
      </c>
      <c r="L164" s="278">
        <f>K164-SUM(I164,'NG Main'!I164)</f>
        <v>0</v>
      </c>
    </row>
    <row r="165" spans="1:12" s="275" customFormat="1" ht="14" thickBot="1" x14ac:dyDescent="0.2">
      <c r="A165" s="359"/>
      <c r="B165" s="359"/>
      <c r="C165" s="291" t="s">
        <v>1363</v>
      </c>
      <c r="D165" s="476"/>
      <c r="E165" s="477"/>
      <c r="F165" s="327">
        <f>(H165*10)/D164</f>
        <v>14.407105999065781</v>
      </c>
      <c r="G165" s="327"/>
      <c r="H165" s="327">
        <v>175716.26831760578</v>
      </c>
    </row>
    <row r="166" spans="1:12" s="275" customFormat="1" ht="14" thickTop="1" x14ac:dyDescent="0.15">
      <c r="D166" s="478"/>
      <c r="E166" s="479"/>
    </row>
    <row r="167" spans="1:12" s="275" customFormat="1" x14ac:dyDescent="0.15">
      <c r="A167" s="359">
        <v>81775</v>
      </c>
      <c r="B167" s="359" t="s">
        <v>1334</v>
      </c>
      <c r="C167" s="287" t="s">
        <v>1349</v>
      </c>
      <c r="D167" s="488">
        <v>94774.5</v>
      </c>
      <c r="E167" s="475"/>
      <c r="F167" s="362"/>
      <c r="G167" s="489">
        <v>66548.789999999994</v>
      </c>
      <c r="H167" s="358"/>
      <c r="I167" s="358">
        <v>66548.789999999994</v>
      </c>
      <c r="K167" s="298">
        <f>SUM(I167,'NG Main'!I167)</f>
        <v>92221.84</v>
      </c>
      <c r="L167" s="278">
        <f>K167-SUM(I167,'NG Main'!I167)</f>
        <v>0</v>
      </c>
    </row>
    <row r="168" spans="1:12" s="275" customFormat="1" x14ac:dyDescent="0.15">
      <c r="A168" s="359">
        <v>81775</v>
      </c>
      <c r="B168" s="359">
        <v>77570</v>
      </c>
      <c r="C168" s="287" t="s">
        <v>1351</v>
      </c>
      <c r="D168" s="488">
        <v>94774</v>
      </c>
      <c r="E168" s="474"/>
      <c r="F168" s="393"/>
      <c r="G168" s="482">
        <f>K168*(D168/SUM(D168,'NG Main'!D168))</f>
        <v>61772.931179365987</v>
      </c>
      <c r="H168" s="358"/>
      <c r="I168" s="358">
        <v>61772.93117936598</v>
      </c>
      <c r="K168" s="490">
        <v>76670.94</v>
      </c>
      <c r="L168" s="278">
        <f>K168-SUM(I168,'NG Main'!I168)</f>
        <v>0</v>
      </c>
    </row>
    <row r="169" spans="1:12" s="275" customFormat="1" ht="14" thickBot="1" x14ac:dyDescent="0.2">
      <c r="A169" s="359"/>
      <c r="B169" s="359"/>
      <c r="C169" s="291" t="s">
        <v>1364</v>
      </c>
      <c r="D169" s="476"/>
      <c r="E169" s="477"/>
      <c r="F169" s="327">
        <f>(H169*10)/D168</f>
        <v>13.539759974187646</v>
      </c>
      <c r="G169" s="327"/>
      <c r="H169" s="327">
        <v>128321.721179366</v>
      </c>
    </row>
    <row r="170" spans="1:12" s="275" customFormat="1" ht="14" thickTop="1" x14ac:dyDescent="0.15">
      <c r="D170" s="478"/>
      <c r="E170" s="479"/>
    </row>
    <row r="171" spans="1:12" s="275" customFormat="1" x14ac:dyDescent="0.15">
      <c r="D171" s="478"/>
      <c r="E171" s="479"/>
    </row>
    <row r="172" spans="1:12" s="290" customFormat="1" ht="14" thickBot="1" x14ac:dyDescent="0.2">
      <c r="C172" s="290" t="s">
        <v>146</v>
      </c>
      <c r="D172" s="491">
        <f>SUM(D124,D128,D132,D136)</f>
        <v>505179.8</v>
      </c>
      <c r="E172" s="478"/>
      <c r="H172" s="327">
        <v>469673.46771441074</v>
      </c>
    </row>
    <row r="173" spans="1:12" s="290" customFormat="1" ht="14" thickTop="1" x14ac:dyDescent="0.15">
      <c r="C173" s="290" t="s">
        <v>1365</v>
      </c>
      <c r="D173" s="478"/>
      <c r="E173" s="478"/>
      <c r="F173" s="492">
        <f>(H172*10)/D172</f>
        <v>9.2971545519914045</v>
      </c>
    </row>
    <row r="174" spans="1:12" s="275" customFormat="1" x14ac:dyDescent="0.15">
      <c r="D174" s="478"/>
      <c r="E174" s="479"/>
    </row>
    <row r="175" spans="1:12" s="275" customFormat="1" x14ac:dyDescent="0.15">
      <c r="C175" s="290" t="s">
        <v>1366</v>
      </c>
      <c r="D175" s="493">
        <f>SUM(D140,D144,D148,D152,D156)</f>
        <v>579933</v>
      </c>
      <c r="E175" s="479"/>
      <c r="F175" s="494">
        <f>D175/SUM('NG Cogen'!D175,'NG Main'!D175)</f>
        <v>0.45154199942538537</v>
      </c>
      <c r="G175" s="333">
        <v>-112853.85</v>
      </c>
    </row>
    <row r="176" spans="1:12" s="275" customFormat="1" x14ac:dyDescent="0.15">
      <c r="D176" s="478"/>
      <c r="E176" s="479"/>
    </row>
    <row r="177" spans="1:12" s="275" customFormat="1" x14ac:dyDescent="0.15">
      <c r="D177" s="478"/>
      <c r="E177" s="479"/>
    </row>
    <row r="178" spans="1:12" s="275" customFormat="1" x14ac:dyDescent="0.15">
      <c r="C178" s="275" t="s">
        <v>1367</v>
      </c>
      <c r="D178" s="496">
        <f>SUM(D68,D72,D76,D80,D84,D88,D92,D96,D100,D104,D108,D112)</f>
        <v>1343139.6</v>
      </c>
      <c r="E178" s="479"/>
      <c r="G178" s="278">
        <f>SUM(H69:H113)</f>
        <v>1157730.630477105</v>
      </c>
    </row>
    <row r="179" spans="1:12" s="275" customFormat="1" x14ac:dyDescent="0.15">
      <c r="C179" s="275" t="s">
        <v>1368</v>
      </c>
      <c r="D179" s="493">
        <f>SUM(D124,D128,D132,D136,D140,D144,D148,D152,D156,D160,D164,D168)</f>
        <v>1429228.8</v>
      </c>
      <c r="E179" s="479"/>
      <c r="G179" s="278">
        <f>SUM(H125:H169)</f>
        <v>1518535.3015072085</v>
      </c>
    </row>
    <row r="180" spans="1:12" s="275" customFormat="1" x14ac:dyDescent="0.15">
      <c r="D180" s="493"/>
      <c r="E180" s="479"/>
      <c r="G180" s="278"/>
    </row>
    <row r="181" spans="1:12" ht="14" thickBot="1" x14ac:dyDescent="0.2"/>
    <row r="182" spans="1:12" s="275" customFormat="1" ht="31" thickBot="1" x14ac:dyDescent="0.35">
      <c r="A182" s="767" t="s">
        <v>1106</v>
      </c>
      <c r="B182" s="768"/>
      <c r="C182" s="768"/>
      <c r="D182" s="768"/>
      <c r="E182" s="768"/>
      <c r="F182" s="768"/>
      <c r="G182" s="768"/>
      <c r="H182" s="768"/>
      <c r="I182" s="768"/>
      <c r="J182" s="768"/>
      <c r="K182" s="768"/>
      <c r="L182" s="769"/>
    </row>
    <row r="183" spans="1:12" s="275" customFormat="1" x14ac:dyDescent="0.15">
      <c r="D183" s="478"/>
      <c r="E183" s="479"/>
    </row>
    <row r="184" spans="1:12" s="275" customFormat="1" x14ac:dyDescent="0.15">
      <c r="A184" s="359">
        <v>81775</v>
      </c>
      <c r="B184" s="359" t="s">
        <v>1334</v>
      </c>
      <c r="C184" s="287" t="s">
        <v>1349</v>
      </c>
      <c r="D184" s="488">
        <v>129334.5</v>
      </c>
      <c r="E184" s="475"/>
      <c r="F184" s="362"/>
      <c r="G184" s="489">
        <v>111857.84</v>
      </c>
      <c r="H184" s="358"/>
      <c r="I184" s="358">
        <v>111857.83999999998</v>
      </c>
      <c r="K184" s="298">
        <f>SUM(I184,'NG Main'!I184)</f>
        <v>135991.87</v>
      </c>
      <c r="L184" s="278">
        <f>K184-SUM(I184,'NG Main'!I184)</f>
        <v>0</v>
      </c>
    </row>
    <row r="185" spans="1:12" s="275" customFormat="1" x14ac:dyDescent="0.15">
      <c r="A185" s="359">
        <v>81775</v>
      </c>
      <c r="B185" s="359">
        <v>77570</v>
      </c>
      <c r="C185" s="287" t="s">
        <v>1351</v>
      </c>
      <c r="D185" s="488">
        <v>129335</v>
      </c>
      <c r="E185" s="495"/>
      <c r="F185" s="362"/>
      <c r="G185" s="482">
        <f>K185*(D185/SUM(D185,'NG Main'!D185))</f>
        <v>63380.553170381398</v>
      </c>
      <c r="H185" s="358"/>
      <c r="I185" s="358">
        <v>63380.553170381398</v>
      </c>
      <c r="K185" s="490">
        <v>77107.820000000007</v>
      </c>
      <c r="L185" s="278">
        <f>K185-SUM(I185,'NG Main'!I185)</f>
        <v>0</v>
      </c>
    </row>
    <row r="186" spans="1:12" s="275" customFormat="1" ht="14" thickBot="1" x14ac:dyDescent="0.2">
      <c r="A186" s="359"/>
      <c r="B186" s="359"/>
      <c r="C186" s="291" t="s">
        <v>1353</v>
      </c>
      <c r="D186" s="476"/>
      <c r="E186" s="477"/>
      <c r="F186" s="327">
        <f>(H186*10)/D185</f>
        <v>13.54918569377055</v>
      </c>
      <c r="G186" s="327"/>
      <c r="H186" s="327">
        <v>175238.3931703814</v>
      </c>
    </row>
    <row r="187" spans="1:12" s="275" customFormat="1" ht="14" thickTop="1" x14ac:dyDescent="0.15">
      <c r="D187" s="478"/>
      <c r="E187" s="479"/>
    </row>
    <row r="188" spans="1:12" s="275" customFormat="1" x14ac:dyDescent="0.15">
      <c r="A188" s="359">
        <v>81775</v>
      </c>
      <c r="B188" s="359" t="s">
        <v>1334</v>
      </c>
      <c r="C188" s="287" t="s">
        <v>1349</v>
      </c>
      <c r="D188" s="488">
        <v>128902.9</v>
      </c>
      <c r="E188" s="475"/>
      <c r="F188" s="362"/>
      <c r="G188" s="489">
        <v>107572.75</v>
      </c>
      <c r="H188" s="358"/>
      <c r="I188" s="358">
        <v>107572.74999999999</v>
      </c>
      <c r="K188" s="298">
        <f>SUM(I188,'NG Main'!I188)</f>
        <v>131554.51999999999</v>
      </c>
      <c r="L188" s="278">
        <f>K188-SUM(I188,'NG Main'!I188)</f>
        <v>0</v>
      </c>
    </row>
    <row r="189" spans="1:12" s="275" customFormat="1" x14ac:dyDescent="0.15">
      <c r="A189" s="359">
        <v>81775</v>
      </c>
      <c r="B189" s="359">
        <v>77570</v>
      </c>
      <c r="C189" s="287" t="s">
        <v>1351</v>
      </c>
      <c r="D189" s="488">
        <v>128904</v>
      </c>
      <c r="E189" s="474"/>
      <c r="F189" s="393"/>
      <c r="G189" s="482">
        <f>K189*(D189/SUM(D189,'NG Main'!D189))</f>
        <v>63016.65518172655</v>
      </c>
      <c r="H189" s="358"/>
      <c r="I189" s="358">
        <v>63016.655181726543</v>
      </c>
      <c r="K189" s="490">
        <v>77112.100000000006</v>
      </c>
      <c r="L189" s="278">
        <f>K189-SUM(I189,'NG Main'!I189)</f>
        <v>0</v>
      </c>
    </row>
    <row r="190" spans="1:12" s="275" customFormat="1" ht="14" thickBot="1" x14ac:dyDescent="0.2">
      <c r="A190" s="359"/>
      <c r="B190" s="359"/>
      <c r="C190" s="291" t="s">
        <v>1354</v>
      </c>
      <c r="D190" s="476"/>
      <c r="E190" s="477"/>
      <c r="F190" s="327">
        <f>(H190*10)/D189</f>
        <v>13.233833331915733</v>
      </c>
      <c r="G190" s="327"/>
      <c r="H190" s="327">
        <v>170589.40518172656</v>
      </c>
    </row>
    <row r="191" spans="1:12" s="275" customFormat="1" ht="14" thickTop="1" x14ac:dyDescent="0.15">
      <c r="D191" s="478"/>
      <c r="E191" s="479"/>
    </row>
    <row r="192" spans="1:12" s="275" customFormat="1" x14ac:dyDescent="0.15">
      <c r="A192" s="359">
        <v>81775</v>
      </c>
      <c r="B192" s="359" t="s">
        <v>1334</v>
      </c>
      <c r="C192" s="287" t="s">
        <v>1349</v>
      </c>
      <c r="D192" s="488">
        <v>124979</v>
      </c>
      <c r="E192" s="475"/>
      <c r="F192" s="362"/>
      <c r="G192" s="489">
        <v>105931.98</v>
      </c>
      <c r="H192" s="358"/>
      <c r="I192" s="358">
        <v>105931.97999999998</v>
      </c>
      <c r="K192" s="298">
        <f>SUM(I192,'NG Main'!I192)</f>
        <v>132563.43999999997</v>
      </c>
      <c r="L192" s="278">
        <f>K192-SUM(I192,'NG Main'!I192)</f>
        <v>0</v>
      </c>
    </row>
    <row r="193" spans="1:12" s="275" customFormat="1" x14ac:dyDescent="0.15">
      <c r="A193" s="359">
        <v>81775</v>
      </c>
      <c r="B193" s="359">
        <v>77570</v>
      </c>
      <c r="C193" s="287" t="s">
        <v>1351</v>
      </c>
      <c r="D193" s="488">
        <v>124978</v>
      </c>
      <c r="E193" s="474"/>
      <c r="F193" s="393"/>
      <c r="G193" s="482">
        <f>K193*(D193/SUM(D193,'NG Main'!D193))</f>
        <v>61579.054730404219</v>
      </c>
      <c r="H193" s="358"/>
      <c r="I193" s="358">
        <v>61579.054730404219</v>
      </c>
      <c r="K193" s="490">
        <v>77098.23</v>
      </c>
      <c r="L193" s="278">
        <f>K193-SUM(I193,'NG Main'!I193)</f>
        <v>0</v>
      </c>
    </row>
    <row r="194" spans="1:12" s="275" customFormat="1" ht="14" thickBot="1" x14ac:dyDescent="0.2">
      <c r="A194" s="359"/>
      <c r="B194" s="359"/>
      <c r="C194" s="291" t="s">
        <v>1355</v>
      </c>
      <c r="D194" s="476"/>
      <c r="E194" s="477"/>
      <c r="F194" s="327">
        <f>(H194*10)/D193</f>
        <v>13.403241748980156</v>
      </c>
      <c r="G194" s="327"/>
      <c r="H194" s="327">
        <v>167511.03473040421</v>
      </c>
    </row>
    <row r="195" spans="1:12" s="275" customFormat="1" ht="14" thickTop="1" x14ac:dyDescent="0.15">
      <c r="D195" s="478"/>
      <c r="E195" s="479"/>
    </row>
    <row r="196" spans="1:12" s="275" customFormat="1" x14ac:dyDescent="0.15">
      <c r="A196" s="359">
        <v>81775</v>
      </c>
      <c r="B196" s="359" t="s">
        <v>1334</v>
      </c>
      <c r="C196" s="287" t="s">
        <v>1349</v>
      </c>
      <c r="D196" s="488">
        <v>111015.6</v>
      </c>
      <c r="E196" s="475"/>
      <c r="F196" s="362"/>
      <c r="G196" s="489">
        <v>97145.73</v>
      </c>
      <c r="H196" s="358"/>
      <c r="I196" s="358">
        <v>97145.73</v>
      </c>
      <c r="K196" s="298">
        <f>SUM(I196,'NG Main'!I196)</f>
        <v>154305.88999999998</v>
      </c>
      <c r="L196" s="278">
        <f>K196-SUM(I196,'NG Main'!I196)</f>
        <v>0</v>
      </c>
    </row>
    <row r="197" spans="1:12" s="275" customFormat="1" x14ac:dyDescent="0.15">
      <c r="A197" s="359">
        <v>81775</v>
      </c>
      <c r="B197" s="359">
        <v>77570</v>
      </c>
      <c r="C197" s="287" t="s">
        <v>1351</v>
      </c>
      <c r="D197" s="488">
        <v>111001</v>
      </c>
      <c r="E197" s="474"/>
      <c r="F197" s="393"/>
      <c r="G197" s="482">
        <f>K197*(D197/SUM(D197,'NG Main'!D197))</f>
        <v>48878.672602940256</v>
      </c>
      <c r="H197" s="358"/>
      <c r="I197" s="358">
        <v>48878.672602940256</v>
      </c>
      <c r="K197" s="490">
        <v>77308.19</v>
      </c>
      <c r="L197" s="278">
        <f>K197-SUM(I197,'NG Main'!I197)</f>
        <v>0</v>
      </c>
    </row>
    <row r="198" spans="1:12" s="275" customFormat="1" ht="14" thickBot="1" x14ac:dyDescent="0.2">
      <c r="A198" s="359"/>
      <c r="B198" s="359"/>
      <c r="C198" s="291" t="s">
        <v>1356</v>
      </c>
      <c r="D198" s="476"/>
      <c r="E198" s="477"/>
      <c r="F198" s="327">
        <f>(H198*10)/D197</f>
        <v>13.15523307023723</v>
      </c>
      <c r="G198" s="327"/>
      <c r="H198" s="327">
        <v>146024.40260294027</v>
      </c>
    </row>
    <row r="199" spans="1:12" s="275" customFormat="1" ht="14" thickTop="1" x14ac:dyDescent="0.15">
      <c r="D199" s="478"/>
      <c r="E199" s="479"/>
    </row>
    <row r="200" spans="1:12" s="275" customFormat="1" x14ac:dyDescent="0.15">
      <c r="A200" s="359">
        <v>81775</v>
      </c>
      <c r="B200" s="359" t="s">
        <v>1334</v>
      </c>
      <c r="C200" s="287" t="s">
        <v>1349</v>
      </c>
      <c r="D200" s="488">
        <v>121264.1</v>
      </c>
      <c r="E200" s="475"/>
      <c r="F200" s="362"/>
      <c r="G200" s="489">
        <v>116451.64</v>
      </c>
      <c r="H200" s="358"/>
      <c r="I200" s="358">
        <v>116451.63999999997</v>
      </c>
      <c r="K200" s="298">
        <f>SUM(I200,'NG Main'!I200)</f>
        <v>181134.30999999997</v>
      </c>
      <c r="L200" s="278">
        <f>K200-SUM(I200,'NG Main'!I200)</f>
        <v>0</v>
      </c>
    </row>
    <row r="201" spans="1:12" s="275" customFormat="1" x14ac:dyDescent="0.15">
      <c r="A201" s="359">
        <v>81775</v>
      </c>
      <c r="B201" s="359">
        <v>77570</v>
      </c>
      <c r="C201" s="287" t="s">
        <v>1351</v>
      </c>
      <c r="D201" s="488">
        <v>121268</v>
      </c>
      <c r="E201" s="474"/>
      <c r="F201" s="393"/>
      <c r="G201" s="482">
        <f>K201*(D201/SUM(D201,'NG Main'!D201))</f>
        <v>48996.926977384741</v>
      </c>
      <c r="H201" s="358"/>
      <c r="I201" s="358">
        <v>48996.926977384748</v>
      </c>
      <c r="K201" s="490">
        <v>78037.59</v>
      </c>
      <c r="L201" s="278">
        <f>K201-SUM(I201,'NG Main'!I201)</f>
        <v>0</v>
      </c>
    </row>
    <row r="202" spans="1:12" s="275" customFormat="1" ht="14" thickBot="1" x14ac:dyDescent="0.2">
      <c r="A202" s="359"/>
      <c r="B202" s="359"/>
      <c r="C202" s="291" t="s">
        <v>1357</v>
      </c>
      <c r="D202" s="476"/>
      <c r="E202" s="477"/>
      <c r="F202" s="327">
        <f>(H202*10)/D201</f>
        <v>13.643217252480849</v>
      </c>
      <c r="G202" s="327"/>
      <c r="H202" s="327">
        <v>165448.56697738476</v>
      </c>
    </row>
    <row r="203" spans="1:12" s="275" customFormat="1" ht="14" thickTop="1" x14ac:dyDescent="0.15">
      <c r="D203" s="478"/>
      <c r="E203" s="479"/>
    </row>
    <row r="204" spans="1:12" s="275" customFormat="1" x14ac:dyDescent="0.15">
      <c r="A204" s="359">
        <v>81775</v>
      </c>
      <c r="B204" s="359" t="s">
        <v>1334</v>
      </c>
      <c r="C204" s="287" t="s">
        <v>1349</v>
      </c>
      <c r="D204" s="488">
        <v>116848.6</v>
      </c>
      <c r="E204" s="475"/>
      <c r="F204" s="362"/>
      <c r="G204" s="489">
        <v>86288.72</v>
      </c>
      <c r="H204" s="358"/>
      <c r="I204" s="358">
        <v>86288.720000000016</v>
      </c>
      <c r="K204" s="298">
        <f>SUM(I204,'NG Main'!I204)</f>
        <v>165060.33000000002</v>
      </c>
      <c r="L204" s="278">
        <f>K204-SUM(I204,'NG Main'!I204)</f>
        <v>0</v>
      </c>
    </row>
    <row r="205" spans="1:12" s="275" customFormat="1" x14ac:dyDescent="0.15">
      <c r="A205" s="359">
        <v>81775</v>
      </c>
      <c r="B205" s="359">
        <v>77570</v>
      </c>
      <c r="C205" s="287" t="s">
        <v>1351</v>
      </c>
      <c r="D205" s="488">
        <v>116852</v>
      </c>
      <c r="E205" s="474"/>
      <c r="F205" s="393"/>
      <c r="G205" s="482">
        <f>K205*(D205/SUM(D205,'NG Main'!D205))</f>
        <v>41125.23786882007</v>
      </c>
      <c r="H205" s="358"/>
      <c r="I205" s="358">
        <v>41125.237868820077</v>
      </c>
      <c r="K205" s="490">
        <v>78362.210000000006</v>
      </c>
      <c r="L205" s="278">
        <f>K205-SUM(I205,'NG Main'!I205)</f>
        <v>0</v>
      </c>
    </row>
    <row r="206" spans="1:12" s="275" customFormat="1" ht="14" thickBot="1" x14ac:dyDescent="0.2">
      <c r="A206" s="359"/>
      <c r="B206" s="359"/>
      <c r="C206" s="291" t="s">
        <v>1358</v>
      </c>
      <c r="D206" s="476"/>
      <c r="E206" s="477"/>
      <c r="F206" s="327">
        <f>(H206*10)/D205</f>
        <v>10.903874804780413</v>
      </c>
      <c r="G206" s="327"/>
      <c r="H206" s="327">
        <v>127413.95786882009</v>
      </c>
    </row>
    <row r="207" spans="1:12" s="275" customFormat="1" ht="14" thickTop="1" x14ac:dyDescent="0.15">
      <c r="D207" s="478"/>
      <c r="E207" s="479"/>
    </row>
    <row r="208" spans="1:12" s="275" customFormat="1" x14ac:dyDescent="0.15">
      <c r="A208" s="359">
        <v>81775</v>
      </c>
      <c r="B208" s="359" t="s">
        <v>1334</v>
      </c>
      <c r="C208" s="287" t="s">
        <v>1349</v>
      </c>
      <c r="D208" s="488">
        <v>143662.20000000001</v>
      </c>
      <c r="E208" s="475"/>
      <c r="F208" s="362"/>
      <c r="G208" s="489">
        <v>97332.88</v>
      </c>
      <c r="H208" s="358"/>
      <c r="I208" s="358">
        <v>97332.87999999999</v>
      </c>
      <c r="K208" s="298">
        <f>SUM(I208,'NG Main'!I208)</f>
        <v>208631.69</v>
      </c>
      <c r="L208" s="278">
        <f>K208-SUM(I208,'NG Main'!I208)</f>
        <v>0</v>
      </c>
    </row>
    <row r="209" spans="1:12" s="275" customFormat="1" x14ac:dyDescent="0.15">
      <c r="A209" s="359">
        <v>81775</v>
      </c>
      <c r="B209" s="359">
        <v>77570</v>
      </c>
      <c r="C209" s="287" t="s">
        <v>1351</v>
      </c>
      <c r="D209" s="488">
        <v>143667</v>
      </c>
      <c r="E209" s="474"/>
      <c r="F209" s="393"/>
      <c r="G209" s="482">
        <f>K209*(D209/SUM(D209,'NG Main'!D209))</f>
        <v>36856.39622365906</v>
      </c>
      <c r="H209" s="358"/>
      <c r="I209" s="358">
        <v>36856.39622365906</v>
      </c>
      <c r="K209" s="490">
        <v>79313.84</v>
      </c>
      <c r="L209" s="278">
        <f>K209-SUM(I209,'NG Main'!I209)</f>
        <v>0</v>
      </c>
    </row>
    <row r="210" spans="1:12" s="275" customFormat="1" ht="14" thickBot="1" x14ac:dyDescent="0.2">
      <c r="A210" s="359"/>
      <c r="B210" s="359"/>
      <c r="C210" s="291" t="s">
        <v>1359</v>
      </c>
      <c r="D210" s="476"/>
      <c r="E210" s="477"/>
      <c r="F210" s="327">
        <f>(H210*10)/D209</f>
        <v>9.3402991796069426</v>
      </c>
      <c r="G210" s="327"/>
      <c r="H210" s="327">
        <v>134189.27622365905</v>
      </c>
    </row>
    <row r="211" spans="1:12" s="275" customFormat="1" ht="14" thickTop="1" x14ac:dyDescent="0.15">
      <c r="D211" s="478"/>
      <c r="E211" s="479"/>
    </row>
    <row r="212" spans="1:12" s="275" customFormat="1" x14ac:dyDescent="0.15">
      <c r="A212" s="359">
        <v>81775</v>
      </c>
      <c r="B212" s="359" t="s">
        <v>1334</v>
      </c>
      <c r="C212" s="287" t="s">
        <v>1349</v>
      </c>
      <c r="D212" s="488">
        <v>101285.7</v>
      </c>
      <c r="E212" s="475"/>
      <c r="F212" s="362"/>
      <c r="G212" s="489">
        <v>78070.990000000005</v>
      </c>
      <c r="H212" s="358"/>
      <c r="I212" s="358">
        <v>78070.99000000002</v>
      </c>
      <c r="K212" s="298">
        <f>SUM(I212,'NG Main'!I212)</f>
        <v>182487.48000000004</v>
      </c>
      <c r="L212" s="278">
        <f>K212-SUM(I212,'NG Main'!I212)</f>
        <v>0</v>
      </c>
    </row>
    <row r="213" spans="1:12" s="275" customFormat="1" x14ac:dyDescent="0.15">
      <c r="A213" s="359">
        <v>81775</v>
      </c>
      <c r="B213" s="359">
        <v>77570</v>
      </c>
      <c r="C213" s="287" t="s">
        <v>1351</v>
      </c>
      <c r="D213" s="488">
        <v>101287</v>
      </c>
      <c r="E213" s="474"/>
      <c r="F213" s="393"/>
      <c r="G213" s="482">
        <f>K213*(D213/SUM(D213,'NG Main'!D213))</f>
        <v>32593.297146898556</v>
      </c>
      <c r="H213" s="358"/>
      <c r="I213" s="358">
        <v>32593.29714689856</v>
      </c>
      <c r="K213" s="490">
        <v>78599.83</v>
      </c>
      <c r="L213" s="278">
        <f>K213-SUM(I213,'NG Main'!I213)</f>
        <v>0</v>
      </c>
    </row>
    <row r="214" spans="1:12" s="275" customFormat="1" ht="14" thickBot="1" x14ac:dyDescent="0.2">
      <c r="A214" s="359"/>
      <c r="B214" s="359"/>
      <c r="C214" s="291" t="s">
        <v>1360</v>
      </c>
      <c r="D214" s="476"/>
      <c r="E214" s="477"/>
      <c r="F214" s="327">
        <f>(H214*10)/D213</f>
        <v>10.925813495009093</v>
      </c>
      <c r="G214" s="327"/>
      <c r="H214" s="327">
        <v>110664.28714689858</v>
      </c>
    </row>
    <row r="215" spans="1:12" s="275" customFormat="1" ht="14" thickTop="1" x14ac:dyDescent="0.15">
      <c r="D215" s="478"/>
      <c r="E215" s="479"/>
    </row>
    <row r="216" spans="1:12" s="275" customFormat="1" x14ac:dyDescent="0.15">
      <c r="A216" s="359">
        <v>81775</v>
      </c>
      <c r="B216" s="359" t="s">
        <v>1334</v>
      </c>
      <c r="C216" s="287" t="s">
        <v>1349</v>
      </c>
      <c r="D216" s="488">
        <v>119352.1</v>
      </c>
      <c r="E216" s="475"/>
      <c r="F216" s="362"/>
      <c r="G216" s="489">
        <v>96299.41</v>
      </c>
      <c r="H216" s="358"/>
      <c r="I216" s="358">
        <v>96299.41</v>
      </c>
      <c r="K216" s="298">
        <f>SUM(I216,'NG Main'!I216)</f>
        <v>173077.51</v>
      </c>
      <c r="L216" s="278">
        <f>K216-SUM(I216,'NG Main'!I216)</f>
        <v>0</v>
      </c>
    </row>
    <row r="217" spans="1:12" s="275" customFormat="1" x14ac:dyDescent="0.15">
      <c r="A217" s="359">
        <v>81775</v>
      </c>
      <c r="B217" s="359">
        <v>77570</v>
      </c>
      <c r="C217" s="287" t="s">
        <v>1351</v>
      </c>
      <c r="D217" s="488">
        <v>119343</v>
      </c>
      <c r="E217" s="474"/>
      <c r="F217" s="393"/>
      <c r="G217" s="482">
        <f>K217*(D217/SUM(D217,'NG Main'!D217))</f>
        <v>42321.109845738101</v>
      </c>
      <c r="H217" s="358"/>
      <c r="I217" s="358">
        <v>42321.109845738101</v>
      </c>
      <c r="K217" s="490">
        <v>78343.149999999994</v>
      </c>
      <c r="L217" s="278">
        <f>K217-SUM(I217,'NG Main'!I217)</f>
        <v>0</v>
      </c>
    </row>
    <row r="218" spans="1:12" s="275" customFormat="1" ht="14" thickBot="1" x14ac:dyDescent="0.2">
      <c r="A218" s="359"/>
      <c r="B218" s="359"/>
      <c r="C218" s="291" t="s">
        <v>1361</v>
      </c>
      <c r="D218" s="476"/>
      <c r="E218" s="477"/>
      <c r="F218" s="327">
        <f>(H218*10)/D217</f>
        <v>11.615303775314688</v>
      </c>
      <c r="G218" s="327"/>
      <c r="H218" s="327">
        <v>138620.51984573808</v>
      </c>
    </row>
    <row r="219" spans="1:12" s="275" customFormat="1" ht="14" thickTop="1" x14ac:dyDescent="0.15">
      <c r="D219" s="478"/>
      <c r="E219" s="479"/>
    </row>
    <row r="220" spans="1:12" s="275" customFormat="1" x14ac:dyDescent="0.15">
      <c r="A220" s="359">
        <v>81775</v>
      </c>
      <c r="B220" s="359" t="s">
        <v>1334</v>
      </c>
      <c r="C220" s="287" t="s">
        <v>1349</v>
      </c>
      <c r="D220" s="488">
        <v>125633.4</v>
      </c>
      <c r="E220" s="475"/>
      <c r="F220" s="362"/>
      <c r="G220" s="489">
        <v>81493.100000000006</v>
      </c>
      <c r="H220" s="358"/>
      <c r="I220" s="358">
        <v>81493.10000000002</v>
      </c>
      <c r="K220" s="298">
        <f>SUM(I220,'NG Main'!I220)</f>
        <v>120490.50000000003</v>
      </c>
      <c r="L220" s="278">
        <f>K220-SUM(I220,'NG Main'!I220)</f>
        <v>0</v>
      </c>
    </row>
    <row r="221" spans="1:12" s="275" customFormat="1" x14ac:dyDescent="0.15">
      <c r="A221" s="359">
        <v>81775</v>
      </c>
      <c r="B221" s="359">
        <v>77570</v>
      </c>
      <c r="C221" s="287" t="s">
        <v>1351</v>
      </c>
      <c r="D221" s="488">
        <v>125633</v>
      </c>
      <c r="E221" s="474"/>
      <c r="F221" s="393"/>
      <c r="G221" s="482">
        <f>K221*(D221/SUM(D221,'NG Main'!D221))</f>
        <v>51459.816941353762</v>
      </c>
      <c r="H221" s="358"/>
      <c r="I221" s="358">
        <v>51459.816941353776</v>
      </c>
      <c r="K221" s="490">
        <v>78007.91</v>
      </c>
      <c r="L221" s="278">
        <f>K221-SUM(I221,'NG Main'!I221)</f>
        <v>0</v>
      </c>
    </row>
    <row r="222" spans="1:12" s="275" customFormat="1" ht="14" thickBot="1" x14ac:dyDescent="0.2">
      <c r="A222" s="359"/>
      <c r="B222" s="359"/>
      <c r="C222" s="291" t="s">
        <v>1362</v>
      </c>
      <c r="D222" s="476"/>
      <c r="E222" s="477"/>
      <c r="F222" s="327">
        <f>(H222*10)/D221</f>
        <v>10.582642851906249</v>
      </c>
      <c r="G222" s="327"/>
      <c r="H222" s="327">
        <v>132952.91694135376</v>
      </c>
    </row>
    <row r="223" spans="1:12" s="275" customFormat="1" ht="14" thickTop="1" x14ac:dyDescent="0.15">
      <c r="D223" s="478"/>
      <c r="E223" s="479"/>
    </row>
    <row r="224" spans="1:12" s="275" customFormat="1" x14ac:dyDescent="0.15">
      <c r="A224" s="359">
        <v>81775</v>
      </c>
      <c r="B224" s="359" t="s">
        <v>1334</v>
      </c>
      <c r="C224" s="287" t="s">
        <v>1349</v>
      </c>
      <c r="D224" s="488">
        <v>101490.2</v>
      </c>
      <c r="E224" s="475"/>
      <c r="F224" s="362"/>
      <c r="G224" s="489">
        <v>65242.36</v>
      </c>
      <c r="H224" s="358"/>
      <c r="I224" s="358">
        <v>65242.36</v>
      </c>
      <c r="K224" s="298">
        <f>SUM(I224,'NG Main'!I224)</f>
        <v>95614.39</v>
      </c>
      <c r="L224" s="278">
        <f>K224-SUM(I224,'NG Main'!I224)</f>
        <v>0</v>
      </c>
    </row>
    <row r="225" spans="1:12" s="275" customFormat="1" x14ac:dyDescent="0.15">
      <c r="A225" s="359">
        <v>81775</v>
      </c>
      <c r="B225" s="359">
        <v>77570</v>
      </c>
      <c r="C225" s="287" t="s">
        <v>1351</v>
      </c>
      <c r="D225" s="488">
        <v>101496</v>
      </c>
      <c r="E225" s="474"/>
      <c r="F225" s="393"/>
      <c r="G225" s="482">
        <f>K225*(D225/SUM(D225,'NG Main'!D225))</f>
        <v>55013.600944073303</v>
      </c>
      <c r="H225" s="358"/>
      <c r="I225" s="358">
        <v>55013.600944073303</v>
      </c>
      <c r="K225" s="490">
        <v>77485.509999999995</v>
      </c>
      <c r="L225" s="278">
        <f>K225-SUM(I225,'NG Main'!I225)</f>
        <v>0</v>
      </c>
    </row>
    <row r="226" spans="1:12" s="275" customFormat="1" ht="14" thickBot="1" x14ac:dyDescent="0.2">
      <c r="A226" s="359"/>
      <c r="B226" s="359"/>
      <c r="C226" s="291" t="s">
        <v>1363</v>
      </c>
      <c r="D226" s="476"/>
      <c r="E226" s="477"/>
      <c r="F226" s="327">
        <f>(H226*10)/D225</f>
        <v>11.84834485537098</v>
      </c>
      <c r="G226" s="327"/>
      <c r="H226" s="327">
        <v>120255.9609440733</v>
      </c>
    </row>
    <row r="227" spans="1:12" s="275" customFormat="1" ht="14" thickTop="1" x14ac:dyDescent="0.15">
      <c r="D227" s="478"/>
      <c r="E227" s="479"/>
    </row>
    <row r="228" spans="1:12" s="275" customFormat="1" x14ac:dyDescent="0.15">
      <c r="A228" s="359">
        <v>81775</v>
      </c>
      <c r="B228" s="359" t="s">
        <v>1334</v>
      </c>
      <c r="C228" s="287" t="s">
        <v>1349</v>
      </c>
      <c r="D228" s="488">
        <v>99362.1</v>
      </c>
      <c r="E228" s="475"/>
      <c r="F228" s="362"/>
      <c r="G228" s="489">
        <v>53239.6</v>
      </c>
      <c r="H228" s="358"/>
      <c r="I228" s="358">
        <v>53239.600000000006</v>
      </c>
      <c r="K228" s="298">
        <f>SUM(I228,'NG Main'!I228)</f>
        <v>70824.240000000005</v>
      </c>
      <c r="L228" s="278">
        <f>K228-SUM(I228,'NG Main'!I228)</f>
        <v>0</v>
      </c>
    </row>
    <row r="229" spans="1:12" s="275" customFormat="1" x14ac:dyDescent="0.15">
      <c r="A229" s="359">
        <v>81775</v>
      </c>
      <c r="B229" s="359">
        <v>77570</v>
      </c>
      <c r="C229" s="287" t="s">
        <v>1351</v>
      </c>
      <c r="D229" s="488">
        <v>99372</v>
      </c>
      <c r="E229" s="474"/>
      <c r="F229" s="393"/>
      <c r="G229" s="482">
        <f>K229*(D229/SUM(D229,'NG Main'!D229))</f>
        <v>61610.097911482262</v>
      </c>
      <c r="H229" s="358"/>
      <c r="I229" s="358">
        <v>61610.097911482262</v>
      </c>
      <c r="K229" s="490">
        <v>77284.179999999993</v>
      </c>
      <c r="L229" s="278">
        <f>K229-SUM(I229,'NG Main'!I229)</f>
        <v>0</v>
      </c>
    </row>
    <row r="230" spans="1:12" s="275" customFormat="1" ht="14" thickBot="1" x14ac:dyDescent="0.2">
      <c r="A230" s="359"/>
      <c r="B230" s="359"/>
      <c r="C230" s="291" t="s">
        <v>1364</v>
      </c>
      <c r="D230" s="476"/>
      <c r="E230" s="477"/>
      <c r="F230" s="327">
        <f>(H230*10)/D229</f>
        <v>11.557551212764386</v>
      </c>
      <c r="G230" s="327"/>
      <c r="H230" s="327">
        <v>114849.69791148226</v>
      </c>
    </row>
    <row r="231" spans="1:12" s="275" customFormat="1" ht="14" thickTop="1" x14ac:dyDescent="0.15">
      <c r="D231" s="478"/>
      <c r="E231" s="479"/>
    </row>
    <row r="232" spans="1:12" s="275" customFormat="1" x14ac:dyDescent="0.15">
      <c r="D232" s="478"/>
      <c r="E232" s="479"/>
    </row>
    <row r="233" spans="1:12" s="290" customFormat="1" ht="14" thickBot="1" x14ac:dyDescent="0.2">
      <c r="C233" s="290" t="s">
        <v>146</v>
      </c>
      <c r="D233" s="491">
        <f>SUM(D185,D189,D193,D197)</f>
        <v>494218</v>
      </c>
      <c r="E233" s="478"/>
      <c r="H233" s="327">
        <v>659363.23568545247</v>
      </c>
    </row>
    <row r="234" spans="1:12" s="290" customFormat="1" ht="14" thickTop="1" x14ac:dyDescent="0.15">
      <c r="C234" s="290" t="s">
        <v>1365</v>
      </c>
      <c r="D234" s="478"/>
      <c r="E234" s="478"/>
      <c r="F234" s="492">
        <f>(H233*10)/D233</f>
        <v>13.341546355767139</v>
      </c>
    </row>
    <row r="235" spans="1:12" s="275" customFormat="1" x14ac:dyDescent="0.15">
      <c r="D235" s="478"/>
      <c r="E235" s="479"/>
    </row>
    <row r="236" spans="1:12" s="275" customFormat="1" x14ac:dyDescent="0.15">
      <c r="C236" s="290" t="s">
        <v>1366</v>
      </c>
      <c r="D236" s="493">
        <f>SUM(D201,D205,D209,D213,D217)</f>
        <v>602417</v>
      </c>
      <c r="E236" s="479"/>
      <c r="F236" s="494">
        <f>D236/SUM('NG Cogen'!D236,'NG Main'!D235)</f>
        <v>1</v>
      </c>
      <c r="G236" s="333">
        <v>-112853.85</v>
      </c>
    </row>
    <row r="237" spans="1:12" s="275" customFormat="1" x14ac:dyDescent="0.15">
      <c r="D237" s="478"/>
      <c r="E237" s="479"/>
    </row>
    <row r="238" spans="1:12" s="275" customFormat="1" x14ac:dyDescent="0.15">
      <c r="D238" s="478"/>
      <c r="E238" s="479"/>
    </row>
    <row r="239" spans="1:12" s="275" customFormat="1" x14ac:dyDescent="0.15">
      <c r="C239" s="275" t="s">
        <v>1367</v>
      </c>
      <c r="D239" s="496">
        <f>SUM(D128,D132,D136,D140,D144,D148,D152,D156,D160,D164,D168,D172)</f>
        <v>1808220.8</v>
      </c>
      <c r="E239" s="479"/>
      <c r="G239" s="278">
        <f>SUM(H129:H173)</f>
        <v>1864883.9386205389</v>
      </c>
    </row>
    <row r="240" spans="1:12" s="275" customFormat="1" x14ac:dyDescent="0.15">
      <c r="C240" s="275" t="s">
        <v>1368</v>
      </c>
      <c r="D240" s="493">
        <f>SUM(D185,D189,D193,D197,D201,D205,D209,D213,D217,D221,D225,D229)</f>
        <v>1423136</v>
      </c>
      <c r="E240" s="479"/>
      <c r="G240" s="278">
        <f>SUM(H186:H230)</f>
        <v>1703758.4195448626</v>
      </c>
    </row>
    <row r="241" spans="1:12" s="275" customFormat="1" x14ac:dyDescent="0.15">
      <c r="D241" s="493"/>
      <c r="E241" s="479"/>
      <c r="G241" s="278"/>
    </row>
    <row r="242" spans="1:12" ht="14" thickBot="1" x14ac:dyDescent="0.2"/>
    <row r="243" spans="1:12" s="275" customFormat="1" ht="31" thickBot="1" x14ac:dyDescent="0.35">
      <c r="A243" s="767" t="s">
        <v>1110</v>
      </c>
      <c r="B243" s="768"/>
      <c r="C243" s="768"/>
      <c r="D243" s="768"/>
      <c r="E243" s="768"/>
      <c r="F243" s="768"/>
      <c r="G243" s="768"/>
      <c r="H243" s="768"/>
      <c r="I243" s="768"/>
      <c r="J243" s="768"/>
      <c r="K243" s="768"/>
      <c r="L243" s="769"/>
    </row>
    <row r="244" spans="1:12" s="275" customFormat="1" x14ac:dyDescent="0.15">
      <c r="D244" s="478"/>
      <c r="E244" s="479"/>
    </row>
    <row r="245" spans="1:12" s="275" customFormat="1" x14ac:dyDescent="0.15">
      <c r="A245" s="359">
        <v>81775</v>
      </c>
      <c r="B245" s="359" t="s">
        <v>1334</v>
      </c>
      <c r="C245" s="287" t="s">
        <v>1349</v>
      </c>
      <c r="D245" s="488">
        <v>120575.6</v>
      </c>
      <c r="E245" s="475"/>
      <c r="F245" s="362"/>
      <c r="G245" s="489">
        <v>75607.31</v>
      </c>
      <c r="H245" s="358"/>
      <c r="I245" s="358">
        <v>75607.309999999983</v>
      </c>
      <c r="K245" s="298">
        <f>SUM(I245,'NG Main'!I245)</f>
        <v>99171.64999999998</v>
      </c>
      <c r="L245" s="278">
        <f>K245-SUM(I245,'NG Main'!I245)</f>
        <v>0</v>
      </c>
    </row>
    <row r="246" spans="1:12" s="275" customFormat="1" x14ac:dyDescent="0.15">
      <c r="A246" s="359">
        <v>81775</v>
      </c>
      <c r="B246" s="359">
        <v>77570</v>
      </c>
      <c r="C246" s="287" t="s">
        <v>1351</v>
      </c>
      <c r="D246" s="488">
        <v>120575</v>
      </c>
      <c r="E246" s="495"/>
      <c r="F246" s="362"/>
      <c r="G246" s="482">
        <f>K246*(D246/SUM(D246,'NG Main'!D246))</f>
        <v>59163.95832253866</v>
      </c>
      <c r="H246" s="358"/>
      <c r="I246" s="358">
        <v>59163.958322538652</v>
      </c>
      <c r="K246" s="490">
        <v>77653.83</v>
      </c>
      <c r="L246" s="278">
        <f>K246-SUM(I246,'NG Main'!I246)</f>
        <v>0</v>
      </c>
    </row>
    <row r="247" spans="1:12" s="275" customFormat="1" ht="14" thickBot="1" x14ac:dyDescent="0.2">
      <c r="A247" s="359"/>
      <c r="B247" s="359"/>
      <c r="C247" s="291" t="s">
        <v>1353</v>
      </c>
      <c r="D247" s="476"/>
      <c r="E247" s="477"/>
      <c r="F247" s="327">
        <f>(H247*10)/D246</f>
        <v>11.177380744145854</v>
      </c>
      <c r="G247" s="327"/>
      <c r="H247" s="327">
        <v>134771.26832253864</v>
      </c>
    </row>
    <row r="248" spans="1:12" s="275" customFormat="1" ht="14" thickTop="1" x14ac:dyDescent="0.15">
      <c r="D248" s="478"/>
      <c r="E248" s="479"/>
    </row>
    <row r="249" spans="1:12" s="275" customFormat="1" x14ac:dyDescent="0.15">
      <c r="A249" s="359">
        <v>81775</v>
      </c>
      <c r="B249" s="359" t="s">
        <v>1334</v>
      </c>
      <c r="C249" s="287" t="s">
        <v>1349</v>
      </c>
      <c r="D249" s="488">
        <v>118174.7</v>
      </c>
      <c r="E249" s="475"/>
      <c r="F249" s="362"/>
      <c r="G249" s="489">
        <v>74982.81</v>
      </c>
      <c r="H249" s="358"/>
      <c r="I249" s="358">
        <v>74982.81</v>
      </c>
      <c r="K249" s="298">
        <f>SUM(I249,'NG Main'!I249)</f>
        <v>98701.56</v>
      </c>
      <c r="L249" s="278">
        <f>K249-SUM(I249,'NG Main'!I249)</f>
        <v>0</v>
      </c>
    </row>
    <row r="250" spans="1:12" s="275" customFormat="1" x14ac:dyDescent="0.15">
      <c r="A250" s="359">
        <v>81775</v>
      </c>
      <c r="B250" s="359">
        <v>77570</v>
      </c>
      <c r="C250" s="287" t="s">
        <v>1351</v>
      </c>
      <c r="D250" s="488">
        <v>118175</v>
      </c>
      <c r="E250" s="474"/>
      <c r="F250" s="393"/>
      <c r="G250" s="482">
        <f>K250*(D250/SUM(D250,'NG Main'!D250))</f>
        <v>58934.661254521277</v>
      </c>
      <c r="H250" s="358"/>
      <c r="I250" s="358">
        <v>58934.661254521277</v>
      </c>
      <c r="K250" s="490">
        <v>77625.19</v>
      </c>
      <c r="L250" s="278">
        <f>K250-SUM(I250,'NG Main'!I250)</f>
        <v>0</v>
      </c>
    </row>
    <row r="251" spans="1:12" s="275" customFormat="1" ht="14" thickBot="1" x14ac:dyDescent="0.2">
      <c r="A251" s="359"/>
      <c r="B251" s="359"/>
      <c r="C251" s="291" t="s">
        <v>1354</v>
      </c>
      <c r="D251" s="476"/>
      <c r="E251" s="477"/>
      <c r="F251" s="327">
        <f>(H251*10)/D250</f>
        <v>11.332132113773749</v>
      </c>
      <c r="G251" s="327"/>
      <c r="H251" s="327">
        <v>133917.47125452128</v>
      </c>
    </row>
    <row r="252" spans="1:12" s="275" customFormat="1" ht="14" thickTop="1" x14ac:dyDescent="0.15">
      <c r="D252" s="478"/>
      <c r="E252" s="479"/>
    </row>
    <row r="253" spans="1:12" s="275" customFormat="1" x14ac:dyDescent="0.15">
      <c r="A253" s="359">
        <v>81775</v>
      </c>
      <c r="B253" s="359" t="s">
        <v>1334</v>
      </c>
      <c r="C253" s="287" t="s">
        <v>1349</v>
      </c>
      <c r="D253" s="488">
        <v>117676.8</v>
      </c>
      <c r="E253" s="475"/>
      <c r="F253" s="362"/>
      <c r="G253" s="489">
        <v>76709.8</v>
      </c>
      <c r="H253" s="358"/>
      <c r="I253" s="358">
        <v>76709.799999999988</v>
      </c>
      <c r="K253" s="298">
        <f>SUM(I253,'NG Main'!I253)</f>
        <v>100826.45</v>
      </c>
      <c r="L253" s="278">
        <f>K253-SUM(I253,'NG Main'!I253)</f>
        <v>0</v>
      </c>
    </row>
    <row r="254" spans="1:12" s="275" customFormat="1" x14ac:dyDescent="0.15">
      <c r="A254" s="359">
        <v>81775</v>
      </c>
      <c r="B254" s="359">
        <v>77570</v>
      </c>
      <c r="C254" s="287" t="s">
        <v>1351</v>
      </c>
      <c r="D254" s="488">
        <v>117675</v>
      </c>
      <c r="E254" s="474"/>
      <c r="F254" s="393"/>
      <c r="G254" s="482">
        <f>K254*(D254/SUM(D254,'NG Main'!D254))</f>
        <v>58997.825631419153</v>
      </c>
      <c r="H254" s="358"/>
      <c r="I254" s="358">
        <v>58997.82563141916</v>
      </c>
      <c r="K254" s="490">
        <v>77615.92</v>
      </c>
      <c r="L254" s="278">
        <f>K254-SUM(I254,'NG Main'!I254)</f>
        <v>0</v>
      </c>
    </row>
    <row r="255" spans="1:12" s="275" customFormat="1" ht="14" thickBot="1" x14ac:dyDescent="0.2">
      <c r="A255" s="359"/>
      <c r="B255" s="359"/>
      <c r="C255" s="291" t="s">
        <v>1355</v>
      </c>
      <c r="D255" s="476"/>
      <c r="E255" s="477"/>
      <c r="F255" s="327">
        <f>(H255*10)/D254</f>
        <v>11.532409231478152</v>
      </c>
      <c r="G255" s="327"/>
      <c r="H255" s="327">
        <v>135707.62563141916</v>
      </c>
    </row>
    <row r="256" spans="1:12" s="275" customFormat="1" ht="14" thickTop="1" x14ac:dyDescent="0.15">
      <c r="D256" s="478"/>
      <c r="E256" s="479"/>
    </row>
    <row r="257" spans="1:12" s="275" customFormat="1" x14ac:dyDescent="0.15">
      <c r="A257" s="359">
        <v>81775</v>
      </c>
      <c r="B257" s="359" t="s">
        <v>1334</v>
      </c>
      <c r="C257" s="287" t="s">
        <v>1349</v>
      </c>
      <c r="D257" s="488">
        <v>100492.8</v>
      </c>
      <c r="E257" s="475"/>
      <c r="F257" s="362"/>
      <c r="G257" s="489">
        <v>67973.119999999995</v>
      </c>
      <c r="H257" s="358"/>
      <c r="I257" s="358">
        <v>67973.119999999981</v>
      </c>
      <c r="K257" s="298">
        <f>SUM(I257,'NG Main'!I257)</f>
        <v>110544.74999999997</v>
      </c>
      <c r="L257" s="278">
        <f>K257-SUM(I257,'NG Main'!I257)</f>
        <v>0</v>
      </c>
    </row>
    <row r="258" spans="1:12" s="275" customFormat="1" x14ac:dyDescent="0.15">
      <c r="A258" s="359">
        <v>81775</v>
      </c>
      <c r="B258" s="359">
        <v>77570</v>
      </c>
      <c r="C258" s="287" t="s">
        <v>1351</v>
      </c>
      <c r="D258" s="488">
        <v>100494</v>
      </c>
      <c r="E258" s="474"/>
      <c r="F258" s="393"/>
      <c r="G258" s="482">
        <f>K258*(D258/SUM(D258,'NG Main'!D258))</f>
        <v>49516.13628467176</v>
      </c>
      <c r="H258" s="358"/>
      <c r="I258" s="358">
        <v>49516.136284671753</v>
      </c>
      <c r="K258" s="490">
        <v>77646.429999999993</v>
      </c>
      <c r="L258" s="278">
        <f>K258-SUM(I258,'NG Main'!I258)</f>
        <v>0</v>
      </c>
    </row>
    <row r="259" spans="1:12" s="275" customFormat="1" ht="14" thickBot="1" x14ac:dyDescent="0.2">
      <c r="A259" s="359"/>
      <c r="B259" s="359"/>
      <c r="C259" s="291" t="s">
        <v>1356</v>
      </c>
      <c r="D259" s="476"/>
      <c r="E259" s="477"/>
      <c r="F259" s="327">
        <f>(H259*10)/D258</f>
        <v>11.69117124252908</v>
      </c>
      <c r="G259" s="327"/>
      <c r="H259" s="327">
        <v>117489.25628467173</v>
      </c>
    </row>
    <row r="260" spans="1:12" s="275" customFormat="1" ht="14" thickTop="1" x14ac:dyDescent="0.15">
      <c r="D260" s="478"/>
      <c r="E260" s="479"/>
    </row>
    <row r="261" spans="1:12" s="275" customFormat="1" x14ac:dyDescent="0.15">
      <c r="A261" s="359">
        <v>81775</v>
      </c>
      <c r="B261" s="359" t="s">
        <v>1334</v>
      </c>
      <c r="C261" s="287" t="s">
        <v>1349</v>
      </c>
      <c r="D261" s="488">
        <v>132344.29999999999</v>
      </c>
      <c r="E261" s="475"/>
      <c r="F261" s="362"/>
      <c r="G261" s="489">
        <v>88488.61</v>
      </c>
      <c r="H261" s="358"/>
      <c r="I261" s="358">
        <v>88488.61</v>
      </c>
      <c r="K261" s="298">
        <f>SUM(I261,'NG Main'!I261)</f>
        <v>137301.69999999998</v>
      </c>
      <c r="L261" s="278">
        <f>K261-SUM(I261,'NG Main'!I261)</f>
        <v>0</v>
      </c>
    </row>
    <row r="262" spans="1:12" s="275" customFormat="1" x14ac:dyDescent="0.15">
      <c r="A262" s="359">
        <v>81775</v>
      </c>
      <c r="B262" s="359">
        <v>77570</v>
      </c>
      <c r="C262" s="287" t="s">
        <v>1351</v>
      </c>
      <c r="D262" s="488">
        <v>132345</v>
      </c>
      <c r="E262" s="474"/>
      <c r="F262" s="393"/>
      <c r="G262" s="482">
        <f>K262*(D262/SUM(D262,'NG Main'!D262))</f>
        <v>50378.94375660635</v>
      </c>
      <c r="H262" s="358"/>
      <c r="I262" s="358">
        <v>50378.943756606357</v>
      </c>
      <c r="K262" s="490">
        <v>78868.58</v>
      </c>
      <c r="L262" s="278">
        <f>K262-SUM(I262,'NG Main'!I262)</f>
        <v>0</v>
      </c>
    </row>
    <row r="263" spans="1:12" s="275" customFormat="1" ht="14" thickBot="1" x14ac:dyDescent="0.2">
      <c r="A263" s="359"/>
      <c r="B263" s="359"/>
      <c r="C263" s="291" t="s">
        <v>1357</v>
      </c>
      <c r="D263" s="476"/>
      <c r="E263" s="477"/>
      <c r="F263" s="327">
        <f>(H263*10)/D262</f>
        <v>10.492844743405973</v>
      </c>
      <c r="G263" s="327"/>
      <c r="H263" s="327">
        <v>138867.55375660636</v>
      </c>
    </row>
    <row r="264" spans="1:12" s="275" customFormat="1" ht="14" thickTop="1" x14ac:dyDescent="0.15">
      <c r="D264" s="478"/>
      <c r="E264" s="479"/>
    </row>
    <row r="265" spans="1:12" s="275" customFormat="1" x14ac:dyDescent="0.15">
      <c r="A265" s="359">
        <v>81775</v>
      </c>
      <c r="B265" s="359" t="s">
        <v>1334</v>
      </c>
      <c r="C265" s="287" t="s">
        <v>1349</v>
      </c>
      <c r="D265" s="488">
        <v>130980.2</v>
      </c>
      <c r="E265" s="475"/>
      <c r="F265" s="362"/>
      <c r="G265" s="489">
        <v>87682.22</v>
      </c>
      <c r="H265" s="358"/>
      <c r="I265" s="358">
        <v>87682.22</v>
      </c>
      <c r="K265" s="298">
        <f>SUM(I265,'NG Main'!I265)</f>
        <v>192890.47999999998</v>
      </c>
      <c r="L265" s="278">
        <f>K265-SUM(I265,'NG Main'!I265)</f>
        <v>0</v>
      </c>
    </row>
    <row r="266" spans="1:12" s="275" customFormat="1" x14ac:dyDescent="0.15">
      <c r="A266" s="359">
        <v>81775</v>
      </c>
      <c r="B266" s="359">
        <v>77570</v>
      </c>
      <c r="C266" s="287" t="s">
        <v>1351</v>
      </c>
      <c r="D266" s="488">
        <v>130978</v>
      </c>
      <c r="E266" s="474"/>
      <c r="F266" s="393"/>
      <c r="G266" s="482">
        <f>K266*(D266/SUM(D266,'NG Main'!D266))</f>
        <v>36223.707728604371</v>
      </c>
      <c r="H266" s="358"/>
      <c r="I266" s="358">
        <v>36223.707728604379</v>
      </c>
      <c r="K266" s="490">
        <v>79864.289999999994</v>
      </c>
      <c r="L266" s="278">
        <f>K266-SUM(I266,'NG Main'!I266)</f>
        <v>0</v>
      </c>
    </row>
    <row r="267" spans="1:12" s="275" customFormat="1" ht="14" thickBot="1" x14ac:dyDescent="0.2">
      <c r="A267" s="359"/>
      <c r="B267" s="359"/>
      <c r="C267" s="291" t="s">
        <v>1358</v>
      </c>
      <c r="D267" s="476"/>
      <c r="E267" s="477"/>
      <c r="F267" s="327">
        <f>(H267*10)/D266</f>
        <v>9.4600564773171367</v>
      </c>
      <c r="G267" s="327"/>
      <c r="H267" s="327">
        <v>123905.92772860438</v>
      </c>
    </row>
    <row r="268" spans="1:12" s="275" customFormat="1" ht="14" thickTop="1" x14ac:dyDescent="0.15">
      <c r="D268" s="478"/>
      <c r="E268" s="479"/>
    </row>
    <row r="269" spans="1:12" s="275" customFormat="1" x14ac:dyDescent="0.15">
      <c r="A269" s="359">
        <v>81775</v>
      </c>
      <c r="B269" s="359" t="s">
        <v>1334</v>
      </c>
      <c r="C269" s="287" t="s">
        <v>1349</v>
      </c>
      <c r="D269" s="488">
        <v>139072.5</v>
      </c>
      <c r="E269" s="475"/>
      <c r="F269" s="362"/>
      <c r="G269" s="489">
        <v>94057.07</v>
      </c>
      <c r="H269" s="358"/>
      <c r="I269" s="358">
        <v>94057.070000000022</v>
      </c>
      <c r="K269" s="298">
        <f>SUM(I269,'NG Main'!I269)</f>
        <v>208362.29000000004</v>
      </c>
      <c r="L269" s="278">
        <f>K269-SUM(I269,'NG Main'!I269)</f>
        <v>0</v>
      </c>
    </row>
    <row r="270" spans="1:12" s="275" customFormat="1" x14ac:dyDescent="0.15">
      <c r="A270" s="359">
        <v>81775</v>
      </c>
      <c r="B270" s="359">
        <v>77570</v>
      </c>
      <c r="C270" s="287" t="s">
        <v>1351</v>
      </c>
      <c r="D270" s="488">
        <v>139073</v>
      </c>
      <c r="E270" s="474"/>
      <c r="F270" s="393"/>
      <c r="G270" s="482">
        <f>K270*(D270/SUM(D270,'NG Main'!D270))</f>
        <v>36102.301641653132</v>
      </c>
      <c r="H270" s="358"/>
      <c r="I270" s="358">
        <v>36102.301641653132</v>
      </c>
      <c r="K270" s="490">
        <v>80066.880000000005</v>
      </c>
      <c r="L270" s="278">
        <f>K270-SUM(I270,'NG Main'!I270)</f>
        <v>0</v>
      </c>
    </row>
    <row r="271" spans="1:12" s="275" customFormat="1" ht="14" thickBot="1" x14ac:dyDescent="0.2">
      <c r="A271" s="359"/>
      <c r="B271" s="359"/>
      <c r="C271" s="291" t="s">
        <v>1359</v>
      </c>
      <c r="D271" s="476"/>
      <c r="E271" s="477"/>
      <c r="F271" s="327">
        <f>(H271*10)/D270</f>
        <v>9.3590683771582661</v>
      </c>
      <c r="G271" s="327"/>
      <c r="H271" s="327">
        <v>130159.37164165315</v>
      </c>
    </row>
    <row r="272" spans="1:12" s="275" customFormat="1" ht="14" thickTop="1" x14ac:dyDescent="0.15">
      <c r="D272" s="478"/>
      <c r="E272" s="479"/>
    </row>
    <row r="273" spans="1:12" s="275" customFormat="1" x14ac:dyDescent="0.15">
      <c r="A273" s="359">
        <v>81775</v>
      </c>
      <c r="B273" s="359" t="s">
        <v>1334</v>
      </c>
      <c r="C273" s="287" t="s">
        <v>1349</v>
      </c>
      <c r="D273" s="488">
        <v>126119.5</v>
      </c>
      <c r="E273" s="475"/>
      <c r="F273" s="362"/>
      <c r="G273" s="489">
        <v>94350.84</v>
      </c>
      <c r="H273" s="358"/>
      <c r="I273" s="358">
        <v>94350.840000000011</v>
      </c>
      <c r="K273" s="298">
        <f>SUM(I273,'NG Main'!I273)</f>
        <v>201305.66000000003</v>
      </c>
      <c r="L273" s="278">
        <f>K273-SUM(I273,'NG Main'!I273)</f>
        <v>0</v>
      </c>
    </row>
    <row r="274" spans="1:12" s="275" customFormat="1" x14ac:dyDescent="0.15">
      <c r="A274" s="359">
        <v>81775</v>
      </c>
      <c r="B274" s="359">
        <v>77570</v>
      </c>
      <c r="C274" s="287" t="s">
        <v>1351</v>
      </c>
      <c r="D274" s="488">
        <v>126120</v>
      </c>
      <c r="E274" s="474"/>
      <c r="F274" s="393"/>
      <c r="G274" s="482">
        <f>K274*(D274/SUM(D274,'NG Main'!D274))</f>
        <v>36200.879051332173</v>
      </c>
      <c r="H274" s="358"/>
      <c r="I274" s="358">
        <v>36200.879051332166</v>
      </c>
      <c r="K274" s="490">
        <v>79732.350000000006</v>
      </c>
      <c r="L274" s="278">
        <f>K274-SUM(I274,'NG Main'!I274)</f>
        <v>0</v>
      </c>
    </row>
    <row r="275" spans="1:12" s="275" customFormat="1" ht="14" thickBot="1" x14ac:dyDescent="0.2">
      <c r="A275" s="359"/>
      <c r="B275" s="359"/>
      <c r="C275" s="291" t="s">
        <v>1360</v>
      </c>
      <c r="D275" s="476"/>
      <c r="E275" s="477"/>
      <c r="F275" s="327">
        <f>(H275*10)/D274</f>
        <v>10.35138907796798</v>
      </c>
      <c r="G275" s="327"/>
      <c r="H275" s="327">
        <v>130551.71905133217</v>
      </c>
    </row>
    <row r="276" spans="1:12" s="275" customFormat="1" ht="14" thickTop="1" x14ac:dyDescent="0.15">
      <c r="D276" s="478"/>
      <c r="E276" s="479"/>
    </row>
    <row r="277" spans="1:12" s="275" customFormat="1" x14ac:dyDescent="0.15">
      <c r="A277" s="359">
        <v>81775</v>
      </c>
      <c r="B277" s="359" t="s">
        <v>1334</v>
      </c>
      <c r="C277" s="287" t="s">
        <v>1349</v>
      </c>
      <c r="D277" s="488">
        <v>139838.6</v>
      </c>
      <c r="E277" s="475"/>
      <c r="F277" s="362"/>
      <c r="G277" s="489">
        <v>93921.95</v>
      </c>
      <c r="H277" s="358"/>
      <c r="I277" s="358">
        <v>93921.950000000012</v>
      </c>
      <c r="K277" s="298">
        <f>SUM(I277,'NG Main'!I277)</f>
        <v>204774.78000000003</v>
      </c>
      <c r="L277" s="278">
        <f>K277-SUM(I277,'NG Main'!I277)</f>
        <v>0</v>
      </c>
    </row>
    <row r="278" spans="1:12" s="275" customFormat="1" x14ac:dyDescent="0.15">
      <c r="A278" s="359">
        <v>81775</v>
      </c>
      <c r="B278" s="359">
        <v>77570</v>
      </c>
      <c r="C278" s="287" t="s">
        <v>1351</v>
      </c>
      <c r="D278" s="488">
        <v>139839</v>
      </c>
      <c r="E278" s="474"/>
      <c r="F278" s="393"/>
      <c r="G278" s="482">
        <f>K278*(D278/SUM(D278,'NG Main'!D278))</f>
        <v>36445.885312841776</v>
      </c>
      <c r="H278" s="358"/>
      <c r="I278" s="358">
        <v>36445.885312841769</v>
      </c>
      <c r="K278" s="490">
        <v>80068.929999999993</v>
      </c>
      <c r="L278" s="278">
        <f>K278-SUM(I278,'NG Main'!I278)</f>
        <v>0</v>
      </c>
    </row>
    <row r="279" spans="1:12" s="275" customFormat="1" ht="14" thickBot="1" x14ac:dyDescent="0.2">
      <c r="A279" s="359"/>
      <c r="B279" s="359"/>
      <c r="C279" s="291" t="s">
        <v>1361</v>
      </c>
      <c r="D279" s="476"/>
      <c r="E279" s="477"/>
      <c r="F279" s="327">
        <f>(H279*10)/D278</f>
        <v>9.3227093523867968</v>
      </c>
      <c r="G279" s="327"/>
      <c r="H279" s="327">
        <v>130367.83531284175</v>
      </c>
    </row>
    <row r="280" spans="1:12" s="275" customFormat="1" ht="14" thickTop="1" x14ac:dyDescent="0.15">
      <c r="D280" s="478"/>
      <c r="E280" s="479"/>
    </row>
    <row r="281" spans="1:12" s="275" customFormat="1" x14ac:dyDescent="0.15">
      <c r="A281" s="359">
        <v>81775</v>
      </c>
      <c r="B281" s="359" t="s">
        <v>1334</v>
      </c>
      <c r="C281" s="287" t="s">
        <v>1349</v>
      </c>
      <c r="D281" s="488">
        <v>127777.2</v>
      </c>
      <c r="E281" s="475"/>
      <c r="F281" s="362"/>
      <c r="G281" s="489">
        <v>86994.66</v>
      </c>
      <c r="H281" s="358"/>
      <c r="I281" s="358">
        <v>86994.66</v>
      </c>
      <c r="K281" s="298">
        <f>SUM(I281,'NG Main'!I281)</f>
        <v>116322.48</v>
      </c>
      <c r="L281" s="278">
        <f>K281-SUM(I281,'NG Main'!I281)</f>
        <v>0</v>
      </c>
    </row>
    <row r="282" spans="1:12" s="275" customFormat="1" x14ac:dyDescent="0.15">
      <c r="A282" s="359">
        <v>81775</v>
      </c>
      <c r="B282" s="359">
        <v>77570</v>
      </c>
      <c r="C282" s="287" t="s">
        <v>1351</v>
      </c>
      <c r="D282" s="488">
        <v>127778</v>
      </c>
      <c r="E282" s="474"/>
      <c r="F282" s="393"/>
      <c r="G282" s="482">
        <f>K282*(D282/SUM(D282,'NG Main'!D282))</f>
        <v>57622.938183751219</v>
      </c>
      <c r="H282" s="358"/>
      <c r="I282" s="358">
        <v>57622.938183751205</v>
      </c>
      <c r="K282" s="490">
        <v>78470.429999999993</v>
      </c>
      <c r="L282" s="278">
        <f>K282-SUM(I282,'NG Main'!I282)</f>
        <v>0</v>
      </c>
    </row>
    <row r="283" spans="1:12" s="275" customFormat="1" ht="14" thickBot="1" x14ac:dyDescent="0.2">
      <c r="A283" s="359"/>
      <c r="B283" s="359"/>
      <c r="C283" s="291" t="s">
        <v>1362</v>
      </c>
      <c r="D283" s="476"/>
      <c r="E283" s="477"/>
      <c r="F283" s="327">
        <f>(H283*10)/D282</f>
        <v>11.317879305025215</v>
      </c>
      <c r="G283" s="327"/>
      <c r="H283" s="327">
        <v>144617.59818375119</v>
      </c>
    </row>
    <row r="284" spans="1:12" s="275" customFormat="1" ht="14" thickTop="1" x14ac:dyDescent="0.15">
      <c r="D284" s="478"/>
      <c r="E284" s="479"/>
    </row>
    <row r="285" spans="1:12" s="275" customFormat="1" x14ac:dyDescent="0.15">
      <c r="A285" s="359">
        <v>81775</v>
      </c>
      <c r="B285" s="359" t="s">
        <v>1334</v>
      </c>
      <c r="C285" s="287" t="s">
        <v>1349</v>
      </c>
      <c r="D285" s="488">
        <v>106238.3</v>
      </c>
      <c r="E285" s="475"/>
      <c r="F285" s="362"/>
      <c r="G285" s="489">
        <v>65578.83</v>
      </c>
      <c r="H285" s="358"/>
      <c r="I285" s="358">
        <v>65578.83</v>
      </c>
      <c r="K285" s="298">
        <f>SUM(I285,'NG Main'!I285)</f>
        <v>93002.54</v>
      </c>
      <c r="L285" s="278">
        <f>K285-SUM(I285,'NG Main'!I285)</f>
        <v>0</v>
      </c>
    </row>
    <row r="286" spans="1:12" s="275" customFormat="1" x14ac:dyDescent="0.15">
      <c r="A286" s="359">
        <v>81775</v>
      </c>
      <c r="B286" s="359">
        <v>77570</v>
      </c>
      <c r="C286" s="287" t="s">
        <v>1351</v>
      </c>
      <c r="D286" s="488">
        <v>106231</v>
      </c>
      <c r="E286" s="474"/>
      <c r="F286" s="393"/>
      <c r="G286" s="482">
        <f>K286*(D286/SUM(D286,'NG Main'!D286))</f>
        <v>61475.940739641032</v>
      </c>
      <c r="H286" s="358"/>
      <c r="I286" s="358">
        <v>61475.940739641046</v>
      </c>
      <c r="K286" s="490">
        <v>78154.67</v>
      </c>
      <c r="L286" s="278">
        <f>K286-SUM(I286,'NG Main'!I286)</f>
        <v>0</v>
      </c>
    </row>
    <row r="287" spans="1:12" s="275" customFormat="1" ht="14" thickBot="1" x14ac:dyDescent="0.2">
      <c r="A287" s="359"/>
      <c r="B287" s="359"/>
      <c r="C287" s="291" t="s">
        <v>1363</v>
      </c>
      <c r="D287" s="476"/>
      <c r="E287" s="477"/>
      <c r="F287" s="327">
        <f>(H287*10)/D286</f>
        <v>11.960234841020137</v>
      </c>
      <c r="G287" s="327"/>
      <c r="H287" s="327">
        <v>127054.77073964101</v>
      </c>
    </row>
    <row r="288" spans="1:12" s="275" customFormat="1" ht="14" thickTop="1" x14ac:dyDescent="0.15">
      <c r="D288" s="478"/>
      <c r="E288" s="479"/>
    </row>
    <row r="289" spans="1:12" s="275" customFormat="1" x14ac:dyDescent="0.15">
      <c r="A289" s="359">
        <v>81775</v>
      </c>
      <c r="B289" s="359" t="s">
        <v>1334</v>
      </c>
      <c r="C289" s="287" t="s">
        <v>1349</v>
      </c>
      <c r="D289" s="488">
        <v>72657.399999999994</v>
      </c>
      <c r="E289" s="475"/>
      <c r="F289" s="362"/>
      <c r="G289" s="489">
        <v>50011.24</v>
      </c>
      <c r="H289" s="358"/>
      <c r="I289" s="358">
        <v>50011.240000000005</v>
      </c>
      <c r="K289" s="298">
        <f>SUM(I289,'NG Main'!I289)</f>
        <v>72943.100000000006</v>
      </c>
      <c r="L289" s="278">
        <f>K289-SUM(I289,'NG Main'!I289)</f>
        <v>0</v>
      </c>
    </row>
    <row r="290" spans="1:12" s="275" customFormat="1" x14ac:dyDescent="0.15">
      <c r="A290" s="359">
        <v>81775</v>
      </c>
      <c r="B290" s="359">
        <v>77570</v>
      </c>
      <c r="C290" s="287" t="s">
        <v>1351</v>
      </c>
      <c r="D290" s="488">
        <v>72668</v>
      </c>
      <c r="E290" s="474"/>
      <c r="F290" s="393"/>
      <c r="G290" s="482">
        <f>K290*(D290/SUM(D290,'NG Main'!D290))</f>
        <v>45354.517423927296</v>
      </c>
      <c r="H290" s="358"/>
      <c r="I290" s="358">
        <v>45354.517423927311</v>
      </c>
      <c r="K290" s="490">
        <v>78024.149999999994</v>
      </c>
      <c r="L290" s="278">
        <f>K290-SUM(I290,'NG Main'!I290)</f>
        <v>0</v>
      </c>
    </row>
    <row r="291" spans="1:12" s="275" customFormat="1" ht="14" thickBot="1" x14ac:dyDescent="0.2">
      <c r="A291" s="359"/>
      <c r="B291" s="359"/>
      <c r="C291" s="291" t="s">
        <v>1364</v>
      </c>
      <c r="D291" s="476"/>
      <c r="E291" s="477"/>
      <c r="F291" s="327">
        <f>(H291*10)/D290</f>
        <v>13.123487287929668</v>
      </c>
      <c r="G291" s="327"/>
      <c r="H291" s="327">
        <v>95365.757423927309</v>
      </c>
    </row>
    <row r="292" spans="1:12" s="275" customFormat="1" ht="14" thickTop="1" x14ac:dyDescent="0.15">
      <c r="D292" s="478"/>
      <c r="E292" s="479"/>
    </row>
    <row r="293" spans="1:12" s="275" customFormat="1" x14ac:dyDescent="0.15">
      <c r="D293" s="478"/>
      <c r="E293" s="479"/>
    </row>
    <row r="294" spans="1:12" s="290" customFormat="1" ht="14" thickBot="1" x14ac:dyDescent="0.2">
      <c r="C294" s="290" t="s">
        <v>146</v>
      </c>
      <c r="D294" s="491">
        <f>SUM(D246,D250,D254,D258)</f>
        <v>456919</v>
      </c>
      <c r="E294" s="478"/>
      <c r="H294" s="327">
        <v>521885.62149315083</v>
      </c>
    </row>
    <row r="295" spans="1:12" s="290" customFormat="1" ht="14" thickTop="1" x14ac:dyDescent="0.15">
      <c r="C295" s="290" t="s">
        <v>1365</v>
      </c>
      <c r="D295" s="478"/>
      <c r="E295" s="478"/>
      <c r="F295" s="492">
        <f>(H294*10)/D294</f>
        <v>11.421841102977789</v>
      </c>
    </row>
    <row r="296" spans="1:12" s="275" customFormat="1" x14ac:dyDescent="0.15">
      <c r="D296" s="478"/>
      <c r="E296" s="479"/>
    </row>
    <row r="297" spans="1:12" s="275" customFormat="1" x14ac:dyDescent="0.15">
      <c r="C297" s="290" t="s">
        <v>1366</v>
      </c>
      <c r="D297" s="493">
        <f>SUM(D262,D266,D270,D274,D278)</f>
        <v>668355</v>
      </c>
      <c r="E297" s="479"/>
      <c r="F297" s="494">
        <f>D297/SUM('NG Cogen'!D297,'NG Main'!D295)</f>
        <v>1</v>
      </c>
      <c r="G297" s="333">
        <v>-112853.85</v>
      </c>
    </row>
    <row r="299" spans="1:12" ht="14" thickBot="1" x14ac:dyDescent="0.2"/>
    <row r="300" spans="1:12" ht="31" thickBot="1" x14ac:dyDescent="0.35">
      <c r="A300" s="770" t="s">
        <v>1112</v>
      </c>
      <c r="B300" s="771"/>
      <c r="C300" s="771"/>
      <c r="D300" s="771"/>
      <c r="E300" s="771"/>
      <c r="F300" s="771"/>
      <c r="G300" s="771"/>
      <c r="H300" s="771"/>
      <c r="I300" s="771"/>
      <c r="J300" s="771"/>
      <c r="K300" s="771"/>
      <c r="L300" s="772"/>
    </row>
    <row r="302" spans="1:12" x14ac:dyDescent="0.15">
      <c r="A302" s="351">
        <v>81775</v>
      </c>
      <c r="B302" s="351" t="s">
        <v>1334</v>
      </c>
      <c r="C302" s="337" t="s">
        <v>1349</v>
      </c>
      <c r="D302" s="348">
        <v>120575.6</v>
      </c>
      <c r="E302" s="497"/>
      <c r="F302" s="498"/>
      <c r="G302" s="499">
        <v>75607.31</v>
      </c>
      <c r="H302" s="500"/>
      <c r="I302" s="500">
        <v>75607.309999999983</v>
      </c>
      <c r="J302" s="319"/>
      <c r="K302" s="336">
        <f>SUM(I302,'NG Main'!I301)</f>
        <v>75607.309999999983</v>
      </c>
      <c r="L302" s="349">
        <f>K302-SUM(I302,'NG Main'!I301)</f>
        <v>0</v>
      </c>
    </row>
    <row r="303" spans="1:12" x14ac:dyDescent="0.15">
      <c r="A303" s="351">
        <v>81775</v>
      </c>
      <c r="B303" s="351">
        <v>77570</v>
      </c>
      <c r="C303" s="337" t="s">
        <v>1351</v>
      </c>
      <c r="D303" s="348">
        <v>120575</v>
      </c>
      <c r="E303" s="501"/>
      <c r="F303" s="498"/>
      <c r="G303" s="350">
        <f>K303*(D303/SUM(D303,'NG Main'!D302))</f>
        <v>59164.556484328503</v>
      </c>
      <c r="H303" s="500"/>
      <c r="I303" s="500">
        <v>59163.958322538652</v>
      </c>
      <c r="J303" s="319"/>
      <c r="K303" s="502">
        <v>77653.83</v>
      </c>
      <c r="L303" s="349">
        <f>K303-SUM(I303,'NG Main'!I302)</f>
        <v>-5074.4683225386543</v>
      </c>
    </row>
    <row r="304" spans="1:12" ht="14" thickBot="1" x14ac:dyDescent="0.2">
      <c r="A304" s="351"/>
      <c r="B304" s="351"/>
      <c r="C304" s="340" t="s">
        <v>1353</v>
      </c>
      <c r="D304" s="503"/>
      <c r="E304" s="504"/>
      <c r="F304" s="481">
        <f>(H304*10)/D303</f>
        <v>11.177380744145854</v>
      </c>
      <c r="G304" s="481"/>
      <c r="H304" s="481">
        <v>134771.26832253864</v>
      </c>
      <c r="I304" s="319"/>
      <c r="J304" s="319"/>
      <c r="K304" s="319"/>
      <c r="L304" s="319"/>
    </row>
    <row r="305" spans="1:12" ht="14" thickTop="1" x14ac:dyDescent="0.15">
      <c r="I305" s="319"/>
      <c r="J305" s="319"/>
      <c r="K305" s="319"/>
      <c r="L305" s="319"/>
    </row>
    <row r="306" spans="1:12" x14ac:dyDescent="0.15">
      <c r="A306" s="351">
        <v>81775</v>
      </c>
      <c r="B306" s="351" t="s">
        <v>1334</v>
      </c>
      <c r="C306" s="337" t="s">
        <v>1349</v>
      </c>
      <c r="D306" s="348">
        <v>118174.7</v>
      </c>
      <c r="E306" s="497"/>
      <c r="F306" s="498"/>
      <c r="G306" s="499">
        <v>74982.81</v>
      </c>
      <c r="H306" s="500"/>
      <c r="I306" s="500">
        <v>74982.81</v>
      </c>
      <c r="J306" s="319"/>
      <c r="K306" s="336">
        <f>SUM(I306,'NG Main'!I305)</f>
        <v>74982.81</v>
      </c>
      <c r="L306" s="349">
        <f>K306-SUM(I306,'NG Main'!I305)</f>
        <v>0</v>
      </c>
    </row>
    <row r="307" spans="1:12" x14ac:dyDescent="0.15">
      <c r="A307" s="351">
        <v>81775</v>
      </c>
      <c r="B307" s="351">
        <v>77570</v>
      </c>
      <c r="C307" s="337" t="s">
        <v>1351</v>
      </c>
      <c r="D307" s="348">
        <v>118175</v>
      </c>
      <c r="E307" s="480"/>
      <c r="F307" s="505"/>
      <c r="G307" s="350">
        <f>K307*(D307/SUM(D307,'NG Main'!D306))</f>
        <v>58936.251537114324</v>
      </c>
      <c r="H307" s="500"/>
      <c r="I307" s="500">
        <v>58934.661254521277</v>
      </c>
      <c r="J307" s="319"/>
      <c r="K307" s="502">
        <v>77625.19</v>
      </c>
      <c r="L307" s="349">
        <f>K307-SUM(I307,'NG Main'!I306)</f>
        <v>-5028.2212545212824</v>
      </c>
    </row>
    <row r="308" spans="1:12" ht="14" thickBot="1" x14ac:dyDescent="0.2">
      <c r="A308" s="351"/>
      <c r="B308" s="351"/>
      <c r="C308" s="340" t="s">
        <v>1354</v>
      </c>
      <c r="D308" s="503"/>
      <c r="E308" s="504"/>
      <c r="F308" s="481">
        <f>(H308*10)/D307</f>
        <v>11.332132113773749</v>
      </c>
      <c r="G308" s="481"/>
      <c r="H308" s="481">
        <v>133917.47125452128</v>
      </c>
      <c r="I308" s="319"/>
      <c r="J308" s="319"/>
      <c r="K308" s="319"/>
      <c r="L308" s="319"/>
    </row>
    <row r="309" spans="1:12" ht="14" thickTop="1" x14ac:dyDescent="0.15">
      <c r="I309" s="319"/>
      <c r="J309" s="319"/>
      <c r="K309" s="319"/>
      <c r="L309" s="319"/>
    </row>
    <row r="310" spans="1:12" x14ac:dyDescent="0.15">
      <c r="A310" s="351">
        <v>81775</v>
      </c>
      <c r="B310" s="351" t="s">
        <v>1334</v>
      </c>
      <c r="C310" s="337" t="s">
        <v>1349</v>
      </c>
      <c r="D310" s="348">
        <v>117676.8</v>
      </c>
      <c r="E310" s="497"/>
      <c r="F310" s="498"/>
      <c r="G310" s="499">
        <v>76709.8</v>
      </c>
      <c r="H310" s="500"/>
      <c r="I310" s="500">
        <v>76709.799999999988</v>
      </c>
      <c r="J310" s="319"/>
      <c r="K310" s="336">
        <f>SUM(I310,'NG Main'!I309)</f>
        <v>76709.799999999988</v>
      </c>
      <c r="L310" s="349">
        <f>K310-SUM(I310,'NG Main'!I309)</f>
        <v>0</v>
      </c>
    </row>
    <row r="311" spans="1:12" x14ac:dyDescent="0.15">
      <c r="A311" s="351">
        <v>81775</v>
      </c>
      <c r="B311" s="351">
        <v>77570</v>
      </c>
      <c r="C311" s="337" t="s">
        <v>1351</v>
      </c>
      <c r="D311" s="348">
        <v>117675</v>
      </c>
      <c r="E311" s="480"/>
      <c r="F311" s="505"/>
      <c r="G311" s="350">
        <f>K311*(D311/SUM(D311,'NG Main'!D310))</f>
        <v>58998.625948675741</v>
      </c>
      <c r="H311" s="500"/>
      <c r="I311" s="500">
        <v>58997.82563141916</v>
      </c>
      <c r="J311" s="319"/>
      <c r="K311" s="502">
        <v>77615.92</v>
      </c>
      <c r="L311" s="349">
        <f>K311-SUM(I311,'NG Main'!I310)</f>
        <v>-5498.5556314191635</v>
      </c>
    </row>
    <row r="312" spans="1:12" ht="14" thickBot="1" x14ac:dyDescent="0.2">
      <c r="A312" s="351"/>
      <c r="B312" s="351"/>
      <c r="C312" s="340" t="s">
        <v>1355</v>
      </c>
      <c r="D312" s="503"/>
      <c r="E312" s="504"/>
      <c r="F312" s="481">
        <f>(H312*10)/D311</f>
        <v>11.532409231478152</v>
      </c>
      <c r="G312" s="481"/>
      <c r="H312" s="481">
        <v>135707.62563141916</v>
      </c>
      <c r="I312" s="319"/>
      <c r="J312" s="319"/>
      <c r="K312" s="319"/>
      <c r="L312" s="319"/>
    </row>
    <row r="313" spans="1:12" ht="14" thickTop="1" x14ac:dyDescent="0.15">
      <c r="I313" s="319"/>
      <c r="J313" s="319"/>
      <c r="K313" s="319"/>
      <c r="L313" s="319"/>
    </row>
    <row r="314" spans="1:12" x14ac:dyDescent="0.15">
      <c r="A314" s="351">
        <v>81775</v>
      </c>
      <c r="B314" s="351" t="s">
        <v>1334</v>
      </c>
      <c r="C314" s="337" t="s">
        <v>1349</v>
      </c>
      <c r="D314" s="348">
        <v>100492.8</v>
      </c>
      <c r="E314" s="497"/>
      <c r="F314" s="498"/>
      <c r="G314" s="499">
        <v>67973.119999999995</v>
      </c>
      <c r="H314" s="500"/>
      <c r="I314" s="500">
        <v>67973.119999999981</v>
      </c>
      <c r="J314" s="319"/>
      <c r="K314" s="336">
        <f>SUM(I314,'NG Main'!I313)</f>
        <v>67973.119999999981</v>
      </c>
      <c r="L314" s="349">
        <f>K314-SUM(I314,'NG Main'!I313)</f>
        <v>0</v>
      </c>
    </row>
    <row r="315" spans="1:12" x14ac:dyDescent="0.15">
      <c r="A315" s="351">
        <v>81775</v>
      </c>
      <c r="B315" s="351">
        <v>77570</v>
      </c>
      <c r="C315" s="337" t="s">
        <v>1351</v>
      </c>
      <c r="D315" s="348">
        <v>100494</v>
      </c>
      <c r="E315" s="480"/>
      <c r="F315" s="505"/>
      <c r="G315" s="350">
        <f>K315*(D315/SUM(D315,'NG Main'!D314))</f>
        <v>49516.356238660832</v>
      </c>
      <c r="H315" s="500"/>
      <c r="I315" s="500">
        <v>49516.136284671753</v>
      </c>
      <c r="J315" s="319"/>
      <c r="K315" s="502">
        <v>77646.429999999993</v>
      </c>
      <c r="L315" s="349">
        <f>K315-SUM(I315,'NG Main'!I314)</f>
        <v>-14441.336284671765</v>
      </c>
    </row>
    <row r="316" spans="1:12" ht="14" thickBot="1" x14ac:dyDescent="0.2">
      <c r="A316" s="351"/>
      <c r="B316" s="351"/>
      <c r="C316" s="340" t="s">
        <v>1356</v>
      </c>
      <c r="D316" s="503"/>
      <c r="E316" s="504"/>
      <c r="F316" s="481">
        <f>(H316*10)/D315</f>
        <v>11.69117124252908</v>
      </c>
      <c r="G316" s="481"/>
      <c r="H316" s="481">
        <v>117489.25628467173</v>
      </c>
      <c r="I316" s="319"/>
      <c r="J316" s="319"/>
      <c r="K316" s="319"/>
      <c r="L316" s="319"/>
    </row>
    <row r="317" spans="1:12" ht="14" thickTop="1" x14ac:dyDescent="0.15">
      <c r="I317" s="319"/>
      <c r="J317" s="319"/>
      <c r="K317" s="319"/>
      <c r="L317" s="319"/>
    </row>
    <row r="318" spans="1:12" x14ac:dyDescent="0.15">
      <c r="A318" s="351">
        <v>81775</v>
      </c>
      <c r="B318" s="351" t="s">
        <v>1334</v>
      </c>
      <c r="C318" s="337" t="s">
        <v>1349</v>
      </c>
      <c r="D318" s="348">
        <v>132344.29999999999</v>
      </c>
      <c r="E318" s="497"/>
      <c r="F318" s="498"/>
      <c r="G318" s="499">
        <v>88488.61</v>
      </c>
      <c r="H318" s="500"/>
      <c r="I318" s="500">
        <v>88488.61</v>
      </c>
      <c r="J318" s="319"/>
      <c r="K318" s="336">
        <f>SUM(I318,'NG Main'!I317)</f>
        <v>88488.61</v>
      </c>
      <c r="L318" s="349">
        <f>K318-SUM(I318,'NG Main'!I317)</f>
        <v>0</v>
      </c>
    </row>
    <row r="319" spans="1:12" x14ac:dyDescent="0.15">
      <c r="A319" s="351">
        <v>81775</v>
      </c>
      <c r="B319" s="351">
        <v>77570</v>
      </c>
      <c r="C319" s="337" t="s">
        <v>1351</v>
      </c>
      <c r="D319" s="348">
        <v>132345</v>
      </c>
      <c r="E319" s="480"/>
      <c r="F319" s="505"/>
      <c r="G319" s="350">
        <f>K319*(D319/SUM(D319,'NG Main'!D318))</f>
        <v>50379.600288728441</v>
      </c>
      <c r="H319" s="500"/>
      <c r="I319" s="500">
        <v>50378.943756606357</v>
      </c>
      <c r="J319" s="319"/>
      <c r="K319" s="502">
        <v>78868.58</v>
      </c>
      <c r="L319" s="349">
        <f>K319-SUM(I319,'NG Main'!I318)</f>
        <v>-20323.453756606337</v>
      </c>
    </row>
    <row r="320" spans="1:12" ht="14" thickBot="1" x14ac:dyDescent="0.2">
      <c r="A320" s="351"/>
      <c r="B320" s="351"/>
      <c r="C320" s="340" t="s">
        <v>1357</v>
      </c>
      <c r="D320" s="503"/>
      <c r="E320" s="504"/>
      <c r="F320" s="481">
        <f>(H320*10)/D319</f>
        <v>10.492844743405973</v>
      </c>
      <c r="G320" s="481"/>
      <c r="H320" s="481">
        <v>138867.55375660636</v>
      </c>
      <c r="I320" s="319"/>
      <c r="J320" s="319"/>
      <c r="K320" s="319"/>
      <c r="L320" s="319"/>
    </row>
    <row r="321" spans="1:12" ht="14" thickTop="1" x14ac:dyDescent="0.15">
      <c r="I321" s="319"/>
      <c r="J321" s="319"/>
      <c r="K321" s="319"/>
      <c r="L321" s="319"/>
    </row>
    <row r="322" spans="1:12" x14ac:dyDescent="0.15">
      <c r="A322" s="351">
        <v>81775</v>
      </c>
      <c r="B322" s="351" t="s">
        <v>1334</v>
      </c>
      <c r="C322" s="337" t="s">
        <v>1349</v>
      </c>
      <c r="D322" s="348">
        <v>130980.2</v>
      </c>
      <c r="E322" s="497"/>
      <c r="F322" s="498"/>
      <c r="G322" s="499">
        <v>87682.22</v>
      </c>
      <c r="H322" s="500"/>
      <c r="I322" s="500">
        <v>87682.22</v>
      </c>
      <c r="J322" s="319"/>
      <c r="K322" s="336">
        <f>SUM(I322,'NG Main'!I321)</f>
        <v>87682.22</v>
      </c>
      <c r="L322" s="349">
        <f>K322-SUM(I322,'NG Main'!I321)</f>
        <v>0</v>
      </c>
    </row>
    <row r="323" spans="1:12" x14ac:dyDescent="0.15">
      <c r="A323" s="351">
        <v>81775</v>
      </c>
      <c r="B323" s="351">
        <v>77570</v>
      </c>
      <c r="C323" s="337" t="s">
        <v>1351</v>
      </c>
      <c r="D323" s="348">
        <v>130978</v>
      </c>
      <c r="E323" s="480"/>
      <c r="F323" s="505"/>
      <c r="G323" s="350">
        <f>K323*(D323/SUM(D323,'NG Main'!D322))</f>
        <v>36225.187976888934</v>
      </c>
      <c r="H323" s="500"/>
      <c r="I323" s="500">
        <v>36223.707728604379</v>
      </c>
      <c r="J323" s="319"/>
      <c r="K323" s="502">
        <v>79864.289999999994</v>
      </c>
      <c r="L323" s="349">
        <f>K323-SUM(I323,'NG Main'!I322)</f>
        <v>-61567.677728604365</v>
      </c>
    </row>
    <row r="324" spans="1:12" ht="14" thickBot="1" x14ac:dyDescent="0.2">
      <c r="A324" s="351"/>
      <c r="B324" s="351"/>
      <c r="C324" s="340" t="s">
        <v>1358</v>
      </c>
      <c r="D324" s="503"/>
      <c r="E324" s="504"/>
      <c r="F324" s="481">
        <f>(H324*10)/D323</f>
        <v>9.4600564773171367</v>
      </c>
      <c r="G324" s="481"/>
      <c r="H324" s="481">
        <v>123905.92772860438</v>
      </c>
      <c r="I324" s="319"/>
      <c r="J324" s="319"/>
      <c r="K324" s="319"/>
      <c r="L324" s="319"/>
    </row>
    <row r="325" spans="1:12" ht="14" thickTop="1" x14ac:dyDescent="0.15">
      <c r="I325" s="319"/>
      <c r="J325" s="319"/>
      <c r="K325" s="319"/>
      <c r="L325" s="319"/>
    </row>
    <row r="326" spans="1:12" x14ac:dyDescent="0.15">
      <c r="A326" s="351">
        <v>81775</v>
      </c>
      <c r="B326" s="351" t="s">
        <v>1334</v>
      </c>
      <c r="C326" s="337" t="s">
        <v>1349</v>
      </c>
      <c r="D326" s="348">
        <v>139072.5</v>
      </c>
      <c r="E326" s="497"/>
      <c r="F326" s="498"/>
      <c r="G326" s="499">
        <v>94057.07</v>
      </c>
      <c r="H326" s="500"/>
      <c r="I326" s="500">
        <v>94057.070000000022</v>
      </c>
      <c r="J326" s="319"/>
      <c r="K326" s="336">
        <f>SUM(I326,'NG Main'!I325)</f>
        <v>94057.070000000022</v>
      </c>
      <c r="L326" s="349">
        <f>K326-SUM(I326,'NG Main'!I325)</f>
        <v>0</v>
      </c>
    </row>
    <row r="327" spans="1:12" x14ac:dyDescent="0.15">
      <c r="A327" s="351">
        <v>81775</v>
      </c>
      <c r="B327" s="351">
        <v>77570</v>
      </c>
      <c r="C327" s="337" t="s">
        <v>1351</v>
      </c>
      <c r="D327" s="348">
        <v>139073</v>
      </c>
      <c r="E327" s="480"/>
      <c r="F327" s="505"/>
      <c r="G327" s="350">
        <f>K327*(D327/SUM(D327,'NG Main'!D326))</f>
        <v>36101.681283550068</v>
      </c>
      <c r="H327" s="500"/>
      <c r="I327" s="500">
        <v>36102.301641653132</v>
      </c>
      <c r="J327" s="319"/>
      <c r="K327" s="502">
        <v>80066.880000000005</v>
      </c>
      <c r="L327" s="349">
        <f>K327-SUM(I327,'NG Main'!I326)</f>
        <v>-70340.641641653143</v>
      </c>
    </row>
    <row r="328" spans="1:12" ht="14" thickBot="1" x14ac:dyDescent="0.2">
      <c r="A328" s="351"/>
      <c r="B328" s="351"/>
      <c r="C328" s="340" t="s">
        <v>1359</v>
      </c>
      <c r="D328" s="503"/>
      <c r="E328" s="504"/>
      <c r="F328" s="481">
        <f>(H328*10)/D327</f>
        <v>9.3590683771582661</v>
      </c>
      <c r="G328" s="481"/>
      <c r="H328" s="481">
        <v>130159.37164165315</v>
      </c>
      <c r="I328" s="319"/>
      <c r="J328" s="319"/>
      <c r="K328" s="319"/>
      <c r="L328" s="319"/>
    </row>
    <row r="329" spans="1:12" ht="14" thickTop="1" x14ac:dyDescent="0.15">
      <c r="I329" s="319"/>
      <c r="J329" s="319"/>
      <c r="K329" s="319"/>
      <c r="L329" s="319"/>
    </row>
    <row r="330" spans="1:12" x14ac:dyDescent="0.15">
      <c r="A330" s="351">
        <v>81775</v>
      </c>
      <c r="B330" s="351" t="s">
        <v>1334</v>
      </c>
      <c r="C330" s="337" t="s">
        <v>1349</v>
      </c>
      <c r="D330" s="348">
        <v>126119.5</v>
      </c>
      <c r="E330" s="497"/>
      <c r="F330" s="498"/>
      <c r="G330" s="499">
        <v>94350.84</v>
      </c>
      <c r="H330" s="500"/>
      <c r="I330" s="500">
        <v>94350.840000000011</v>
      </c>
      <c r="J330" s="319"/>
      <c r="K330" s="336">
        <f>SUM(I330,'NG Main'!I329)</f>
        <v>94350.840000000011</v>
      </c>
      <c r="L330" s="349">
        <f>K330-SUM(I330,'NG Main'!I329)</f>
        <v>0</v>
      </c>
    </row>
    <row r="331" spans="1:12" x14ac:dyDescent="0.15">
      <c r="A331" s="351">
        <v>81775</v>
      </c>
      <c r="B331" s="351">
        <v>77570</v>
      </c>
      <c r="C331" s="337" t="s">
        <v>1351</v>
      </c>
      <c r="D331" s="348">
        <v>126120</v>
      </c>
      <c r="E331" s="480"/>
      <c r="F331" s="505"/>
      <c r="G331" s="350">
        <f>K331*(D331/SUM(D331,'NG Main'!D330))</f>
        <v>36199.823469124378</v>
      </c>
      <c r="H331" s="500"/>
      <c r="I331" s="500">
        <v>36200.879051332166</v>
      </c>
      <c r="J331" s="319"/>
      <c r="K331" s="502">
        <v>79732.350000000006</v>
      </c>
      <c r="L331" s="349">
        <f>K331-SUM(I331,'NG Main'!I330)</f>
        <v>-63423.349051332189</v>
      </c>
    </row>
    <row r="332" spans="1:12" ht="14" thickBot="1" x14ac:dyDescent="0.2">
      <c r="A332" s="351"/>
      <c r="B332" s="351"/>
      <c r="C332" s="340" t="s">
        <v>1360</v>
      </c>
      <c r="D332" s="503"/>
      <c r="E332" s="504"/>
      <c r="F332" s="481">
        <f>(H332*10)/D331</f>
        <v>10.35138907796798</v>
      </c>
      <c r="G332" s="481"/>
      <c r="H332" s="481">
        <v>130551.71905133217</v>
      </c>
      <c r="I332" s="319"/>
      <c r="J332" s="319"/>
      <c r="K332" s="319"/>
      <c r="L332" s="319"/>
    </row>
    <row r="333" spans="1:12" ht="14" thickTop="1" x14ac:dyDescent="0.15">
      <c r="I333" s="319"/>
      <c r="J333" s="319"/>
      <c r="K333" s="319"/>
      <c r="L333" s="319"/>
    </row>
    <row r="334" spans="1:12" x14ac:dyDescent="0.15">
      <c r="A334" s="351">
        <v>81775</v>
      </c>
      <c r="B334" s="351" t="s">
        <v>1334</v>
      </c>
      <c r="C334" s="337" t="s">
        <v>1349</v>
      </c>
      <c r="D334" s="348">
        <v>139838.6</v>
      </c>
      <c r="E334" s="497"/>
      <c r="F334" s="498"/>
      <c r="G334" s="499">
        <v>93921.95</v>
      </c>
      <c r="H334" s="500"/>
      <c r="I334" s="500">
        <v>93921.950000000012</v>
      </c>
      <c r="J334" s="319"/>
      <c r="K334" s="336">
        <f>SUM(I334,'NG Main'!I333)</f>
        <v>93921.950000000012</v>
      </c>
      <c r="L334" s="349">
        <f>K334-SUM(I334,'NG Main'!I333)</f>
        <v>0</v>
      </c>
    </row>
    <row r="335" spans="1:12" x14ac:dyDescent="0.15">
      <c r="A335" s="351">
        <v>81775</v>
      </c>
      <c r="B335" s="351">
        <v>77570</v>
      </c>
      <c r="C335" s="337" t="s">
        <v>1351</v>
      </c>
      <c r="D335" s="348">
        <v>139839</v>
      </c>
      <c r="E335" s="480"/>
      <c r="F335" s="505"/>
      <c r="G335" s="350">
        <f>K335*(D335/SUM(D335,'NG Main'!D334))</f>
        <v>36447.047951083012</v>
      </c>
      <c r="H335" s="500"/>
      <c r="I335" s="500">
        <v>36445.885312841769</v>
      </c>
      <c r="J335" s="319"/>
      <c r="K335" s="502">
        <v>80068.929999999993</v>
      </c>
      <c r="L335" s="349">
        <f>K335-SUM(I335,'NG Main'!I334)</f>
        <v>-67229.785312841792</v>
      </c>
    </row>
    <row r="336" spans="1:12" ht="14" thickBot="1" x14ac:dyDescent="0.2">
      <c r="A336" s="351"/>
      <c r="B336" s="351"/>
      <c r="C336" s="340" t="s">
        <v>1361</v>
      </c>
      <c r="D336" s="503"/>
      <c r="E336" s="504"/>
      <c r="F336" s="481">
        <f>(H336*10)/D335</f>
        <v>9.3227093523867968</v>
      </c>
      <c r="G336" s="481"/>
      <c r="H336" s="481">
        <v>130367.83531284175</v>
      </c>
      <c r="I336" s="319"/>
      <c r="J336" s="319"/>
      <c r="K336" s="319"/>
      <c r="L336" s="319"/>
    </row>
    <row r="337" spans="1:12" ht="14" thickTop="1" x14ac:dyDescent="0.15">
      <c r="I337" s="319"/>
      <c r="J337" s="319"/>
      <c r="K337" s="319"/>
      <c r="L337" s="319"/>
    </row>
    <row r="338" spans="1:12" x14ac:dyDescent="0.15">
      <c r="A338" s="351">
        <v>81775</v>
      </c>
      <c r="B338" s="351" t="s">
        <v>1334</v>
      </c>
      <c r="C338" s="337" t="s">
        <v>1349</v>
      </c>
      <c r="D338" s="348">
        <v>127777.2</v>
      </c>
      <c r="E338" s="497"/>
      <c r="F338" s="498"/>
      <c r="G338" s="499">
        <v>86994.66</v>
      </c>
      <c r="H338" s="500"/>
      <c r="I338" s="500">
        <v>86994.66</v>
      </c>
      <c r="J338" s="319"/>
      <c r="K338" s="336">
        <f>SUM(I338,'NG Main'!I337)</f>
        <v>86994.66</v>
      </c>
      <c r="L338" s="349">
        <f>K338-SUM(I338,'NG Main'!I337)</f>
        <v>0</v>
      </c>
    </row>
    <row r="339" spans="1:12" x14ac:dyDescent="0.15">
      <c r="A339" s="351">
        <v>81775</v>
      </c>
      <c r="B339" s="351">
        <v>77570</v>
      </c>
      <c r="C339" s="337" t="s">
        <v>1351</v>
      </c>
      <c r="D339" s="348">
        <v>127778</v>
      </c>
      <c r="E339" s="480"/>
      <c r="F339" s="505"/>
      <c r="G339" s="350">
        <f>K339*(D339/SUM(D339,'NG Main'!D338))</f>
        <v>57620.918221329302</v>
      </c>
      <c r="H339" s="500"/>
      <c r="I339" s="500">
        <v>57622.938183751205</v>
      </c>
      <c r="J339" s="319"/>
      <c r="K339" s="502">
        <v>78470.429999999993</v>
      </c>
      <c r="L339" s="349">
        <f>K339-SUM(I339,'NG Main'!I338)</f>
        <v>-8480.3281837512041</v>
      </c>
    </row>
    <row r="340" spans="1:12" ht="14" thickBot="1" x14ac:dyDescent="0.2">
      <c r="A340" s="351"/>
      <c r="B340" s="351"/>
      <c r="C340" s="340" t="s">
        <v>1362</v>
      </c>
      <c r="D340" s="503"/>
      <c r="E340" s="504"/>
      <c r="F340" s="481">
        <f>(H340*10)/D339</f>
        <v>11.317879305025215</v>
      </c>
      <c r="G340" s="481"/>
      <c r="H340" s="481">
        <v>144617.59818375119</v>
      </c>
      <c r="I340" s="319"/>
      <c r="J340" s="319"/>
      <c r="K340" s="319"/>
      <c r="L340" s="319"/>
    </row>
    <row r="341" spans="1:12" ht="14" thickTop="1" x14ac:dyDescent="0.15">
      <c r="I341" s="319"/>
      <c r="J341" s="319"/>
      <c r="K341" s="319"/>
      <c r="L341" s="319"/>
    </row>
    <row r="342" spans="1:12" x14ac:dyDescent="0.15">
      <c r="A342" s="351">
        <v>81775</v>
      </c>
      <c r="B342" s="351" t="s">
        <v>1334</v>
      </c>
      <c r="C342" s="337" t="s">
        <v>1349</v>
      </c>
      <c r="D342" s="348">
        <v>106238.3</v>
      </c>
      <c r="E342" s="497"/>
      <c r="F342" s="498"/>
      <c r="G342" s="499">
        <v>65578.83</v>
      </c>
      <c r="H342" s="500"/>
      <c r="I342" s="500">
        <v>65578.83</v>
      </c>
      <c r="J342" s="319"/>
      <c r="K342" s="336">
        <f>SUM(I342,'NG Main'!I341)</f>
        <v>65578.83</v>
      </c>
      <c r="L342" s="349">
        <f>K342-SUM(I342,'NG Main'!I341)</f>
        <v>0</v>
      </c>
    </row>
    <row r="343" spans="1:12" x14ac:dyDescent="0.15">
      <c r="A343" s="351">
        <v>81775</v>
      </c>
      <c r="B343" s="351">
        <v>77570</v>
      </c>
      <c r="C343" s="337" t="s">
        <v>1351</v>
      </c>
      <c r="D343" s="348">
        <v>106231</v>
      </c>
      <c r="E343" s="480"/>
      <c r="F343" s="505"/>
      <c r="G343" s="350">
        <f>K343*(D343/SUM(D343,'NG Main'!D342))</f>
        <v>61475.394502092502</v>
      </c>
      <c r="H343" s="500"/>
      <c r="I343" s="500">
        <v>61475.940739641046</v>
      </c>
      <c r="J343" s="319"/>
      <c r="K343" s="502">
        <v>78154.67</v>
      </c>
      <c r="L343" s="349">
        <f>K343-SUM(I343,'NG Main'!I342)</f>
        <v>-10744.980739641047</v>
      </c>
    </row>
    <row r="344" spans="1:12" ht="14" thickBot="1" x14ac:dyDescent="0.2">
      <c r="A344" s="351"/>
      <c r="B344" s="351"/>
      <c r="C344" s="340" t="s">
        <v>1363</v>
      </c>
      <c r="D344" s="503"/>
      <c r="E344" s="504"/>
      <c r="F344" s="481">
        <f>(H344*10)/D343</f>
        <v>11.960234841020137</v>
      </c>
      <c r="G344" s="481"/>
      <c r="H344" s="481">
        <v>127054.77073964101</v>
      </c>
      <c r="I344" s="319"/>
      <c r="J344" s="319"/>
      <c r="K344" s="319"/>
      <c r="L344" s="319"/>
    </row>
    <row r="345" spans="1:12" ht="14" thickTop="1" x14ac:dyDescent="0.15">
      <c r="I345" s="319"/>
      <c r="J345" s="319"/>
      <c r="K345" s="319"/>
      <c r="L345" s="319"/>
    </row>
    <row r="346" spans="1:12" x14ac:dyDescent="0.15">
      <c r="A346" s="351">
        <v>81775</v>
      </c>
      <c r="B346" s="351" t="s">
        <v>1334</v>
      </c>
      <c r="C346" s="337" t="s">
        <v>1349</v>
      </c>
      <c r="D346" s="348">
        <v>72657.399999999994</v>
      </c>
      <c r="E346" s="497"/>
      <c r="F346" s="498"/>
      <c r="G346" s="499">
        <v>50011.24</v>
      </c>
      <c r="H346" s="500"/>
      <c r="I346" s="500">
        <v>50011.240000000005</v>
      </c>
      <c r="J346" s="319"/>
      <c r="K346" s="336">
        <f>SUM(I346,'NG Main'!I345)</f>
        <v>50011.240000000005</v>
      </c>
      <c r="L346" s="349">
        <f>K346-SUM(I346,'NG Main'!I345)</f>
        <v>0</v>
      </c>
    </row>
    <row r="347" spans="1:12" x14ac:dyDescent="0.15">
      <c r="A347" s="351">
        <v>81775</v>
      </c>
      <c r="B347" s="351">
        <v>77570</v>
      </c>
      <c r="C347" s="337" t="s">
        <v>1351</v>
      </c>
      <c r="D347" s="348">
        <v>72668</v>
      </c>
      <c r="E347" s="480"/>
      <c r="F347" s="505"/>
      <c r="G347" s="350">
        <f>K347*(D347/SUM(D347,'NG Main'!D346))</f>
        <v>45353.537881545133</v>
      </c>
      <c r="H347" s="500"/>
      <c r="I347" s="500">
        <v>45354.517423927311</v>
      </c>
      <c r="J347" s="319"/>
      <c r="K347" s="502">
        <v>78024.149999999994</v>
      </c>
      <c r="L347" s="349">
        <f>K347-SUM(I347,'NG Main'!I346)</f>
        <v>9737.7725760726898</v>
      </c>
    </row>
    <row r="348" spans="1:12" ht="14" thickBot="1" x14ac:dyDescent="0.2">
      <c r="A348" s="351"/>
      <c r="B348" s="351"/>
      <c r="C348" s="340" t="s">
        <v>1364</v>
      </c>
      <c r="D348" s="503"/>
      <c r="E348" s="504"/>
      <c r="F348" s="481">
        <f>(H348*10)/D347</f>
        <v>13.123487287929668</v>
      </c>
      <c r="G348" s="481"/>
      <c r="H348" s="481">
        <v>95365.757423927309</v>
      </c>
      <c r="I348" s="319"/>
      <c r="J348" s="319"/>
      <c r="K348" s="319"/>
      <c r="L348" s="319"/>
    </row>
    <row r="349" spans="1:12" ht="14" thickTop="1" x14ac:dyDescent="0.15"/>
    <row r="351" spans="1:12" s="260" customFormat="1" ht="14" thickBot="1" x14ac:dyDescent="0.2">
      <c r="C351" s="260" t="s">
        <v>146</v>
      </c>
      <c r="D351" s="506">
        <f>SUM(D303,D307,D311,D315)</f>
        <v>456919</v>
      </c>
      <c r="E351" s="347"/>
      <c r="H351" s="481">
        <v>521885.62149315083</v>
      </c>
    </row>
    <row r="352" spans="1:12" s="260" customFormat="1" ht="14" thickTop="1" x14ac:dyDescent="0.15">
      <c r="C352" s="260" t="s">
        <v>1365</v>
      </c>
      <c r="D352" s="347"/>
      <c r="E352" s="347"/>
      <c r="F352" s="507">
        <f>(H351*10)/D351</f>
        <v>11.421841102977789</v>
      </c>
    </row>
    <row r="354" spans="3:7" x14ac:dyDescent="0.15">
      <c r="C354" s="260" t="s">
        <v>1366</v>
      </c>
      <c r="D354" s="508">
        <f>SUM(D319,D323,D327,D331,D335)</f>
        <v>668355</v>
      </c>
      <c r="F354" s="509">
        <f>D354/SUM('NG Cogen'!D354,'NG Main'!D351)</f>
        <v>0.79780624321836935</v>
      </c>
      <c r="G354" s="407">
        <v>-112853.85</v>
      </c>
    </row>
    <row r="357" spans="3:7" x14ac:dyDescent="0.15">
      <c r="C357" s="319" t="s">
        <v>1367</v>
      </c>
      <c r="D357" s="510">
        <f>SUM(D248,D252,D256,D260,D264,D268,D272,D276,D280,D284,D288,D292)</f>
        <v>0</v>
      </c>
      <c r="G357" s="264">
        <f>SUM(H249:H293)</f>
        <v>1408004.8870089694</v>
      </c>
    </row>
    <row r="358" spans="3:7" x14ac:dyDescent="0.15">
      <c r="C358" s="319" t="s">
        <v>1368</v>
      </c>
      <c r="D358" s="508">
        <f>SUM(D303,D307,D311,D315,D319,D323,D327,D331,D335,D339,D343,D347)</f>
        <v>1431951</v>
      </c>
      <c r="G358" s="264">
        <f>SUM(H304:H348)</f>
        <v>1542776.1553315083</v>
      </c>
    </row>
  </sheetData>
  <mergeCells count="5">
    <mergeCell ref="A65:L65"/>
    <mergeCell ref="A121:L121"/>
    <mergeCell ref="A182:L182"/>
    <mergeCell ref="A243:L243"/>
    <mergeCell ref="A300:L300"/>
  </mergeCells>
  <printOptions horizontalCentered="1"/>
  <pageMargins left="0.2" right="0.2" top="0.75" bottom="0.75" header="0.3" footer="0.3"/>
  <pageSetup scale="60" orientation="landscape" r:id="rId1"/>
  <headerFooter>
    <oddFooter>&amp;L&amp;D&amp;C&amp;A</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sheetPr>
  <dimension ref="A1:G3184"/>
  <sheetViews>
    <sheetView workbookViewId="0">
      <pane xSplit="3" ySplit="1" topLeftCell="D1068" activePane="bottomRight" state="frozen"/>
      <selection activeCell="D10" sqref="D10"/>
      <selection pane="topRight" activeCell="D10" sqref="D10"/>
      <selection pane="bottomLeft" activeCell="D10" sqref="D10"/>
      <selection pane="bottomRight" activeCell="D924" sqref="D924"/>
    </sheetView>
  </sheetViews>
  <sheetFormatPr baseColWidth="10" defaultColWidth="8.83203125" defaultRowHeight="13" x14ac:dyDescent="0.15"/>
  <cols>
    <col min="1" max="1" width="14.1640625" style="259" bestFit="1" customWidth="1"/>
    <col min="2" max="2" width="20.33203125" style="259" bestFit="1" customWidth="1"/>
    <col min="3" max="3" width="19.6640625" style="259" bestFit="1" customWidth="1"/>
    <col min="4" max="4" width="13.6640625" style="259" customWidth="1"/>
    <col min="5" max="5" width="9.6640625" style="398" customWidth="1"/>
    <col min="6" max="6" width="11.1640625" style="264" customWidth="1"/>
    <col min="7" max="7" width="10.6640625" style="259" bestFit="1" customWidth="1"/>
    <col min="8" max="16384" width="8.83203125" style="259"/>
  </cols>
  <sheetData>
    <row r="1" spans="1:7" x14ac:dyDescent="0.15">
      <c r="A1" s="353" t="s">
        <v>223</v>
      </c>
      <c r="B1" s="354" t="s">
        <v>1223</v>
      </c>
      <c r="C1" s="354" t="s">
        <v>1142</v>
      </c>
      <c r="D1" s="355" t="s">
        <v>1224</v>
      </c>
      <c r="E1" s="356" t="s">
        <v>1225</v>
      </c>
      <c r="F1" s="354" t="s">
        <v>115</v>
      </c>
    </row>
    <row r="4" spans="1:7" s="275" customFormat="1" x14ac:dyDescent="0.15">
      <c r="A4" s="287">
        <v>77571</v>
      </c>
      <c r="B4" s="287" t="s">
        <v>1226</v>
      </c>
      <c r="C4" s="287" t="s">
        <v>1227</v>
      </c>
      <c r="D4" s="287"/>
      <c r="E4" s="357"/>
      <c r="F4" s="358"/>
    </row>
    <row r="5" spans="1:7" s="275" customFormat="1" x14ac:dyDescent="0.15">
      <c r="A5" s="287">
        <v>77572</v>
      </c>
      <c r="B5" s="287" t="s">
        <v>1228</v>
      </c>
      <c r="C5" s="287" t="s">
        <v>1229</v>
      </c>
      <c r="D5" s="287"/>
      <c r="E5" s="357"/>
      <c r="F5" s="358"/>
    </row>
    <row r="6" spans="1:7" s="275" customFormat="1" x14ac:dyDescent="0.15">
      <c r="A6" s="287">
        <v>77573</v>
      </c>
      <c r="B6" s="287" t="s">
        <v>1230</v>
      </c>
      <c r="C6" s="359" t="s">
        <v>1231</v>
      </c>
      <c r="D6" s="359"/>
      <c r="E6" s="360"/>
      <c r="F6" s="361"/>
      <c r="G6" s="359"/>
    </row>
    <row r="7" spans="1:7" s="275" customFormat="1" x14ac:dyDescent="0.15">
      <c r="A7" s="287">
        <v>77575</v>
      </c>
      <c r="B7" s="287" t="s">
        <v>1232</v>
      </c>
      <c r="C7" s="287" t="s">
        <v>1233</v>
      </c>
      <c r="D7" s="287"/>
      <c r="E7" s="357"/>
      <c r="F7" s="358"/>
    </row>
    <row r="8" spans="1:7" s="275" customFormat="1" x14ac:dyDescent="0.15">
      <c r="A8" s="287">
        <v>77661</v>
      </c>
      <c r="B8" s="287" t="s">
        <v>1234</v>
      </c>
      <c r="C8" s="287" t="s">
        <v>500</v>
      </c>
      <c r="D8" s="287"/>
      <c r="E8" s="357"/>
      <c r="F8" s="358"/>
    </row>
    <row r="9" spans="1:7" s="275" customFormat="1" x14ac:dyDescent="0.15">
      <c r="A9" s="359">
        <v>77714</v>
      </c>
      <c r="B9" s="359" t="s">
        <v>1235</v>
      </c>
      <c r="C9" s="359" t="s">
        <v>1236</v>
      </c>
      <c r="D9" s="287"/>
      <c r="E9" s="362" t="s">
        <v>1237</v>
      </c>
      <c r="F9" s="358"/>
    </row>
    <row r="10" spans="1:7" s="275" customFormat="1" x14ac:dyDescent="0.15">
      <c r="A10" s="359">
        <v>77714</v>
      </c>
      <c r="B10" s="359" t="s">
        <v>1238</v>
      </c>
      <c r="C10" s="359" t="s">
        <v>1239</v>
      </c>
      <c r="D10" s="359"/>
      <c r="E10" s="362" t="s">
        <v>1237</v>
      </c>
      <c r="F10" s="358"/>
    </row>
    <row r="11" spans="1:7" s="275" customFormat="1" x14ac:dyDescent="0.15">
      <c r="A11" s="359">
        <v>77715</v>
      </c>
      <c r="B11" s="359" t="s">
        <v>1240</v>
      </c>
      <c r="C11" s="359" t="s">
        <v>1241</v>
      </c>
      <c r="D11" s="359"/>
      <c r="E11" s="357"/>
      <c r="F11" s="358"/>
    </row>
    <row r="12" spans="1:7" s="275" customFormat="1" x14ac:dyDescent="0.15">
      <c r="A12" s="359">
        <v>79152</v>
      </c>
      <c r="B12" s="359" t="s">
        <v>1242</v>
      </c>
      <c r="C12" s="359" t="s">
        <v>1243</v>
      </c>
      <c r="D12" s="359"/>
      <c r="E12" s="357"/>
      <c r="F12" s="358"/>
    </row>
    <row r="13" spans="1:7" s="275" customFormat="1" x14ac:dyDescent="0.15">
      <c r="A13" s="287">
        <v>79344</v>
      </c>
      <c r="B13" s="287" t="s">
        <v>1244</v>
      </c>
      <c r="C13" s="287" t="s">
        <v>1245</v>
      </c>
      <c r="D13" s="287"/>
      <c r="E13" s="362" t="s">
        <v>1237</v>
      </c>
      <c r="F13" s="358"/>
    </row>
    <row r="14" spans="1:7" s="275" customFormat="1" x14ac:dyDescent="0.15">
      <c r="A14" s="287">
        <v>79344</v>
      </c>
      <c r="B14" s="287" t="s">
        <v>1246</v>
      </c>
      <c r="C14" s="287" t="s">
        <v>1247</v>
      </c>
      <c r="D14" s="287"/>
      <c r="E14" s="362" t="s">
        <v>1237</v>
      </c>
      <c r="F14" s="358"/>
    </row>
    <row r="15" spans="1:7" s="275" customFormat="1" x14ac:dyDescent="0.15">
      <c r="A15" s="287">
        <v>79344</v>
      </c>
      <c r="B15" s="287" t="s">
        <v>1248</v>
      </c>
      <c r="C15" s="287" t="s">
        <v>1249</v>
      </c>
      <c r="D15" s="287"/>
      <c r="E15" s="362" t="s">
        <v>1237</v>
      </c>
      <c r="F15" s="358"/>
    </row>
    <row r="16" spans="1:7" s="275" customFormat="1" x14ac:dyDescent="0.15">
      <c r="A16" s="287">
        <v>79344</v>
      </c>
      <c r="B16" s="287" t="s">
        <v>1250</v>
      </c>
      <c r="C16" s="287" t="s">
        <v>1251</v>
      </c>
      <c r="D16" s="287"/>
      <c r="E16" s="362" t="s">
        <v>1237</v>
      </c>
      <c r="F16" s="358"/>
    </row>
    <row r="17" spans="1:7" s="275" customFormat="1" x14ac:dyDescent="0.15">
      <c r="A17" s="287">
        <v>79344</v>
      </c>
      <c r="B17" s="287" t="s">
        <v>1252</v>
      </c>
      <c r="C17" s="287" t="s">
        <v>1253</v>
      </c>
      <c r="D17" s="287"/>
      <c r="E17" s="362" t="s">
        <v>1237</v>
      </c>
      <c r="F17" s="358"/>
    </row>
    <row r="18" spans="1:7" s="275" customFormat="1" x14ac:dyDescent="0.15">
      <c r="A18" s="287">
        <v>79153</v>
      </c>
      <c r="B18" s="287" t="s">
        <v>1232</v>
      </c>
      <c r="C18" s="287" t="s">
        <v>1254</v>
      </c>
      <c r="D18" s="363"/>
      <c r="E18" s="357"/>
      <c r="F18" s="358"/>
      <c r="G18" s="278"/>
    </row>
    <row r="19" spans="1:7" s="275" customFormat="1" x14ac:dyDescent="0.15">
      <c r="A19" s="287">
        <v>79154</v>
      </c>
      <c r="B19" s="287" t="s">
        <v>1255</v>
      </c>
      <c r="C19" s="287" t="s">
        <v>1256</v>
      </c>
      <c r="D19" s="287"/>
      <c r="E19" s="357"/>
      <c r="F19" s="358"/>
      <c r="G19" s="278"/>
    </row>
    <row r="20" spans="1:7" s="275" customFormat="1" x14ac:dyDescent="0.15">
      <c r="A20" s="287">
        <v>79155</v>
      </c>
      <c r="B20" s="287" t="s">
        <v>1257</v>
      </c>
      <c r="C20" s="287" t="s">
        <v>1258</v>
      </c>
      <c r="D20" s="287"/>
      <c r="E20" s="357"/>
      <c r="F20" s="358"/>
      <c r="G20" s="278"/>
    </row>
    <row r="21" spans="1:7" s="275" customFormat="1" x14ac:dyDescent="0.15">
      <c r="A21" s="287">
        <v>79366</v>
      </c>
      <c r="B21" s="287" t="s">
        <v>1259</v>
      </c>
      <c r="C21" s="287" t="s">
        <v>1260</v>
      </c>
      <c r="D21" s="287"/>
      <c r="E21" s="357"/>
      <c r="F21" s="358"/>
      <c r="G21" s="278"/>
    </row>
    <row r="22" spans="1:7" s="275" customFormat="1" x14ac:dyDescent="0.15">
      <c r="A22" s="287">
        <v>79370</v>
      </c>
      <c r="B22" s="287" t="s">
        <v>1261</v>
      </c>
      <c r="C22" s="287" t="s">
        <v>1262</v>
      </c>
      <c r="D22" s="287"/>
      <c r="E22" s="357"/>
      <c r="F22" s="358"/>
      <c r="G22" s="278"/>
    </row>
    <row r="23" spans="1:7" s="275" customFormat="1" x14ac:dyDescent="0.15">
      <c r="A23" s="287">
        <v>79380</v>
      </c>
      <c r="B23" s="287" t="s">
        <v>1263</v>
      </c>
      <c r="C23" s="287" t="s">
        <v>1264</v>
      </c>
      <c r="D23" s="287"/>
      <c r="E23" s="357"/>
      <c r="F23" s="358"/>
      <c r="G23" s="278"/>
    </row>
    <row r="24" spans="1:7" s="275" customFormat="1" x14ac:dyDescent="0.15">
      <c r="A24" s="287">
        <v>79383</v>
      </c>
      <c r="B24" s="287" t="s">
        <v>1265</v>
      </c>
      <c r="C24" s="287" t="s">
        <v>1266</v>
      </c>
      <c r="D24" s="287"/>
      <c r="E24" s="364"/>
      <c r="F24" s="365"/>
      <c r="G24" s="278"/>
    </row>
    <row r="25" spans="1:7" s="275" customFormat="1" x14ac:dyDescent="0.15">
      <c r="A25" s="287">
        <v>79393</v>
      </c>
      <c r="B25" s="287" t="s">
        <v>1267</v>
      </c>
      <c r="C25" s="287" t="s">
        <v>1268</v>
      </c>
      <c r="D25" s="287"/>
      <c r="E25" s="357"/>
      <c r="F25" s="358"/>
      <c r="G25" s="278"/>
    </row>
    <row r="26" spans="1:7" s="275" customFormat="1" x14ac:dyDescent="0.15">
      <c r="A26" s="287">
        <v>79949</v>
      </c>
      <c r="B26" s="287" t="s">
        <v>1269</v>
      </c>
      <c r="C26" s="287" t="s">
        <v>1270</v>
      </c>
      <c r="D26" s="287"/>
      <c r="E26" s="357"/>
      <c r="F26" s="358"/>
      <c r="G26" s="278"/>
    </row>
    <row r="27" spans="1:7" s="275" customFormat="1" x14ac:dyDescent="0.15">
      <c r="A27" s="287">
        <v>118456</v>
      </c>
      <c r="B27" s="287" t="s">
        <v>1271</v>
      </c>
      <c r="C27" s="287" t="s">
        <v>1272</v>
      </c>
      <c r="D27" s="287"/>
      <c r="E27" s="357"/>
      <c r="F27" s="358"/>
      <c r="G27" s="278"/>
    </row>
    <row r="28" spans="1:7" s="275" customFormat="1" ht="14" thickBot="1" x14ac:dyDescent="0.2">
      <c r="A28" s="359"/>
      <c r="B28" s="359"/>
      <c r="C28" s="291" t="s">
        <v>1273</v>
      </c>
      <c r="D28" s="366"/>
      <c r="E28" s="367"/>
      <c r="F28" s="368">
        <v>4332.1599999999989</v>
      </c>
    </row>
    <row r="29" spans="1:7" s="275" customFormat="1" ht="14" thickTop="1" x14ac:dyDescent="0.15">
      <c r="E29" s="369"/>
      <c r="F29" s="278"/>
    </row>
    <row r="30" spans="1:7" s="275" customFormat="1" x14ac:dyDescent="0.15">
      <c r="E30" s="369"/>
      <c r="F30" s="278"/>
    </row>
    <row r="31" spans="1:7" s="275" customFormat="1" x14ac:dyDescent="0.15">
      <c r="A31" s="287">
        <v>77575</v>
      </c>
      <c r="B31" s="287" t="s">
        <v>1232</v>
      </c>
      <c r="C31" s="287" t="s">
        <v>1233</v>
      </c>
      <c r="D31" s="287"/>
      <c r="E31" s="357"/>
      <c r="F31" s="358"/>
    </row>
    <row r="32" spans="1:7" s="275" customFormat="1" x14ac:dyDescent="0.15">
      <c r="A32" s="287">
        <v>77661</v>
      </c>
      <c r="B32" s="287" t="s">
        <v>1234</v>
      </c>
      <c r="C32" s="287" t="s">
        <v>500</v>
      </c>
      <c r="D32" s="287"/>
      <c r="E32" s="357"/>
      <c r="F32" s="358"/>
    </row>
    <row r="33" spans="1:7" s="275" customFormat="1" x14ac:dyDescent="0.15">
      <c r="A33" s="287">
        <v>77571</v>
      </c>
      <c r="B33" s="287" t="s">
        <v>1226</v>
      </c>
      <c r="C33" s="287" t="s">
        <v>1227</v>
      </c>
      <c r="D33" s="287"/>
      <c r="E33" s="357"/>
      <c r="F33" s="358"/>
    </row>
    <row r="34" spans="1:7" s="275" customFormat="1" x14ac:dyDescent="0.15">
      <c r="A34" s="287">
        <v>77572</v>
      </c>
      <c r="B34" s="287" t="s">
        <v>1228</v>
      </c>
      <c r="C34" s="287" t="s">
        <v>1229</v>
      </c>
      <c r="D34" s="287"/>
      <c r="E34" s="357"/>
      <c r="F34" s="358"/>
    </row>
    <row r="35" spans="1:7" s="275" customFormat="1" x14ac:dyDescent="0.15">
      <c r="A35" s="287">
        <v>77573</v>
      </c>
      <c r="B35" s="287" t="s">
        <v>1230</v>
      </c>
      <c r="C35" s="359" t="s">
        <v>1231</v>
      </c>
      <c r="D35" s="359"/>
      <c r="E35" s="360"/>
      <c r="F35" s="361"/>
      <c r="G35" s="359"/>
    </row>
    <row r="36" spans="1:7" s="275" customFormat="1" x14ac:dyDescent="0.15">
      <c r="A36" s="359">
        <v>77714</v>
      </c>
      <c r="B36" s="359" t="s">
        <v>1235</v>
      </c>
      <c r="C36" s="359" t="s">
        <v>1236</v>
      </c>
      <c r="D36" s="287"/>
      <c r="E36" s="362" t="s">
        <v>1237</v>
      </c>
      <c r="F36" s="358"/>
    </row>
    <row r="37" spans="1:7" s="275" customFormat="1" x14ac:dyDescent="0.15">
      <c r="A37" s="359">
        <v>77714</v>
      </c>
      <c r="B37" s="359" t="s">
        <v>1238</v>
      </c>
      <c r="C37" s="359" t="s">
        <v>1239</v>
      </c>
      <c r="D37" s="359"/>
      <c r="E37" s="362" t="s">
        <v>1237</v>
      </c>
      <c r="F37" s="358"/>
    </row>
    <row r="38" spans="1:7" s="275" customFormat="1" x14ac:dyDescent="0.15">
      <c r="A38" s="359">
        <v>77715</v>
      </c>
      <c r="B38" s="359" t="s">
        <v>1240</v>
      </c>
      <c r="C38" s="359" t="s">
        <v>1241</v>
      </c>
      <c r="D38" s="359"/>
      <c r="E38" s="357"/>
      <c r="F38" s="358"/>
    </row>
    <row r="39" spans="1:7" s="275" customFormat="1" x14ac:dyDescent="0.15">
      <c r="A39" s="359">
        <v>79152</v>
      </c>
      <c r="B39" s="359" t="s">
        <v>1242</v>
      </c>
      <c r="C39" s="359" t="s">
        <v>1243</v>
      </c>
      <c r="D39" s="359"/>
      <c r="E39" s="357"/>
      <c r="F39" s="358"/>
    </row>
    <row r="40" spans="1:7" s="275" customFormat="1" x14ac:dyDescent="0.15">
      <c r="A40" s="287">
        <v>79344</v>
      </c>
      <c r="B40" s="287" t="s">
        <v>1244</v>
      </c>
      <c r="C40" s="287" t="s">
        <v>1245</v>
      </c>
      <c r="D40" s="287"/>
      <c r="E40" s="362" t="s">
        <v>1237</v>
      </c>
      <c r="F40" s="358"/>
    </row>
    <row r="41" spans="1:7" s="275" customFormat="1" x14ac:dyDescent="0.15">
      <c r="A41" s="287">
        <v>79344</v>
      </c>
      <c r="B41" s="287" t="s">
        <v>1246</v>
      </c>
      <c r="C41" s="287" t="s">
        <v>1247</v>
      </c>
      <c r="D41" s="287"/>
      <c r="E41" s="362" t="s">
        <v>1237</v>
      </c>
      <c r="F41" s="358"/>
    </row>
    <row r="42" spans="1:7" s="275" customFormat="1" x14ac:dyDescent="0.15">
      <c r="A42" s="287">
        <v>79344</v>
      </c>
      <c r="B42" s="287" t="s">
        <v>1248</v>
      </c>
      <c r="C42" s="287" t="s">
        <v>1249</v>
      </c>
      <c r="D42" s="287"/>
      <c r="E42" s="362" t="s">
        <v>1237</v>
      </c>
      <c r="F42" s="358"/>
    </row>
    <row r="43" spans="1:7" s="275" customFormat="1" x14ac:dyDescent="0.15">
      <c r="A43" s="287">
        <v>79344</v>
      </c>
      <c r="B43" s="287" t="s">
        <v>1250</v>
      </c>
      <c r="C43" s="287" t="s">
        <v>1251</v>
      </c>
      <c r="D43" s="287"/>
      <c r="E43" s="362" t="s">
        <v>1237</v>
      </c>
      <c r="F43" s="358"/>
    </row>
    <row r="44" spans="1:7" s="275" customFormat="1" x14ac:dyDescent="0.15">
      <c r="A44" s="287">
        <v>79344</v>
      </c>
      <c r="B44" s="287" t="s">
        <v>1252</v>
      </c>
      <c r="C44" s="287" t="s">
        <v>1253</v>
      </c>
      <c r="D44" s="287"/>
      <c r="E44" s="362" t="s">
        <v>1237</v>
      </c>
      <c r="F44" s="358"/>
    </row>
    <row r="45" spans="1:7" s="275" customFormat="1" ht="14" thickBot="1" x14ac:dyDescent="0.2">
      <c r="A45" s="359"/>
      <c r="B45" s="359"/>
      <c r="C45" s="291" t="s">
        <v>1274</v>
      </c>
      <c r="D45" s="366"/>
      <c r="E45" s="367"/>
      <c r="F45" s="368">
        <v>1377.72</v>
      </c>
    </row>
    <row r="46" spans="1:7" s="275" customFormat="1" ht="14" thickTop="1" x14ac:dyDescent="0.15">
      <c r="E46" s="369"/>
      <c r="F46" s="278"/>
    </row>
    <row r="47" spans="1:7" s="275" customFormat="1" x14ac:dyDescent="0.15">
      <c r="E47" s="369"/>
      <c r="F47" s="278"/>
    </row>
    <row r="48" spans="1:7" s="275" customFormat="1" x14ac:dyDescent="0.15">
      <c r="A48" s="287">
        <v>79153</v>
      </c>
      <c r="B48" s="287" t="s">
        <v>1232</v>
      </c>
      <c r="C48" s="287" t="s">
        <v>1254</v>
      </c>
      <c r="D48" s="363"/>
      <c r="E48" s="357"/>
      <c r="F48" s="358"/>
      <c r="G48" s="278"/>
    </row>
    <row r="49" spans="1:7" s="275" customFormat="1" x14ac:dyDescent="0.15">
      <c r="A49" s="287">
        <v>79154</v>
      </c>
      <c r="B49" s="287" t="s">
        <v>1255</v>
      </c>
      <c r="C49" s="287" t="s">
        <v>1256</v>
      </c>
      <c r="D49" s="287"/>
      <c r="E49" s="357"/>
      <c r="F49" s="358"/>
      <c r="G49" s="278"/>
    </row>
    <row r="50" spans="1:7" s="275" customFormat="1" x14ac:dyDescent="0.15">
      <c r="A50" s="287">
        <v>79155</v>
      </c>
      <c r="B50" s="287" t="s">
        <v>1257</v>
      </c>
      <c r="C50" s="287" t="s">
        <v>1258</v>
      </c>
      <c r="D50" s="287"/>
      <c r="E50" s="357"/>
      <c r="F50" s="358"/>
      <c r="G50" s="278"/>
    </row>
    <row r="51" spans="1:7" s="275" customFormat="1" x14ac:dyDescent="0.15">
      <c r="A51" s="287">
        <v>79366</v>
      </c>
      <c r="B51" s="287" t="s">
        <v>1259</v>
      </c>
      <c r="C51" s="287" t="s">
        <v>1260</v>
      </c>
      <c r="D51" s="287"/>
      <c r="E51" s="357"/>
      <c r="F51" s="358"/>
      <c r="G51" s="278"/>
    </row>
    <row r="52" spans="1:7" s="275" customFormat="1" x14ac:dyDescent="0.15">
      <c r="A52" s="287">
        <v>79370</v>
      </c>
      <c r="B52" s="287" t="s">
        <v>1261</v>
      </c>
      <c r="C52" s="287" t="s">
        <v>1262</v>
      </c>
      <c r="D52" s="287"/>
      <c r="E52" s="357"/>
      <c r="F52" s="358"/>
      <c r="G52" s="278"/>
    </row>
    <row r="53" spans="1:7" s="275" customFormat="1" x14ac:dyDescent="0.15">
      <c r="A53" s="287">
        <v>79380</v>
      </c>
      <c r="B53" s="287" t="s">
        <v>1263</v>
      </c>
      <c r="C53" s="287" t="s">
        <v>1264</v>
      </c>
      <c r="D53" s="287"/>
      <c r="E53" s="357"/>
      <c r="F53" s="358"/>
      <c r="G53" s="278"/>
    </row>
    <row r="54" spans="1:7" s="275" customFormat="1" x14ac:dyDescent="0.15">
      <c r="A54" s="287">
        <v>79383</v>
      </c>
      <c r="B54" s="287" t="s">
        <v>1265</v>
      </c>
      <c r="C54" s="287" t="s">
        <v>1266</v>
      </c>
      <c r="D54" s="287"/>
      <c r="E54" s="364"/>
      <c r="F54" s="365"/>
      <c r="G54" s="278"/>
    </row>
    <row r="55" spans="1:7" s="275" customFormat="1" x14ac:dyDescent="0.15">
      <c r="A55" s="287">
        <v>79393</v>
      </c>
      <c r="B55" s="287" t="s">
        <v>1267</v>
      </c>
      <c r="C55" s="287" t="s">
        <v>1268</v>
      </c>
      <c r="D55" s="287"/>
      <c r="E55" s="357"/>
      <c r="F55" s="358"/>
      <c r="G55" s="278"/>
    </row>
    <row r="56" spans="1:7" s="275" customFormat="1" x14ac:dyDescent="0.15">
      <c r="A56" s="287">
        <v>79949</v>
      </c>
      <c r="B56" s="287" t="s">
        <v>1269</v>
      </c>
      <c r="C56" s="287" t="s">
        <v>1270</v>
      </c>
      <c r="D56" s="287"/>
      <c r="E56" s="357"/>
      <c r="F56" s="358"/>
      <c r="G56" s="278"/>
    </row>
    <row r="57" spans="1:7" s="275" customFormat="1" x14ac:dyDescent="0.15">
      <c r="A57" s="287">
        <v>118456</v>
      </c>
      <c r="B57" s="287" t="s">
        <v>1271</v>
      </c>
      <c r="C57" s="287" t="s">
        <v>1272</v>
      </c>
      <c r="D57" s="287"/>
      <c r="E57" s="357"/>
      <c r="F57" s="358"/>
      <c r="G57" s="278"/>
    </row>
    <row r="58" spans="1:7" s="275" customFormat="1" ht="14" thickBot="1" x14ac:dyDescent="0.2">
      <c r="A58" s="359"/>
      <c r="B58" s="359"/>
      <c r="C58" s="291" t="s">
        <v>1177</v>
      </c>
      <c r="D58" s="366"/>
      <c r="E58" s="367"/>
      <c r="F58" s="368">
        <v>544.62000000000012</v>
      </c>
    </row>
    <row r="59" spans="1:7" s="275" customFormat="1" ht="14" thickTop="1" x14ac:dyDescent="0.15">
      <c r="E59" s="369"/>
      <c r="F59" s="278"/>
    </row>
    <row r="60" spans="1:7" s="275" customFormat="1" x14ac:dyDescent="0.15">
      <c r="E60" s="369"/>
      <c r="F60" s="278"/>
    </row>
    <row r="61" spans="1:7" s="275" customFormat="1" x14ac:dyDescent="0.15">
      <c r="E61" s="369"/>
      <c r="F61" s="278"/>
    </row>
    <row r="62" spans="1:7" s="275" customFormat="1" x14ac:dyDescent="0.15">
      <c r="A62" s="287">
        <v>77571</v>
      </c>
      <c r="B62" s="287" t="s">
        <v>1226</v>
      </c>
      <c r="C62" s="287" t="s">
        <v>1227</v>
      </c>
      <c r="D62" s="287"/>
      <c r="E62" s="357"/>
      <c r="F62" s="358"/>
    </row>
    <row r="63" spans="1:7" s="275" customFormat="1" x14ac:dyDescent="0.15">
      <c r="A63" s="287">
        <v>77572</v>
      </c>
      <c r="B63" s="287" t="s">
        <v>1228</v>
      </c>
      <c r="C63" s="287" t="s">
        <v>1229</v>
      </c>
      <c r="D63" s="287"/>
      <c r="E63" s="357"/>
      <c r="F63" s="358"/>
    </row>
    <row r="64" spans="1:7" s="275" customFormat="1" x14ac:dyDescent="0.15">
      <c r="A64" s="287">
        <v>77573</v>
      </c>
      <c r="B64" s="287" t="s">
        <v>1230</v>
      </c>
      <c r="C64" s="359" t="s">
        <v>1231</v>
      </c>
      <c r="D64" s="359"/>
      <c r="E64" s="360"/>
      <c r="F64" s="361"/>
      <c r="G64" s="359"/>
    </row>
    <row r="65" spans="1:7" s="275" customFormat="1" x14ac:dyDescent="0.15">
      <c r="A65" s="287">
        <v>77575</v>
      </c>
      <c r="B65" s="287" t="s">
        <v>1232</v>
      </c>
      <c r="C65" s="287" t="s">
        <v>1233</v>
      </c>
      <c r="D65" s="287"/>
      <c r="E65" s="357"/>
      <c r="F65" s="358"/>
    </row>
    <row r="66" spans="1:7" s="275" customFormat="1" x14ac:dyDescent="0.15">
      <c r="A66" s="287">
        <v>77661</v>
      </c>
      <c r="B66" s="287" t="s">
        <v>1234</v>
      </c>
      <c r="C66" s="287" t="s">
        <v>500</v>
      </c>
      <c r="D66" s="287"/>
      <c r="E66" s="357"/>
      <c r="F66" s="358"/>
    </row>
    <row r="67" spans="1:7" s="275" customFormat="1" x14ac:dyDescent="0.15">
      <c r="A67" s="359">
        <v>77714</v>
      </c>
      <c r="B67" s="359" t="s">
        <v>1235</v>
      </c>
      <c r="C67" s="359" t="s">
        <v>1236</v>
      </c>
      <c r="D67" s="287"/>
      <c r="E67" s="362"/>
      <c r="F67" s="358"/>
    </row>
    <row r="68" spans="1:7" s="275" customFormat="1" x14ac:dyDescent="0.15">
      <c r="A68" s="359">
        <v>77714</v>
      </c>
      <c r="B68" s="359" t="s">
        <v>1238</v>
      </c>
      <c r="C68" s="359" t="s">
        <v>1239</v>
      </c>
      <c r="D68" s="359"/>
      <c r="E68" s="362"/>
      <c r="F68" s="358"/>
    </row>
    <row r="69" spans="1:7" s="275" customFormat="1" x14ac:dyDescent="0.15">
      <c r="A69" s="359">
        <v>77715</v>
      </c>
      <c r="B69" s="359" t="s">
        <v>1240</v>
      </c>
      <c r="C69" s="359" t="s">
        <v>1241</v>
      </c>
      <c r="D69" s="359"/>
      <c r="E69" s="357"/>
      <c r="F69" s="358"/>
    </row>
    <row r="70" spans="1:7" s="275" customFormat="1" x14ac:dyDescent="0.15">
      <c r="A70" s="359">
        <v>79152</v>
      </c>
      <c r="B70" s="359" t="s">
        <v>1242</v>
      </c>
      <c r="C70" s="359" t="s">
        <v>1243</v>
      </c>
      <c r="D70" s="359"/>
      <c r="E70" s="357"/>
      <c r="F70" s="358"/>
    </row>
    <row r="71" spans="1:7" s="275" customFormat="1" x14ac:dyDescent="0.15">
      <c r="A71" s="287">
        <v>79344</v>
      </c>
      <c r="B71" s="287" t="s">
        <v>1244</v>
      </c>
      <c r="C71" s="287" t="s">
        <v>1245</v>
      </c>
      <c r="D71" s="287"/>
      <c r="E71" s="362"/>
      <c r="F71" s="358"/>
    </row>
    <row r="72" spans="1:7" s="275" customFormat="1" x14ac:dyDescent="0.15">
      <c r="A72" s="287">
        <v>79344</v>
      </c>
      <c r="B72" s="287" t="s">
        <v>1246</v>
      </c>
      <c r="C72" s="287" t="s">
        <v>1247</v>
      </c>
      <c r="D72" s="287"/>
      <c r="E72" s="362"/>
      <c r="F72" s="358"/>
    </row>
    <row r="73" spans="1:7" s="275" customFormat="1" x14ac:dyDescent="0.15">
      <c r="A73" s="287">
        <v>79344</v>
      </c>
      <c r="B73" s="287" t="s">
        <v>1248</v>
      </c>
      <c r="C73" s="287" t="s">
        <v>1249</v>
      </c>
      <c r="D73" s="287"/>
      <c r="E73" s="362"/>
      <c r="F73" s="358"/>
    </row>
    <row r="74" spans="1:7" s="275" customFormat="1" x14ac:dyDescent="0.15">
      <c r="A74" s="287">
        <v>79344</v>
      </c>
      <c r="B74" s="287" t="s">
        <v>1250</v>
      </c>
      <c r="C74" s="287" t="s">
        <v>1251</v>
      </c>
      <c r="D74" s="287"/>
      <c r="E74" s="362"/>
      <c r="F74" s="358"/>
    </row>
    <row r="75" spans="1:7" s="275" customFormat="1" x14ac:dyDescent="0.15">
      <c r="A75" s="287">
        <v>79344</v>
      </c>
      <c r="B75" s="287" t="s">
        <v>1252</v>
      </c>
      <c r="C75" s="287" t="s">
        <v>1253</v>
      </c>
      <c r="D75" s="287"/>
      <c r="E75" s="362"/>
      <c r="F75" s="358"/>
    </row>
    <row r="76" spans="1:7" s="275" customFormat="1" x14ac:dyDescent="0.15">
      <c r="A76" s="287">
        <v>79153</v>
      </c>
      <c r="B76" s="287" t="s">
        <v>1232</v>
      </c>
      <c r="C76" s="287" t="s">
        <v>1254</v>
      </c>
      <c r="D76" s="363"/>
      <c r="E76" s="357"/>
      <c r="F76" s="358"/>
      <c r="G76" s="278"/>
    </row>
    <row r="77" spans="1:7" s="275" customFormat="1" x14ac:dyDescent="0.15">
      <c r="A77" s="287">
        <v>79154</v>
      </c>
      <c r="B77" s="287" t="s">
        <v>1255</v>
      </c>
      <c r="C77" s="287" t="s">
        <v>1256</v>
      </c>
      <c r="D77" s="287"/>
      <c r="E77" s="357"/>
      <c r="F77" s="358"/>
      <c r="G77" s="278"/>
    </row>
    <row r="78" spans="1:7" s="275" customFormat="1" x14ac:dyDescent="0.15">
      <c r="A78" s="287">
        <v>79155</v>
      </c>
      <c r="B78" s="287" t="s">
        <v>1257</v>
      </c>
      <c r="C78" s="287" t="s">
        <v>1258</v>
      </c>
      <c r="D78" s="287"/>
      <c r="E78" s="357"/>
      <c r="F78" s="358"/>
      <c r="G78" s="278"/>
    </row>
    <row r="79" spans="1:7" s="275" customFormat="1" x14ac:dyDescent="0.15">
      <c r="A79" s="287">
        <v>79366</v>
      </c>
      <c r="B79" s="287" t="s">
        <v>1259</v>
      </c>
      <c r="C79" s="287" t="s">
        <v>1260</v>
      </c>
      <c r="D79" s="287"/>
      <c r="E79" s="357"/>
      <c r="F79" s="358"/>
      <c r="G79" s="278"/>
    </row>
    <row r="80" spans="1:7" s="275" customFormat="1" x14ac:dyDescent="0.15">
      <c r="A80" s="287">
        <v>79370</v>
      </c>
      <c r="B80" s="287" t="s">
        <v>1261</v>
      </c>
      <c r="C80" s="287" t="s">
        <v>1262</v>
      </c>
      <c r="D80" s="287"/>
      <c r="E80" s="357"/>
      <c r="F80" s="358"/>
      <c r="G80" s="278"/>
    </row>
    <row r="81" spans="1:7" s="275" customFormat="1" x14ac:dyDescent="0.15">
      <c r="A81" s="287">
        <v>79380</v>
      </c>
      <c r="B81" s="287" t="s">
        <v>1263</v>
      </c>
      <c r="C81" s="287" t="s">
        <v>1264</v>
      </c>
      <c r="D81" s="287"/>
      <c r="E81" s="357"/>
      <c r="F81" s="358"/>
      <c r="G81" s="278"/>
    </row>
    <row r="82" spans="1:7" s="275" customFormat="1" x14ac:dyDescent="0.15">
      <c r="A82" s="287">
        <v>79383</v>
      </c>
      <c r="B82" s="287" t="s">
        <v>1265</v>
      </c>
      <c r="C82" s="287" t="s">
        <v>1266</v>
      </c>
      <c r="D82" s="287"/>
      <c r="E82" s="364"/>
      <c r="F82" s="365"/>
      <c r="G82" s="278"/>
    </row>
    <row r="83" spans="1:7" s="275" customFormat="1" x14ac:dyDescent="0.15">
      <c r="A83" s="287">
        <v>79393</v>
      </c>
      <c r="B83" s="287" t="s">
        <v>1267</v>
      </c>
      <c r="C83" s="287" t="s">
        <v>1268</v>
      </c>
      <c r="D83" s="287"/>
      <c r="E83" s="357"/>
      <c r="F83" s="358"/>
      <c r="G83" s="278"/>
    </row>
    <row r="84" spans="1:7" s="275" customFormat="1" x14ac:dyDescent="0.15">
      <c r="A84" s="287">
        <v>79949</v>
      </c>
      <c r="B84" s="287" t="s">
        <v>1269</v>
      </c>
      <c r="C84" s="287" t="s">
        <v>1270</v>
      </c>
      <c r="D84" s="287"/>
      <c r="E84" s="357"/>
      <c r="F84" s="358"/>
      <c r="G84" s="278"/>
    </row>
    <row r="85" spans="1:7" s="275" customFormat="1" x14ac:dyDescent="0.15">
      <c r="A85" s="287">
        <v>118456</v>
      </c>
      <c r="B85" s="287" t="s">
        <v>1271</v>
      </c>
      <c r="C85" s="287" t="s">
        <v>1272</v>
      </c>
      <c r="D85" s="287"/>
      <c r="E85" s="357"/>
      <c r="F85" s="358"/>
      <c r="G85" s="278"/>
    </row>
    <row r="86" spans="1:7" s="275" customFormat="1" ht="14" thickBot="1" x14ac:dyDescent="0.2">
      <c r="A86" s="359"/>
      <c r="B86" s="359"/>
      <c r="C86" s="291" t="s">
        <v>1145</v>
      </c>
      <c r="D86" s="366"/>
      <c r="E86" s="367"/>
      <c r="F86" s="368">
        <v>1863.52</v>
      </c>
    </row>
    <row r="87" spans="1:7" s="275" customFormat="1" ht="14" thickTop="1" x14ac:dyDescent="0.15">
      <c r="E87" s="369"/>
      <c r="F87" s="278"/>
    </row>
    <row r="88" spans="1:7" s="275" customFormat="1" x14ac:dyDescent="0.15">
      <c r="A88" s="287">
        <v>77571</v>
      </c>
      <c r="B88" s="287" t="s">
        <v>1226</v>
      </c>
      <c r="C88" s="287" t="s">
        <v>1227</v>
      </c>
      <c r="D88" s="287"/>
      <c r="E88" s="357"/>
      <c r="F88" s="358"/>
    </row>
    <row r="89" spans="1:7" s="275" customFormat="1" x14ac:dyDescent="0.15">
      <c r="A89" s="287">
        <v>77572</v>
      </c>
      <c r="B89" s="287" t="s">
        <v>1228</v>
      </c>
      <c r="C89" s="287" t="s">
        <v>1229</v>
      </c>
      <c r="D89" s="287"/>
      <c r="E89" s="357"/>
      <c r="F89" s="358"/>
    </row>
    <row r="90" spans="1:7" s="275" customFormat="1" x14ac:dyDescent="0.15">
      <c r="A90" s="287">
        <v>77573</v>
      </c>
      <c r="B90" s="287" t="s">
        <v>1230</v>
      </c>
      <c r="C90" s="359" t="s">
        <v>1231</v>
      </c>
      <c r="D90" s="359"/>
      <c r="E90" s="360"/>
      <c r="F90" s="361"/>
      <c r="G90" s="359"/>
    </row>
    <row r="91" spans="1:7" s="275" customFormat="1" x14ac:dyDescent="0.15">
      <c r="A91" s="287">
        <v>77575</v>
      </c>
      <c r="B91" s="287" t="s">
        <v>1232</v>
      </c>
      <c r="C91" s="287" t="s">
        <v>1233</v>
      </c>
      <c r="D91" s="287"/>
      <c r="E91" s="357"/>
      <c r="F91" s="358"/>
    </row>
    <row r="92" spans="1:7" s="275" customFormat="1" x14ac:dyDescent="0.15">
      <c r="A92" s="287">
        <v>77661</v>
      </c>
      <c r="B92" s="287" t="s">
        <v>1234</v>
      </c>
      <c r="C92" s="287" t="s">
        <v>500</v>
      </c>
      <c r="D92" s="287"/>
      <c r="E92" s="357"/>
      <c r="F92" s="358"/>
    </row>
    <row r="93" spans="1:7" s="275" customFormat="1" x14ac:dyDescent="0.15">
      <c r="A93" s="359">
        <v>77714</v>
      </c>
      <c r="B93" s="359" t="s">
        <v>1235</v>
      </c>
      <c r="C93" s="359" t="s">
        <v>1236</v>
      </c>
      <c r="D93" s="287"/>
      <c r="E93" s="362"/>
      <c r="F93" s="358"/>
    </row>
    <row r="94" spans="1:7" s="275" customFormat="1" x14ac:dyDescent="0.15">
      <c r="A94" s="359">
        <v>77714</v>
      </c>
      <c r="B94" s="359" t="s">
        <v>1238</v>
      </c>
      <c r="C94" s="359" t="s">
        <v>1239</v>
      </c>
      <c r="D94" s="359"/>
      <c r="E94" s="362"/>
      <c r="F94" s="358"/>
    </row>
    <row r="95" spans="1:7" s="275" customFormat="1" x14ac:dyDescent="0.15">
      <c r="A95" s="359">
        <v>77715</v>
      </c>
      <c r="B95" s="359" t="s">
        <v>1240</v>
      </c>
      <c r="C95" s="359" t="s">
        <v>1241</v>
      </c>
      <c r="D95" s="359"/>
      <c r="E95" s="357"/>
      <c r="F95" s="358"/>
    </row>
    <row r="96" spans="1:7" s="275" customFormat="1" x14ac:dyDescent="0.15">
      <c r="A96" s="359">
        <v>79152</v>
      </c>
      <c r="B96" s="359" t="s">
        <v>1242</v>
      </c>
      <c r="C96" s="359" t="s">
        <v>1243</v>
      </c>
      <c r="D96" s="359"/>
      <c r="E96" s="357"/>
      <c r="F96" s="358"/>
    </row>
    <row r="97" spans="1:7" s="275" customFormat="1" x14ac:dyDescent="0.15">
      <c r="A97" s="287">
        <v>79344</v>
      </c>
      <c r="B97" s="287" t="s">
        <v>1244</v>
      </c>
      <c r="C97" s="287" t="s">
        <v>1245</v>
      </c>
      <c r="D97" s="287"/>
      <c r="E97" s="362"/>
      <c r="F97" s="358"/>
    </row>
    <row r="98" spans="1:7" s="275" customFormat="1" x14ac:dyDescent="0.15">
      <c r="A98" s="287">
        <v>79344</v>
      </c>
      <c r="B98" s="287" t="s">
        <v>1246</v>
      </c>
      <c r="C98" s="287" t="s">
        <v>1247</v>
      </c>
      <c r="D98" s="287"/>
      <c r="E98" s="362"/>
      <c r="F98" s="358"/>
    </row>
    <row r="99" spans="1:7" s="275" customFormat="1" x14ac:dyDescent="0.15">
      <c r="A99" s="287">
        <v>79344</v>
      </c>
      <c r="B99" s="287" t="s">
        <v>1248</v>
      </c>
      <c r="C99" s="287" t="s">
        <v>1249</v>
      </c>
      <c r="D99" s="287"/>
      <c r="E99" s="362"/>
      <c r="F99" s="358"/>
    </row>
    <row r="100" spans="1:7" s="275" customFormat="1" x14ac:dyDescent="0.15">
      <c r="A100" s="287">
        <v>79344</v>
      </c>
      <c r="B100" s="287" t="s">
        <v>1250</v>
      </c>
      <c r="C100" s="287" t="s">
        <v>1251</v>
      </c>
      <c r="D100" s="287"/>
      <c r="E100" s="362"/>
      <c r="F100" s="358"/>
    </row>
    <row r="101" spans="1:7" s="275" customFormat="1" x14ac:dyDescent="0.15">
      <c r="A101" s="287">
        <v>79344</v>
      </c>
      <c r="B101" s="287" t="s">
        <v>1252</v>
      </c>
      <c r="C101" s="287" t="s">
        <v>1253</v>
      </c>
      <c r="D101" s="287"/>
      <c r="E101" s="362"/>
      <c r="F101" s="358"/>
    </row>
    <row r="102" spans="1:7" s="275" customFormat="1" x14ac:dyDescent="0.15">
      <c r="A102" s="287">
        <v>79153</v>
      </c>
      <c r="B102" s="287" t="s">
        <v>1232</v>
      </c>
      <c r="C102" s="287" t="s">
        <v>1254</v>
      </c>
      <c r="D102" s="363"/>
      <c r="E102" s="357"/>
      <c r="F102" s="358"/>
      <c r="G102" s="278"/>
    </row>
    <row r="103" spans="1:7" s="275" customFormat="1" x14ac:dyDescent="0.15">
      <c r="A103" s="287">
        <v>79154</v>
      </c>
      <c r="B103" s="287" t="s">
        <v>1255</v>
      </c>
      <c r="C103" s="287" t="s">
        <v>1256</v>
      </c>
      <c r="D103" s="287"/>
      <c r="E103" s="357"/>
      <c r="F103" s="358"/>
      <c r="G103" s="278"/>
    </row>
    <row r="104" spans="1:7" s="275" customFormat="1" x14ac:dyDescent="0.15">
      <c r="A104" s="287">
        <v>79155</v>
      </c>
      <c r="B104" s="287" t="s">
        <v>1257</v>
      </c>
      <c r="C104" s="287" t="s">
        <v>1258</v>
      </c>
      <c r="D104" s="287"/>
      <c r="E104" s="357"/>
      <c r="F104" s="358"/>
      <c r="G104" s="278"/>
    </row>
    <row r="105" spans="1:7" s="275" customFormat="1" x14ac:dyDescent="0.15">
      <c r="A105" s="287">
        <v>79366</v>
      </c>
      <c r="B105" s="287" t="s">
        <v>1259</v>
      </c>
      <c r="C105" s="287" t="s">
        <v>1260</v>
      </c>
      <c r="D105" s="287"/>
      <c r="E105" s="357"/>
      <c r="F105" s="358"/>
      <c r="G105" s="278"/>
    </row>
    <row r="106" spans="1:7" s="275" customFormat="1" x14ac:dyDescent="0.15">
      <c r="A106" s="287">
        <v>79370</v>
      </c>
      <c r="B106" s="287" t="s">
        <v>1261</v>
      </c>
      <c r="C106" s="287" t="s">
        <v>1262</v>
      </c>
      <c r="D106" s="287"/>
      <c r="E106" s="357"/>
      <c r="F106" s="358"/>
      <c r="G106" s="278"/>
    </row>
    <row r="107" spans="1:7" s="275" customFormat="1" x14ac:dyDescent="0.15">
      <c r="A107" s="287">
        <v>79380</v>
      </c>
      <c r="B107" s="287" t="s">
        <v>1263</v>
      </c>
      <c r="C107" s="287" t="s">
        <v>1264</v>
      </c>
      <c r="D107" s="287"/>
      <c r="E107" s="357"/>
      <c r="F107" s="358"/>
      <c r="G107" s="278"/>
    </row>
    <row r="108" spans="1:7" s="275" customFormat="1" x14ac:dyDescent="0.15">
      <c r="A108" s="287">
        <v>79383</v>
      </c>
      <c r="B108" s="287" t="s">
        <v>1265</v>
      </c>
      <c r="C108" s="287" t="s">
        <v>1266</v>
      </c>
      <c r="D108" s="287"/>
      <c r="E108" s="364"/>
      <c r="F108" s="365"/>
      <c r="G108" s="278"/>
    </row>
    <row r="109" spans="1:7" s="275" customFormat="1" x14ac:dyDescent="0.15">
      <c r="A109" s="287">
        <v>79393</v>
      </c>
      <c r="B109" s="287" t="s">
        <v>1267</v>
      </c>
      <c r="C109" s="287" t="s">
        <v>1268</v>
      </c>
      <c r="D109" s="287"/>
      <c r="E109" s="357"/>
      <c r="F109" s="358"/>
      <c r="G109" s="278"/>
    </row>
    <row r="110" spans="1:7" s="275" customFormat="1" x14ac:dyDescent="0.15">
      <c r="A110" s="287">
        <v>79949</v>
      </c>
      <c r="B110" s="287" t="s">
        <v>1269</v>
      </c>
      <c r="C110" s="287" t="s">
        <v>1270</v>
      </c>
      <c r="D110" s="287"/>
      <c r="E110" s="357"/>
      <c r="F110" s="358"/>
      <c r="G110" s="278"/>
    </row>
    <row r="111" spans="1:7" s="275" customFormat="1" x14ac:dyDescent="0.15">
      <c r="A111" s="287">
        <v>118456</v>
      </c>
      <c r="B111" s="287" t="s">
        <v>1271</v>
      </c>
      <c r="C111" s="287" t="s">
        <v>1272</v>
      </c>
      <c r="D111" s="287"/>
      <c r="E111" s="357"/>
      <c r="F111" s="358"/>
      <c r="G111" s="278"/>
    </row>
    <row r="112" spans="1:7" s="275" customFormat="1" ht="14" thickBot="1" x14ac:dyDescent="0.2">
      <c r="A112" s="359"/>
      <c r="B112" s="359"/>
      <c r="C112" s="291" t="s">
        <v>1187</v>
      </c>
      <c r="D112" s="366"/>
      <c r="E112" s="367"/>
      <c r="F112" s="368">
        <v>1858.25</v>
      </c>
    </row>
    <row r="113" spans="1:7" s="275" customFormat="1" ht="14" thickTop="1" x14ac:dyDescent="0.15">
      <c r="E113" s="369"/>
      <c r="F113" s="278"/>
    </row>
    <row r="114" spans="1:7" s="275" customFormat="1" x14ac:dyDescent="0.15">
      <c r="A114" s="370">
        <v>77571</v>
      </c>
      <c r="B114" s="371" t="s">
        <v>1226</v>
      </c>
      <c r="C114" s="371" t="s">
        <v>1227</v>
      </c>
      <c r="D114" s="371"/>
      <c r="E114" s="372"/>
      <c r="F114" s="373">
        <v>185.31</v>
      </c>
    </row>
    <row r="115" spans="1:7" s="275" customFormat="1" x14ac:dyDescent="0.15">
      <c r="A115" s="374">
        <v>77572</v>
      </c>
      <c r="B115" s="287" t="s">
        <v>1228</v>
      </c>
      <c r="C115" s="287" t="s">
        <v>1229</v>
      </c>
      <c r="D115" s="287"/>
      <c r="E115" s="357"/>
      <c r="F115" s="375">
        <v>64.88</v>
      </c>
    </row>
    <row r="116" spans="1:7" s="275" customFormat="1" x14ac:dyDescent="0.15">
      <c r="A116" s="374">
        <v>77573</v>
      </c>
      <c r="B116" s="287" t="s">
        <v>1230</v>
      </c>
      <c r="C116" s="359" t="s">
        <v>1231</v>
      </c>
      <c r="D116" s="359"/>
      <c r="E116" s="360"/>
      <c r="F116" s="375">
        <v>129.06</v>
      </c>
      <c r="G116" s="359"/>
    </row>
    <row r="117" spans="1:7" s="275" customFormat="1" x14ac:dyDescent="0.15">
      <c r="A117" s="374">
        <v>77575</v>
      </c>
      <c r="B117" s="287" t="s">
        <v>1232</v>
      </c>
      <c r="C117" s="287" t="s">
        <v>1233</v>
      </c>
      <c r="D117" s="287"/>
      <c r="E117" s="357"/>
      <c r="F117" s="375">
        <v>1250.6400000000001</v>
      </c>
    </row>
    <row r="118" spans="1:7" s="275" customFormat="1" x14ac:dyDescent="0.15">
      <c r="A118" s="374">
        <v>77661</v>
      </c>
      <c r="B118" s="287" t="s">
        <v>1234</v>
      </c>
      <c r="C118" s="287" t="s">
        <v>500</v>
      </c>
      <c r="D118" s="287"/>
      <c r="E118" s="357"/>
      <c r="F118" s="375">
        <v>120.33</v>
      </c>
    </row>
    <row r="119" spans="1:7" s="275" customFormat="1" x14ac:dyDescent="0.15">
      <c r="A119" s="376">
        <v>77714</v>
      </c>
      <c r="B119" s="359" t="s">
        <v>1235</v>
      </c>
      <c r="C119" s="359" t="s">
        <v>1236</v>
      </c>
      <c r="D119" s="287"/>
      <c r="E119" s="362"/>
      <c r="F119" s="375">
        <v>123.96</v>
      </c>
    </row>
    <row r="120" spans="1:7" s="275" customFormat="1" x14ac:dyDescent="0.15">
      <c r="A120" s="376">
        <v>77714</v>
      </c>
      <c r="B120" s="359" t="s">
        <v>1238</v>
      </c>
      <c r="C120" s="359" t="s">
        <v>1239</v>
      </c>
      <c r="D120" s="359"/>
      <c r="E120" s="362"/>
      <c r="F120" s="375">
        <v>133.44999999999999</v>
      </c>
    </row>
    <row r="121" spans="1:7" s="275" customFormat="1" x14ac:dyDescent="0.15">
      <c r="A121" s="376">
        <v>77715</v>
      </c>
      <c r="B121" s="359" t="s">
        <v>1240</v>
      </c>
      <c r="C121" s="359" t="s">
        <v>1241</v>
      </c>
      <c r="D121" s="359"/>
      <c r="E121" s="357"/>
      <c r="F121" s="375">
        <v>115.94</v>
      </c>
    </row>
    <row r="122" spans="1:7" s="275" customFormat="1" x14ac:dyDescent="0.15">
      <c r="A122" s="376">
        <v>79152</v>
      </c>
      <c r="B122" s="359" t="s">
        <v>1242</v>
      </c>
      <c r="C122" s="359" t="s">
        <v>1243</v>
      </c>
      <c r="D122" s="359"/>
      <c r="E122" s="357"/>
      <c r="F122" s="375">
        <v>246.94</v>
      </c>
    </row>
    <row r="123" spans="1:7" s="275" customFormat="1" x14ac:dyDescent="0.15">
      <c r="A123" s="374">
        <v>79344</v>
      </c>
      <c r="B123" s="287" t="s">
        <v>1244</v>
      </c>
      <c r="C123" s="287" t="s">
        <v>1245</v>
      </c>
      <c r="D123" s="287"/>
      <c r="E123" s="362"/>
      <c r="F123" s="375">
        <v>123.38</v>
      </c>
    </row>
    <row r="124" spans="1:7" s="275" customFormat="1" x14ac:dyDescent="0.15">
      <c r="A124" s="374">
        <v>79344</v>
      </c>
      <c r="B124" s="287" t="s">
        <v>1246</v>
      </c>
      <c r="C124" s="287" t="s">
        <v>1247</v>
      </c>
      <c r="D124" s="287"/>
      <c r="E124" s="362"/>
      <c r="F124" s="375">
        <v>186.02</v>
      </c>
    </row>
    <row r="125" spans="1:7" s="275" customFormat="1" x14ac:dyDescent="0.15">
      <c r="A125" s="374">
        <v>79344</v>
      </c>
      <c r="B125" s="287" t="s">
        <v>1248</v>
      </c>
      <c r="C125" s="287" t="s">
        <v>1249</v>
      </c>
      <c r="D125" s="287"/>
      <c r="E125" s="362"/>
      <c r="F125" s="375">
        <v>16.149999999999999</v>
      </c>
    </row>
    <row r="126" spans="1:7" s="275" customFormat="1" x14ac:dyDescent="0.15">
      <c r="A126" s="374">
        <v>79344</v>
      </c>
      <c r="B126" s="287" t="s">
        <v>1250</v>
      </c>
      <c r="C126" s="287" t="s">
        <v>1251</v>
      </c>
      <c r="D126" s="287"/>
      <c r="E126" s="362"/>
      <c r="F126" s="375">
        <v>12.01</v>
      </c>
    </row>
    <row r="127" spans="1:7" s="275" customFormat="1" x14ac:dyDescent="0.15">
      <c r="A127" s="374">
        <v>79344</v>
      </c>
      <c r="B127" s="287" t="s">
        <v>1252</v>
      </c>
      <c r="C127" s="287" t="s">
        <v>1253</v>
      </c>
      <c r="D127" s="287"/>
      <c r="E127" s="362"/>
      <c r="F127" s="375">
        <v>83.53</v>
      </c>
    </row>
    <row r="128" spans="1:7" s="275" customFormat="1" x14ac:dyDescent="0.15">
      <c r="A128" s="374">
        <v>79344</v>
      </c>
      <c r="B128" s="287" t="s">
        <v>1275</v>
      </c>
      <c r="C128" s="287" t="s">
        <v>1276</v>
      </c>
      <c r="D128" s="363"/>
      <c r="E128" s="357"/>
      <c r="F128" s="375">
        <v>107.12</v>
      </c>
      <c r="G128" s="278"/>
    </row>
    <row r="129" spans="1:7" s="275" customFormat="1" ht="14" thickBot="1" x14ac:dyDescent="0.2">
      <c r="A129" s="376"/>
      <c r="B129" s="359"/>
      <c r="C129" s="291" t="s">
        <v>115</v>
      </c>
      <c r="D129" s="366"/>
      <c r="E129" s="367"/>
      <c r="F129" s="377">
        <v>2273.4</v>
      </c>
    </row>
    <row r="130" spans="1:7" s="275" customFormat="1" ht="14" thickTop="1" x14ac:dyDescent="0.15">
      <c r="A130" s="376"/>
      <c r="B130" s="359"/>
      <c r="C130" s="359"/>
      <c r="D130" s="359"/>
      <c r="E130" s="357"/>
      <c r="F130" s="375"/>
    </row>
    <row r="131" spans="1:7" s="275" customFormat="1" x14ac:dyDescent="0.15">
      <c r="A131" s="376"/>
      <c r="B131" s="359"/>
      <c r="C131" s="359"/>
      <c r="D131" s="359"/>
      <c r="E131" s="357"/>
      <c r="F131" s="375"/>
    </row>
    <row r="132" spans="1:7" s="275" customFormat="1" x14ac:dyDescent="0.15">
      <c r="A132" s="376"/>
      <c r="B132" s="359"/>
      <c r="C132" s="378" t="s">
        <v>1212</v>
      </c>
      <c r="D132" s="359"/>
      <c r="E132" s="357"/>
      <c r="F132" s="375"/>
    </row>
    <row r="133" spans="1:7" s="275" customFormat="1" x14ac:dyDescent="0.15">
      <c r="A133" s="376"/>
      <c r="B133" s="359"/>
      <c r="C133" s="378" t="s">
        <v>1139</v>
      </c>
      <c r="D133" s="359"/>
      <c r="E133" s="357"/>
      <c r="F133" s="375"/>
    </row>
    <row r="134" spans="1:7" s="275" customFormat="1" x14ac:dyDescent="0.15">
      <c r="A134" s="376"/>
      <c r="B134" s="359"/>
      <c r="C134" s="379">
        <v>41193</v>
      </c>
      <c r="D134" s="359"/>
      <c r="E134" s="357"/>
      <c r="F134" s="375"/>
    </row>
    <row r="135" spans="1:7" s="275" customFormat="1" x14ac:dyDescent="0.15">
      <c r="A135" s="376"/>
      <c r="B135" s="359"/>
      <c r="C135" s="379"/>
      <c r="D135" s="359"/>
      <c r="E135" s="357"/>
      <c r="F135" s="375"/>
    </row>
    <row r="136" spans="1:7" s="295" customFormat="1" x14ac:dyDescent="0.15">
      <c r="A136" s="374">
        <v>79153</v>
      </c>
      <c r="B136" s="287" t="s">
        <v>1232</v>
      </c>
      <c r="C136" s="287" t="s">
        <v>1254</v>
      </c>
      <c r="D136" s="363"/>
      <c r="E136" s="380"/>
      <c r="F136" s="381">
        <v>159.56</v>
      </c>
      <c r="G136" s="298"/>
    </row>
    <row r="137" spans="1:7" s="295" customFormat="1" x14ac:dyDescent="0.15">
      <c r="A137" s="374">
        <v>79154</v>
      </c>
      <c r="B137" s="287" t="s">
        <v>1255</v>
      </c>
      <c r="C137" s="287" t="s">
        <v>1256</v>
      </c>
      <c r="D137" s="287"/>
      <c r="E137" s="380"/>
      <c r="F137" s="381">
        <v>271.66000000000003</v>
      </c>
      <c r="G137" s="298"/>
    </row>
    <row r="138" spans="1:7" s="295" customFormat="1" x14ac:dyDescent="0.15">
      <c r="A138" s="374">
        <v>79155</v>
      </c>
      <c r="B138" s="287" t="s">
        <v>1257</v>
      </c>
      <c r="C138" s="287" t="s">
        <v>1258</v>
      </c>
      <c r="D138" s="287"/>
      <c r="E138" s="380"/>
      <c r="F138" s="381">
        <v>220.42</v>
      </c>
      <c r="G138" s="298"/>
    </row>
    <row r="139" spans="1:7" s="295" customFormat="1" x14ac:dyDescent="0.15">
      <c r="A139" s="374">
        <v>79366</v>
      </c>
      <c r="B139" s="287" t="s">
        <v>1259</v>
      </c>
      <c r="C139" s="287" t="s">
        <v>1260</v>
      </c>
      <c r="D139" s="287"/>
      <c r="E139" s="380"/>
      <c r="F139" s="381">
        <v>29.67</v>
      </c>
      <c r="G139" s="298"/>
    </row>
    <row r="140" spans="1:7" s="295" customFormat="1" x14ac:dyDescent="0.15">
      <c r="A140" s="374">
        <v>79370</v>
      </c>
      <c r="B140" s="287" t="s">
        <v>1261</v>
      </c>
      <c r="C140" s="287" t="s">
        <v>1262</v>
      </c>
      <c r="D140" s="287"/>
      <c r="E140" s="380"/>
      <c r="F140" s="381">
        <v>93.8</v>
      </c>
      <c r="G140" s="298"/>
    </row>
    <row r="141" spans="1:7" s="295" customFormat="1" x14ac:dyDescent="0.15">
      <c r="A141" s="374">
        <v>79380</v>
      </c>
      <c r="B141" s="287" t="s">
        <v>1263</v>
      </c>
      <c r="C141" s="287" t="s">
        <v>1264</v>
      </c>
      <c r="D141" s="287"/>
      <c r="E141" s="380"/>
      <c r="F141" s="381">
        <v>140.05000000000001</v>
      </c>
      <c r="G141" s="298"/>
    </row>
    <row r="142" spans="1:7" s="295" customFormat="1" x14ac:dyDescent="0.15">
      <c r="A142" s="374">
        <v>79383</v>
      </c>
      <c r="B142" s="287" t="s">
        <v>1265</v>
      </c>
      <c r="C142" s="287" t="s">
        <v>1266</v>
      </c>
      <c r="D142" s="287"/>
      <c r="E142" s="382"/>
      <c r="F142" s="381">
        <v>124.92</v>
      </c>
      <c r="G142" s="298"/>
    </row>
    <row r="143" spans="1:7" s="295" customFormat="1" x14ac:dyDescent="0.15">
      <c r="A143" s="374">
        <v>79393</v>
      </c>
      <c r="B143" s="287" t="s">
        <v>1267</v>
      </c>
      <c r="C143" s="287" t="s">
        <v>1268</v>
      </c>
      <c r="D143" s="287"/>
      <c r="E143" s="380"/>
      <c r="F143" s="381">
        <v>159.69</v>
      </c>
      <c r="G143" s="298"/>
    </row>
    <row r="144" spans="1:7" s="295" customFormat="1" x14ac:dyDescent="0.15">
      <c r="A144" s="374">
        <v>79949</v>
      </c>
      <c r="B144" s="287" t="s">
        <v>1269</v>
      </c>
      <c r="C144" s="287" t="s">
        <v>1270</v>
      </c>
      <c r="D144" s="287"/>
      <c r="E144" s="380"/>
      <c r="F144" s="381">
        <v>225.53</v>
      </c>
      <c r="G144" s="298"/>
    </row>
    <row r="145" spans="1:7" s="295" customFormat="1" x14ac:dyDescent="0.15">
      <c r="A145" s="374">
        <v>118456</v>
      </c>
      <c r="B145" s="287" t="s">
        <v>1271</v>
      </c>
      <c r="C145" s="287" t="s">
        <v>1272</v>
      </c>
      <c r="D145" s="287"/>
      <c r="E145" s="380"/>
      <c r="F145" s="381">
        <v>135.72999999999999</v>
      </c>
      <c r="G145" s="298"/>
    </row>
    <row r="146" spans="1:7" s="275" customFormat="1" ht="14" thickBot="1" x14ac:dyDescent="0.2">
      <c r="A146" s="374"/>
      <c r="B146" s="287"/>
      <c r="C146" s="291" t="s">
        <v>115</v>
      </c>
      <c r="D146" s="383"/>
      <c r="E146" s="384"/>
      <c r="F146" s="385">
        <v>1561.03</v>
      </c>
    </row>
    <row r="147" spans="1:7" s="275" customFormat="1" ht="14" thickTop="1" x14ac:dyDescent="0.15">
      <c r="A147" s="374"/>
      <c r="B147" s="287"/>
      <c r="C147" s="287"/>
      <c r="D147" s="287"/>
      <c r="E147" s="380"/>
      <c r="F147" s="381"/>
    </row>
    <row r="148" spans="1:7" s="275" customFormat="1" x14ac:dyDescent="0.15">
      <c r="A148" s="374"/>
      <c r="B148" s="287"/>
      <c r="C148" s="378" t="s">
        <v>1212</v>
      </c>
      <c r="D148" s="287"/>
      <c r="E148" s="380"/>
      <c r="F148" s="381"/>
    </row>
    <row r="149" spans="1:7" s="275" customFormat="1" x14ac:dyDescent="0.15">
      <c r="A149" s="374"/>
      <c r="B149" s="287"/>
      <c r="C149" s="378" t="s">
        <v>1139</v>
      </c>
      <c r="D149" s="287"/>
      <c r="E149" s="380"/>
      <c r="F149" s="381"/>
    </row>
    <row r="150" spans="1:7" s="275" customFormat="1" x14ac:dyDescent="0.15">
      <c r="A150" s="374"/>
      <c r="B150" s="287"/>
      <c r="C150" s="386">
        <v>41213</v>
      </c>
      <c r="D150" s="287"/>
      <c r="E150" s="380"/>
      <c r="F150" s="381"/>
    </row>
    <row r="151" spans="1:7" s="275" customFormat="1" x14ac:dyDescent="0.15">
      <c r="A151" s="376"/>
      <c r="B151" s="359"/>
      <c r="C151" s="359"/>
      <c r="D151" s="359"/>
      <c r="E151" s="357"/>
      <c r="F151" s="375"/>
    </row>
    <row r="152" spans="1:7" s="275" customFormat="1" ht="14" thickBot="1" x14ac:dyDescent="0.2">
      <c r="A152" s="387"/>
      <c r="B152" s="388"/>
      <c r="C152" s="291" t="s">
        <v>1190</v>
      </c>
      <c r="D152" s="383"/>
      <c r="E152" s="367"/>
      <c r="F152" s="389">
        <v>3834.4299999999994</v>
      </c>
    </row>
    <row r="153" spans="1:7" s="275" customFormat="1" ht="14" thickTop="1" x14ac:dyDescent="0.15">
      <c r="E153" s="369"/>
      <c r="F153" s="278"/>
    </row>
    <row r="154" spans="1:7" s="275" customFormat="1" x14ac:dyDescent="0.15">
      <c r="A154" s="370">
        <v>77571</v>
      </c>
      <c r="B154" s="371" t="s">
        <v>1226</v>
      </c>
      <c r="C154" s="371" t="s">
        <v>1227</v>
      </c>
      <c r="D154" s="371"/>
      <c r="E154" s="390"/>
      <c r="F154" s="391">
        <v>343.41</v>
      </c>
    </row>
    <row r="155" spans="1:7" s="275" customFormat="1" x14ac:dyDescent="0.15">
      <c r="A155" s="374">
        <v>77572</v>
      </c>
      <c r="B155" s="287" t="s">
        <v>1228</v>
      </c>
      <c r="C155" s="287" t="s">
        <v>1229</v>
      </c>
      <c r="D155" s="287"/>
      <c r="E155" s="380"/>
      <c r="F155" s="381">
        <v>335.19</v>
      </c>
    </row>
    <row r="156" spans="1:7" s="275" customFormat="1" x14ac:dyDescent="0.15">
      <c r="A156" s="374">
        <v>77573</v>
      </c>
      <c r="B156" s="287" t="s">
        <v>1230</v>
      </c>
      <c r="C156" s="359" t="s">
        <v>1231</v>
      </c>
      <c r="D156" s="287"/>
      <c r="E156" s="392"/>
      <c r="F156" s="381">
        <v>259.29000000000002</v>
      </c>
      <c r="G156" s="359"/>
    </row>
    <row r="157" spans="1:7" s="275" customFormat="1" x14ac:dyDescent="0.15">
      <c r="A157" s="374">
        <v>77575</v>
      </c>
      <c r="B157" s="287" t="s">
        <v>1232</v>
      </c>
      <c r="C157" s="287" t="s">
        <v>1233</v>
      </c>
      <c r="D157" s="287"/>
      <c r="E157" s="380"/>
      <c r="F157" s="381">
        <v>1501.78</v>
      </c>
    </row>
    <row r="158" spans="1:7" s="275" customFormat="1" x14ac:dyDescent="0.15">
      <c r="A158" s="374">
        <v>77661</v>
      </c>
      <c r="B158" s="287" t="s">
        <v>1234</v>
      </c>
      <c r="C158" s="287" t="s">
        <v>500</v>
      </c>
      <c r="D158" s="287"/>
      <c r="E158" s="380"/>
      <c r="F158" s="381">
        <v>453.07</v>
      </c>
    </row>
    <row r="159" spans="1:7" s="275" customFormat="1" x14ac:dyDescent="0.15">
      <c r="A159" s="376">
        <v>77714</v>
      </c>
      <c r="B159" s="359" t="s">
        <v>1235</v>
      </c>
      <c r="C159" s="359" t="s">
        <v>1236</v>
      </c>
      <c r="D159" s="287"/>
      <c r="E159" s="393"/>
      <c r="F159" s="381">
        <v>312.7</v>
      </c>
    </row>
    <row r="160" spans="1:7" s="275" customFormat="1" x14ac:dyDescent="0.15">
      <c r="A160" s="376">
        <v>77714</v>
      </c>
      <c r="B160" s="359" t="s">
        <v>1238</v>
      </c>
      <c r="C160" s="359" t="s">
        <v>1239</v>
      </c>
      <c r="D160" s="287"/>
      <c r="E160" s="393"/>
      <c r="F160" s="381">
        <v>316.31</v>
      </c>
    </row>
    <row r="161" spans="1:7" s="275" customFormat="1" x14ac:dyDescent="0.15">
      <c r="A161" s="376">
        <v>77715</v>
      </c>
      <c r="B161" s="359" t="s">
        <v>1240</v>
      </c>
      <c r="C161" s="359" t="s">
        <v>1241</v>
      </c>
      <c r="D161" s="287"/>
      <c r="E161" s="380"/>
      <c r="F161" s="381">
        <v>246.87</v>
      </c>
    </row>
    <row r="162" spans="1:7" s="275" customFormat="1" x14ac:dyDescent="0.15">
      <c r="A162" s="376">
        <v>79152</v>
      </c>
      <c r="B162" s="359" t="s">
        <v>1242</v>
      </c>
      <c r="C162" s="359" t="s">
        <v>1243</v>
      </c>
      <c r="D162" s="287"/>
      <c r="E162" s="380"/>
      <c r="F162" s="381">
        <v>375.61</v>
      </c>
    </row>
    <row r="163" spans="1:7" s="275" customFormat="1" x14ac:dyDescent="0.15">
      <c r="A163" s="374">
        <v>79344</v>
      </c>
      <c r="B163" s="287" t="s">
        <v>1244</v>
      </c>
      <c r="C163" s="287" t="s">
        <v>1245</v>
      </c>
      <c r="D163" s="287"/>
      <c r="E163" s="393"/>
      <c r="F163" s="381">
        <v>258.44</v>
      </c>
    </row>
    <row r="164" spans="1:7" s="275" customFormat="1" x14ac:dyDescent="0.15">
      <c r="A164" s="374">
        <v>79344</v>
      </c>
      <c r="B164" s="287" t="s">
        <v>1246</v>
      </c>
      <c r="C164" s="287" t="s">
        <v>1247</v>
      </c>
      <c r="D164" s="287"/>
      <c r="E164" s="393"/>
      <c r="F164" s="381">
        <v>360.22</v>
      </c>
    </row>
    <row r="165" spans="1:7" s="275" customFormat="1" x14ac:dyDescent="0.15">
      <c r="A165" s="374">
        <v>79344</v>
      </c>
      <c r="B165" s="287" t="s">
        <v>1248</v>
      </c>
      <c r="C165" s="287" t="s">
        <v>1249</v>
      </c>
      <c r="D165" s="287"/>
      <c r="E165" s="393"/>
      <c r="F165" s="381">
        <v>82.02</v>
      </c>
    </row>
    <row r="166" spans="1:7" s="275" customFormat="1" x14ac:dyDescent="0.15">
      <c r="A166" s="374">
        <v>79344</v>
      </c>
      <c r="B166" s="287" t="s">
        <v>1250</v>
      </c>
      <c r="C166" s="287" t="s">
        <v>1251</v>
      </c>
      <c r="D166" s="287"/>
      <c r="E166" s="393"/>
      <c r="F166" s="381">
        <v>18.260000000000002</v>
      </c>
    </row>
    <row r="167" spans="1:7" s="275" customFormat="1" x14ac:dyDescent="0.15">
      <c r="A167" s="374">
        <v>79344</v>
      </c>
      <c r="B167" s="287" t="s">
        <v>1252</v>
      </c>
      <c r="C167" s="287" t="s">
        <v>1253</v>
      </c>
      <c r="D167" s="287"/>
      <c r="E167" s="393"/>
      <c r="F167" s="381">
        <v>175.17</v>
      </c>
    </row>
    <row r="168" spans="1:7" s="275" customFormat="1" x14ac:dyDescent="0.15">
      <c r="A168" s="374">
        <v>79344</v>
      </c>
      <c r="B168" s="287" t="s">
        <v>1275</v>
      </c>
      <c r="C168" s="287" t="s">
        <v>1276</v>
      </c>
      <c r="D168" s="363"/>
      <c r="E168" s="380"/>
      <c r="F168" s="381">
        <v>205.8</v>
      </c>
      <c r="G168" s="278"/>
    </row>
    <row r="169" spans="1:7" s="275" customFormat="1" ht="14" thickBot="1" x14ac:dyDescent="0.2">
      <c r="A169" s="376"/>
      <c r="B169" s="359"/>
      <c r="C169" s="291" t="s">
        <v>115</v>
      </c>
      <c r="D169" s="383"/>
      <c r="E169" s="384"/>
      <c r="F169" s="385">
        <v>4493.25</v>
      </c>
    </row>
    <row r="170" spans="1:7" s="275" customFormat="1" ht="14" thickTop="1" x14ac:dyDescent="0.15">
      <c r="A170" s="376"/>
      <c r="B170" s="359"/>
      <c r="C170" s="359"/>
      <c r="D170" s="287"/>
      <c r="E170" s="380"/>
      <c r="F170" s="381"/>
    </row>
    <row r="171" spans="1:7" s="275" customFormat="1" x14ac:dyDescent="0.15">
      <c r="A171" s="376"/>
      <c r="B171" s="359"/>
      <c r="C171" s="359"/>
      <c r="D171" s="287"/>
      <c r="E171" s="380"/>
      <c r="F171" s="381"/>
    </row>
    <row r="172" spans="1:7" s="275" customFormat="1" x14ac:dyDescent="0.15">
      <c r="A172" s="376"/>
      <c r="B172" s="359"/>
      <c r="C172" s="378" t="s">
        <v>1212</v>
      </c>
      <c r="D172" s="287"/>
      <c r="E172" s="380"/>
      <c r="F172" s="381"/>
    </row>
    <row r="173" spans="1:7" s="275" customFormat="1" x14ac:dyDescent="0.15">
      <c r="A173" s="376"/>
      <c r="B173" s="359"/>
      <c r="C173" s="378" t="s">
        <v>1139</v>
      </c>
      <c r="D173" s="287"/>
      <c r="E173" s="380"/>
      <c r="F173" s="381"/>
    </row>
    <row r="174" spans="1:7" s="275" customFormat="1" x14ac:dyDescent="0.15">
      <c r="A174" s="376"/>
      <c r="B174" s="359"/>
      <c r="C174" s="379">
        <v>41225</v>
      </c>
      <c r="D174" s="287"/>
      <c r="E174" s="380"/>
      <c r="F174" s="381"/>
    </row>
    <row r="175" spans="1:7" s="275" customFormat="1" x14ac:dyDescent="0.15">
      <c r="A175" s="376"/>
      <c r="B175" s="359"/>
      <c r="C175" s="379"/>
      <c r="D175" s="287"/>
      <c r="E175" s="380"/>
      <c r="F175" s="381"/>
    </row>
    <row r="176" spans="1:7" s="295" customFormat="1" x14ac:dyDescent="0.15">
      <c r="A176" s="374">
        <v>79153</v>
      </c>
      <c r="B176" s="287" t="s">
        <v>1232</v>
      </c>
      <c r="C176" s="287" t="s">
        <v>1254</v>
      </c>
      <c r="D176" s="363"/>
      <c r="E176" s="380"/>
      <c r="F176" s="381">
        <v>516.23</v>
      </c>
      <c r="G176" s="298"/>
    </row>
    <row r="177" spans="1:7" s="295" customFormat="1" x14ac:dyDescent="0.15">
      <c r="A177" s="374">
        <v>79154</v>
      </c>
      <c r="B177" s="287" t="s">
        <v>1255</v>
      </c>
      <c r="C177" s="287" t="s">
        <v>1256</v>
      </c>
      <c r="D177" s="287"/>
      <c r="E177" s="380"/>
      <c r="F177" s="381">
        <v>961.59</v>
      </c>
      <c r="G177" s="298"/>
    </row>
    <row r="178" spans="1:7" s="295" customFormat="1" x14ac:dyDescent="0.15">
      <c r="A178" s="374">
        <v>79155</v>
      </c>
      <c r="B178" s="287" t="s">
        <v>1257</v>
      </c>
      <c r="C178" s="287" t="s">
        <v>1258</v>
      </c>
      <c r="D178" s="287"/>
      <c r="E178" s="380"/>
      <c r="F178" s="381">
        <v>503.59</v>
      </c>
      <c r="G178" s="298"/>
    </row>
    <row r="179" spans="1:7" s="295" customFormat="1" x14ac:dyDescent="0.15">
      <c r="A179" s="374">
        <v>79366</v>
      </c>
      <c r="B179" s="287" t="s">
        <v>1259</v>
      </c>
      <c r="C179" s="287" t="s">
        <v>1260</v>
      </c>
      <c r="D179" s="287"/>
      <c r="E179" s="380"/>
      <c r="F179" s="381">
        <v>114.39</v>
      </c>
      <c r="G179" s="298"/>
    </row>
    <row r="180" spans="1:7" s="295" customFormat="1" x14ac:dyDescent="0.15">
      <c r="A180" s="374">
        <v>79370</v>
      </c>
      <c r="B180" s="287" t="s">
        <v>1261</v>
      </c>
      <c r="C180" s="287" t="s">
        <v>1262</v>
      </c>
      <c r="D180" s="287"/>
      <c r="E180" s="380"/>
      <c r="F180" s="381">
        <v>202.03</v>
      </c>
      <c r="G180" s="298"/>
    </row>
    <row r="181" spans="1:7" s="295" customFormat="1" x14ac:dyDescent="0.15">
      <c r="A181" s="374">
        <v>79380</v>
      </c>
      <c r="B181" s="287" t="s">
        <v>1263</v>
      </c>
      <c r="C181" s="287" t="s">
        <v>1264</v>
      </c>
      <c r="D181" s="287"/>
      <c r="E181" s="380"/>
      <c r="F181" s="381">
        <v>377.12</v>
      </c>
      <c r="G181" s="298"/>
    </row>
    <row r="182" spans="1:7" s="295" customFormat="1" x14ac:dyDescent="0.15">
      <c r="A182" s="374">
        <v>79383</v>
      </c>
      <c r="B182" s="287" t="s">
        <v>1265</v>
      </c>
      <c r="C182" s="287" t="s">
        <v>1266</v>
      </c>
      <c r="D182" s="287"/>
      <c r="E182" s="382"/>
      <c r="F182" s="381">
        <v>266.73</v>
      </c>
      <c r="G182" s="298"/>
    </row>
    <row r="183" spans="1:7" s="295" customFormat="1" x14ac:dyDescent="0.15">
      <c r="A183" s="374">
        <v>79393</v>
      </c>
      <c r="B183" s="287" t="s">
        <v>1267</v>
      </c>
      <c r="C183" s="287" t="s">
        <v>1268</v>
      </c>
      <c r="D183" s="287"/>
      <c r="E183" s="380"/>
      <c r="F183" s="381">
        <v>361.72</v>
      </c>
      <c r="G183" s="298"/>
    </row>
    <row r="184" spans="1:7" s="295" customFormat="1" x14ac:dyDescent="0.15">
      <c r="A184" s="374">
        <v>79949</v>
      </c>
      <c r="B184" s="287" t="s">
        <v>1269</v>
      </c>
      <c r="C184" s="287" t="s">
        <v>1270</v>
      </c>
      <c r="D184" s="287"/>
      <c r="E184" s="380"/>
      <c r="F184" s="381">
        <v>569.97</v>
      </c>
      <c r="G184" s="298"/>
    </row>
    <row r="185" spans="1:7" s="295" customFormat="1" x14ac:dyDescent="0.15">
      <c r="A185" s="374">
        <v>118456</v>
      </c>
      <c r="B185" s="287" t="s">
        <v>1271</v>
      </c>
      <c r="C185" s="287" t="s">
        <v>1272</v>
      </c>
      <c r="D185" s="287"/>
      <c r="E185" s="380"/>
      <c r="F185" s="381">
        <v>319.86</v>
      </c>
      <c r="G185" s="298"/>
    </row>
    <row r="186" spans="1:7" s="275" customFormat="1" ht="14" thickBot="1" x14ac:dyDescent="0.2">
      <c r="A186" s="374"/>
      <c r="B186" s="287"/>
      <c r="C186" s="291" t="s">
        <v>115</v>
      </c>
      <c r="D186" s="383"/>
      <c r="E186" s="384"/>
      <c r="F186" s="385">
        <v>4193.2300000000005</v>
      </c>
    </row>
    <row r="187" spans="1:7" s="275" customFormat="1" ht="14" thickTop="1" x14ac:dyDescent="0.15">
      <c r="A187" s="374"/>
      <c r="B187" s="287"/>
      <c r="C187" s="287"/>
      <c r="D187" s="287"/>
      <c r="E187" s="380"/>
      <c r="F187" s="381"/>
    </row>
    <row r="188" spans="1:7" s="275" customFormat="1" x14ac:dyDescent="0.15">
      <c r="A188" s="374"/>
      <c r="B188" s="287"/>
      <c r="C188" s="378" t="s">
        <v>1212</v>
      </c>
      <c r="D188" s="287"/>
      <c r="E188" s="380"/>
      <c r="F188" s="381"/>
    </row>
    <row r="189" spans="1:7" s="275" customFormat="1" x14ac:dyDescent="0.15">
      <c r="A189" s="374"/>
      <c r="B189" s="287"/>
      <c r="C189" s="378" t="s">
        <v>1139</v>
      </c>
      <c r="D189" s="287"/>
      <c r="E189" s="380"/>
      <c r="F189" s="381"/>
    </row>
    <row r="190" spans="1:7" s="275" customFormat="1" x14ac:dyDescent="0.15">
      <c r="A190" s="374"/>
      <c r="B190" s="287"/>
      <c r="C190" s="386">
        <v>41246</v>
      </c>
      <c r="D190" s="287"/>
      <c r="E190" s="380"/>
      <c r="F190" s="381"/>
    </row>
    <row r="191" spans="1:7" s="275" customFormat="1" x14ac:dyDescent="0.15">
      <c r="A191" s="376"/>
      <c r="B191" s="359"/>
      <c r="C191" s="359"/>
      <c r="D191" s="359"/>
      <c r="E191" s="357"/>
      <c r="F191" s="375"/>
    </row>
    <row r="192" spans="1:7" s="275" customFormat="1" ht="14" thickBot="1" x14ac:dyDescent="0.2">
      <c r="A192" s="387"/>
      <c r="B192" s="388"/>
      <c r="C192" s="291" t="s">
        <v>1191</v>
      </c>
      <c r="D192" s="383"/>
      <c r="E192" s="367"/>
      <c r="F192" s="389">
        <v>8686.48</v>
      </c>
    </row>
    <row r="193" spans="1:7" s="275" customFormat="1" ht="14" thickTop="1" x14ac:dyDescent="0.15">
      <c r="E193" s="369"/>
      <c r="F193" s="278"/>
    </row>
    <row r="194" spans="1:7" s="275" customFormat="1" x14ac:dyDescent="0.15">
      <c r="A194" s="370">
        <v>77571</v>
      </c>
      <c r="B194" s="371" t="s">
        <v>1226</v>
      </c>
      <c r="C194" s="371" t="s">
        <v>1227</v>
      </c>
      <c r="D194" s="371"/>
      <c r="E194" s="390"/>
      <c r="F194" s="391">
        <v>987.91</v>
      </c>
    </row>
    <row r="195" spans="1:7" s="275" customFormat="1" x14ac:dyDescent="0.15">
      <c r="A195" s="374">
        <v>77572</v>
      </c>
      <c r="B195" s="287" t="s">
        <v>1228</v>
      </c>
      <c r="C195" s="287" t="s">
        <v>1229</v>
      </c>
      <c r="D195" s="287"/>
      <c r="E195" s="380"/>
      <c r="F195" s="381">
        <v>1950.1</v>
      </c>
    </row>
    <row r="196" spans="1:7" s="275" customFormat="1" x14ac:dyDescent="0.15">
      <c r="A196" s="374">
        <v>77573</v>
      </c>
      <c r="B196" s="287" t="s">
        <v>1230</v>
      </c>
      <c r="C196" s="359" t="s">
        <v>1231</v>
      </c>
      <c r="D196" s="287"/>
      <c r="E196" s="392"/>
      <c r="F196" s="381">
        <v>811.55</v>
      </c>
      <c r="G196" s="359"/>
    </row>
    <row r="197" spans="1:7" s="275" customFormat="1" x14ac:dyDescent="0.15">
      <c r="A197" s="374">
        <v>77575</v>
      </c>
      <c r="B197" s="287" t="s">
        <v>1232</v>
      </c>
      <c r="C197" s="287" t="s">
        <v>1233</v>
      </c>
      <c r="D197" s="287"/>
      <c r="E197" s="380"/>
      <c r="F197" s="381">
        <v>975.09</v>
      </c>
    </row>
    <row r="198" spans="1:7" s="275" customFormat="1" x14ac:dyDescent="0.15">
      <c r="A198" s="374">
        <v>77661</v>
      </c>
      <c r="B198" s="287" t="s">
        <v>1234</v>
      </c>
      <c r="C198" s="287" t="s">
        <v>500</v>
      </c>
      <c r="D198" s="287"/>
      <c r="E198" s="380"/>
      <c r="F198" s="381">
        <v>1175.06</v>
      </c>
    </row>
    <row r="199" spans="1:7" s="275" customFormat="1" x14ac:dyDescent="0.15">
      <c r="A199" s="376">
        <v>77714</v>
      </c>
      <c r="B199" s="359" t="s">
        <v>1235</v>
      </c>
      <c r="C199" s="359" t="s">
        <v>1236</v>
      </c>
      <c r="D199" s="287"/>
      <c r="E199" s="393"/>
      <c r="F199" s="381">
        <v>1169.72</v>
      </c>
    </row>
    <row r="200" spans="1:7" s="275" customFormat="1" x14ac:dyDescent="0.15">
      <c r="A200" s="376">
        <v>77714</v>
      </c>
      <c r="B200" s="359" t="s">
        <v>1238</v>
      </c>
      <c r="C200" s="359" t="s">
        <v>1239</v>
      </c>
      <c r="D200" s="287"/>
      <c r="E200" s="393"/>
      <c r="F200" s="381">
        <v>1046.03</v>
      </c>
    </row>
    <row r="201" spans="1:7" s="275" customFormat="1" x14ac:dyDescent="0.15">
      <c r="A201" s="376">
        <v>77715</v>
      </c>
      <c r="B201" s="359" t="s">
        <v>1240</v>
      </c>
      <c r="C201" s="359" t="s">
        <v>1241</v>
      </c>
      <c r="D201" s="287"/>
      <c r="E201" s="380"/>
      <c r="F201" s="381">
        <v>784.63</v>
      </c>
    </row>
    <row r="202" spans="1:7" s="275" customFormat="1" x14ac:dyDescent="0.15">
      <c r="A202" s="376">
        <v>79152</v>
      </c>
      <c r="B202" s="359" t="s">
        <v>1242</v>
      </c>
      <c r="C202" s="359" t="s">
        <v>1243</v>
      </c>
      <c r="D202" s="287"/>
      <c r="E202" s="380"/>
      <c r="F202" s="381">
        <v>342.3</v>
      </c>
    </row>
    <row r="203" spans="1:7" s="275" customFormat="1" x14ac:dyDescent="0.15">
      <c r="A203" s="374">
        <v>79344</v>
      </c>
      <c r="B203" s="287" t="s">
        <v>1244</v>
      </c>
      <c r="C203" s="287" t="s">
        <v>1245</v>
      </c>
      <c r="D203" s="287"/>
      <c r="E203" s="393"/>
      <c r="F203" s="381">
        <v>716.4</v>
      </c>
    </row>
    <row r="204" spans="1:7" s="275" customFormat="1" x14ac:dyDescent="0.15">
      <c r="A204" s="374">
        <v>79344</v>
      </c>
      <c r="B204" s="287" t="s">
        <v>1246</v>
      </c>
      <c r="C204" s="287" t="s">
        <v>1247</v>
      </c>
      <c r="D204" s="287"/>
      <c r="E204" s="393"/>
      <c r="F204" s="381">
        <v>816.89</v>
      </c>
    </row>
    <row r="205" spans="1:7" s="275" customFormat="1" x14ac:dyDescent="0.15">
      <c r="A205" s="374">
        <v>79344</v>
      </c>
      <c r="B205" s="287" t="s">
        <v>1248</v>
      </c>
      <c r="C205" s="287" t="s">
        <v>1249</v>
      </c>
      <c r="D205" s="287"/>
      <c r="E205" s="393"/>
      <c r="F205" s="381">
        <v>182.5</v>
      </c>
    </row>
    <row r="206" spans="1:7" s="275" customFormat="1" x14ac:dyDescent="0.15">
      <c r="A206" s="374">
        <v>79344</v>
      </c>
      <c r="B206" s="287" t="s">
        <v>1250</v>
      </c>
      <c r="C206" s="287" t="s">
        <v>1251</v>
      </c>
      <c r="D206" s="287"/>
      <c r="E206" s="393"/>
      <c r="F206" s="381">
        <v>32.799999999999997</v>
      </c>
    </row>
    <row r="207" spans="1:7" s="275" customFormat="1" x14ac:dyDescent="0.15">
      <c r="A207" s="374">
        <v>79344</v>
      </c>
      <c r="B207" s="287" t="s">
        <v>1252</v>
      </c>
      <c r="C207" s="287" t="s">
        <v>1253</v>
      </c>
      <c r="D207" s="287"/>
      <c r="E207" s="393"/>
      <c r="F207" s="381">
        <v>550.87</v>
      </c>
    </row>
    <row r="208" spans="1:7" s="275" customFormat="1" x14ac:dyDescent="0.15">
      <c r="A208" s="374">
        <v>79344</v>
      </c>
      <c r="B208" s="287" t="s">
        <v>1275</v>
      </c>
      <c r="C208" s="287" t="s">
        <v>1276</v>
      </c>
      <c r="D208" s="363"/>
      <c r="E208" s="380"/>
      <c r="F208" s="381">
        <v>569.97</v>
      </c>
      <c r="G208" s="278"/>
    </row>
    <row r="209" spans="1:7" s="275" customFormat="1" ht="14" thickBot="1" x14ac:dyDescent="0.2">
      <c r="A209" s="376"/>
      <c r="B209" s="359"/>
      <c r="C209" s="291" t="s">
        <v>115</v>
      </c>
      <c r="D209" s="383"/>
      <c r="E209" s="384"/>
      <c r="F209" s="385">
        <v>12111.819999999998</v>
      </c>
    </row>
    <row r="210" spans="1:7" s="275" customFormat="1" ht="14" thickTop="1" x14ac:dyDescent="0.15">
      <c r="A210" s="376"/>
      <c r="B210" s="359"/>
      <c r="C210" s="359"/>
      <c r="D210" s="287"/>
      <c r="E210" s="380"/>
      <c r="F210" s="381"/>
    </row>
    <row r="211" spans="1:7" s="275" customFormat="1" x14ac:dyDescent="0.15">
      <c r="A211" s="376"/>
      <c r="B211" s="359"/>
      <c r="C211" s="359"/>
      <c r="D211" s="287"/>
      <c r="E211" s="380"/>
      <c r="F211" s="381"/>
    </row>
    <row r="212" spans="1:7" s="275" customFormat="1" x14ac:dyDescent="0.15">
      <c r="A212" s="376"/>
      <c r="B212" s="359"/>
      <c r="C212" s="378" t="s">
        <v>1212</v>
      </c>
      <c r="D212" s="287"/>
      <c r="E212" s="380"/>
      <c r="F212" s="381"/>
    </row>
    <row r="213" spans="1:7" s="275" customFormat="1" x14ac:dyDescent="0.15">
      <c r="A213" s="376"/>
      <c r="B213" s="359"/>
      <c r="C213" s="378" t="s">
        <v>1139</v>
      </c>
      <c r="D213" s="287"/>
      <c r="E213" s="380"/>
      <c r="F213" s="381"/>
    </row>
    <row r="214" spans="1:7" s="275" customFormat="1" x14ac:dyDescent="0.15">
      <c r="A214" s="376"/>
      <c r="B214" s="359"/>
      <c r="C214" s="379">
        <v>41253</v>
      </c>
      <c r="D214" s="287"/>
      <c r="E214" s="380"/>
      <c r="F214" s="381"/>
    </row>
    <row r="215" spans="1:7" s="275" customFormat="1" x14ac:dyDescent="0.15">
      <c r="A215" s="376"/>
      <c r="B215" s="359"/>
      <c r="C215" s="379"/>
      <c r="D215" s="287"/>
      <c r="E215" s="380"/>
      <c r="F215" s="381"/>
    </row>
    <row r="216" spans="1:7" s="295" customFormat="1" x14ac:dyDescent="0.15">
      <c r="A216" s="374">
        <v>79153</v>
      </c>
      <c r="B216" s="287" t="s">
        <v>1232</v>
      </c>
      <c r="C216" s="287" t="s">
        <v>1277</v>
      </c>
      <c r="D216" s="287">
        <v>1019.1</v>
      </c>
      <c r="E216" s="380">
        <v>41261</v>
      </c>
      <c r="F216" s="381">
        <v>1104.3599999999999</v>
      </c>
      <c r="G216" s="298"/>
    </row>
    <row r="217" spans="1:7" s="295" customFormat="1" x14ac:dyDescent="0.15">
      <c r="A217" s="374">
        <v>79154</v>
      </c>
      <c r="B217" s="287" t="s">
        <v>1255</v>
      </c>
      <c r="C217" s="287" t="s">
        <v>1256</v>
      </c>
      <c r="D217" s="287">
        <v>1851</v>
      </c>
      <c r="E217" s="380">
        <v>41261</v>
      </c>
      <c r="F217" s="381">
        <v>1994.93</v>
      </c>
      <c r="G217" s="298"/>
    </row>
    <row r="218" spans="1:7" s="295" customFormat="1" x14ac:dyDescent="0.15">
      <c r="A218" s="374">
        <v>79155</v>
      </c>
      <c r="B218" s="287" t="s">
        <v>1257</v>
      </c>
      <c r="C218" s="287" t="s">
        <v>1258</v>
      </c>
      <c r="D218" s="287">
        <v>880.5</v>
      </c>
      <c r="E218" s="380">
        <v>41261</v>
      </c>
      <c r="F218" s="381">
        <v>959.22</v>
      </c>
      <c r="G218" s="298"/>
    </row>
    <row r="219" spans="1:7" s="295" customFormat="1" x14ac:dyDescent="0.15">
      <c r="A219" s="374">
        <v>79366</v>
      </c>
      <c r="B219" s="287" t="s">
        <v>1259</v>
      </c>
      <c r="C219" s="287" t="s">
        <v>1260</v>
      </c>
      <c r="D219" s="287">
        <v>273.3</v>
      </c>
      <c r="E219" s="380">
        <v>41261</v>
      </c>
      <c r="F219" s="381">
        <v>320.36</v>
      </c>
      <c r="G219" s="298"/>
    </row>
    <row r="220" spans="1:7" s="295" customFormat="1" x14ac:dyDescent="0.15">
      <c r="A220" s="374">
        <v>79370</v>
      </c>
      <c r="B220" s="287" t="s">
        <v>1261</v>
      </c>
      <c r="C220" s="287" t="s">
        <v>1262</v>
      </c>
      <c r="D220" s="287">
        <v>384.3</v>
      </c>
      <c r="E220" s="380">
        <v>41267</v>
      </c>
      <c r="F220" s="381">
        <v>438.51</v>
      </c>
      <c r="G220" s="298"/>
    </row>
    <row r="221" spans="1:7" s="295" customFormat="1" x14ac:dyDescent="0.15">
      <c r="A221" s="374">
        <v>79380</v>
      </c>
      <c r="B221" s="287" t="s">
        <v>1278</v>
      </c>
      <c r="C221" s="287" t="s">
        <v>1264</v>
      </c>
      <c r="D221" s="287">
        <v>728.4</v>
      </c>
      <c r="E221" s="380">
        <v>41261</v>
      </c>
      <c r="F221" s="381">
        <v>799.91</v>
      </c>
      <c r="G221" s="298"/>
    </row>
    <row r="222" spans="1:7" s="295" customFormat="1" x14ac:dyDescent="0.15">
      <c r="A222" s="374">
        <v>79383</v>
      </c>
      <c r="B222" s="287" t="s">
        <v>1265</v>
      </c>
      <c r="C222" s="287" t="s">
        <v>1266</v>
      </c>
      <c r="D222" s="287">
        <v>407.9</v>
      </c>
      <c r="E222" s="380">
        <v>41261</v>
      </c>
      <c r="F222" s="381">
        <v>463.64</v>
      </c>
      <c r="G222" s="298"/>
    </row>
    <row r="223" spans="1:7" s="295" customFormat="1" x14ac:dyDescent="0.15">
      <c r="A223" s="374">
        <v>79393</v>
      </c>
      <c r="B223" s="287" t="s">
        <v>1267</v>
      </c>
      <c r="C223" s="287" t="s">
        <v>1268</v>
      </c>
      <c r="D223" s="287">
        <v>693.5</v>
      </c>
      <c r="E223" s="380">
        <v>41261</v>
      </c>
      <c r="F223" s="381">
        <v>767.67</v>
      </c>
      <c r="G223" s="298"/>
    </row>
    <row r="224" spans="1:7" s="295" customFormat="1" x14ac:dyDescent="0.15">
      <c r="A224" s="374">
        <v>79949</v>
      </c>
      <c r="B224" s="287" t="s">
        <v>1269</v>
      </c>
      <c r="C224" s="287" t="s">
        <v>1270</v>
      </c>
      <c r="D224" s="287">
        <v>983.2</v>
      </c>
      <c r="E224" s="380">
        <v>41261</v>
      </c>
      <c r="F224" s="381">
        <v>1066.77</v>
      </c>
      <c r="G224" s="298"/>
    </row>
    <row r="225" spans="1:7" s="295" customFormat="1" x14ac:dyDescent="0.15">
      <c r="A225" s="374">
        <v>118456</v>
      </c>
      <c r="B225" s="287" t="s">
        <v>1271</v>
      </c>
      <c r="C225" s="287" t="s">
        <v>1272</v>
      </c>
      <c r="D225" s="287">
        <v>608.20000000000005</v>
      </c>
      <c r="E225" s="380">
        <v>41261</v>
      </c>
      <c r="F225" s="381">
        <v>674.04</v>
      </c>
      <c r="G225" s="298"/>
    </row>
    <row r="226" spans="1:7" s="275" customFormat="1" ht="14" thickBot="1" x14ac:dyDescent="0.2">
      <c r="A226" s="374"/>
      <c r="B226" s="287"/>
      <c r="C226" s="291" t="s">
        <v>115</v>
      </c>
      <c r="D226" s="394">
        <f>SUM(D216:D225)</f>
        <v>7829.3999999999987</v>
      </c>
      <c r="E226" s="384"/>
      <c r="F226" s="385">
        <v>8589.41</v>
      </c>
    </row>
    <row r="227" spans="1:7" s="275" customFormat="1" ht="14" thickTop="1" x14ac:dyDescent="0.15">
      <c r="A227" s="374"/>
      <c r="B227" s="287"/>
      <c r="C227" s="287"/>
      <c r="D227" s="287"/>
      <c r="E227" s="380"/>
      <c r="F227" s="381"/>
    </row>
    <row r="228" spans="1:7" s="275" customFormat="1" x14ac:dyDescent="0.15">
      <c r="A228" s="374"/>
      <c r="B228" s="287"/>
      <c r="C228" s="378" t="s">
        <v>1212</v>
      </c>
      <c r="D228" s="287"/>
      <c r="E228" s="380"/>
      <c r="F228" s="381"/>
    </row>
    <row r="229" spans="1:7" s="275" customFormat="1" x14ac:dyDescent="0.15">
      <c r="A229" s="374"/>
      <c r="B229" s="287"/>
      <c r="C229" s="378" t="s">
        <v>1139</v>
      </c>
      <c r="D229" s="287"/>
      <c r="E229" s="380"/>
      <c r="F229" s="381"/>
    </row>
    <row r="230" spans="1:7" s="275" customFormat="1" x14ac:dyDescent="0.15">
      <c r="A230" s="374"/>
      <c r="B230" s="287"/>
      <c r="C230" s="386">
        <v>41270</v>
      </c>
      <c r="D230" s="287"/>
      <c r="E230" s="380"/>
      <c r="F230" s="381"/>
    </row>
    <row r="231" spans="1:7" s="275" customFormat="1" x14ac:dyDescent="0.15">
      <c r="A231" s="376"/>
      <c r="B231" s="359"/>
      <c r="C231" s="359"/>
      <c r="D231" s="359"/>
      <c r="E231" s="357"/>
      <c r="F231" s="375"/>
    </row>
    <row r="232" spans="1:7" s="275" customFormat="1" ht="14" thickBot="1" x14ac:dyDescent="0.2">
      <c r="A232" s="387"/>
      <c r="B232" s="388"/>
      <c r="C232" s="291" t="s">
        <v>1192</v>
      </c>
      <c r="D232" s="394">
        <f>SUM(D209,D226)</f>
        <v>7829.3999999999987</v>
      </c>
      <c r="E232" s="367"/>
      <c r="F232" s="389">
        <v>20701.23</v>
      </c>
    </row>
    <row r="233" spans="1:7" s="275" customFormat="1" ht="14" thickTop="1" x14ac:dyDescent="0.15">
      <c r="E233" s="369"/>
      <c r="F233" s="278"/>
    </row>
    <row r="234" spans="1:7" s="275" customFormat="1" x14ac:dyDescent="0.15">
      <c r="A234" s="370">
        <v>77571</v>
      </c>
      <c r="B234" s="371" t="s">
        <v>1226</v>
      </c>
      <c r="C234" s="371" t="s">
        <v>1227</v>
      </c>
      <c r="D234" s="371">
        <v>1056.3</v>
      </c>
      <c r="E234" s="390"/>
      <c r="F234" s="391">
        <v>1143.33</v>
      </c>
    </row>
    <row r="235" spans="1:7" s="275" customFormat="1" x14ac:dyDescent="0.15">
      <c r="A235" s="374">
        <v>77572</v>
      </c>
      <c r="B235" s="287" t="s">
        <v>1228</v>
      </c>
      <c r="C235" s="287" t="s">
        <v>1229</v>
      </c>
      <c r="D235" s="287">
        <v>2147.5</v>
      </c>
      <c r="E235" s="380"/>
      <c r="F235" s="381">
        <v>2309.17</v>
      </c>
    </row>
    <row r="236" spans="1:7" s="275" customFormat="1" x14ac:dyDescent="0.15">
      <c r="A236" s="374">
        <v>77573</v>
      </c>
      <c r="B236" s="287" t="s">
        <v>1230</v>
      </c>
      <c r="C236" s="359" t="s">
        <v>1231</v>
      </c>
      <c r="D236" s="287">
        <v>846.7</v>
      </c>
      <c r="E236" s="392"/>
      <c r="F236" s="381">
        <v>923.81</v>
      </c>
      <c r="G236" s="359"/>
    </row>
    <row r="237" spans="1:7" s="275" customFormat="1" x14ac:dyDescent="0.15">
      <c r="A237" s="374">
        <v>77575</v>
      </c>
      <c r="B237" s="287" t="s">
        <v>1232</v>
      </c>
      <c r="C237" s="287" t="s">
        <v>1233</v>
      </c>
      <c r="D237" s="287">
        <v>995.6</v>
      </c>
      <c r="E237" s="380"/>
      <c r="F237" s="381">
        <v>973.91</v>
      </c>
    </row>
    <row r="238" spans="1:7" s="275" customFormat="1" x14ac:dyDescent="0.15">
      <c r="A238" s="374">
        <v>77661</v>
      </c>
      <c r="B238" s="287" t="s">
        <v>1234</v>
      </c>
      <c r="C238" s="287" t="s">
        <v>500</v>
      </c>
      <c r="D238" s="287">
        <v>1277.2</v>
      </c>
      <c r="E238" s="380"/>
      <c r="F238" s="381">
        <v>1374.68</v>
      </c>
    </row>
    <row r="239" spans="1:7" s="275" customFormat="1" x14ac:dyDescent="0.15">
      <c r="A239" s="376">
        <v>77714</v>
      </c>
      <c r="B239" s="359" t="s">
        <v>1235</v>
      </c>
      <c r="C239" s="359" t="s">
        <v>1236</v>
      </c>
      <c r="D239" s="287">
        <v>1315.2</v>
      </c>
      <c r="E239" s="393"/>
      <c r="F239" s="381">
        <v>1414.47</v>
      </c>
    </row>
    <row r="240" spans="1:7" s="275" customFormat="1" x14ac:dyDescent="0.15">
      <c r="A240" s="376">
        <v>77714</v>
      </c>
      <c r="B240" s="359" t="s">
        <v>1238</v>
      </c>
      <c r="C240" s="359" t="s">
        <v>1239</v>
      </c>
      <c r="D240" s="287">
        <v>1154.9000000000001</v>
      </c>
      <c r="E240" s="393"/>
      <c r="F240" s="381">
        <v>1246.5899999999999</v>
      </c>
    </row>
    <row r="241" spans="1:7" s="275" customFormat="1" x14ac:dyDescent="0.15">
      <c r="A241" s="376">
        <v>77715</v>
      </c>
      <c r="B241" s="359" t="s">
        <v>1240</v>
      </c>
      <c r="C241" s="359" t="s">
        <v>1241</v>
      </c>
      <c r="D241" s="287">
        <v>800.4</v>
      </c>
      <c r="E241" s="380"/>
      <c r="F241" s="381">
        <v>875.32</v>
      </c>
    </row>
    <row r="242" spans="1:7" s="275" customFormat="1" x14ac:dyDescent="0.15">
      <c r="A242" s="376">
        <v>79152</v>
      </c>
      <c r="B242" s="359" t="s">
        <v>1242</v>
      </c>
      <c r="C242" s="359" t="s">
        <v>1243</v>
      </c>
      <c r="D242" s="395"/>
      <c r="E242" s="396"/>
      <c r="F242" s="381">
        <v>0</v>
      </c>
    </row>
    <row r="243" spans="1:7" s="275" customFormat="1" x14ac:dyDescent="0.15">
      <c r="A243" s="374">
        <v>79344</v>
      </c>
      <c r="B243" s="287" t="s">
        <v>1244</v>
      </c>
      <c r="C243" s="287" t="s">
        <v>1245</v>
      </c>
      <c r="D243" s="287">
        <v>1263.7</v>
      </c>
      <c r="E243" s="393"/>
      <c r="F243" s="381">
        <v>1360.53</v>
      </c>
    </row>
    <row r="244" spans="1:7" s="275" customFormat="1" x14ac:dyDescent="0.15">
      <c r="A244" s="374">
        <v>79344</v>
      </c>
      <c r="B244" s="287" t="s">
        <v>1246</v>
      </c>
      <c r="C244" s="287" t="s">
        <v>1247</v>
      </c>
      <c r="D244" s="287">
        <v>863.1</v>
      </c>
      <c r="E244" s="393"/>
      <c r="F244" s="381">
        <v>940.99</v>
      </c>
    </row>
    <row r="245" spans="1:7" s="275" customFormat="1" x14ac:dyDescent="0.15">
      <c r="A245" s="374">
        <v>79344</v>
      </c>
      <c r="B245" s="287" t="s">
        <v>1248</v>
      </c>
      <c r="C245" s="287" t="s">
        <v>1249</v>
      </c>
      <c r="D245" s="287">
        <v>169.5</v>
      </c>
      <c r="E245" s="393"/>
      <c r="F245" s="381">
        <v>209.87</v>
      </c>
    </row>
    <row r="246" spans="1:7" s="275" customFormat="1" x14ac:dyDescent="0.15">
      <c r="A246" s="374">
        <v>79344</v>
      </c>
      <c r="B246" s="287" t="s">
        <v>1250</v>
      </c>
      <c r="C246" s="287" t="s">
        <v>1251</v>
      </c>
      <c r="D246" s="287">
        <v>52.4</v>
      </c>
      <c r="E246" s="393"/>
      <c r="F246" s="381">
        <v>83.01</v>
      </c>
    </row>
    <row r="247" spans="1:7" s="275" customFormat="1" x14ac:dyDescent="0.15">
      <c r="A247" s="374">
        <v>79344</v>
      </c>
      <c r="B247" s="287" t="s">
        <v>1252</v>
      </c>
      <c r="C247" s="287" t="s">
        <v>1253</v>
      </c>
      <c r="D247" s="287">
        <v>914.4</v>
      </c>
      <c r="E247" s="393"/>
      <c r="F247" s="381">
        <v>994.71</v>
      </c>
    </row>
    <row r="248" spans="1:7" s="275" customFormat="1" x14ac:dyDescent="0.15">
      <c r="A248" s="374">
        <v>79344</v>
      </c>
      <c r="B248" s="287" t="s">
        <v>1275</v>
      </c>
      <c r="C248" s="287" t="s">
        <v>1276</v>
      </c>
      <c r="D248" s="397">
        <v>981.2</v>
      </c>
      <c r="E248" s="380"/>
      <c r="F248" s="381">
        <v>1064.68</v>
      </c>
      <c r="G248" s="278"/>
    </row>
    <row r="249" spans="1:7" s="275" customFormat="1" x14ac:dyDescent="0.15">
      <c r="A249" s="374">
        <v>79344</v>
      </c>
      <c r="B249" s="287" t="s">
        <v>1279</v>
      </c>
      <c r="C249" s="287" t="s">
        <v>1280</v>
      </c>
      <c r="D249" s="397">
        <v>2620.6</v>
      </c>
      <c r="E249" s="380"/>
      <c r="F249" s="381">
        <v>2784.23</v>
      </c>
      <c r="G249" s="278"/>
    </row>
    <row r="250" spans="1:7" s="275" customFormat="1" ht="14" thickBot="1" x14ac:dyDescent="0.2">
      <c r="A250" s="376"/>
      <c r="B250" s="359"/>
      <c r="C250" s="291" t="s">
        <v>115</v>
      </c>
      <c r="D250" s="383">
        <f>SUM(D234:D249)</f>
        <v>16458.7</v>
      </c>
      <c r="E250" s="384"/>
      <c r="F250" s="385">
        <v>17699.3</v>
      </c>
    </row>
    <row r="251" spans="1:7" s="275" customFormat="1" ht="14" thickTop="1" x14ac:dyDescent="0.15">
      <c r="A251" s="376"/>
      <c r="B251" s="359"/>
      <c r="C251" s="359"/>
      <c r="D251" s="287"/>
      <c r="E251" s="380"/>
      <c r="F251" s="381"/>
    </row>
    <row r="252" spans="1:7" s="275" customFormat="1" x14ac:dyDescent="0.15">
      <c r="A252" s="376"/>
      <c r="B252" s="359"/>
      <c r="C252" s="359"/>
      <c r="D252" s="287"/>
      <c r="E252" s="380"/>
      <c r="F252" s="381"/>
    </row>
    <row r="253" spans="1:7" s="275" customFormat="1" x14ac:dyDescent="0.15">
      <c r="A253" s="376"/>
      <c r="B253" s="359"/>
      <c r="C253" s="378" t="s">
        <v>1212</v>
      </c>
      <c r="D253" s="287"/>
      <c r="E253" s="380"/>
      <c r="F253" s="381"/>
    </row>
    <row r="254" spans="1:7" s="275" customFormat="1" x14ac:dyDescent="0.15">
      <c r="A254" s="376"/>
      <c r="B254" s="359"/>
      <c r="C254" s="378" t="s">
        <v>1139</v>
      </c>
      <c r="D254" s="287"/>
      <c r="E254" s="380"/>
      <c r="F254" s="381"/>
    </row>
    <row r="255" spans="1:7" s="275" customFormat="1" x14ac:dyDescent="0.15">
      <c r="A255" s="376"/>
      <c r="B255" s="359"/>
      <c r="C255" s="379">
        <v>41289</v>
      </c>
      <c r="D255" s="287"/>
      <c r="E255" s="380"/>
      <c r="F255" s="381"/>
    </row>
    <row r="256" spans="1:7" s="275" customFormat="1" x14ac:dyDescent="0.15">
      <c r="A256" s="376"/>
      <c r="B256" s="359"/>
      <c r="C256" s="379"/>
      <c r="D256" s="287"/>
      <c r="E256" s="380"/>
      <c r="F256" s="381"/>
    </row>
    <row r="257" spans="1:7" s="295" customFormat="1" x14ac:dyDescent="0.15">
      <c r="A257" s="374">
        <v>79153</v>
      </c>
      <c r="B257" s="287" t="s">
        <v>1232</v>
      </c>
      <c r="C257" s="287" t="s">
        <v>1277</v>
      </c>
      <c r="D257" s="287">
        <v>1246.2</v>
      </c>
      <c r="E257" s="380">
        <v>41291</v>
      </c>
      <c r="F257" s="381">
        <v>1342.21</v>
      </c>
      <c r="G257" s="298"/>
    </row>
    <row r="258" spans="1:7" s="295" customFormat="1" x14ac:dyDescent="0.15">
      <c r="A258" s="374">
        <v>79154</v>
      </c>
      <c r="B258" s="287" t="s">
        <v>1255</v>
      </c>
      <c r="C258" s="287" t="s">
        <v>1256</v>
      </c>
      <c r="D258" s="287">
        <v>1967.9</v>
      </c>
      <c r="E258" s="380">
        <v>41291</v>
      </c>
      <c r="F258" s="381">
        <v>2118.8200000000002</v>
      </c>
      <c r="G258" s="298"/>
    </row>
    <row r="259" spans="1:7" s="295" customFormat="1" x14ac:dyDescent="0.15">
      <c r="A259" s="374">
        <v>79155</v>
      </c>
      <c r="B259" s="287" t="s">
        <v>1257</v>
      </c>
      <c r="C259" s="287" t="s">
        <v>1258</v>
      </c>
      <c r="D259" s="287">
        <v>910.9</v>
      </c>
      <c r="E259" s="380">
        <v>41291</v>
      </c>
      <c r="F259" s="381">
        <v>991.05</v>
      </c>
      <c r="G259" s="298"/>
    </row>
    <row r="260" spans="1:7" s="295" customFormat="1" x14ac:dyDescent="0.15">
      <c r="A260" s="374">
        <v>79366</v>
      </c>
      <c r="B260" s="287" t="s">
        <v>1259</v>
      </c>
      <c r="C260" s="287" t="s">
        <v>1260</v>
      </c>
      <c r="D260" s="287">
        <v>333.8</v>
      </c>
      <c r="E260" s="380">
        <v>41291</v>
      </c>
      <c r="F260" s="381">
        <v>384.76</v>
      </c>
      <c r="G260" s="298"/>
    </row>
    <row r="261" spans="1:7" s="295" customFormat="1" x14ac:dyDescent="0.15">
      <c r="A261" s="374">
        <v>79370</v>
      </c>
      <c r="B261" s="287" t="s">
        <v>1261</v>
      </c>
      <c r="C261" s="287" t="s">
        <v>1262</v>
      </c>
      <c r="D261" s="287">
        <v>383</v>
      </c>
      <c r="E261" s="380">
        <v>41291</v>
      </c>
      <c r="F261" s="381">
        <v>437.13</v>
      </c>
      <c r="G261" s="298"/>
    </row>
    <row r="262" spans="1:7" s="295" customFormat="1" x14ac:dyDescent="0.15">
      <c r="A262" s="374">
        <v>79380</v>
      </c>
      <c r="B262" s="287" t="s">
        <v>1278</v>
      </c>
      <c r="C262" s="287" t="s">
        <v>1264</v>
      </c>
      <c r="D262" s="287">
        <v>702.4</v>
      </c>
      <c r="E262" s="380">
        <v>41291</v>
      </c>
      <c r="F262" s="381">
        <v>772.69</v>
      </c>
      <c r="G262" s="298"/>
    </row>
    <row r="263" spans="1:7" s="295" customFormat="1" x14ac:dyDescent="0.15">
      <c r="A263" s="374">
        <v>79383</v>
      </c>
      <c r="B263" s="287" t="s">
        <v>1265</v>
      </c>
      <c r="C263" s="287" t="s">
        <v>1266</v>
      </c>
      <c r="D263" s="287">
        <v>462.1</v>
      </c>
      <c r="E263" s="380">
        <v>41291</v>
      </c>
      <c r="F263" s="381">
        <v>521.34</v>
      </c>
      <c r="G263" s="298"/>
    </row>
    <row r="264" spans="1:7" s="295" customFormat="1" x14ac:dyDescent="0.15">
      <c r="A264" s="374">
        <v>79393</v>
      </c>
      <c r="B264" s="287" t="s">
        <v>1267</v>
      </c>
      <c r="C264" s="287" t="s">
        <v>1268</v>
      </c>
      <c r="D264" s="287">
        <v>804.1</v>
      </c>
      <c r="E264" s="380">
        <v>41291</v>
      </c>
      <c r="F264" s="381">
        <v>885.39</v>
      </c>
      <c r="G264" s="298"/>
    </row>
    <row r="265" spans="1:7" s="295" customFormat="1" x14ac:dyDescent="0.15">
      <c r="A265" s="374">
        <v>79949</v>
      </c>
      <c r="B265" s="287" t="s">
        <v>1269</v>
      </c>
      <c r="C265" s="287" t="s">
        <v>1270</v>
      </c>
      <c r="D265" s="287">
        <v>1078.3</v>
      </c>
      <c r="E265" s="380">
        <v>41291</v>
      </c>
      <c r="F265" s="381">
        <v>1166.3699999999999</v>
      </c>
      <c r="G265" s="298"/>
    </row>
    <row r="266" spans="1:7" s="295" customFormat="1" x14ac:dyDescent="0.15">
      <c r="A266" s="374">
        <v>118456</v>
      </c>
      <c r="B266" s="287" t="s">
        <v>1271</v>
      </c>
      <c r="C266" s="287" t="s">
        <v>1272</v>
      </c>
      <c r="D266" s="287">
        <v>737.4</v>
      </c>
      <c r="E266" s="380">
        <v>41291</v>
      </c>
      <c r="F266" s="381">
        <v>809.34</v>
      </c>
      <c r="G266" s="298"/>
    </row>
    <row r="267" spans="1:7" s="275" customFormat="1" ht="14" thickBot="1" x14ac:dyDescent="0.2">
      <c r="A267" s="374"/>
      <c r="B267" s="287"/>
      <c r="C267" s="291" t="s">
        <v>115</v>
      </c>
      <c r="D267" s="394">
        <f>SUM(D257:D266)</f>
        <v>8626.1</v>
      </c>
      <c r="E267" s="384"/>
      <c r="F267" s="385">
        <v>9429.1</v>
      </c>
    </row>
    <row r="268" spans="1:7" s="275" customFormat="1" ht="14" thickTop="1" x14ac:dyDescent="0.15">
      <c r="A268" s="374"/>
      <c r="B268" s="287"/>
      <c r="C268" s="287"/>
      <c r="D268" s="287"/>
      <c r="E268" s="380"/>
      <c r="F268" s="381"/>
    </row>
    <row r="269" spans="1:7" s="275" customFormat="1" x14ac:dyDescent="0.15">
      <c r="A269" s="374"/>
      <c r="B269" s="287"/>
      <c r="C269" s="378" t="s">
        <v>1212</v>
      </c>
      <c r="D269" s="287"/>
      <c r="E269" s="380"/>
      <c r="F269" s="381"/>
    </row>
    <row r="270" spans="1:7" s="275" customFormat="1" x14ac:dyDescent="0.15">
      <c r="A270" s="374"/>
      <c r="B270" s="287"/>
      <c r="C270" s="378" t="s">
        <v>1139</v>
      </c>
      <c r="D270" s="287"/>
      <c r="E270" s="380"/>
      <c r="F270" s="381"/>
    </row>
    <row r="271" spans="1:7" s="275" customFormat="1" x14ac:dyDescent="0.15">
      <c r="A271" s="374"/>
      <c r="B271" s="287"/>
      <c r="C271" s="386">
        <v>41297</v>
      </c>
      <c r="D271" s="287"/>
      <c r="E271" s="380"/>
      <c r="F271" s="381"/>
    </row>
    <row r="272" spans="1:7" s="275" customFormat="1" x14ac:dyDescent="0.15">
      <c r="A272" s="376"/>
      <c r="B272" s="359"/>
      <c r="C272" s="359"/>
      <c r="D272" s="359"/>
      <c r="E272" s="357"/>
      <c r="F272" s="375"/>
    </row>
    <row r="273" spans="1:7" s="275" customFormat="1" ht="14" thickBot="1" x14ac:dyDescent="0.2">
      <c r="A273" s="387"/>
      <c r="B273" s="388"/>
      <c r="C273" s="291" t="s">
        <v>1193</v>
      </c>
      <c r="D273" s="394">
        <f>SUM(D250,D267)</f>
        <v>25084.800000000003</v>
      </c>
      <c r="E273" s="367"/>
      <c r="F273" s="389">
        <v>27128.399999999998</v>
      </c>
    </row>
    <row r="274" spans="1:7" s="275" customFormat="1" ht="14" thickTop="1" x14ac:dyDescent="0.15">
      <c r="E274" s="369"/>
      <c r="F274" s="278"/>
    </row>
    <row r="275" spans="1:7" s="275" customFormat="1" x14ac:dyDescent="0.15">
      <c r="E275" s="369"/>
      <c r="F275" s="278"/>
    </row>
    <row r="276" spans="1:7" s="295" customFormat="1" x14ac:dyDescent="0.15">
      <c r="A276" s="370">
        <v>77571</v>
      </c>
      <c r="B276" s="371" t="s">
        <v>1226</v>
      </c>
      <c r="C276" s="371" t="s">
        <v>1227</v>
      </c>
      <c r="D276" s="371">
        <v>1614.8</v>
      </c>
      <c r="E276" s="390"/>
      <c r="F276" s="391">
        <v>1728.24</v>
      </c>
    </row>
    <row r="277" spans="1:7" s="295" customFormat="1" x14ac:dyDescent="0.15">
      <c r="A277" s="374">
        <v>77572</v>
      </c>
      <c r="B277" s="287" t="s">
        <v>1228</v>
      </c>
      <c r="C277" s="287" t="s">
        <v>1229</v>
      </c>
      <c r="D277" s="287">
        <v>3663.7</v>
      </c>
      <c r="E277" s="380"/>
      <c r="F277" s="381">
        <v>3916.03</v>
      </c>
    </row>
    <row r="278" spans="1:7" s="295" customFormat="1" x14ac:dyDescent="0.15">
      <c r="A278" s="374">
        <v>77573</v>
      </c>
      <c r="B278" s="287" t="s">
        <v>1230</v>
      </c>
      <c r="C278" s="287" t="s">
        <v>1231</v>
      </c>
      <c r="D278" s="287">
        <v>1310.9</v>
      </c>
      <c r="E278" s="392"/>
      <c r="F278" s="381">
        <v>1409.97</v>
      </c>
      <c r="G278" s="287"/>
    </row>
    <row r="279" spans="1:7" s="295" customFormat="1" x14ac:dyDescent="0.15">
      <c r="A279" s="374">
        <v>77575</v>
      </c>
      <c r="B279" s="287" t="s">
        <v>1232</v>
      </c>
      <c r="C279" s="287" t="s">
        <v>1233</v>
      </c>
      <c r="D279" s="287">
        <v>872.6</v>
      </c>
      <c r="E279" s="380"/>
      <c r="F279" s="381">
        <v>857.32</v>
      </c>
    </row>
    <row r="280" spans="1:7" s="295" customFormat="1" x14ac:dyDescent="0.15">
      <c r="A280" s="374">
        <v>77661</v>
      </c>
      <c r="B280" s="287" t="s">
        <v>1234</v>
      </c>
      <c r="C280" s="287" t="s">
        <v>500</v>
      </c>
      <c r="D280" s="287">
        <v>2045.9</v>
      </c>
      <c r="E280" s="380"/>
      <c r="F280" s="381">
        <v>2179.7399999999998</v>
      </c>
    </row>
    <row r="281" spans="1:7" s="295" customFormat="1" x14ac:dyDescent="0.15">
      <c r="A281" s="374">
        <v>77714</v>
      </c>
      <c r="B281" s="287" t="s">
        <v>1235</v>
      </c>
      <c r="C281" s="287" t="s">
        <v>1236</v>
      </c>
      <c r="D281" s="287">
        <v>1938.1</v>
      </c>
      <c r="E281" s="393"/>
      <c r="F281" s="381">
        <v>2066.83</v>
      </c>
    </row>
    <row r="282" spans="1:7" s="295" customFormat="1" x14ac:dyDescent="0.15">
      <c r="A282" s="374">
        <v>77714</v>
      </c>
      <c r="B282" s="287" t="s">
        <v>1238</v>
      </c>
      <c r="C282" s="287" t="s">
        <v>1239</v>
      </c>
      <c r="D282" s="287">
        <v>1597.3</v>
      </c>
      <c r="E282" s="393"/>
      <c r="F282" s="381">
        <v>1709.92</v>
      </c>
    </row>
    <row r="283" spans="1:7" s="295" customFormat="1" x14ac:dyDescent="0.15">
      <c r="A283" s="374">
        <v>77715</v>
      </c>
      <c r="B283" s="287" t="s">
        <v>1240</v>
      </c>
      <c r="C283" s="287" t="s">
        <v>1241</v>
      </c>
      <c r="D283" s="287">
        <v>1232.9000000000001</v>
      </c>
      <c r="E283" s="380"/>
      <c r="F283" s="381">
        <v>1328.28</v>
      </c>
    </row>
    <row r="284" spans="1:7" s="275" customFormat="1" x14ac:dyDescent="0.15">
      <c r="A284" s="376">
        <v>79152</v>
      </c>
      <c r="B284" s="359" t="s">
        <v>1242</v>
      </c>
      <c r="C284" s="359" t="s">
        <v>1243</v>
      </c>
      <c r="D284" s="395"/>
      <c r="E284" s="396"/>
      <c r="F284" s="381">
        <v>0</v>
      </c>
    </row>
    <row r="285" spans="1:7" s="295" customFormat="1" x14ac:dyDescent="0.15">
      <c r="A285" s="374">
        <v>79344</v>
      </c>
      <c r="B285" s="287" t="s">
        <v>1244</v>
      </c>
      <c r="C285" s="287" t="s">
        <v>1245</v>
      </c>
      <c r="D285" s="287">
        <v>1330.9</v>
      </c>
      <c r="E285" s="393"/>
      <c r="F285" s="381">
        <v>1430.92</v>
      </c>
    </row>
    <row r="286" spans="1:7" s="295" customFormat="1" x14ac:dyDescent="0.15">
      <c r="A286" s="374">
        <v>79344</v>
      </c>
      <c r="B286" s="287" t="s">
        <v>1246</v>
      </c>
      <c r="C286" s="287" t="s">
        <v>1247</v>
      </c>
      <c r="D286" s="287">
        <v>1244.2</v>
      </c>
      <c r="E286" s="393"/>
      <c r="F286" s="381">
        <v>1340.12</v>
      </c>
    </row>
    <row r="287" spans="1:7" s="295" customFormat="1" x14ac:dyDescent="0.15">
      <c r="A287" s="374">
        <v>79344</v>
      </c>
      <c r="B287" s="287" t="s">
        <v>1248</v>
      </c>
      <c r="C287" s="287" t="s">
        <v>1249</v>
      </c>
      <c r="D287" s="287">
        <v>310</v>
      </c>
      <c r="E287" s="393"/>
      <c r="F287" s="381">
        <v>359.43</v>
      </c>
    </row>
    <row r="288" spans="1:7" s="295" customFormat="1" x14ac:dyDescent="0.15">
      <c r="A288" s="374">
        <v>79344</v>
      </c>
      <c r="B288" s="287" t="s">
        <v>1250</v>
      </c>
      <c r="C288" s="287" t="s">
        <v>1251</v>
      </c>
      <c r="D288" s="287">
        <v>69.8</v>
      </c>
      <c r="E288" s="393"/>
      <c r="F288" s="381">
        <v>103.73</v>
      </c>
    </row>
    <row r="289" spans="1:7" s="295" customFormat="1" x14ac:dyDescent="0.15">
      <c r="A289" s="374">
        <v>79344</v>
      </c>
      <c r="B289" s="287" t="s">
        <v>1252</v>
      </c>
      <c r="C289" s="287" t="s">
        <v>1253</v>
      </c>
      <c r="D289" s="287">
        <v>1004.4</v>
      </c>
      <c r="E289" s="393"/>
      <c r="F289" s="381">
        <v>1088.97</v>
      </c>
    </row>
    <row r="290" spans="1:7" s="295" customFormat="1" x14ac:dyDescent="0.15">
      <c r="A290" s="374">
        <v>79344</v>
      </c>
      <c r="B290" s="287" t="s">
        <v>1275</v>
      </c>
      <c r="C290" s="287" t="s">
        <v>1276</v>
      </c>
      <c r="D290" s="397">
        <v>1047.5</v>
      </c>
      <c r="E290" s="380"/>
      <c r="F290" s="381">
        <v>1134.1199999999999</v>
      </c>
      <c r="G290" s="298"/>
    </row>
    <row r="291" spans="1:7" s="295" customFormat="1" x14ac:dyDescent="0.15">
      <c r="A291" s="374">
        <v>79344</v>
      </c>
      <c r="B291" s="287" t="s">
        <v>1279</v>
      </c>
      <c r="C291" s="287" t="s">
        <v>1280</v>
      </c>
      <c r="D291" s="397">
        <v>7461.9</v>
      </c>
      <c r="E291" s="380"/>
      <c r="F291" s="381">
        <v>7851.92</v>
      </c>
      <c r="G291" s="298"/>
    </row>
    <row r="292" spans="1:7" s="275" customFormat="1" ht="14" thickBot="1" x14ac:dyDescent="0.2">
      <c r="A292" s="376"/>
      <c r="B292" s="359"/>
      <c r="C292" s="291" t="s">
        <v>115</v>
      </c>
      <c r="D292" s="383">
        <f>SUM(D276:D291)</f>
        <v>26744.9</v>
      </c>
      <c r="E292" s="384"/>
      <c r="F292" s="385">
        <v>28505.54</v>
      </c>
    </row>
    <row r="293" spans="1:7" s="275" customFormat="1" ht="14" thickTop="1" x14ac:dyDescent="0.15">
      <c r="A293" s="376"/>
      <c r="B293" s="359"/>
      <c r="C293" s="359"/>
      <c r="D293" s="287"/>
      <c r="E293" s="380"/>
      <c r="F293" s="381"/>
    </row>
    <row r="294" spans="1:7" s="275" customFormat="1" x14ac:dyDescent="0.15">
      <c r="A294" s="376"/>
      <c r="B294" s="359"/>
      <c r="C294" s="359"/>
      <c r="D294" s="287"/>
      <c r="E294" s="380"/>
      <c r="F294" s="381"/>
    </row>
    <row r="295" spans="1:7" s="275" customFormat="1" x14ac:dyDescent="0.15">
      <c r="A295" s="376"/>
      <c r="B295" s="359"/>
      <c r="C295" s="378" t="s">
        <v>1212</v>
      </c>
      <c r="D295" s="287"/>
      <c r="E295" s="380"/>
      <c r="F295" s="381"/>
    </row>
    <row r="296" spans="1:7" s="275" customFormat="1" x14ac:dyDescent="0.15">
      <c r="A296" s="376"/>
      <c r="B296" s="359"/>
      <c r="C296" s="378" t="s">
        <v>1139</v>
      </c>
      <c r="D296" s="287"/>
      <c r="E296" s="380"/>
      <c r="F296" s="381"/>
    </row>
    <row r="297" spans="1:7" s="275" customFormat="1" x14ac:dyDescent="0.15">
      <c r="A297" s="376"/>
      <c r="B297" s="359"/>
      <c r="C297" s="379">
        <v>41312</v>
      </c>
      <c r="D297" s="287"/>
      <c r="E297" s="380"/>
      <c r="F297" s="381"/>
    </row>
    <row r="298" spans="1:7" s="275" customFormat="1" x14ac:dyDescent="0.15">
      <c r="A298" s="376"/>
      <c r="B298" s="359"/>
      <c r="C298" s="379"/>
      <c r="D298" s="287"/>
      <c r="E298" s="380"/>
      <c r="F298" s="381"/>
    </row>
    <row r="299" spans="1:7" s="295" customFormat="1" x14ac:dyDescent="0.15">
      <c r="A299" s="374">
        <v>79153</v>
      </c>
      <c r="B299" s="287" t="s">
        <v>1232</v>
      </c>
      <c r="C299" s="287" t="s">
        <v>1277</v>
      </c>
      <c r="D299" s="287">
        <v>1417.8</v>
      </c>
      <c r="E299" s="380">
        <v>41324</v>
      </c>
      <c r="F299" s="381">
        <v>1521.92</v>
      </c>
      <c r="G299" s="298"/>
    </row>
    <row r="300" spans="1:7" s="295" customFormat="1" x14ac:dyDescent="0.15">
      <c r="A300" s="374">
        <v>79154</v>
      </c>
      <c r="B300" s="287" t="s">
        <v>1255</v>
      </c>
      <c r="C300" s="287" t="s">
        <v>1256</v>
      </c>
      <c r="D300" s="287">
        <v>2380.6999999999998</v>
      </c>
      <c r="E300" s="380">
        <v>41324</v>
      </c>
      <c r="F300" s="381">
        <v>2556.31</v>
      </c>
      <c r="G300" s="298"/>
    </row>
    <row r="301" spans="1:7" s="295" customFormat="1" x14ac:dyDescent="0.15">
      <c r="A301" s="374">
        <v>79155</v>
      </c>
      <c r="B301" s="287" t="s">
        <v>1257</v>
      </c>
      <c r="C301" s="287" t="s">
        <v>1258</v>
      </c>
      <c r="D301" s="287">
        <v>1217.4000000000001</v>
      </c>
      <c r="E301" s="380">
        <v>41324</v>
      </c>
      <c r="F301" s="381">
        <v>1312.04</v>
      </c>
      <c r="G301" s="298"/>
    </row>
    <row r="302" spans="1:7" s="295" customFormat="1" x14ac:dyDescent="0.15">
      <c r="A302" s="374">
        <v>79366</v>
      </c>
      <c r="B302" s="287" t="s">
        <v>1259</v>
      </c>
      <c r="C302" s="287" t="s">
        <v>1260</v>
      </c>
      <c r="D302" s="287">
        <v>420.9</v>
      </c>
      <c r="E302" s="380">
        <v>41324</v>
      </c>
      <c r="F302" s="381">
        <v>477.48</v>
      </c>
      <c r="G302" s="298"/>
    </row>
    <row r="303" spans="1:7" s="295" customFormat="1" x14ac:dyDescent="0.15">
      <c r="A303" s="374">
        <v>79370</v>
      </c>
      <c r="B303" s="287" t="s">
        <v>1261</v>
      </c>
      <c r="C303" s="287" t="s">
        <v>1262</v>
      </c>
      <c r="D303" s="287">
        <v>545.1</v>
      </c>
      <c r="E303" s="380">
        <v>41324</v>
      </c>
      <c r="F303" s="381">
        <v>609.69000000000005</v>
      </c>
      <c r="G303" s="298"/>
    </row>
    <row r="304" spans="1:7" s="295" customFormat="1" x14ac:dyDescent="0.15">
      <c r="A304" s="374">
        <v>79380</v>
      </c>
      <c r="B304" s="287" t="s">
        <v>1278</v>
      </c>
      <c r="C304" s="287" t="s">
        <v>1264</v>
      </c>
      <c r="D304" s="287">
        <v>775</v>
      </c>
      <c r="E304" s="380">
        <v>41324</v>
      </c>
      <c r="F304" s="381">
        <v>848.73</v>
      </c>
      <c r="G304" s="298"/>
    </row>
    <row r="305" spans="1:7" s="295" customFormat="1" x14ac:dyDescent="0.15">
      <c r="A305" s="374">
        <v>79383</v>
      </c>
      <c r="B305" s="287" t="s">
        <v>1265</v>
      </c>
      <c r="C305" s="287" t="s">
        <v>1266</v>
      </c>
      <c r="D305" s="287">
        <v>566.6</v>
      </c>
      <c r="E305" s="380">
        <v>41324</v>
      </c>
      <c r="F305" s="381">
        <v>632.57000000000005</v>
      </c>
      <c r="G305" s="298"/>
    </row>
    <row r="306" spans="1:7" s="295" customFormat="1" x14ac:dyDescent="0.15">
      <c r="A306" s="374">
        <v>79393</v>
      </c>
      <c r="B306" s="287" t="s">
        <v>1267</v>
      </c>
      <c r="C306" s="287" t="s">
        <v>1268</v>
      </c>
      <c r="D306" s="287">
        <v>989.5</v>
      </c>
      <c r="E306" s="380">
        <v>41324</v>
      </c>
      <c r="F306" s="381">
        <v>1082.76</v>
      </c>
      <c r="G306" s="298"/>
    </row>
    <row r="307" spans="1:7" s="295" customFormat="1" x14ac:dyDescent="0.15">
      <c r="A307" s="374">
        <v>79949</v>
      </c>
      <c r="B307" s="287" t="s">
        <v>1269</v>
      </c>
      <c r="C307" s="287" t="s">
        <v>1270</v>
      </c>
      <c r="D307" s="287">
        <v>1444.3</v>
      </c>
      <c r="E307" s="380">
        <v>41324</v>
      </c>
      <c r="F307" s="381">
        <v>1549.68</v>
      </c>
      <c r="G307" s="298"/>
    </row>
    <row r="308" spans="1:7" s="295" customFormat="1" x14ac:dyDescent="0.15">
      <c r="A308" s="374">
        <v>118456</v>
      </c>
      <c r="B308" s="287" t="s">
        <v>1271</v>
      </c>
      <c r="C308" s="287" t="s">
        <v>1272</v>
      </c>
      <c r="D308" s="287">
        <v>903.3</v>
      </c>
      <c r="E308" s="380">
        <v>41324</v>
      </c>
      <c r="F308" s="381">
        <v>983.09</v>
      </c>
      <c r="G308" s="298"/>
    </row>
    <row r="309" spans="1:7" s="275" customFormat="1" ht="14" thickBot="1" x14ac:dyDescent="0.2">
      <c r="A309" s="374"/>
      <c r="B309" s="287"/>
      <c r="C309" s="291" t="s">
        <v>115</v>
      </c>
      <c r="D309" s="394">
        <f>SUM(D299:D308)</f>
        <v>10660.599999999999</v>
      </c>
      <c r="E309" s="384"/>
      <c r="F309" s="385">
        <v>11574.27</v>
      </c>
    </row>
    <row r="310" spans="1:7" s="275" customFormat="1" ht="14" thickTop="1" x14ac:dyDescent="0.15">
      <c r="A310" s="374"/>
      <c r="B310" s="287"/>
      <c r="C310" s="287"/>
      <c r="D310" s="287"/>
      <c r="E310" s="380"/>
      <c r="F310" s="381"/>
    </row>
    <row r="311" spans="1:7" s="275" customFormat="1" x14ac:dyDescent="0.15">
      <c r="A311" s="374"/>
      <c r="B311" s="287"/>
      <c r="C311" s="378" t="s">
        <v>1212</v>
      </c>
      <c r="D311" s="287"/>
      <c r="E311" s="380"/>
      <c r="F311" s="381"/>
    </row>
    <row r="312" spans="1:7" s="275" customFormat="1" x14ac:dyDescent="0.15">
      <c r="A312" s="374"/>
      <c r="B312" s="287"/>
      <c r="C312" s="378" t="s">
        <v>1139</v>
      </c>
      <c r="D312" s="287"/>
      <c r="E312" s="380"/>
      <c r="F312" s="381"/>
    </row>
    <row r="313" spans="1:7" s="275" customFormat="1" x14ac:dyDescent="0.15">
      <c r="A313" s="374"/>
      <c r="B313" s="287"/>
      <c r="C313" s="386">
        <v>41330</v>
      </c>
      <c r="D313" s="287"/>
      <c r="E313" s="380"/>
      <c r="F313" s="381"/>
    </row>
    <row r="314" spans="1:7" s="275" customFormat="1" x14ac:dyDescent="0.15">
      <c r="A314" s="376"/>
      <c r="B314" s="359"/>
      <c r="C314" s="359"/>
      <c r="D314" s="359"/>
      <c r="E314" s="357"/>
      <c r="F314" s="375"/>
    </row>
    <row r="315" spans="1:7" s="275" customFormat="1" ht="14" thickBot="1" x14ac:dyDescent="0.2">
      <c r="A315" s="387"/>
      <c r="B315" s="388"/>
      <c r="C315" s="291" t="s">
        <v>1194</v>
      </c>
      <c r="D315" s="394">
        <f>SUM(D292,D309)</f>
        <v>37405.5</v>
      </c>
      <c r="E315" s="367"/>
      <c r="F315" s="389">
        <v>40079.81</v>
      </c>
    </row>
    <row r="316" spans="1:7" s="275" customFormat="1" ht="14" thickTop="1" x14ac:dyDescent="0.15">
      <c r="E316" s="369"/>
      <c r="F316" s="278"/>
    </row>
    <row r="317" spans="1:7" s="275" customFormat="1" x14ac:dyDescent="0.15">
      <c r="E317" s="369"/>
      <c r="F317" s="278"/>
    </row>
    <row r="318" spans="1:7" s="275" customFormat="1" x14ac:dyDescent="0.15">
      <c r="A318" s="370">
        <v>77571</v>
      </c>
      <c r="B318" s="371" t="s">
        <v>1226</v>
      </c>
      <c r="C318" s="371" t="s">
        <v>1227</v>
      </c>
      <c r="D318" s="371">
        <v>1270.3</v>
      </c>
      <c r="E318" s="390"/>
      <c r="F318" s="391">
        <v>1367.45</v>
      </c>
    </row>
    <row r="319" spans="1:7" s="275" customFormat="1" x14ac:dyDescent="0.15">
      <c r="A319" s="374">
        <v>77572</v>
      </c>
      <c r="B319" s="287" t="s">
        <v>1228</v>
      </c>
      <c r="C319" s="287" t="s">
        <v>1229</v>
      </c>
      <c r="D319" s="287">
        <v>2751</v>
      </c>
      <c r="E319" s="380"/>
      <c r="F319" s="381">
        <v>2948.75</v>
      </c>
    </row>
    <row r="320" spans="1:7" s="275" customFormat="1" x14ac:dyDescent="0.15">
      <c r="A320" s="374">
        <v>77573</v>
      </c>
      <c r="B320" s="287" t="s">
        <v>1230</v>
      </c>
      <c r="C320" s="287" t="s">
        <v>1231</v>
      </c>
      <c r="D320" s="287">
        <v>1069</v>
      </c>
      <c r="E320" s="392"/>
      <c r="F320" s="381">
        <v>1156.6300000000001</v>
      </c>
    </row>
    <row r="321" spans="1:6" s="275" customFormat="1" x14ac:dyDescent="0.15">
      <c r="A321" s="374">
        <v>77575</v>
      </c>
      <c r="B321" s="287" t="s">
        <v>1232</v>
      </c>
      <c r="C321" s="287" t="s">
        <v>1233</v>
      </c>
      <c r="D321" s="287">
        <v>1096.7</v>
      </c>
      <c r="E321" s="380"/>
      <c r="F321" s="381">
        <v>1068.95</v>
      </c>
    </row>
    <row r="322" spans="1:6" s="275" customFormat="1" x14ac:dyDescent="0.15">
      <c r="A322" s="374">
        <v>77661</v>
      </c>
      <c r="B322" s="287" t="s">
        <v>1234</v>
      </c>
      <c r="C322" s="287" t="s">
        <v>500</v>
      </c>
      <c r="D322" s="287">
        <v>1595.8</v>
      </c>
      <c r="E322" s="380"/>
      <c r="F322" s="381">
        <v>1708.34</v>
      </c>
    </row>
    <row r="323" spans="1:6" s="275" customFormat="1" x14ac:dyDescent="0.15">
      <c r="A323" s="374">
        <v>77714</v>
      </c>
      <c r="B323" s="287" t="s">
        <v>1235</v>
      </c>
      <c r="C323" s="287" t="s">
        <v>1236</v>
      </c>
      <c r="D323" s="287">
        <v>1518.8</v>
      </c>
      <c r="E323" s="393"/>
      <c r="F323" s="381">
        <v>1627.7</v>
      </c>
    </row>
    <row r="324" spans="1:6" s="275" customFormat="1" x14ac:dyDescent="0.15">
      <c r="A324" s="374">
        <v>77714</v>
      </c>
      <c r="B324" s="287" t="s">
        <v>1238</v>
      </c>
      <c r="C324" s="287" t="s">
        <v>1239</v>
      </c>
      <c r="D324" s="287">
        <v>1329.8</v>
      </c>
      <c r="E324" s="393"/>
      <c r="F324" s="381">
        <v>1429.76</v>
      </c>
    </row>
    <row r="325" spans="1:6" s="275" customFormat="1" x14ac:dyDescent="0.15">
      <c r="A325" s="374">
        <v>77715</v>
      </c>
      <c r="B325" s="287" t="s">
        <v>1240</v>
      </c>
      <c r="C325" s="287" t="s">
        <v>1241</v>
      </c>
      <c r="D325" s="287">
        <v>970.4</v>
      </c>
      <c r="E325" s="380"/>
      <c r="F325" s="381">
        <v>1053.3599999999999</v>
      </c>
    </row>
    <row r="326" spans="1:6" s="275" customFormat="1" x14ac:dyDescent="0.15">
      <c r="A326" s="376">
        <v>79152</v>
      </c>
      <c r="B326" s="359" t="s">
        <v>1242</v>
      </c>
      <c r="C326" s="359" t="s">
        <v>1243</v>
      </c>
      <c r="D326" s="287"/>
      <c r="E326" s="380"/>
      <c r="F326" s="381">
        <v>0</v>
      </c>
    </row>
    <row r="327" spans="1:6" s="275" customFormat="1" x14ac:dyDescent="0.15">
      <c r="A327" s="374">
        <v>79344</v>
      </c>
      <c r="B327" s="287" t="s">
        <v>1244</v>
      </c>
      <c r="C327" s="287" t="s">
        <v>1245</v>
      </c>
      <c r="D327" s="287">
        <v>1592.1</v>
      </c>
      <c r="E327" s="393"/>
      <c r="F327" s="381">
        <v>1704.47</v>
      </c>
    </row>
    <row r="328" spans="1:6" s="275" customFormat="1" x14ac:dyDescent="0.15">
      <c r="A328" s="374">
        <v>79344</v>
      </c>
      <c r="B328" s="287" t="s">
        <v>1246</v>
      </c>
      <c r="C328" s="287" t="s">
        <v>1247</v>
      </c>
      <c r="D328" s="287">
        <v>1036.0999999999999</v>
      </c>
      <c r="E328" s="393"/>
      <c r="F328" s="381">
        <v>1122.17</v>
      </c>
    </row>
    <row r="329" spans="1:6" s="275" customFormat="1" x14ac:dyDescent="0.15">
      <c r="A329" s="374">
        <v>79344</v>
      </c>
      <c r="B329" s="287" t="s">
        <v>1248</v>
      </c>
      <c r="C329" s="287" t="s">
        <v>1249</v>
      </c>
      <c r="D329" s="287">
        <v>222.8</v>
      </c>
      <c r="E329" s="393"/>
      <c r="F329" s="381">
        <v>266.58999999999997</v>
      </c>
    </row>
    <row r="330" spans="1:6" s="275" customFormat="1" x14ac:dyDescent="0.15">
      <c r="A330" s="374">
        <v>79344</v>
      </c>
      <c r="B330" s="287" t="s">
        <v>1250</v>
      </c>
      <c r="C330" s="287" t="s">
        <v>1251</v>
      </c>
      <c r="D330" s="287">
        <v>78</v>
      </c>
      <c r="E330" s="393"/>
      <c r="F330" s="381">
        <v>112.46</v>
      </c>
    </row>
    <row r="331" spans="1:6" s="275" customFormat="1" x14ac:dyDescent="0.15">
      <c r="A331" s="374">
        <v>79344</v>
      </c>
      <c r="B331" s="287" t="s">
        <v>1252</v>
      </c>
      <c r="C331" s="287" t="s">
        <v>1253</v>
      </c>
      <c r="D331" s="287">
        <v>1182.5</v>
      </c>
      <c r="E331" s="393"/>
      <c r="F331" s="381">
        <v>1275.5</v>
      </c>
    </row>
    <row r="332" spans="1:6" s="275" customFormat="1" x14ac:dyDescent="0.15">
      <c r="A332" s="374">
        <v>79344</v>
      </c>
      <c r="B332" s="287" t="s">
        <v>1275</v>
      </c>
      <c r="C332" s="287" t="s">
        <v>1276</v>
      </c>
      <c r="D332" s="397">
        <v>1299.5</v>
      </c>
      <c r="E332" s="380"/>
      <c r="F332" s="381">
        <v>1398.03</v>
      </c>
    </row>
    <row r="333" spans="1:6" s="275" customFormat="1" x14ac:dyDescent="0.15">
      <c r="A333" s="374">
        <v>79344</v>
      </c>
      <c r="B333" s="287" t="s">
        <v>1279</v>
      </c>
      <c r="C333" s="287" t="s">
        <v>1280</v>
      </c>
      <c r="D333" s="397">
        <v>5918.8</v>
      </c>
      <c r="E333" s="380"/>
      <c r="F333" s="381">
        <v>6235.82</v>
      </c>
    </row>
    <row r="334" spans="1:6" s="275" customFormat="1" ht="14" thickBot="1" x14ac:dyDescent="0.2">
      <c r="A334" s="376"/>
      <c r="B334" s="359"/>
      <c r="C334" s="291" t="s">
        <v>115</v>
      </c>
      <c r="D334" s="383">
        <f>SUM(D318:D333)</f>
        <v>22931.599999999999</v>
      </c>
      <c r="E334" s="384"/>
      <c r="F334" s="385">
        <v>24475.98</v>
      </c>
    </row>
    <row r="335" spans="1:6" s="275" customFormat="1" ht="14" thickTop="1" x14ac:dyDescent="0.15">
      <c r="A335" s="376"/>
      <c r="B335" s="359"/>
      <c r="C335" s="359"/>
      <c r="D335" s="287"/>
      <c r="E335" s="380"/>
      <c r="F335" s="381"/>
    </row>
    <row r="336" spans="1:6" s="275" customFormat="1" x14ac:dyDescent="0.15">
      <c r="A336" s="376"/>
      <c r="B336" s="359"/>
      <c r="C336" s="378" t="s">
        <v>1212</v>
      </c>
      <c r="D336" s="287"/>
      <c r="E336" s="380"/>
      <c r="F336" s="381"/>
    </row>
    <row r="337" spans="1:6" s="275" customFormat="1" x14ac:dyDescent="0.15">
      <c r="A337" s="376"/>
      <c r="B337" s="359"/>
      <c r="C337" s="378" t="s">
        <v>1139</v>
      </c>
      <c r="D337" s="287"/>
      <c r="E337" s="380"/>
      <c r="F337" s="381"/>
    </row>
    <row r="338" spans="1:6" s="275" customFormat="1" x14ac:dyDescent="0.15">
      <c r="A338" s="376"/>
      <c r="B338" s="359"/>
      <c r="C338" s="379">
        <v>41344</v>
      </c>
      <c r="D338" s="287"/>
      <c r="E338" s="380"/>
      <c r="F338" s="381"/>
    </row>
    <row r="339" spans="1:6" s="275" customFormat="1" x14ac:dyDescent="0.15">
      <c r="A339" s="376"/>
      <c r="B339" s="359"/>
      <c r="C339" s="379"/>
      <c r="D339" s="287"/>
      <c r="E339" s="380"/>
      <c r="F339" s="381"/>
    </row>
    <row r="340" spans="1:6" s="275" customFormat="1" x14ac:dyDescent="0.15">
      <c r="A340" s="374">
        <v>79153</v>
      </c>
      <c r="B340" s="287" t="s">
        <v>1232</v>
      </c>
      <c r="C340" s="287" t="s">
        <v>1277</v>
      </c>
      <c r="D340" s="287">
        <v>1092.5999999999999</v>
      </c>
      <c r="E340" s="380">
        <v>41351</v>
      </c>
      <c r="F340" s="381">
        <v>1181.3499999999999</v>
      </c>
    </row>
    <row r="341" spans="1:6" s="275" customFormat="1" x14ac:dyDescent="0.15">
      <c r="A341" s="374">
        <v>79154</v>
      </c>
      <c r="B341" s="287" t="s">
        <v>1255</v>
      </c>
      <c r="C341" s="287" t="s">
        <v>1256</v>
      </c>
      <c r="D341" s="287">
        <v>1859.8</v>
      </c>
      <c r="E341" s="380">
        <v>41351</v>
      </c>
      <c r="F341" s="381">
        <v>2004.25</v>
      </c>
    </row>
    <row r="342" spans="1:6" s="275" customFormat="1" x14ac:dyDescent="0.15">
      <c r="A342" s="374">
        <v>79155</v>
      </c>
      <c r="B342" s="287" t="s">
        <v>1257</v>
      </c>
      <c r="C342" s="287" t="s">
        <v>1258</v>
      </c>
      <c r="D342" s="287">
        <v>783.6</v>
      </c>
      <c r="E342" s="380">
        <v>41351</v>
      </c>
      <c r="F342" s="381">
        <v>857.73</v>
      </c>
    </row>
    <row r="343" spans="1:6" s="275" customFormat="1" x14ac:dyDescent="0.15">
      <c r="A343" s="374">
        <v>79366</v>
      </c>
      <c r="B343" s="287" t="s">
        <v>1259</v>
      </c>
      <c r="C343" s="287" t="s">
        <v>1260</v>
      </c>
      <c r="D343" s="287">
        <v>275.2</v>
      </c>
      <c r="E343" s="380">
        <v>41351</v>
      </c>
      <c r="F343" s="381">
        <v>322.38</v>
      </c>
    </row>
    <row r="344" spans="1:6" s="275" customFormat="1" x14ac:dyDescent="0.15">
      <c r="A344" s="374">
        <v>79370</v>
      </c>
      <c r="B344" s="287" t="s">
        <v>1261</v>
      </c>
      <c r="C344" s="287" t="s">
        <v>1262</v>
      </c>
      <c r="D344" s="287">
        <v>376.9</v>
      </c>
      <c r="E344" s="380">
        <v>41351</v>
      </c>
      <c r="F344" s="381">
        <v>430.65</v>
      </c>
    </row>
    <row r="345" spans="1:6" s="275" customFormat="1" x14ac:dyDescent="0.15">
      <c r="A345" s="374">
        <v>79380</v>
      </c>
      <c r="B345" s="287" t="s">
        <v>1278</v>
      </c>
      <c r="C345" s="287" t="s">
        <v>1264</v>
      </c>
      <c r="D345" s="287">
        <v>561.79999999999995</v>
      </c>
      <c r="E345" s="380">
        <v>41351</v>
      </c>
      <c r="F345" s="381">
        <v>625.42999999999995</v>
      </c>
    </row>
    <row r="346" spans="1:6" s="275" customFormat="1" x14ac:dyDescent="0.15">
      <c r="A346" s="374">
        <v>79383</v>
      </c>
      <c r="B346" s="287" t="s">
        <v>1265</v>
      </c>
      <c r="C346" s="287" t="s">
        <v>1266</v>
      </c>
      <c r="D346" s="287">
        <v>427.2</v>
      </c>
      <c r="E346" s="380">
        <v>41351</v>
      </c>
      <c r="F346" s="381">
        <v>484.19</v>
      </c>
    </row>
    <row r="347" spans="1:6" s="275" customFormat="1" x14ac:dyDescent="0.15">
      <c r="A347" s="374">
        <v>79393</v>
      </c>
      <c r="B347" s="287" t="s">
        <v>1267</v>
      </c>
      <c r="C347" s="287" t="s">
        <v>1268</v>
      </c>
      <c r="D347" s="287">
        <v>674.8</v>
      </c>
      <c r="E347" s="380">
        <v>41351</v>
      </c>
      <c r="F347" s="381">
        <v>747.75</v>
      </c>
    </row>
    <row r="348" spans="1:6" s="275" customFormat="1" x14ac:dyDescent="0.15">
      <c r="A348" s="374">
        <v>79949</v>
      </c>
      <c r="B348" s="287" t="s">
        <v>1269</v>
      </c>
      <c r="C348" s="287" t="s">
        <v>1270</v>
      </c>
      <c r="D348" s="287">
        <v>1041.4000000000001</v>
      </c>
      <c r="E348" s="380">
        <v>41351</v>
      </c>
      <c r="F348" s="381">
        <v>1127.72</v>
      </c>
    </row>
    <row r="349" spans="1:6" s="275" customFormat="1" x14ac:dyDescent="0.15">
      <c r="A349" s="374">
        <v>118456</v>
      </c>
      <c r="B349" s="287" t="s">
        <v>1271</v>
      </c>
      <c r="C349" s="287" t="s">
        <v>1272</v>
      </c>
      <c r="D349" s="287">
        <v>600.79999999999995</v>
      </c>
      <c r="E349" s="380">
        <v>41351</v>
      </c>
      <c r="F349" s="381">
        <v>666.27</v>
      </c>
    </row>
    <row r="350" spans="1:6" s="275" customFormat="1" ht="14" thickBot="1" x14ac:dyDescent="0.2">
      <c r="A350" s="374"/>
      <c r="B350" s="287"/>
      <c r="C350" s="291" t="s">
        <v>115</v>
      </c>
      <c r="D350" s="394">
        <f>SUM(D340:D349)</f>
        <v>7694.0999999999995</v>
      </c>
      <c r="E350" s="384"/>
      <c r="F350" s="385">
        <v>8447.7199999999993</v>
      </c>
    </row>
    <row r="351" spans="1:6" s="275" customFormat="1" ht="14" thickTop="1" x14ac:dyDescent="0.15">
      <c r="A351" s="374"/>
      <c r="B351" s="287"/>
      <c r="C351" s="287"/>
      <c r="D351" s="287"/>
      <c r="E351" s="380"/>
      <c r="F351" s="381"/>
    </row>
    <row r="352" spans="1:6" s="275" customFormat="1" x14ac:dyDescent="0.15">
      <c r="A352" s="374"/>
      <c r="B352" s="287"/>
      <c r="C352" s="378" t="s">
        <v>1212</v>
      </c>
      <c r="D352" s="287"/>
      <c r="E352" s="380"/>
      <c r="F352" s="381"/>
    </row>
    <row r="353" spans="1:6" s="275" customFormat="1" x14ac:dyDescent="0.15">
      <c r="A353" s="374"/>
      <c r="B353" s="287"/>
      <c r="C353" s="378" t="s">
        <v>1139</v>
      </c>
      <c r="D353" s="287"/>
      <c r="E353" s="380"/>
      <c r="F353" s="381"/>
    </row>
    <row r="354" spans="1:6" s="275" customFormat="1" x14ac:dyDescent="0.15">
      <c r="A354" s="374"/>
      <c r="B354" s="287"/>
      <c r="C354" s="386">
        <v>41355</v>
      </c>
      <c r="D354" s="287"/>
      <c r="E354" s="380"/>
      <c r="F354" s="381"/>
    </row>
    <row r="355" spans="1:6" s="275" customFormat="1" x14ac:dyDescent="0.15">
      <c r="A355" s="376"/>
      <c r="B355" s="359"/>
      <c r="C355" s="359"/>
      <c r="D355" s="359"/>
      <c r="E355" s="357"/>
      <c r="F355" s="375"/>
    </row>
    <row r="356" spans="1:6" s="275" customFormat="1" ht="14" thickBot="1" x14ac:dyDescent="0.2">
      <c r="A356" s="387"/>
      <c r="B356" s="388"/>
      <c r="C356" s="291" t="s">
        <v>1195</v>
      </c>
      <c r="D356" s="394">
        <f>SUM(D334,D350)</f>
        <v>30625.699999999997</v>
      </c>
      <c r="E356" s="367"/>
      <c r="F356" s="389">
        <v>32923.699999999997</v>
      </c>
    </row>
    <row r="357" spans="1:6" s="275" customFormat="1" ht="14" thickTop="1" x14ac:dyDescent="0.15">
      <c r="E357" s="369"/>
      <c r="F357" s="278"/>
    </row>
    <row r="358" spans="1:6" s="275" customFormat="1" x14ac:dyDescent="0.15">
      <c r="E358" s="369"/>
      <c r="F358" s="278"/>
    </row>
    <row r="359" spans="1:6" s="295" customFormat="1" x14ac:dyDescent="0.15">
      <c r="A359" s="370">
        <v>77571</v>
      </c>
      <c r="B359" s="371" t="s">
        <v>1226</v>
      </c>
      <c r="C359" s="371" t="s">
        <v>1227</v>
      </c>
      <c r="D359" s="371">
        <v>1086.3</v>
      </c>
      <c r="E359" s="390"/>
      <c r="F359" s="391">
        <v>1174.75</v>
      </c>
    </row>
    <row r="360" spans="1:6" s="295" customFormat="1" x14ac:dyDescent="0.15">
      <c r="A360" s="374">
        <v>77572</v>
      </c>
      <c r="B360" s="287" t="s">
        <v>1228</v>
      </c>
      <c r="C360" s="287" t="s">
        <v>1229</v>
      </c>
      <c r="D360" s="287">
        <v>2258.9</v>
      </c>
      <c r="E360" s="380"/>
      <c r="F360" s="381">
        <v>2427.2199999999998</v>
      </c>
    </row>
    <row r="361" spans="1:6" s="295" customFormat="1" x14ac:dyDescent="0.15">
      <c r="A361" s="374">
        <v>77573</v>
      </c>
      <c r="B361" s="287" t="s">
        <v>1230</v>
      </c>
      <c r="C361" s="287" t="s">
        <v>1231</v>
      </c>
      <c r="D361" s="287">
        <v>852.2</v>
      </c>
      <c r="E361" s="392"/>
      <c r="F361" s="381">
        <v>929.58</v>
      </c>
    </row>
    <row r="362" spans="1:6" s="295" customFormat="1" x14ac:dyDescent="0.15">
      <c r="A362" s="374">
        <v>77575</v>
      </c>
      <c r="B362" s="287" t="s">
        <v>1232</v>
      </c>
      <c r="C362" s="287" t="s">
        <v>1233</v>
      </c>
      <c r="D362" s="287">
        <v>900.5</v>
      </c>
      <c r="E362" s="380"/>
      <c r="F362" s="381">
        <v>883.67</v>
      </c>
    </row>
    <row r="363" spans="1:6" s="295" customFormat="1" x14ac:dyDescent="0.15">
      <c r="A363" s="374">
        <v>77661</v>
      </c>
      <c r="B363" s="287" t="s">
        <v>1234</v>
      </c>
      <c r="C363" s="287" t="s">
        <v>500</v>
      </c>
      <c r="D363" s="287">
        <v>1244.4000000000001</v>
      </c>
      <c r="E363" s="380"/>
      <c r="F363" s="381">
        <v>1340.32</v>
      </c>
    </row>
    <row r="364" spans="1:6" s="295" customFormat="1" x14ac:dyDescent="0.15">
      <c r="A364" s="374">
        <v>77714</v>
      </c>
      <c r="B364" s="287" t="s">
        <v>1235</v>
      </c>
      <c r="C364" s="287" t="s">
        <v>1236</v>
      </c>
      <c r="D364" s="287">
        <v>1287.5</v>
      </c>
      <c r="E364" s="393"/>
      <c r="F364" s="381">
        <v>1385.47</v>
      </c>
    </row>
    <row r="365" spans="1:6" s="295" customFormat="1" x14ac:dyDescent="0.15">
      <c r="A365" s="374">
        <v>77714</v>
      </c>
      <c r="B365" s="287" t="s">
        <v>1238</v>
      </c>
      <c r="C365" s="287" t="s">
        <v>1239</v>
      </c>
      <c r="D365" s="287">
        <v>1177.7</v>
      </c>
      <c r="E365" s="393"/>
      <c r="F365" s="381">
        <v>1270.47</v>
      </c>
    </row>
    <row r="366" spans="1:6" s="295" customFormat="1" x14ac:dyDescent="0.15">
      <c r="A366" s="374">
        <v>77715</v>
      </c>
      <c r="B366" s="287" t="s">
        <v>1240</v>
      </c>
      <c r="C366" s="287" t="s">
        <v>1241</v>
      </c>
      <c r="D366" s="287">
        <v>843</v>
      </c>
      <c r="E366" s="380"/>
      <c r="F366" s="381">
        <v>919.93</v>
      </c>
    </row>
    <row r="367" spans="1:6" s="295" customFormat="1" x14ac:dyDescent="0.15">
      <c r="A367" s="374">
        <v>79344</v>
      </c>
      <c r="B367" s="287" t="s">
        <v>1244</v>
      </c>
      <c r="C367" s="287" t="s">
        <v>1245</v>
      </c>
      <c r="D367" s="287">
        <v>1268.4000000000001</v>
      </c>
      <c r="E367" s="393"/>
      <c r="F367" s="381">
        <v>1365.45</v>
      </c>
    </row>
    <row r="368" spans="1:6" s="295" customFormat="1" x14ac:dyDescent="0.15">
      <c r="A368" s="374">
        <v>79344</v>
      </c>
      <c r="B368" s="287" t="s">
        <v>1246</v>
      </c>
      <c r="C368" s="287" t="s">
        <v>1247</v>
      </c>
      <c r="D368" s="287">
        <v>873.8</v>
      </c>
      <c r="E368" s="393"/>
      <c r="F368" s="381">
        <v>952.19</v>
      </c>
    </row>
    <row r="369" spans="1:6" s="295" customFormat="1" x14ac:dyDescent="0.15">
      <c r="A369" s="374">
        <v>79344</v>
      </c>
      <c r="B369" s="287" t="s">
        <v>1248</v>
      </c>
      <c r="C369" s="287" t="s">
        <v>1249</v>
      </c>
      <c r="D369" s="287">
        <v>171.5</v>
      </c>
      <c r="E369" s="393"/>
      <c r="F369" s="381">
        <v>211.99</v>
      </c>
    </row>
    <row r="370" spans="1:6" s="295" customFormat="1" x14ac:dyDescent="0.15">
      <c r="A370" s="374">
        <v>79344</v>
      </c>
      <c r="B370" s="287" t="s">
        <v>1250</v>
      </c>
      <c r="C370" s="287" t="s">
        <v>1251</v>
      </c>
      <c r="D370" s="287">
        <v>48.3</v>
      </c>
      <c r="E370" s="393"/>
      <c r="F370" s="381">
        <v>77.459999999999994</v>
      </c>
    </row>
    <row r="371" spans="1:6" s="295" customFormat="1" x14ac:dyDescent="0.15">
      <c r="A371" s="374">
        <v>79344</v>
      </c>
      <c r="B371" s="287" t="s">
        <v>1252</v>
      </c>
      <c r="C371" s="287" t="s">
        <v>1253</v>
      </c>
      <c r="D371" s="287">
        <v>906.9</v>
      </c>
      <c r="E371" s="393"/>
      <c r="F371" s="381">
        <v>986.86</v>
      </c>
    </row>
    <row r="372" spans="1:6" s="295" customFormat="1" x14ac:dyDescent="0.15">
      <c r="A372" s="374">
        <v>79344</v>
      </c>
      <c r="B372" s="287" t="s">
        <v>1275</v>
      </c>
      <c r="C372" s="287" t="s">
        <v>1276</v>
      </c>
      <c r="D372" s="397">
        <v>1044.5</v>
      </c>
      <c r="E372" s="380"/>
      <c r="F372" s="381">
        <v>1130.97</v>
      </c>
    </row>
    <row r="373" spans="1:6" s="295" customFormat="1" x14ac:dyDescent="0.15">
      <c r="A373" s="374">
        <v>79344</v>
      </c>
      <c r="B373" s="287" t="s">
        <v>1279</v>
      </c>
      <c r="C373" s="287" t="s">
        <v>1280</v>
      </c>
      <c r="D373" s="397">
        <v>5300.5</v>
      </c>
      <c r="E373" s="380"/>
      <c r="F373" s="381">
        <v>5588.28</v>
      </c>
    </row>
    <row r="374" spans="1:6" s="275" customFormat="1" ht="14" thickBot="1" x14ac:dyDescent="0.2">
      <c r="A374" s="376"/>
      <c r="B374" s="359"/>
      <c r="C374" s="291" t="s">
        <v>115</v>
      </c>
      <c r="D374" s="383">
        <f>SUM(D359:D373)</f>
        <v>19264.399999999998</v>
      </c>
      <c r="E374" s="384"/>
      <c r="F374" s="385">
        <v>20644.609999999997</v>
      </c>
    </row>
    <row r="375" spans="1:6" s="275" customFormat="1" ht="14" thickTop="1" x14ac:dyDescent="0.15">
      <c r="A375" s="376"/>
      <c r="B375" s="359"/>
      <c r="C375" s="359"/>
      <c r="D375" s="287"/>
      <c r="E375" s="380"/>
      <c r="F375" s="381"/>
    </row>
    <row r="376" spans="1:6" s="275" customFormat="1" x14ac:dyDescent="0.15">
      <c r="A376" s="376"/>
      <c r="B376" s="359"/>
      <c r="C376" s="378" t="s">
        <v>1212</v>
      </c>
      <c r="D376" s="287"/>
      <c r="E376" s="380"/>
      <c r="F376" s="381"/>
    </row>
    <row r="377" spans="1:6" s="275" customFormat="1" x14ac:dyDescent="0.15">
      <c r="A377" s="376"/>
      <c r="B377" s="359"/>
      <c r="C377" s="378" t="s">
        <v>1139</v>
      </c>
      <c r="D377" s="287"/>
      <c r="E377" s="380"/>
      <c r="F377" s="381"/>
    </row>
    <row r="378" spans="1:6" s="275" customFormat="1" x14ac:dyDescent="0.15">
      <c r="A378" s="376"/>
      <c r="B378" s="359"/>
      <c r="C378" s="386">
        <v>41374</v>
      </c>
      <c r="D378" s="287"/>
      <c r="E378" s="380"/>
      <c r="F378" s="381"/>
    </row>
    <row r="379" spans="1:6" s="275" customFormat="1" x14ac:dyDescent="0.15">
      <c r="A379" s="376"/>
      <c r="B379" s="359"/>
      <c r="C379" s="379"/>
      <c r="D379" s="287"/>
      <c r="E379" s="380"/>
      <c r="F379" s="381"/>
    </row>
    <row r="380" spans="1:6" s="275" customFormat="1" x14ac:dyDescent="0.15">
      <c r="A380" s="374">
        <v>79153</v>
      </c>
      <c r="B380" s="287" t="s">
        <v>1232</v>
      </c>
      <c r="C380" s="287" t="s">
        <v>1277</v>
      </c>
      <c r="D380" s="287">
        <v>995</v>
      </c>
      <c r="E380" s="380">
        <v>41381</v>
      </c>
      <c r="F380" s="381">
        <v>988.1</v>
      </c>
    </row>
    <row r="381" spans="1:6" s="275" customFormat="1" x14ac:dyDescent="0.15">
      <c r="A381" s="374">
        <v>79154</v>
      </c>
      <c r="B381" s="287" t="s">
        <v>1255</v>
      </c>
      <c r="C381" s="287" t="s">
        <v>1256</v>
      </c>
      <c r="D381" s="287">
        <v>1778.7</v>
      </c>
      <c r="E381" s="380">
        <v>41382</v>
      </c>
      <c r="F381" s="381">
        <v>1755.56</v>
      </c>
    </row>
    <row r="382" spans="1:6" s="275" customFormat="1" x14ac:dyDescent="0.15">
      <c r="A382" s="374">
        <v>79155</v>
      </c>
      <c r="B382" s="287" t="s">
        <v>1257</v>
      </c>
      <c r="C382" s="287" t="s">
        <v>1258</v>
      </c>
      <c r="D382" s="287">
        <v>926.1</v>
      </c>
      <c r="E382" s="380">
        <v>41381</v>
      </c>
      <c r="F382" s="381">
        <v>922.23</v>
      </c>
    </row>
    <row r="383" spans="1:6" s="275" customFormat="1" x14ac:dyDescent="0.15">
      <c r="A383" s="374">
        <v>79366</v>
      </c>
      <c r="B383" s="287" t="s">
        <v>1259</v>
      </c>
      <c r="C383" s="287" t="s">
        <v>1260</v>
      </c>
      <c r="D383" s="287">
        <v>232.3</v>
      </c>
      <c r="E383" s="380">
        <v>41381</v>
      </c>
      <c r="F383" s="381">
        <v>255.47</v>
      </c>
    </row>
    <row r="384" spans="1:6" s="275" customFormat="1" x14ac:dyDescent="0.15">
      <c r="A384" s="374">
        <v>79370</v>
      </c>
      <c r="B384" s="287" t="s">
        <v>1261</v>
      </c>
      <c r="C384" s="287" t="s">
        <v>1262</v>
      </c>
      <c r="D384" s="287">
        <v>315.60000000000002</v>
      </c>
      <c r="E384" s="380">
        <v>41381</v>
      </c>
      <c r="F384" s="381">
        <v>336.51</v>
      </c>
    </row>
    <row r="385" spans="1:6" s="275" customFormat="1" x14ac:dyDescent="0.15">
      <c r="A385" s="374">
        <v>79380</v>
      </c>
      <c r="B385" s="287" t="s">
        <v>1278</v>
      </c>
      <c r="C385" s="287" t="s">
        <v>1264</v>
      </c>
      <c r="D385" s="287">
        <v>512.9</v>
      </c>
      <c r="E385" s="380">
        <v>41381</v>
      </c>
      <c r="F385" s="381">
        <v>527.30999999999995</v>
      </c>
    </row>
    <row r="386" spans="1:6" s="275" customFormat="1" x14ac:dyDescent="0.15">
      <c r="A386" s="374">
        <v>79383</v>
      </c>
      <c r="B386" s="287" t="s">
        <v>1265</v>
      </c>
      <c r="C386" s="287" t="s">
        <v>1266</v>
      </c>
      <c r="D386" s="287">
        <v>400.9</v>
      </c>
      <c r="E386" s="380">
        <v>41381</v>
      </c>
      <c r="F386" s="381">
        <v>419.51</v>
      </c>
    </row>
    <row r="387" spans="1:6" s="275" customFormat="1" x14ac:dyDescent="0.15">
      <c r="A387" s="374">
        <v>79393</v>
      </c>
      <c r="B387" s="287" t="s">
        <v>1267</v>
      </c>
      <c r="C387" s="287" t="s">
        <v>1268</v>
      </c>
      <c r="D387" s="287">
        <v>632.1</v>
      </c>
      <c r="E387" s="380">
        <v>41381</v>
      </c>
      <c r="F387" s="381">
        <v>644.47</v>
      </c>
    </row>
    <row r="388" spans="1:6" s="275" customFormat="1" x14ac:dyDescent="0.15">
      <c r="A388" s="374">
        <v>79949</v>
      </c>
      <c r="B388" s="287" t="s">
        <v>1269</v>
      </c>
      <c r="C388" s="287" t="s">
        <v>1270</v>
      </c>
      <c r="D388" s="287">
        <v>937.4</v>
      </c>
      <c r="E388" s="380">
        <v>41381</v>
      </c>
      <c r="F388" s="381">
        <v>933.03</v>
      </c>
    </row>
    <row r="389" spans="1:6" s="275" customFormat="1" x14ac:dyDescent="0.15">
      <c r="A389" s="374">
        <v>118456</v>
      </c>
      <c r="B389" s="287" t="s">
        <v>1271</v>
      </c>
      <c r="C389" s="287" t="s">
        <v>1272</v>
      </c>
      <c r="D389" s="287">
        <v>541.70000000000005</v>
      </c>
      <c r="E389" s="380">
        <v>41381</v>
      </c>
      <c r="F389" s="381">
        <v>554.82000000000005</v>
      </c>
    </row>
    <row r="390" spans="1:6" s="275" customFormat="1" ht="14" thickBot="1" x14ac:dyDescent="0.2">
      <c r="A390" s="374"/>
      <c r="B390" s="287"/>
      <c r="C390" s="291" t="s">
        <v>115</v>
      </c>
      <c r="D390" s="394">
        <f>SUM(D380:D389)</f>
        <v>7272.6999999999989</v>
      </c>
      <c r="E390" s="384"/>
      <c r="F390" s="385">
        <v>7337.0099999999993</v>
      </c>
    </row>
    <row r="391" spans="1:6" s="275" customFormat="1" ht="14" thickTop="1" x14ac:dyDescent="0.15">
      <c r="A391" s="374"/>
      <c r="B391" s="287"/>
      <c r="C391" s="287"/>
      <c r="D391" s="287"/>
      <c r="E391" s="380"/>
      <c r="F391" s="381"/>
    </row>
    <row r="392" spans="1:6" s="275" customFormat="1" x14ac:dyDescent="0.15">
      <c r="A392" s="374"/>
      <c r="B392" s="287"/>
      <c r="C392" s="378" t="s">
        <v>1212</v>
      </c>
      <c r="D392" s="287"/>
      <c r="E392" s="380"/>
      <c r="F392" s="381"/>
    </row>
    <row r="393" spans="1:6" s="275" customFormat="1" x14ac:dyDescent="0.15">
      <c r="A393" s="374"/>
      <c r="B393" s="287"/>
      <c r="C393" s="378" t="s">
        <v>1139</v>
      </c>
      <c r="D393" s="287"/>
      <c r="E393" s="380"/>
      <c r="F393" s="381"/>
    </row>
    <row r="394" spans="1:6" s="275" customFormat="1" x14ac:dyDescent="0.15">
      <c r="A394" s="374"/>
      <c r="B394" s="287"/>
      <c r="C394" s="386">
        <v>41388</v>
      </c>
      <c r="D394" s="287"/>
      <c r="E394" s="380"/>
      <c r="F394" s="381"/>
    </row>
    <row r="395" spans="1:6" s="275" customFormat="1" x14ac:dyDescent="0.15">
      <c r="A395" s="376"/>
      <c r="B395" s="359"/>
      <c r="C395" s="359"/>
      <c r="D395" s="359"/>
      <c r="E395" s="357"/>
      <c r="F395" s="375"/>
    </row>
    <row r="396" spans="1:6" s="275" customFormat="1" ht="14" thickBot="1" x14ac:dyDescent="0.2">
      <c r="A396" s="387"/>
      <c r="B396" s="388"/>
      <c r="C396" s="291" t="s">
        <v>1196</v>
      </c>
      <c r="D396" s="394">
        <f>SUM(D374,D390)</f>
        <v>26537.1</v>
      </c>
      <c r="E396" s="367"/>
      <c r="F396" s="389">
        <v>27981.62</v>
      </c>
    </row>
    <row r="397" spans="1:6" s="275" customFormat="1" ht="14" thickTop="1" x14ac:dyDescent="0.15">
      <c r="E397" s="369"/>
      <c r="F397" s="278"/>
    </row>
    <row r="398" spans="1:6" s="275" customFormat="1" x14ac:dyDescent="0.15">
      <c r="E398" s="369"/>
      <c r="F398" s="278"/>
    </row>
    <row r="399" spans="1:6" s="295" customFormat="1" x14ac:dyDescent="0.15">
      <c r="A399" s="370">
        <v>77571</v>
      </c>
      <c r="B399" s="371" t="s">
        <v>1226</v>
      </c>
      <c r="C399" s="371" t="s">
        <v>1227</v>
      </c>
      <c r="D399" s="371">
        <v>819.2</v>
      </c>
      <c r="E399" s="390"/>
      <c r="F399" s="391">
        <v>763.27</v>
      </c>
    </row>
    <row r="400" spans="1:6" s="295" customFormat="1" x14ac:dyDescent="0.15">
      <c r="A400" s="374">
        <v>77572</v>
      </c>
      <c r="B400" s="287" t="s">
        <v>1228</v>
      </c>
      <c r="C400" s="287" t="s">
        <v>1229</v>
      </c>
      <c r="D400" s="287">
        <v>1488.1</v>
      </c>
      <c r="E400" s="380"/>
      <c r="F400" s="381">
        <v>1371.01</v>
      </c>
    </row>
    <row r="401" spans="1:6" s="295" customFormat="1" x14ac:dyDescent="0.15">
      <c r="A401" s="374">
        <v>77573</v>
      </c>
      <c r="B401" s="287" t="s">
        <v>1230</v>
      </c>
      <c r="C401" s="287" t="s">
        <v>1231</v>
      </c>
      <c r="D401" s="287">
        <v>636</v>
      </c>
      <c r="E401" s="392"/>
      <c r="F401" s="381">
        <v>600.87</v>
      </c>
    </row>
    <row r="402" spans="1:6" s="295" customFormat="1" x14ac:dyDescent="0.15">
      <c r="A402" s="374">
        <v>77575</v>
      </c>
      <c r="B402" s="287" t="s">
        <v>1232</v>
      </c>
      <c r="C402" s="287" t="s">
        <v>1233</v>
      </c>
      <c r="D402" s="287">
        <v>1374.9</v>
      </c>
      <c r="E402" s="380"/>
      <c r="F402" s="381">
        <v>1150.46</v>
      </c>
    </row>
    <row r="403" spans="1:6" s="295" customFormat="1" x14ac:dyDescent="0.15">
      <c r="A403" s="374">
        <v>77661</v>
      </c>
      <c r="B403" s="287" t="s">
        <v>1234</v>
      </c>
      <c r="C403" s="287" t="s">
        <v>500</v>
      </c>
      <c r="D403" s="287">
        <v>964.3</v>
      </c>
      <c r="E403" s="380"/>
      <c r="F403" s="381">
        <v>891.9</v>
      </c>
    </row>
    <row r="404" spans="1:6" s="295" customFormat="1" x14ac:dyDescent="0.15">
      <c r="A404" s="374">
        <v>77714</v>
      </c>
      <c r="B404" s="287" t="s">
        <v>1235</v>
      </c>
      <c r="C404" s="287" t="s">
        <v>1236</v>
      </c>
      <c r="D404" s="287">
        <v>863.4</v>
      </c>
      <c r="E404" s="393"/>
      <c r="F404" s="381">
        <v>802.45</v>
      </c>
    </row>
    <row r="405" spans="1:6" s="295" customFormat="1" x14ac:dyDescent="0.15">
      <c r="A405" s="374">
        <v>77714</v>
      </c>
      <c r="B405" s="287" t="s">
        <v>1238</v>
      </c>
      <c r="C405" s="287" t="s">
        <v>1239</v>
      </c>
      <c r="D405" s="287">
        <v>969.4</v>
      </c>
      <c r="E405" s="393"/>
      <c r="F405" s="381">
        <v>896.43</v>
      </c>
    </row>
    <row r="406" spans="1:6" s="295" customFormat="1" x14ac:dyDescent="0.15">
      <c r="A406" s="374">
        <v>77715</v>
      </c>
      <c r="B406" s="287" t="s">
        <v>1240</v>
      </c>
      <c r="C406" s="287" t="s">
        <v>1241</v>
      </c>
      <c r="D406" s="287">
        <v>647.29999999999995</v>
      </c>
      <c r="E406" s="380"/>
      <c r="F406" s="381">
        <v>610.88</v>
      </c>
    </row>
    <row r="407" spans="1:6" s="295" customFormat="1" x14ac:dyDescent="0.15">
      <c r="A407" s="374">
        <v>79344</v>
      </c>
      <c r="B407" s="287" t="s">
        <v>1244</v>
      </c>
      <c r="C407" s="287" t="s">
        <v>1245</v>
      </c>
      <c r="D407" s="287">
        <v>1111.0999999999999</v>
      </c>
      <c r="E407" s="393"/>
      <c r="F407" s="381">
        <v>1099.06</v>
      </c>
    </row>
    <row r="408" spans="1:6" s="295" customFormat="1" x14ac:dyDescent="0.15">
      <c r="A408" s="374">
        <v>79344</v>
      </c>
      <c r="B408" s="287" t="s">
        <v>1246</v>
      </c>
      <c r="C408" s="287" t="s">
        <v>1247</v>
      </c>
      <c r="D408" s="287">
        <v>712.2</v>
      </c>
      <c r="E408" s="393"/>
      <c r="F408" s="381">
        <v>668.41</v>
      </c>
    </row>
    <row r="409" spans="1:6" s="295" customFormat="1" x14ac:dyDescent="0.15">
      <c r="A409" s="374">
        <v>79344</v>
      </c>
      <c r="B409" s="287" t="s">
        <v>1248</v>
      </c>
      <c r="C409" s="287" t="s">
        <v>1249</v>
      </c>
      <c r="D409" s="287">
        <v>121.4</v>
      </c>
      <c r="E409" s="393"/>
      <c r="F409" s="381">
        <v>139.13999999999999</v>
      </c>
    </row>
    <row r="410" spans="1:6" s="295" customFormat="1" x14ac:dyDescent="0.15">
      <c r="A410" s="374">
        <v>79344</v>
      </c>
      <c r="B410" s="287" t="s">
        <v>1250</v>
      </c>
      <c r="C410" s="287" t="s">
        <v>1251</v>
      </c>
      <c r="D410" s="287">
        <v>41.1</v>
      </c>
      <c r="E410" s="393"/>
      <c r="F410" s="381">
        <v>63.94</v>
      </c>
    </row>
    <row r="411" spans="1:6" s="295" customFormat="1" x14ac:dyDescent="0.15">
      <c r="A411" s="374">
        <v>79344</v>
      </c>
      <c r="B411" s="287" t="s">
        <v>1252</v>
      </c>
      <c r="C411" s="287" t="s">
        <v>1253</v>
      </c>
      <c r="D411" s="287">
        <v>841.8</v>
      </c>
      <c r="E411" s="393"/>
      <c r="F411" s="381">
        <v>841.65</v>
      </c>
    </row>
    <row r="412" spans="1:6" s="295" customFormat="1" x14ac:dyDescent="0.15">
      <c r="A412" s="374">
        <v>79344</v>
      </c>
      <c r="B412" s="287" t="s">
        <v>1275</v>
      </c>
      <c r="C412" s="287" t="s">
        <v>1276</v>
      </c>
      <c r="D412" s="397">
        <v>1057.7</v>
      </c>
      <c r="E412" s="380"/>
      <c r="F412" s="381">
        <v>1048.03</v>
      </c>
    </row>
    <row r="413" spans="1:6" s="295" customFormat="1" x14ac:dyDescent="0.15">
      <c r="A413" s="374">
        <v>79344</v>
      </c>
      <c r="B413" s="287" t="s">
        <v>1279</v>
      </c>
      <c r="C413" s="287" t="s">
        <v>1280</v>
      </c>
      <c r="D413" s="397">
        <v>3043.4</v>
      </c>
      <c r="E413" s="380"/>
      <c r="F413" s="381">
        <v>2945.94</v>
      </c>
    </row>
    <row r="414" spans="1:6" s="275" customFormat="1" ht="14" thickBot="1" x14ac:dyDescent="0.2">
      <c r="A414" s="376"/>
      <c r="B414" s="359"/>
      <c r="C414" s="291" t="s">
        <v>115</v>
      </c>
      <c r="D414" s="383">
        <f>SUM(D399:D413)</f>
        <v>14691.300000000001</v>
      </c>
      <c r="E414" s="384"/>
      <c r="F414" s="385">
        <v>13893.439999999999</v>
      </c>
    </row>
    <row r="415" spans="1:6" s="275" customFormat="1" ht="14" thickTop="1" x14ac:dyDescent="0.15">
      <c r="A415" s="376"/>
      <c r="B415" s="359"/>
      <c r="C415" s="359"/>
      <c r="D415" s="287"/>
      <c r="E415" s="380"/>
      <c r="F415" s="381"/>
    </row>
    <row r="416" spans="1:6" s="275" customFormat="1" x14ac:dyDescent="0.15">
      <c r="A416" s="376"/>
      <c r="B416" s="359"/>
      <c r="C416" s="378" t="s">
        <v>1212</v>
      </c>
      <c r="D416" s="287"/>
      <c r="E416" s="380"/>
      <c r="F416" s="381"/>
    </row>
    <row r="417" spans="1:6" s="275" customFormat="1" x14ac:dyDescent="0.15">
      <c r="A417" s="376"/>
      <c r="B417" s="359"/>
      <c r="C417" s="378" t="s">
        <v>1139</v>
      </c>
      <c r="D417" s="287"/>
      <c r="E417" s="380"/>
      <c r="F417" s="381"/>
    </row>
    <row r="418" spans="1:6" s="275" customFormat="1" x14ac:dyDescent="0.15">
      <c r="A418" s="376"/>
      <c r="B418" s="359"/>
      <c r="C418" s="386">
        <v>41403</v>
      </c>
      <c r="D418" s="287"/>
      <c r="E418" s="380"/>
      <c r="F418" s="381"/>
    </row>
    <row r="419" spans="1:6" s="275" customFormat="1" x14ac:dyDescent="0.15">
      <c r="A419" s="376"/>
      <c r="B419" s="359"/>
      <c r="C419" s="379"/>
      <c r="D419" s="287"/>
      <c r="E419" s="380"/>
      <c r="F419" s="381"/>
    </row>
    <row r="420" spans="1:6" s="295" customFormat="1" x14ac:dyDescent="0.15">
      <c r="A420" s="374">
        <v>79153</v>
      </c>
      <c r="B420" s="287" t="s">
        <v>1232</v>
      </c>
      <c r="C420" s="287" t="s">
        <v>1277</v>
      </c>
      <c r="D420" s="287">
        <v>384.7</v>
      </c>
      <c r="E420" s="380">
        <v>41410</v>
      </c>
      <c r="F420" s="381">
        <v>382.31</v>
      </c>
    </row>
    <row r="421" spans="1:6" s="295" customFormat="1" x14ac:dyDescent="0.15">
      <c r="A421" s="374">
        <v>79154</v>
      </c>
      <c r="B421" s="287" t="s">
        <v>1255</v>
      </c>
      <c r="C421" s="287" t="s">
        <v>1256</v>
      </c>
      <c r="D421" s="287">
        <v>878.4</v>
      </c>
      <c r="E421" s="380">
        <v>41410</v>
      </c>
      <c r="F421" s="381">
        <v>723.49</v>
      </c>
    </row>
    <row r="422" spans="1:6" s="295" customFormat="1" x14ac:dyDescent="0.15">
      <c r="A422" s="374">
        <v>79155</v>
      </c>
      <c r="B422" s="287" t="s">
        <v>1257</v>
      </c>
      <c r="C422" s="287" t="s">
        <v>1258</v>
      </c>
      <c r="D422" s="287">
        <v>369</v>
      </c>
      <c r="E422" s="380">
        <v>41410</v>
      </c>
      <c r="F422" s="381">
        <v>368.19</v>
      </c>
    </row>
    <row r="423" spans="1:6" s="295" customFormat="1" x14ac:dyDescent="0.15">
      <c r="A423" s="374">
        <v>79366</v>
      </c>
      <c r="B423" s="287" t="s">
        <v>1259</v>
      </c>
      <c r="C423" s="287" t="s">
        <v>1260</v>
      </c>
      <c r="D423" s="287">
        <v>47.4</v>
      </c>
      <c r="E423" s="380">
        <v>41410</v>
      </c>
      <c r="F423" s="381">
        <v>71.8</v>
      </c>
    </row>
    <row r="424" spans="1:6" s="295" customFormat="1" x14ac:dyDescent="0.15">
      <c r="A424" s="374">
        <v>79370</v>
      </c>
      <c r="B424" s="287" t="s">
        <v>1261</v>
      </c>
      <c r="C424" s="287" t="s">
        <v>1262</v>
      </c>
      <c r="D424" s="287">
        <v>99</v>
      </c>
      <c r="E424" s="380">
        <v>41410</v>
      </c>
      <c r="F424" s="381">
        <v>126.19</v>
      </c>
    </row>
    <row r="425" spans="1:6" s="295" customFormat="1" x14ac:dyDescent="0.15">
      <c r="A425" s="374">
        <v>79380</v>
      </c>
      <c r="B425" s="287" t="s">
        <v>1278</v>
      </c>
      <c r="C425" s="287" t="s">
        <v>1264</v>
      </c>
      <c r="D425" s="287">
        <v>193.8</v>
      </c>
      <c r="E425" s="380">
        <v>41410</v>
      </c>
      <c r="F425" s="381">
        <v>210.69</v>
      </c>
    </row>
    <row r="426" spans="1:6" s="295" customFormat="1" x14ac:dyDescent="0.15">
      <c r="A426" s="374">
        <v>79383</v>
      </c>
      <c r="B426" s="287" t="s">
        <v>1265</v>
      </c>
      <c r="C426" s="287" t="s">
        <v>1266</v>
      </c>
      <c r="D426" s="287">
        <v>167</v>
      </c>
      <c r="E426" s="380">
        <v>41410</v>
      </c>
      <c r="F426" s="381">
        <v>193.08</v>
      </c>
    </row>
    <row r="427" spans="1:6" s="295" customFormat="1" x14ac:dyDescent="0.15">
      <c r="A427" s="374">
        <v>79393</v>
      </c>
      <c r="B427" s="287" t="s">
        <v>1267</v>
      </c>
      <c r="C427" s="287" t="s">
        <v>1268</v>
      </c>
      <c r="D427" s="287">
        <v>214.4</v>
      </c>
      <c r="E427" s="380">
        <v>41410</v>
      </c>
      <c r="F427" s="381">
        <v>239.69</v>
      </c>
    </row>
    <row r="428" spans="1:6" s="295" customFormat="1" x14ac:dyDescent="0.15">
      <c r="A428" s="374">
        <v>79949</v>
      </c>
      <c r="B428" s="287" t="s">
        <v>1269</v>
      </c>
      <c r="C428" s="287" t="s">
        <v>1270</v>
      </c>
      <c r="D428" s="287">
        <v>352.5</v>
      </c>
      <c r="E428" s="380">
        <v>41410</v>
      </c>
      <c r="F428" s="381">
        <v>353.36</v>
      </c>
    </row>
    <row r="429" spans="1:6" s="295" customFormat="1" x14ac:dyDescent="0.15">
      <c r="A429" s="374">
        <v>118456</v>
      </c>
      <c r="B429" s="287" t="s">
        <v>1271</v>
      </c>
      <c r="C429" s="287" t="s">
        <v>1272</v>
      </c>
      <c r="D429" s="287">
        <v>157.69999999999999</v>
      </c>
      <c r="E429" s="380">
        <v>41410</v>
      </c>
      <c r="F429" s="381">
        <v>178.24</v>
      </c>
    </row>
    <row r="430" spans="1:6" s="275" customFormat="1" ht="14" thickBot="1" x14ac:dyDescent="0.2">
      <c r="A430" s="374"/>
      <c r="B430" s="287"/>
      <c r="C430" s="291" t="s">
        <v>115</v>
      </c>
      <c r="D430" s="394">
        <f>SUM(D420:D429)</f>
        <v>2863.9</v>
      </c>
      <c r="E430" s="384"/>
      <c r="F430" s="385">
        <v>2847.04</v>
      </c>
    </row>
    <row r="431" spans="1:6" s="275" customFormat="1" ht="14" thickTop="1" x14ac:dyDescent="0.15">
      <c r="A431" s="374"/>
      <c r="B431" s="287"/>
      <c r="C431" s="287"/>
      <c r="D431" s="287"/>
      <c r="E431" s="380"/>
      <c r="F431" s="381"/>
    </row>
    <row r="432" spans="1:6" s="275" customFormat="1" x14ac:dyDescent="0.15">
      <c r="A432" s="374"/>
      <c r="B432" s="287"/>
      <c r="C432" s="378" t="s">
        <v>1212</v>
      </c>
      <c r="D432" s="287"/>
      <c r="E432" s="380"/>
      <c r="F432" s="381"/>
    </row>
    <row r="433" spans="1:6" s="275" customFormat="1" x14ac:dyDescent="0.15">
      <c r="A433" s="374"/>
      <c r="B433" s="287"/>
      <c r="C433" s="378" t="s">
        <v>1139</v>
      </c>
      <c r="D433" s="287"/>
      <c r="E433" s="380"/>
      <c r="F433" s="381"/>
    </row>
    <row r="434" spans="1:6" s="275" customFormat="1" x14ac:dyDescent="0.15">
      <c r="A434" s="374"/>
      <c r="B434" s="287"/>
      <c r="C434" s="386">
        <v>41416</v>
      </c>
      <c r="D434" s="287"/>
      <c r="E434" s="380"/>
      <c r="F434" s="381"/>
    </row>
    <row r="435" spans="1:6" s="275" customFormat="1" x14ac:dyDescent="0.15">
      <c r="A435" s="376"/>
      <c r="B435" s="359"/>
      <c r="C435" s="359"/>
      <c r="D435" s="359"/>
      <c r="E435" s="357"/>
      <c r="F435" s="375"/>
    </row>
    <row r="436" spans="1:6" s="275" customFormat="1" ht="14" thickBot="1" x14ac:dyDescent="0.2">
      <c r="A436" s="387"/>
      <c r="B436" s="388"/>
      <c r="C436" s="291" t="s">
        <v>1173</v>
      </c>
      <c r="D436" s="394">
        <f>SUM(D414,D430)</f>
        <v>17555.2</v>
      </c>
      <c r="E436" s="367"/>
      <c r="F436" s="389">
        <v>16740.48</v>
      </c>
    </row>
    <row r="437" spans="1:6" s="275" customFormat="1" ht="14" thickTop="1" x14ac:dyDescent="0.15">
      <c r="E437" s="369"/>
      <c r="F437" s="278"/>
    </row>
    <row r="438" spans="1:6" s="275" customFormat="1" x14ac:dyDescent="0.15">
      <c r="E438" s="369"/>
      <c r="F438" s="278"/>
    </row>
    <row r="439" spans="1:6" s="295" customFormat="1" x14ac:dyDescent="0.15">
      <c r="A439" s="370">
        <v>77571</v>
      </c>
      <c r="B439" s="371" t="s">
        <v>1226</v>
      </c>
      <c r="C439" s="371" t="s">
        <v>1227</v>
      </c>
      <c r="D439" s="371">
        <v>291.8</v>
      </c>
      <c r="E439" s="390"/>
      <c r="F439" s="391">
        <v>307.61</v>
      </c>
    </row>
    <row r="440" spans="1:6" s="295" customFormat="1" x14ac:dyDescent="0.15">
      <c r="A440" s="374">
        <v>77572</v>
      </c>
      <c r="B440" s="287" t="s">
        <v>1228</v>
      </c>
      <c r="C440" s="287" t="s">
        <v>1229</v>
      </c>
      <c r="D440" s="287">
        <v>325.8</v>
      </c>
      <c r="E440" s="380"/>
      <c r="F440" s="381">
        <v>263.27</v>
      </c>
    </row>
    <row r="441" spans="1:6" s="295" customFormat="1" x14ac:dyDescent="0.15">
      <c r="A441" s="374">
        <v>77573</v>
      </c>
      <c r="B441" s="287" t="s">
        <v>1230</v>
      </c>
      <c r="C441" s="287" t="s">
        <v>1231</v>
      </c>
      <c r="D441" s="287">
        <v>238.2</v>
      </c>
      <c r="E441" s="392"/>
      <c r="F441" s="381">
        <v>257.79000000000002</v>
      </c>
    </row>
    <row r="442" spans="1:6" s="295" customFormat="1" x14ac:dyDescent="0.15">
      <c r="A442" s="374">
        <v>77575</v>
      </c>
      <c r="B442" s="287" t="s">
        <v>1232</v>
      </c>
      <c r="C442" s="287" t="s">
        <v>1233</v>
      </c>
      <c r="D442" s="287">
        <v>1199.2</v>
      </c>
      <c r="E442" s="380"/>
      <c r="F442" s="381">
        <v>928.79</v>
      </c>
    </row>
    <row r="443" spans="1:6" s="295" customFormat="1" x14ac:dyDescent="0.15">
      <c r="A443" s="374">
        <v>77661</v>
      </c>
      <c r="B443" s="287" t="s">
        <v>1234</v>
      </c>
      <c r="C443" s="287" t="s">
        <v>500</v>
      </c>
      <c r="D443" s="287">
        <v>328.9</v>
      </c>
      <c r="E443" s="380"/>
      <c r="F443" s="381">
        <v>342.06</v>
      </c>
    </row>
    <row r="444" spans="1:6" s="295" customFormat="1" x14ac:dyDescent="0.15">
      <c r="A444" s="374">
        <v>77714</v>
      </c>
      <c r="B444" s="287" t="s">
        <v>1235</v>
      </c>
      <c r="C444" s="287" t="s">
        <v>1236</v>
      </c>
      <c r="D444" s="287">
        <v>272.2</v>
      </c>
      <c r="E444" s="393"/>
      <c r="F444" s="381">
        <v>289.37</v>
      </c>
    </row>
    <row r="445" spans="1:6" s="295" customFormat="1" x14ac:dyDescent="0.15">
      <c r="A445" s="374">
        <v>77714</v>
      </c>
      <c r="B445" s="287" t="s">
        <v>1238</v>
      </c>
      <c r="C445" s="287" t="s">
        <v>1239</v>
      </c>
      <c r="D445" s="287">
        <v>373.3</v>
      </c>
      <c r="E445" s="393"/>
      <c r="F445" s="381">
        <v>383.33</v>
      </c>
    </row>
    <row r="446" spans="1:6" s="295" customFormat="1" x14ac:dyDescent="0.15">
      <c r="A446" s="374">
        <v>77715</v>
      </c>
      <c r="B446" s="287" t="s">
        <v>1240</v>
      </c>
      <c r="C446" s="287" t="s">
        <v>1241</v>
      </c>
      <c r="D446" s="287">
        <v>203.1</v>
      </c>
      <c r="E446" s="380"/>
      <c r="F446" s="381">
        <v>225.18</v>
      </c>
    </row>
    <row r="447" spans="1:6" s="295" customFormat="1" x14ac:dyDescent="0.15">
      <c r="A447" s="374">
        <v>79344</v>
      </c>
      <c r="B447" s="287" t="s">
        <v>1244</v>
      </c>
      <c r="C447" s="287" t="s">
        <v>1245</v>
      </c>
      <c r="D447" s="287">
        <v>379.3</v>
      </c>
      <c r="E447" s="393"/>
      <c r="F447" s="381">
        <v>377.44</v>
      </c>
    </row>
    <row r="448" spans="1:6" s="295" customFormat="1" x14ac:dyDescent="0.15">
      <c r="A448" s="374">
        <v>79344</v>
      </c>
      <c r="B448" s="287" t="s">
        <v>1246</v>
      </c>
      <c r="C448" s="287" t="s">
        <v>1247</v>
      </c>
      <c r="D448" s="287">
        <v>277.39999999999998</v>
      </c>
      <c r="E448" s="393"/>
      <c r="F448" s="381">
        <v>294.23</v>
      </c>
    </row>
    <row r="449" spans="1:6" s="295" customFormat="1" x14ac:dyDescent="0.15">
      <c r="A449" s="374">
        <v>79344</v>
      </c>
      <c r="B449" s="287" t="s">
        <v>1248</v>
      </c>
      <c r="C449" s="287" t="s">
        <v>1249</v>
      </c>
      <c r="D449" s="287">
        <v>35.1</v>
      </c>
      <c r="E449" s="393"/>
      <c r="F449" s="381">
        <v>59.25</v>
      </c>
    </row>
    <row r="450" spans="1:6" s="295" customFormat="1" x14ac:dyDescent="0.15">
      <c r="A450" s="374">
        <v>79344</v>
      </c>
      <c r="B450" s="287" t="s">
        <v>1250</v>
      </c>
      <c r="C450" s="287" t="s">
        <v>1251</v>
      </c>
      <c r="D450" s="287">
        <v>6.2</v>
      </c>
      <c r="E450" s="393"/>
      <c r="F450" s="381">
        <v>19.309999999999999</v>
      </c>
    </row>
    <row r="451" spans="1:6" s="295" customFormat="1" x14ac:dyDescent="0.15">
      <c r="A451" s="374">
        <v>79344</v>
      </c>
      <c r="B451" s="287" t="s">
        <v>1252</v>
      </c>
      <c r="C451" s="287" t="s">
        <v>1253</v>
      </c>
      <c r="D451" s="287">
        <v>343.3</v>
      </c>
      <c r="E451" s="393"/>
      <c r="F451" s="381">
        <v>345.1</v>
      </c>
    </row>
    <row r="452" spans="1:6" s="295" customFormat="1" x14ac:dyDescent="0.15">
      <c r="A452" s="374">
        <v>79344</v>
      </c>
      <c r="B452" s="287" t="s">
        <v>1275</v>
      </c>
      <c r="C452" s="287" t="s">
        <v>1276</v>
      </c>
      <c r="D452" s="397">
        <v>518.5</v>
      </c>
      <c r="E452" s="380"/>
      <c r="F452" s="381">
        <v>502.57</v>
      </c>
    </row>
    <row r="453" spans="1:6" s="295" customFormat="1" x14ac:dyDescent="0.15">
      <c r="A453" s="374">
        <v>79344</v>
      </c>
      <c r="B453" s="287" t="s">
        <v>1279</v>
      </c>
      <c r="C453" s="287" t="s">
        <v>1280</v>
      </c>
      <c r="D453" s="397">
        <v>0</v>
      </c>
      <c r="E453" s="380"/>
      <c r="F453" s="381">
        <v>12.51</v>
      </c>
    </row>
    <row r="454" spans="1:6" s="275" customFormat="1" ht="14" thickBot="1" x14ac:dyDescent="0.2">
      <c r="A454" s="376"/>
      <c r="B454" s="359"/>
      <c r="C454" s="291" t="s">
        <v>115</v>
      </c>
      <c r="D454" s="383">
        <f>SUM(D439:D453)</f>
        <v>4792.3</v>
      </c>
      <c r="E454" s="384"/>
      <c r="F454" s="385">
        <v>4607.8100000000004</v>
      </c>
    </row>
    <row r="455" spans="1:6" s="275" customFormat="1" ht="14" thickTop="1" x14ac:dyDescent="0.15">
      <c r="A455" s="376"/>
      <c r="B455" s="359"/>
      <c r="C455" s="359"/>
      <c r="D455" s="287"/>
      <c r="E455" s="380"/>
      <c r="F455" s="381"/>
    </row>
    <row r="456" spans="1:6" s="275" customFormat="1" x14ac:dyDescent="0.15">
      <c r="A456" s="376"/>
      <c r="B456" s="359"/>
      <c r="C456" s="378" t="s">
        <v>1212</v>
      </c>
      <c r="D456" s="287"/>
      <c r="E456" s="380"/>
      <c r="F456" s="381"/>
    </row>
    <row r="457" spans="1:6" s="275" customFormat="1" x14ac:dyDescent="0.15">
      <c r="A457" s="376"/>
      <c r="B457" s="359"/>
      <c r="C457" s="378" t="s">
        <v>1139</v>
      </c>
      <c r="D457" s="287"/>
      <c r="E457" s="380"/>
      <c r="F457" s="381"/>
    </row>
    <row r="458" spans="1:6" s="275" customFormat="1" x14ac:dyDescent="0.15">
      <c r="A458" s="376"/>
      <c r="B458" s="359"/>
      <c r="C458" s="386">
        <v>41436</v>
      </c>
      <c r="D458" s="287"/>
      <c r="E458" s="380"/>
      <c r="F458" s="381"/>
    </row>
    <row r="459" spans="1:6" s="275" customFormat="1" x14ac:dyDescent="0.15">
      <c r="A459" s="376"/>
      <c r="B459" s="359"/>
      <c r="C459" s="379"/>
      <c r="D459" s="287"/>
      <c r="E459" s="380"/>
      <c r="F459" s="381"/>
    </row>
    <row r="460" spans="1:6" s="295" customFormat="1" x14ac:dyDescent="0.15">
      <c r="A460" s="374">
        <v>79153</v>
      </c>
      <c r="B460" s="287" t="s">
        <v>1232</v>
      </c>
      <c r="C460" s="287" t="s">
        <v>1277</v>
      </c>
      <c r="D460" s="287">
        <v>148.1</v>
      </c>
      <c r="E460" s="380">
        <v>41443</v>
      </c>
      <c r="F460" s="381">
        <v>174.4</v>
      </c>
    </row>
    <row r="461" spans="1:6" s="295" customFormat="1" x14ac:dyDescent="0.15">
      <c r="A461" s="374">
        <v>79154</v>
      </c>
      <c r="B461" s="287" t="s">
        <v>1255</v>
      </c>
      <c r="C461" s="287" t="s">
        <v>1256</v>
      </c>
      <c r="D461" s="287">
        <v>390.8</v>
      </c>
      <c r="E461" s="380">
        <v>41443</v>
      </c>
      <c r="F461" s="381">
        <v>307.08</v>
      </c>
    </row>
    <row r="462" spans="1:6" s="295" customFormat="1" x14ac:dyDescent="0.15">
      <c r="A462" s="374">
        <v>79155</v>
      </c>
      <c r="B462" s="287" t="s">
        <v>1257</v>
      </c>
      <c r="C462" s="287" t="s">
        <v>1258</v>
      </c>
      <c r="D462" s="287">
        <v>166.9</v>
      </c>
      <c r="E462" s="380">
        <v>41443</v>
      </c>
      <c r="F462" s="381">
        <v>191.91</v>
      </c>
    </row>
    <row r="463" spans="1:6" s="295" customFormat="1" x14ac:dyDescent="0.15">
      <c r="A463" s="374">
        <v>79366</v>
      </c>
      <c r="B463" s="287" t="s">
        <v>1259</v>
      </c>
      <c r="C463" s="287" t="s">
        <v>1260</v>
      </c>
      <c r="D463" s="287">
        <v>9.3000000000000007</v>
      </c>
      <c r="E463" s="380">
        <v>41443</v>
      </c>
      <c r="F463" s="381">
        <v>24.15</v>
      </c>
    </row>
    <row r="464" spans="1:6" s="295" customFormat="1" x14ac:dyDescent="0.15">
      <c r="A464" s="374">
        <v>79370</v>
      </c>
      <c r="B464" s="287" t="s">
        <v>1261</v>
      </c>
      <c r="C464" s="287" t="s">
        <v>1262</v>
      </c>
      <c r="D464" s="287">
        <v>59.8</v>
      </c>
      <c r="E464" s="380">
        <v>41443</v>
      </c>
      <c r="F464" s="381">
        <v>93.28</v>
      </c>
    </row>
    <row r="465" spans="1:6" s="295" customFormat="1" x14ac:dyDescent="0.15">
      <c r="A465" s="374">
        <v>79380</v>
      </c>
      <c r="B465" s="287" t="s">
        <v>1278</v>
      </c>
      <c r="C465" s="287" t="s">
        <v>1264</v>
      </c>
      <c r="D465" s="287">
        <v>95.8</v>
      </c>
      <c r="E465" s="380">
        <v>41443</v>
      </c>
      <c r="F465" s="381">
        <v>125.69</v>
      </c>
    </row>
    <row r="466" spans="1:6" s="295" customFormat="1" x14ac:dyDescent="0.15">
      <c r="A466" s="374">
        <v>79383</v>
      </c>
      <c r="B466" s="287" t="s">
        <v>1265</v>
      </c>
      <c r="C466" s="287" t="s">
        <v>1266</v>
      </c>
      <c r="D466" s="287">
        <v>52.5</v>
      </c>
      <c r="E466" s="380">
        <v>41443</v>
      </c>
      <c r="F466" s="381">
        <v>83.29</v>
      </c>
    </row>
    <row r="467" spans="1:6" s="295" customFormat="1" x14ac:dyDescent="0.15">
      <c r="A467" s="374">
        <v>79393</v>
      </c>
      <c r="B467" s="287" t="s">
        <v>1267</v>
      </c>
      <c r="C467" s="287" t="s">
        <v>1268</v>
      </c>
      <c r="D467" s="287">
        <v>114.4</v>
      </c>
      <c r="E467" s="380">
        <v>41443</v>
      </c>
      <c r="F467" s="381">
        <v>152.22</v>
      </c>
    </row>
    <row r="468" spans="1:6" s="295" customFormat="1" x14ac:dyDescent="0.15">
      <c r="A468" s="374">
        <v>79949</v>
      </c>
      <c r="B468" s="287" t="s">
        <v>1269</v>
      </c>
      <c r="C468" s="287" t="s">
        <v>1270</v>
      </c>
      <c r="D468" s="287">
        <v>129.80000000000001</v>
      </c>
      <c r="E468" s="380">
        <v>41443</v>
      </c>
      <c r="F468" s="381">
        <v>157.36000000000001</v>
      </c>
    </row>
    <row r="469" spans="1:6" s="295" customFormat="1" x14ac:dyDescent="0.15">
      <c r="A469" s="374">
        <v>118456</v>
      </c>
      <c r="B469" s="287" t="s">
        <v>1271</v>
      </c>
      <c r="C469" s="287" t="s">
        <v>1272</v>
      </c>
      <c r="D469" s="287">
        <v>54.6</v>
      </c>
      <c r="E469" s="380">
        <v>41443</v>
      </c>
      <c r="F469" s="381">
        <v>77.89</v>
      </c>
    </row>
    <row r="470" spans="1:6" s="275" customFormat="1" ht="14" thickBot="1" x14ac:dyDescent="0.2">
      <c r="A470" s="374"/>
      <c r="B470" s="287"/>
      <c r="C470" s="291" t="s">
        <v>115</v>
      </c>
      <c r="D470" s="394">
        <f>SUM(D460:D469)</f>
        <v>1221.9999999999998</v>
      </c>
      <c r="E470" s="384"/>
      <c r="F470" s="385">
        <v>1387.27</v>
      </c>
    </row>
    <row r="471" spans="1:6" s="275" customFormat="1" ht="14" thickTop="1" x14ac:dyDescent="0.15">
      <c r="A471" s="374"/>
      <c r="B471" s="287"/>
      <c r="C471" s="287"/>
      <c r="D471" s="287"/>
      <c r="E471" s="380"/>
      <c r="F471" s="381"/>
    </row>
    <row r="472" spans="1:6" s="275" customFormat="1" x14ac:dyDescent="0.15">
      <c r="A472" s="374"/>
      <c r="B472" s="287"/>
      <c r="C472" s="378" t="s">
        <v>1212</v>
      </c>
      <c r="D472" s="287"/>
      <c r="E472" s="380"/>
      <c r="F472" s="381"/>
    </row>
    <row r="473" spans="1:6" s="275" customFormat="1" x14ac:dyDescent="0.15">
      <c r="A473" s="374"/>
      <c r="B473" s="287"/>
      <c r="C473" s="378" t="s">
        <v>1139</v>
      </c>
      <c r="D473" s="287"/>
      <c r="E473" s="380"/>
      <c r="F473" s="381"/>
    </row>
    <row r="474" spans="1:6" s="275" customFormat="1" x14ac:dyDescent="0.15">
      <c r="A474" s="374"/>
      <c r="B474" s="287"/>
      <c r="C474" s="386">
        <v>41450</v>
      </c>
      <c r="D474" s="287"/>
      <c r="E474" s="380"/>
      <c r="F474" s="381"/>
    </row>
    <row r="475" spans="1:6" s="275" customFormat="1" x14ac:dyDescent="0.15">
      <c r="A475" s="374"/>
      <c r="B475" s="287"/>
      <c r="C475" s="386"/>
      <c r="D475" s="287"/>
      <c r="E475" s="380"/>
      <c r="F475" s="381"/>
    </row>
    <row r="476" spans="1:6" s="295" customFormat="1" x14ac:dyDescent="0.15">
      <c r="A476" s="370">
        <v>77571</v>
      </c>
      <c r="B476" s="371" t="s">
        <v>1226</v>
      </c>
      <c r="C476" s="371" t="s">
        <v>1227</v>
      </c>
      <c r="D476" s="371">
        <v>80.3</v>
      </c>
      <c r="E476" s="390"/>
      <c r="F476" s="391">
        <v>108.66</v>
      </c>
    </row>
    <row r="477" spans="1:6" s="295" customFormat="1" x14ac:dyDescent="0.15">
      <c r="A477" s="374">
        <v>77572</v>
      </c>
      <c r="B477" s="287" t="s">
        <v>1228</v>
      </c>
      <c r="C477" s="287" t="s">
        <v>1229</v>
      </c>
      <c r="D477" s="287">
        <v>44.3</v>
      </c>
      <c r="E477" s="380"/>
      <c r="F477" s="381">
        <v>63.76</v>
      </c>
    </row>
    <row r="478" spans="1:6" s="295" customFormat="1" x14ac:dyDescent="0.15">
      <c r="A478" s="374">
        <v>77573</v>
      </c>
      <c r="B478" s="287" t="s">
        <v>1230</v>
      </c>
      <c r="C478" s="287" t="s">
        <v>1231</v>
      </c>
      <c r="D478" s="287">
        <v>59.7</v>
      </c>
      <c r="E478" s="392"/>
      <c r="F478" s="381">
        <v>84.01</v>
      </c>
    </row>
    <row r="479" spans="1:6" s="295" customFormat="1" x14ac:dyDescent="0.15">
      <c r="A479" s="374">
        <v>77575</v>
      </c>
      <c r="B479" s="287" t="s">
        <v>1232</v>
      </c>
      <c r="C479" s="287" t="s">
        <v>1233</v>
      </c>
      <c r="D479" s="287">
        <v>593.20000000000005</v>
      </c>
      <c r="E479" s="380"/>
      <c r="F479" s="381">
        <v>475</v>
      </c>
    </row>
    <row r="480" spans="1:6" s="295" customFormat="1" x14ac:dyDescent="0.15">
      <c r="A480" s="374">
        <v>77661</v>
      </c>
      <c r="B480" s="287" t="s">
        <v>1234</v>
      </c>
      <c r="C480" s="287" t="s">
        <v>500</v>
      </c>
      <c r="D480" s="287">
        <v>132.9</v>
      </c>
      <c r="E480" s="380"/>
      <c r="F480" s="381">
        <v>160.24</v>
      </c>
    </row>
    <row r="481" spans="1:6" s="295" customFormat="1" x14ac:dyDescent="0.15">
      <c r="A481" s="374">
        <v>77714</v>
      </c>
      <c r="B481" s="287" t="s">
        <v>1235</v>
      </c>
      <c r="C481" s="287" t="s">
        <v>1236</v>
      </c>
      <c r="D481" s="287">
        <v>73.099999999999994</v>
      </c>
      <c r="E481" s="393"/>
      <c r="F481" s="381">
        <v>100.05</v>
      </c>
    </row>
    <row r="482" spans="1:6" s="295" customFormat="1" x14ac:dyDescent="0.15">
      <c r="A482" s="374">
        <v>77714</v>
      </c>
      <c r="B482" s="287" t="s">
        <v>1238</v>
      </c>
      <c r="C482" s="287" t="s">
        <v>1239</v>
      </c>
      <c r="D482" s="287">
        <v>143.19999999999999</v>
      </c>
      <c r="E482" s="393"/>
      <c r="F482" s="381">
        <v>169.84</v>
      </c>
    </row>
    <row r="483" spans="1:6" s="295" customFormat="1" x14ac:dyDescent="0.15">
      <c r="A483" s="374">
        <v>77715</v>
      </c>
      <c r="B483" s="287" t="s">
        <v>1240</v>
      </c>
      <c r="C483" s="287" t="s">
        <v>1241</v>
      </c>
      <c r="D483" s="287">
        <v>46.3</v>
      </c>
      <c r="E483" s="380"/>
      <c r="F483" s="381">
        <v>67.959999999999994</v>
      </c>
    </row>
    <row r="484" spans="1:6" s="295" customFormat="1" x14ac:dyDescent="0.15">
      <c r="A484" s="374">
        <v>79344</v>
      </c>
      <c r="B484" s="287" t="s">
        <v>1244</v>
      </c>
      <c r="C484" s="287" t="s">
        <v>1245</v>
      </c>
      <c r="D484" s="287">
        <v>254.5</v>
      </c>
      <c r="E484" s="393"/>
      <c r="F484" s="381">
        <v>273.49</v>
      </c>
    </row>
    <row r="485" spans="1:6" s="295" customFormat="1" x14ac:dyDescent="0.15">
      <c r="A485" s="374">
        <v>79344</v>
      </c>
      <c r="B485" s="287" t="s">
        <v>1246</v>
      </c>
      <c r="C485" s="287" t="s">
        <v>1247</v>
      </c>
      <c r="D485" s="287">
        <v>117.4</v>
      </c>
      <c r="E485" s="393"/>
      <c r="F485" s="381">
        <v>145.81</v>
      </c>
    </row>
    <row r="486" spans="1:6" s="295" customFormat="1" x14ac:dyDescent="0.15">
      <c r="A486" s="374">
        <v>79344</v>
      </c>
      <c r="B486" s="287" t="s">
        <v>1248</v>
      </c>
      <c r="C486" s="287" t="s">
        <v>1249</v>
      </c>
      <c r="D486" s="287">
        <v>3.1</v>
      </c>
      <c r="E486" s="393"/>
      <c r="F486" s="381">
        <v>15.66</v>
      </c>
    </row>
    <row r="487" spans="1:6" s="295" customFormat="1" x14ac:dyDescent="0.15">
      <c r="A487" s="374">
        <v>79344</v>
      </c>
      <c r="B487" s="287" t="s">
        <v>1250</v>
      </c>
      <c r="C487" s="287" t="s">
        <v>1251</v>
      </c>
      <c r="D487" s="287">
        <v>1</v>
      </c>
      <c r="E487" s="393"/>
      <c r="F487" s="381">
        <v>12.79</v>
      </c>
    </row>
    <row r="488" spans="1:6" s="295" customFormat="1" x14ac:dyDescent="0.15">
      <c r="A488" s="374">
        <v>79344</v>
      </c>
      <c r="B488" s="287" t="s">
        <v>1252</v>
      </c>
      <c r="C488" s="287" t="s">
        <v>1253</v>
      </c>
      <c r="D488" s="287">
        <v>212.2</v>
      </c>
      <c r="E488" s="393"/>
      <c r="F488" s="381">
        <v>234.09</v>
      </c>
    </row>
    <row r="489" spans="1:6" s="295" customFormat="1" x14ac:dyDescent="0.15">
      <c r="A489" s="374">
        <v>79344</v>
      </c>
      <c r="B489" s="287" t="s">
        <v>1275</v>
      </c>
      <c r="C489" s="287" t="s">
        <v>1276</v>
      </c>
      <c r="D489" s="397">
        <v>255.5</v>
      </c>
      <c r="E489" s="380"/>
      <c r="F489" s="381">
        <v>274.42</v>
      </c>
    </row>
    <row r="490" spans="1:6" s="295" customFormat="1" x14ac:dyDescent="0.15">
      <c r="A490" s="374">
        <v>79344</v>
      </c>
      <c r="B490" s="287" t="s">
        <v>1279</v>
      </c>
      <c r="C490" s="287" t="s">
        <v>1280</v>
      </c>
      <c r="D490" s="397">
        <v>0</v>
      </c>
      <c r="E490" s="380"/>
      <c r="F490" s="381">
        <v>12.51</v>
      </c>
    </row>
    <row r="491" spans="1:6" s="275" customFormat="1" ht="14" thickBot="1" x14ac:dyDescent="0.2">
      <c r="A491" s="376"/>
      <c r="B491" s="359"/>
      <c r="C491" s="291" t="s">
        <v>115</v>
      </c>
      <c r="D491" s="383">
        <f>SUM(D476:D490)</f>
        <v>2016.7</v>
      </c>
      <c r="E491" s="384"/>
      <c r="F491" s="385">
        <v>2198.29</v>
      </c>
    </row>
    <row r="492" spans="1:6" s="275" customFormat="1" ht="14" thickTop="1" x14ac:dyDescent="0.15">
      <c r="A492" s="376"/>
      <c r="B492" s="359"/>
      <c r="C492" s="359"/>
      <c r="D492" s="287"/>
      <c r="E492" s="380"/>
      <c r="F492" s="381"/>
    </row>
    <row r="493" spans="1:6" s="275" customFormat="1" x14ac:dyDescent="0.15">
      <c r="A493" s="376"/>
      <c r="B493" s="359"/>
      <c r="C493" s="378" t="s">
        <v>1212</v>
      </c>
      <c r="D493" s="287"/>
      <c r="E493" s="380"/>
      <c r="F493" s="381"/>
    </row>
    <row r="494" spans="1:6" s="275" customFormat="1" x14ac:dyDescent="0.15">
      <c r="A494" s="376"/>
      <c r="B494" s="359"/>
      <c r="C494" s="378" t="s">
        <v>1139</v>
      </c>
      <c r="D494" s="287"/>
      <c r="E494" s="380"/>
      <c r="F494" s="381"/>
    </row>
    <row r="495" spans="1:6" s="275" customFormat="1" x14ac:dyDescent="0.15">
      <c r="A495" s="376"/>
      <c r="B495" s="359"/>
      <c r="C495" s="386">
        <v>41464</v>
      </c>
      <c r="D495" s="287"/>
      <c r="E495" s="380"/>
      <c r="F495" s="381"/>
    </row>
    <row r="496" spans="1:6" s="275" customFormat="1" x14ac:dyDescent="0.15">
      <c r="A496" s="376"/>
      <c r="B496" s="359"/>
      <c r="C496" s="359"/>
      <c r="D496" s="359"/>
      <c r="E496" s="357"/>
      <c r="F496" s="375"/>
    </row>
    <row r="497" spans="1:6" s="275" customFormat="1" ht="14" thickBot="1" x14ac:dyDescent="0.2">
      <c r="A497" s="387"/>
      <c r="B497" s="388"/>
      <c r="C497" s="291" t="s">
        <v>1174</v>
      </c>
      <c r="D497" s="383">
        <f>SUM(D454,D470,D491)</f>
        <v>8031</v>
      </c>
      <c r="E497" s="367"/>
      <c r="F497" s="389">
        <v>8193.3700000000008</v>
      </c>
    </row>
    <row r="498" spans="1:6" ht="14" thickTop="1" x14ac:dyDescent="0.15"/>
    <row r="499" spans="1:6" ht="14" thickBot="1" x14ac:dyDescent="0.2"/>
    <row r="500" spans="1:6" s="275" customFormat="1" ht="31" thickBot="1" x14ac:dyDescent="0.35">
      <c r="A500" s="767" t="s">
        <v>1137</v>
      </c>
      <c r="B500" s="768"/>
      <c r="C500" s="768"/>
      <c r="D500" s="768"/>
      <c r="E500" s="768"/>
      <c r="F500" s="769"/>
    </row>
    <row r="501" spans="1:6" s="275" customFormat="1" x14ac:dyDescent="0.15">
      <c r="E501" s="369"/>
      <c r="F501" s="278"/>
    </row>
    <row r="502" spans="1:6" s="295" customFormat="1" x14ac:dyDescent="0.15">
      <c r="A502" s="370">
        <v>79153</v>
      </c>
      <c r="B502" s="371" t="s">
        <v>1232</v>
      </c>
      <c r="C502" s="371" t="s">
        <v>1277</v>
      </c>
      <c r="D502" s="371">
        <v>2.1</v>
      </c>
      <c r="E502" s="390">
        <v>41472</v>
      </c>
      <c r="F502" s="391">
        <v>15.02</v>
      </c>
    </row>
    <row r="503" spans="1:6" s="295" customFormat="1" x14ac:dyDescent="0.15">
      <c r="A503" s="374">
        <v>79154</v>
      </c>
      <c r="B503" s="287" t="s">
        <v>1255</v>
      </c>
      <c r="C503" s="287" t="s">
        <v>1256</v>
      </c>
      <c r="D503" s="287">
        <v>210.2</v>
      </c>
      <c r="E503" s="380">
        <v>41472</v>
      </c>
      <c r="F503" s="381">
        <v>180.25</v>
      </c>
    </row>
    <row r="504" spans="1:6" s="295" customFormat="1" x14ac:dyDescent="0.15">
      <c r="A504" s="374">
        <v>79155</v>
      </c>
      <c r="B504" s="287" t="s">
        <v>1257</v>
      </c>
      <c r="C504" s="287" t="s">
        <v>1258</v>
      </c>
      <c r="D504" s="287">
        <v>99.9</v>
      </c>
      <c r="E504" s="380">
        <v>41472</v>
      </c>
      <c r="F504" s="381">
        <v>129.52000000000001</v>
      </c>
    </row>
    <row r="505" spans="1:6" s="295" customFormat="1" x14ac:dyDescent="0.15">
      <c r="A505" s="374">
        <v>79366</v>
      </c>
      <c r="B505" s="287" t="s">
        <v>1259</v>
      </c>
      <c r="C505" s="287" t="s">
        <v>1260</v>
      </c>
      <c r="D505" s="287">
        <v>0</v>
      </c>
      <c r="E505" s="380">
        <v>41472</v>
      </c>
      <c r="F505" s="381">
        <v>11.42</v>
      </c>
    </row>
    <row r="506" spans="1:6" s="295" customFormat="1" x14ac:dyDescent="0.15">
      <c r="A506" s="374">
        <v>79370</v>
      </c>
      <c r="B506" s="287" t="s">
        <v>1261</v>
      </c>
      <c r="C506" s="287" t="s">
        <v>1262</v>
      </c>
      <c r="D506" s="287">
        <v>40.200000000000003</v>
      </c>
      <c r="E506" s="380">
        <v>41472</v>
      </c>
      <c r="F506" s="381">
        <v>66.45</v>
      </c>
    </row>
    <row r="507" spans="1:6" s="295" customFormat="1" x14ac:dyDescent="0.15">
      <c r="A507" s="374">
        <v>79380</v>
      </c>
      <c r="B507" s="287" t="s">
        <v>1278</v>
      </c>
      <c r="C507" s="287" t="s">
        <v>1264</v>
      </c>
      <c r="D507" s="287">
        <v>9.3000000000000007</v>
      </c>
      <c r="E507" s="380">
        <v>41473</v>
      </c>
      <c r="F507" s="381">
        <v>23.65</v>
      </c>
    </row>
    <row r="508" spans="1:6" s="295" customFormat="1" x14ac:dyDescent="0.15">
      <c r="A508" s="374">
        <v>79383</v>
      </c>
      <c r="B508" s="287" t="s">
        <v>1265</v>
      </c>
      <c r="C508" s="287" t="s">
        <v>1266</v>
      </c>
      <c r="D508" s="287">
        <v>6.2</v>
      </c>
      <c r="E508" s="380">
        <v>41473</v>
      </c>
      <c r="F508" s="381">
        <v>19.899999999999999</v>
      </c>
    </row>
    <row r="509" spans="1:6" s="295" customFormat="1" x14ac:dyDescent="0.15">
      <c r="A509" s="374">
        <v>79393</v>
      </c>
      <c r="B509" s="287" t="s">
        <v>1267</v>
      </c>
      <c r="C509" s="287" t="s">
        <v>1268</v>
      </c>
      <c r="D509" s="287">
        <v>38.1</v>
      </c>
      <c r="E509" s="380">
        <v>41472</v>
      </c>
      <c r="F509" s="381">
        <v>63.57</v>
      </c>
    </row>
    <row r="510" spans="1:6" s="295" customFormat="1" x14ac:dyDescent="0.15">
      <c r="A510" s="374">
        <v>79949</v>
      </c>
      <c r="B510" s="287" t="s">
        <v>1269</v>
      </c>
      <c r="C510" s="287" t="s">
        <v>1270</v>
      </c>
      <c r="D510" s="287">
        <v>0</v>
      </c>
      <c r="E510" s="380">
        <v>41472</v>
      </c>
      <c r="F510" s="381">
        <v>12.51</v>
      </c>
    </row>
    <row r="511" spans="1:6" s="295" customFormat="1" x14ac:dyDescent="0.15">
      <c r="A511" s="374">
        <v>118456</v>
      </c>
      <c r="B511" s="287" t="s">
        <v>1271</v>
      </c>
      <c r="C511" s="287" t="s">
        <v>1272</v>
      </c>
      <c r="D511" s="287">
        <v>41.2</v>
      </c>
      <c r="E511" s="380">
        <v>41472</v>
      </c>
      <c r="F511" s="381">
        <v>61.84</v>
      </c>
    </row>
    <row r="512" spans="1:6" s="275" customFormat="1" ht="14" thickBot="1" x14ac:dyDescent="0.2">
      <c r="A512" s="374"/>
      <c r="B512" s="287"/>
      <c r="C512" s="291" t="s">
        <v>115</v>
      </c>
      <c r="D512" s="394">
        <f>SUM(D502:D511)</f>
        <v>447.2</v>
      </c>
      <c r="E512" s="384"/>
      <c r="F512" s="385">
        <v>584.13</v>
      </c>
    </row>
    <row r="513" spans="1:6" s="275" customFormat="1" ht="14" thickTop="1" x14ac:dyDescent="0.15">
      <c r="A513" s="374"/>
      <c r="B513" s="287"/>
      <c r="C513" s="287"/>
      <c r="D513" s="287"/>
      <c r="E513" s="380"/>
      <c r="F513" s="381"/>
    </row>
    <row r="514" spans="1:6" s="275" customFormat="1" x14ac:dyDescent="0.15">
      <c r="A514" s="374"/>
      <c r="B514" s="287"/>
      <c r="C514" s="378" t="s">
        <v>1212</v>
      </c>
      <c r="D514" s="287"/>
      <c r="E514" s="380"/>
      <c r="F514" s="381"/>
    </row>
    <row r="515" spans="1:6" s="275" customFormat="1" x14ac:dyDescent="0.15">
      <c r="A515" s="374"/>
      <c r="B515" s="287"/>
      <c r="C515" s="378" t="s">
        <v>1139</v>
      </c>
      <c r="D515" s="287"/>
      <c r="E515" s="380"/>
      <c r="F515" s="381"/>
    </row>
    <row r="516" spans="1:6" s="275" customFormat="1" x14ac:dyDescent="0.15">
      <c r="A516" s="374"/>
      <c r="B516" s="287"/>
      <c r="C516" s="386">
        <v>41481</v>
      </c>
      <c r="D516" s="287"/>
      <c r="E516" s="380"/>
      <c r="F516" s="381"/>
    </row>
    <row r="517" spans="1:6" s="275" customFormat="1" x14ac:dyDescent="0.15">
      <c r="A517" s="399"/>
      <c r="B517" s="400"/>
      <c r="C517" s="400"/>
      <c r="D517" s="400"/>
      <c r="E517" s="401"/>
      <c r="F517" s="402"/>
    </row>
    <row r="518" spans="1:6" s="295" customFormat="1" x14ac:dyDescent="0.15">
      <c r="A518" s="370">
        <v>77571</v>
      </c>
      <c r="B518" s="371" t="s">
        <v>1226</v>
      </c>
      <c r="C518" s="371" t="s">
        <v>1227</v>
      </c>
      <c r="D518" s="371">
        <v>69</v>
      </c>
      <c r="E518" s="390"/>
      <c r="F518" s="391">
        <v>95.14</v>
      </c>
    </row>
    <row r="519" spans="1:6" s="295" customFormat="1" x14ac:dyDescent="0.15">
      <c r="A519" s="374">
        <v>77572</v>
      </c>
      <c r="B519" s="287" t="s">
        <v>1228</v>
      </c>
      <c r="C519" s="287" t="s">
        <v>1229</v>
      </c>
      <c r="D519" s="287">
        <v>0</v>
      </c>
      <c r="E519" s="380"/>
      <c r="F519" s="381">
        <v>32.65</v>
      </c>
    </row>
    <row r="520" spans="1:6" s="295" customFormat="1" x14ac:dyDescent="0.15">
      <c r="A520" s="374">
        <v>77573</v>
      </c>
      <c r="B520" s="287" t="s">
        <v>1230</v>
      </c>
      <c r="C520" s="287" t="s">
        <v>1231</v>
      </c>
      <c r="D520" s="287">
        <v>35</v>
      </c>
      <c r="E520" s="392"/>
      <c r="F520" s="381">
        <v>54.43</v>
      </c>
    </row>
    <row r="521" spans="1:6" s="295" customFormat="1" x14ac:dyDescent="0.15">
      <c r="A521" s="374">
        <v>77575</v>
      </c>
      <c r="B521" s="287" t="s">
        <v>1232</v>
      </c>
      <c r="C521" s="287" t="s">
        <v>1233</v>
      </c>
      <c r="D521" s="287">
        <v>818.2</v>
      </c>
      <c r="E521" s="380"/>
      <c r="F521" s="381">
        <v>642.78</v>
      </c>
    </row>
    <row r="522" spans="1:6" s="295" customFormat="1" x14ac:dyDescent="0.15">
      <c r="A522" s="374">
        <v>77661</v>
      </c>
      <c r="B522" s="287" t="s">
        <v>1234</v>
      </c>
      <c r="C522" s="287" t="s">
        <v>500</v>
      </c>
      <c r="D522" s="287">
        <v>113.2</v>
      </c>
      <c r="E522" s="380"/>
      <c r="F522" s="381">
        <v>141.9</v>
      </c>
    </row>
    <row r="523" spans="1:6" s="295" customFormat="1" x14ac:dyDescent="0.15">
      <c r="A523" s="374">
        <v>77714</v>
      </c>
      <c r="B523" s="287" t="s">
        <v>1235</v>
      </c>
      <c r="C523" s="287" t="s">
        <v>1236</v>
      </c>
      <c r="D523" s="287">
        <v>74.099999999999994</v>
      </c>
      <c r="E523" s="393"/>
      <c r="F523" s="381">
        <v>101.25</v>
      </c>
    </row>
    <row r="524" spans="1:6" s="295" customFormat="1" x14ac:dyDescent="0.15">
      <c r="A524" s="374">
        <v>77714</v>
      </c>
      <c r="B524" s="287" t="s">
        <v>1238</v>
      </c>
      <c r="C524" s="287" t="s">
        <v>1239</v>
      </c>
      <c r="D524" s="287">
        <v>70</v>
      </c>
      <c r="E524" s="393"/>
      <c r="F524" s="381">
        <v>96.34</v>
      </c>
    </row>
    <row r="525" spans="1:6" s="295" customFormat="1" x14ac:dyDescent="0.15">
      <c r="A525" s="374">
        <v>77715</v>
      </c>
      <c r="B525" s="287" t="s">
        <v>1240</v>
      </c>
      <c r="C525" s="287" t="s">
        <v>1241</v>
      </c>
      <c r="D525" s="287">
        <v>49.4</v>
      </c>
      <c r="E525" s="380"/>
      <c r="F525" s="381">
        <v>71.66</v>
      </c>
    </row>
    <row r="526" spans="1:6" s="295" customFormat="1" x14ac:dyDescent="0.15">
      <c r="A526" s="374">
        <v>79344</v>
      </c>
      <c r="B526" s="287" t="s">
        <v>1244</v>
      </c>
      <c r="C526" s="287" t="s">
        <v>1245</v>
      </c>
      <c r="D526" s="287">
        <v>94.7</v>
      </c>
      <c r="E526" s="393"/>
      <c r="F526" s="381">
        <v>124.67</v>
      </c>
    </row>
    <row r="527" spans="1:6" s="295" customFormat="1" x14ac:dyDescent="0.15">
      <c r="A527" s="374">
        <v>79344</v>
      </c>
      <c r="B527" s="287" t="s">
        <v>1246</v>
      </c>
      <c r="C527" s="287" t="s">
        <v>1247</v>
      </c>
      <c r="D527" s="287">
        <v>78.2</v>
      </c>
      <c r="E527" s="393"/>
      <c r="F527" s="381">
        <v>106.15</v>
      </c>
    </row>
    <row r="528" spans="1:6" s="295" customFormat="1" x14ac:dyDescent="0.15">
      <c r="A528" s="374">
        <v>79344</v>
      </c>
      <c r="B528" s="287" t="s">
        <v>1248</v>
      </c>
      <c r="C528" s="287" t="s">
        <v>1249</v>
      </c>
      <c r="D528" s="287">
        <v>0</v>
      </c>
      <c r="E528" s="393"/>
      <c r="F528" s="381">
        <v>11.42</v>
      </c>
    </row>
    <row r="529" spans="1:6" s="295" customFormat="1" x14ac:dyDescent="0.15">
      <c r="A529" s="374">
        <v>79344</v>
      </c>
      <c r="B529" s="287" t="s">
        <v>1250</v>
      </c>
      <c r="C529" s="287" t="s">
        <v>1251</v>
      </c>
      <c r="D529" s="287">
        <v>0</v>
      </c>
      <c r="E529" s="393"/>
      <c r="F529" s="381">
        <v>11.42</v>
      </c>
    </row>
    <row r="530" spans="1:6" s="295" customFormat="1" x14ac:dyDescent="0.15">
      <c r="A530" s="374">
        <v>79344</v>
      </c>
      <c r="B530" s="287" t="s">
        <v>1252</v>
      </c>
      <c r="C530" s="287" t="s">
        <v>1253</v>
      </c>
      <c r="D530" s="287">
        <v>63.8</v>
      </c>
      <c r="E530" s="393"/>
      <c r="F530" s="381">
        <v>88.91</v>
      </c>
    </row>
    <row r="531" spans="1:6" s="295" customFormat="1" x14ac:dyDescent="0.15">
      <c r="A531" s="374">
        <v>79344</v>
      </c>
      <c r="B531" s="287" t="s">
        <v>1275</v>
      </c>
      <c r="C531" s="287" t="s">
        <v>1276</v>
      </c>
      <c r="D531" s="397">
        <v>95.7</v>
      </c>
      <c r="E531" s="380"/>
      <c r="F531" s="381">
        <v>125.59</v>
      </c>
    </row>
    <row r="532" spans="1:6" s="295" customFormat="1" x14ac:dyDescent="0.15">
      <c r="A532" s="374">
        <v>79344</v>
      </c>
      <c r="B532" s="287" t="s">
        <v>1279</v>
      </c>
      <c r="C532" s="287" t="s">
        <v>1280</v>
      </c>
      <c r="D532" s="397">
        <v>0</v>
      </c>
      <c r="E532" s="380"/>
      <c r="F532" s="381">
        <v>12.51</v>
      </c>
    </row>
    <row r="533" spans="1:6" s="275" customFormat="1" ht="14" thickBot="1" x14ac:dyDescent="0.2">
      <c r="A533" s="376"/>
      <c r="B533" s="359"/>
      <c r="C533" s="291" t="s">
        <v>115</v>
      </c>
      <c r="D533" s="383">
        <f>SUM(D518:D532)</f>
        <v>1561.3000000000002</v>
      </c>
      <c r="E533" s="384"/>
      <c r="F533" s="385">
        <v>1716.82</v>
      </c>
    </row>
    <row r="534" spans="1:6" s="275" customFormat="1" ht="14" thickTop="1" x14ac:dyDescent="0.15">
      <c r="A534" s="376"/>
      <c r="B534" s="359"/>
      <c r="C534" s="359"/>
      <c r="D534" s="287"/>
      <c r="E534" s="380"/>
      <c r="F534" s="381"/>
    </row>
    <row r="535" spans="1:6" s="275" customFormat="1" x14ac:dyDescent="0.15">
      <c r="A535" s="376"/>
      <c r="B535" s="359"/>
      <c r="C535" s="378" t="s">
        <v>1212</v>
      </c>
      <c r="D535" s="287"/>
      <c r="E535" s="380"/>
      <c r="F535" s="381"/>
    </row>
    <row r="536" spans="1:6" s="275" customFormat="1" x14ac:dyDescent="0.15">
      <c r="A536" s="376"/>
      <c r="B536" s="359"/>
      <c r="C536" s="378" t="s">
        <v>1139</v>
      </c>
      <c r="D536" s="287"/>
      <c r="E536" s="380"/>
      <c r="F536" s="381"/>
    </row>
    <row r="537" spans="1:6" s="275" customFormat="1" x14ac:dyDescent="0.15">
      <c r="A537" s="376"/>
      <c r="B537" s="359"/>
      <c r="C537" s="386">
        <v>41492</v>
      </c>
      <c r="D537" s="287"/>
      <c r="E537" s="380"/>
      <c r="F537" s="381"/>
    </row>
    <row r="538" spans="1:6" s="275" customFormat="1" x14ac:dyDescent="0.15">
      <c r="A538" s="399"/>
      <c r="B538" s="400"/>
      <c r="C538" s="400"/>
      <c r="D538" s="400"/>
      <c r="E538" s="401"/>
      <c r="F538" s="402"/>
    </row>
    <row r="539" spans="1:6" s="275" customFormat="1" ht="14" thickBot="1" x14ac:dyDescent="0.2">
      <c r="A539" s="387"/>
      <c r="B539" s="388"/>
      <c r="C539" s="291" t="s">
        <v>1177</v>
      </c>
      <c r="D539" s="383">
        <f t="shared" ref="D539" si="0">SUM(D512,D533)</f>
        <v>2008.5000000000002</v>
      </c>
      <c r="E539" s="367"/>
      <c r="F539" s="389">
        <v>2300.9499999999998</v>
      </c>
    </row>
    <row r="540" spans="1:6" s="275" customFormat="1" ht="14" thickTop="1" x14ac:dyDescent="0.15">
      <c r="E540" s="369"/>
      <c r="F540" s="278"/>
    </row>
    <row r="541" spans="1:6" s="295" customFormat="1" x14ac:dyDescent="0.15">
      <c r="A541" s="370">
        <v>79153</v>
      </c>
      <c r="B541" s="371" t="s">
        <v>1232</v>
      </c>
      <c r="C541" s="371" t="s">
        <v>1277</v>
      </c>
      <c r="D541" s="371">
        <v>12.3</v>
      </c>
      <c r="E541" s="390">
        <v>41502</v>
      </c>
      <c r="F541" s="391">
        <v>26.21</v>
      </c>
    </row>
    <row r="542" spans="1:6" s="295" customFormat="1" x14ac:dyDescent="0.15">
      <c r="A542" s="374">
        <v>79154</v>
      </c>
      <c r="B542" s="287" t="s">
        <v>1255</v>
      </c>
      <c r="C542" s="287" t="s">
        <v>1256</v>
      </c>
      <c r="D542" s="287">
        <v>222.4</v>
      </c>
      <c r="E542" s="380">
        <v>41502</v>
      </c>
      <c r="F542" s="381">
        <v>170.04</v>
      </c>
    </row>
    <row r="543" spans="1:6" s="295" customFormat="1" x14ac:dyDescent="0.15">
      <c r="A543" s="374">
        <v>79155</v>
      </c>
      <c r="B543" s="287" t="s">
        <v>1257</v>
      </c>
      <c r="C543" s="287" t="s">
        <v>1258</v>
      </c>
      <c r="D543" s="287">
        <v>93.7</v>
      </c>
      <c r="E543" s="380">
        <v>41502</v>
      </c>
      <c r="F543" s="381">
        <v>115.82</v>
      </c>
    </row>
    <row r="544" spans="1:6" s="295" customFormat="1" x14ac:dyDescent="0.15">
      <c r="A544" s="374">
        <v>79366</v>
      </c>
      <c r="B544" s="287" t="s">
        <v>1259</v>
      </c>
      <c r="C544" s="287" t="s">
        <v>1260</v>
      </c>
      <c r="D544" s="287">
        <v>0</v>
      </c>
      <c r="E544" s="380">
        <v>41502</v>
      </c>
      <c r="F544" s="381">
        <v>11.42</v>
      </c>
    </row>
    <row r="545" spans="1:6" s="295" customFormat="1" x14ac:dyDescent="0.15">
      <c r="A545" s="374">
        <v>79370</v>
      </c>
      <c r="B545" s="287" t="s">
        <v>1261</v>
      </c>
      <c r="C545" s="287" t="s">
        <v>1262</v>
      </c>
      <c r="D545" s="287">
        <v>36</v>
      </c>
      <c r="E545" s="380">
        <v>41502</v>
      </c>
      <c r="F545" s="381">
        <v>57.67</v>
      </c>
    </row>
    <row r="546" spans="1:6" s="295" customFormat="1" x14ac:dyDescent="0.15">
      <c r="A546" s="374">
        <v>79380</v>
      </c>
      <c r="B546" s="287" t="s">
        <v>1278</v>
      </c>
      <c r="C546" s="287" t="s">
        <v>1264</v>
      </c>
      <c r="D546" s="287">
        <v>6.2</v>
      </c>
      <c r="E546" s="380">
        <v>41502</v>
      </c>
      <c r="F546" s="381">
        <v>19.43</v>
      </c>
    </row>
    <row r="547" spans="1:6" s="295" customFormat="1" x14ac:dyDescent="0.15">
      <c r="A547" s="374">
        <v>79383</v>
      </c>
      <c r="B547" s="287" t="s">
        <v>1265</v>
      </c>
      <c r="C547" s="287" t="s">
        <v>1266</v>
      </c>
      <c r="D547" s="287">
        <v>2.1</v>
      </c>
      <c r="E547" s="380">
        <v>41502</v>
      </c>
      <c r="F547" s="381">
        <v>14.13</v>
      </c>
    </row>
    <row r="548" spans="1:6" s="295" customFormat="1" x14ac:dyDescent="0.15">
      <c r="A548" s="374">
        <v>79393</v>
      </c>
      <c r="B548" s="287" t="s">
        <v>1267</v>
      </c>
      <c r="C548" s="287" t="s">
        <v>1268</v>
      </c>
      <c r="D548" s="287">
        <v>38.1</v>
      </c>
      <c r="E548" s="380">
        <v>41502</v>
      </c>
      <c r="F548" s="381">
        <v>60.36</v>
      </c>
    </row>
    <row r="549" spans="1:6" s="295" customFormat="1" x14ac:dyDescent="0.15">
      <c r="A549" s="374">
        <v>79949</v>
      </c>
      <c r="B549" s="287" t="s">
        <v>1269</v>
      </c>
      <c r="C549" s="287" t="s">
        <v>1270</v>
      </c>
      <c r="D549" s="287">
        <v>5.2</v>
      </c>
      <c r="E549" s="380">
        <v>41502</v>
      </c>
      <c r="F549" s="381">
        <v>10.36</v>
      </c>
    </row>
    <row r="550" spans="1:6" s="295" customFormat="1" x14ac:dyDescent="0.15">
      <c r="A550" s="374">
        <v>118456</v>
      </c>
      <c r="B550" s="287" t="s">
        <v>1271</v>
      </c>
      <c r="C550" s="287" t="s">
        <v>1272</v>
      </c>
      <c r="D550" s="287">
        <v>40.200000000000003</v>
      </c>
      <c r="E550" s="380">
        <v>41502</v>
      </c>
      <c r="F550" s="381">
        <v>57.26</v>
      </c>
    </row>
    <row r="551" spans="1:6" s="275" customFormat="1" ht="14" thickBot="1" x14ac:dyDescent="0.2">
      <c r="A551" s="374"/>
      <c r="B551" s="287"/>
      <c r="C551" s="291" t="s">
        <v>115</v>
      </c>
      <c r="D551" s="394">
        <f>SUM(D541:D550)</f>
        <v>456.20000000000005</v>
      </c>
      <c r="E551" s="384"/>
      <c r="F551" s="385">
        <v>542.70000000000005</v>
      </c>
    </row>
    <row r="552" spans="1:6" s="275" customFormat="1" ht="14" thickTop="1" x14ac:dyDescent="0.15">
      <c r="A552" s="374"/>
      <c r="B552" s="287"/>
      <c r="C552" s="287"/>
      <c r="D552" s="287"/>
      <c r="E552" s="380"/>
      <c r="F552" s="381"/>
    </row>
    <row r="553" spans="1:6" s="275" customFormat="1" x14ac:dyDescent="0.15">
      <c r="A553" s="374"/>
      <c r="B553" s="287"/>
      <c r="C553" s="378" t="s">
        <v>1212</v>
      </c>
      <c r="D553" s="287"/>
      <c r="E553" s="380"/>
      <c r="F553" s="381"/>
    </row>
    <row r="554" spans="1:6" s="275" customFormat="1" x14ac:dyDescent="0.15">
      <c r="A554" s="374"/>
      <c r="B554" s="287"/>
      <c r="C554" s="378" t="s">
        <v>1139</v>
      </c>
      <c r="D554" s="287"/>
      <c r="E554" s="380"/>
      <c r="F554" s="381"/>
    </row>
    <row r="555" spans="1:6" s="275" customFormat="1" x14ac:dyDescent="0.15">
      <c r="A555" s="374"/>
      <c r="B555" s="287"/>
      <c r="C555" s="386">
        <v>41512</v>
      </c>
      <c r="D555" s="287"/>
      <c r="E555" s="380"/>
      <c r="F555" s="381"/>
    </row>
    <row r="556" spans="1:6" s="275" customFormat="1" x14ac:dyDescent="0.15">
      <c r="A556" s="399"/>
      <c r="B556" s="400"/>
      <c r="C556" s="400"/>
      <c r="D556" s="400"/>
      <c r="E556" s="401"/>
      <c r="F556" s="402"/>
    </row>
    <row r="557" spans="1:6" s="295" customFormat="1" x14ac:dyDescent="0.15">
      <c r="A557" s="370">
        <v>77571</v>
      </c>
      <c r="B557" s="371" t="s">
        <v>1226</v>
      </c>
      <c r="C557" s="371" t="s">
        <v>1227</v>
      </c>
      <c r="D557" s="371">
        <v>57.8</v>
      </c>
      <c r="E557" s="390"/>
      <c r="F557" s="391">
        <v>72.66</v>
      </c>
    </row>
    <row r="558" spans="1:6" s="295" customFormat="1" x14ac:dyDescent="0.15">
      <c r="A558" s="374">
        <v>77572</v>
      </c>
      <c r="B558" s="287" t="s">
        <v>1228</v>
      </c>
      <c r="C558" s="287" t="s">
        <v>1229</v>
      </c>
      <c r="D558" s="287">
        <v>0</v>
      </c>
      <c r="E558" s="380"/>
      <c r="F558" s="381">
        <v>32.65</v>
      </c>
    </row>
    <row r="559" spans="1:6" s="295" customFormat="1" x14ac:dyDescent="0.15">
      <c r="A559" s="374">
        <v>77573</v>
      </c>
      <c r="B559" s="287" t="s">
        <v>1230</v>
      </c>
      <c r="C559" s="287" t="s">
        <v>1231</v>
      </c>
      <c r="D559" s="287">
        <v>37.1</v>
      </c>
      <c r="E559" s="392"/>
      <c r="F559" s="381">
        <v>51.11</v>
      </c>
    </row>
    <row r="560" spans="1:6" s="295" customFormat="1" x14ac:dyDescent="0.15">
      <c r="A560" s="374">
        <v>77575</v>
      </c>
      <c r="B560" s="287" t="s">
        <v>1232</v>
      </c>
      <c r="C560" s="287" t="s">
        <v>1233</v>
      </c>
      <c r="D560" s="287">
        <v>526</v>
      </c>
      <c r="E560" s="380"/>
      <c r="F560" s="381">
        <v>334.52</v>
      </c>
    </row>
    <row r="561" spans="1:6" s="295" customFormat="1" x14ac:dyDescent="0.15">
      <c r="A561" s="374">
        <v>77661</v>
      </c>
      <c r="B561" s="287" t="s">
        <v>1234</v>
      </c>
      <c r="C561" s="287" t="s">
        <v>500</v>
      </c>
      <c r="D561" s="287">
        <v>76.3</v>
      </c>
      <c r="E561" s="380"/>
      <c r="F561" s="381">
        <v>91.91</v>
      </c>
    </row>
    <row r="562" spans="1:6" s="295" customFormat="1" x14ac:dyDescent="0.15">
      <c r="A562" s="374">
        <v>77714</v>
      </c>
      <c r="B562" s="287" t="s">
        <v>1235</v>
      </c>
      <c r="C562" s="287" t="s">
        <v>1236</v>
      </c>
      <c r="D562" s="287">
        <v>70.099999999999994</v>
      </c>
      <c r="E562" s="393"/>
      <c r="F562" s="381">
        <v>85.45</v>
      </c>
    </row>
    <row r="563" spans="1:6" s="295" customFormat="1" x14ac:dyDescent="0.15">
      <c r="A563" s="374">
        <v>77714</v>
      </c>
      <c r="B563" s="287" t="s">
        <v>1238</v>
      </c>
      <c r="C563" s="287" t="s">
        <v>1239</v>
      </c>
      <c r="D563" s="287">
        <v>56.7</v>
      </c>
      <c r="E563" s="393"/>
      <c r="F563" s="381">
        <v>71.510000000000005</v>
      </c>
    </row>
    <row r="564" spans="1:6" s="295" customFormat="1" x14ac:dyDescent="0.15">
      <c r="A564" s="374">
        <v>77715</v>
      </c>
      <c r="B564" s="287" t="s">
        <v>1240</v>
      </c>
      <c r="C564" s="287" t="s">
        <v>1241</v>
      </c>
      <c r="D564" s="287">
        <v>51.6</v>
      </c>
      <c r="E564" s="380"/>
      <c r="F564" s="381">
        <v>66.2</v>
      </c>
    </row>
    <row r="565" spans="1:6" s="295" customFormat="1" x14ac:dyDescent="0.15">
      <c r="A565" s="374">
        <v>79344</v>
      </c>
      <c r="B565" s="287" t="s">
        <v>1244</v>
      </c>
      <c r="C565" s="287" t="s">
        <v>1245</v>
      </c>
      <c r="D565" s="287">
        <v>86.5</v>
      </c>
      <c r="E565" s="393"/>
      <c r="F565" s="381">
        <v>108.79</v>
      </c>
    </row>
    <row r="566" spans="1:6" s="295" customFormat="1" x14ac:dyDescent="0.15">
      <c r="A566" s="374">
        <v>79344</v>
      </c>
      <c r="B566" s="287" t="s">
        <v>1246</v>
      </c>
      <c r="C566" s="287" t="s">
        <v>1247</v>
      </c>
      <c r="D566" s="287">
        <v>52.6</v>
      </c>
      <c r="E566" s="393"/>
      <c r="F566" s="381">
        <v>67.25</v>
      </c>
    </row>
    <row r="567" spans="1:6" s="295" customFormat="1" x14ac:dyDescent="0.15">
      <c r="A567" s="374">
        <v>79344</v>
      </c>
      <c r="B567" s="287" t="s">
        <v>1248</v>
      </c>
      <c r="C567" s="287" t="s">
        <v>1249</v>
      </c>
      <c r="D567" s="287">
        <v>0</v>
      </c>
      <c r="E567" s="393"/>
      <c r="F567" s="381">
        <v>11.42</v>
      </c>
    </row>
    <row r="568" spans="1:6" s="295" customFormat="1" x14ac:dyDescent="0.15">
      <c r="A568" s="374">
        <v>79344</v>
      </c>
      <c r="B568" s="287" t="s">
        <v>1250</v>
      </c>
      <c r="C568" s="287" t="s">
        <v>1251</v>
      </c>
      <c r="D568" s="287">
        <v>0</v>
      </c>
      <c r="E568" s="393"/>
      <c r="F568" s="381">
        <v>11.42</v>
      </c>
    </row>
    <row r="569" spans="1:6" s="295" customFormat="1" x14ac:dyDescent="0.15">
      <c r="A569" s="374">
        <v>79344</v>
      </c>
      <c r="B569" s="287" t="s">
        <v>1252</v>
      </c>
      <c r="C569" s="287" t="s">
        <v>1253</v>
      </c>
      <c r="D569" s="287">
        <v>54.6</v>
      </c>
      <c r="E569" s="393"/>
      <c r="F569" s="381">
        <v>73.28</v>
      </c>
    </row>
    <row r="570" spans="1:6" s="295" customFormat="1" x14ac:dyDescent="0.15">
      <c r="A570" s="374">
        <v>79344</v>
      </c>
      <c r="B570" s="287" t="s">
        <v>1275</v>
      </c>
      <c r="C570" s="287" t="s">
        <v>1276</v>
      </c>
      <c r="D570" s="397">
        <v>92.7</v>
      </c>
      <c r="E570" s="380"/>
      <c r="F570" s="381">
        <v>114.98</v>
      </c>
    </row>
    <row r="571" spans="1:6" s="295" customFormat="1" x14ac:dyDescent="0.15">
      <c r="A571" s="374">
        <v>79344</v>
      </c>
      <c r="B571" s="287" t="s">
        <v>1279</v>
      </c>
      <c r="C571" s="287" t="s">
        <v>1280</v>
      </c>
      <c r="D571" s="397">
        <v>35</v>
      </c>
      <c r="E571" s="380"/>
      <c r="F571" s="381">
        <v>51.48</v>
      </c>
    </row>
    <row r="572" spans="1:6" s="275" customFormat="1" ht="14" thickBot="1" x14ac:dyDescent="0.2">
      <c r="A572" s="376"/>
      <c r="B572" s="359"/>
      <c r="C572" s="291" t="s">
        <v>115</v>
      </c>
      <c r="D572" s="383">
        <f>SUM(D557:D571)</f>
        <v>1197</v>
      </c>
      <c r="E572" s="384"/>
      <c r="F572" s="385">
        <v>1244.6299999999999</v>
      </c>
    </row>
    <row r="573" spans="1:6" s="275" customFormat="1" ht="14" thickTop="1" x14ac:dyDescent="0.15">
      <c r="A573" s="376"/>
      <c r="B573" s="359"/>
      <c r="C573" s="359"/>
      <c r="D573" s="287"/>
      <c r="E573" s="380"/>
      <c r="F573" s="381"/>
    </row>
    <row r="574" spans="1:6" s="275" customFormat="1" x14ac:dyDescent="0.15">
      <c r="A574" s="376"/>
      <c r="B574" s="359"/>
      <c r="C574" s="378" t="s">
        <v>1212</v>
      </c>
      <c r="D574" s="287"/>
      <c r="E574" s="380"/>
      <c r="F574" s="381"/>
    </row>
    <row r="575" spans="1:6" s="275" customFormat="1" x14ac:dyDescent="0.15">
      <c r="A575" s="376"/>
      <c r="B575" s="359"/>
      <c r="C575" s="378" t="s">
        <v>1139</v>
      </c>
      <c r="D575" s="287"/>
      <c r="E575" s="380"/>
      <c r="F575" s="381"/>
    </row>
    <row r="576" spans="1:6" s="275" customFormat="1" x14ac:dyDescent="0.15">
      <c r="A576" s="376"/>
      <c r="B576" s="359"/>
      <c r="C576" s="386">
        <v>41527</v>
      </c>
      <c r="D576" s="287"/>
      <c r="E576" s="380"/>
      <c r="F576" s="381"/>
    </row>
    <row r="577" spans="1:6" s="275" customFormat="1" x14ac:dyDescent="0.15">
      <c r="A577" s="399"/>
      <c r="B577" s="400"/>
      <c r="C577" s="400"/>
      <c r="D577" s="400"/>
      <c r="E577" s="401"/>
      <c r="F577" s="402"/>
    </row>
    <row r="578" spans="1:6" s="275" customFormat="1" ht="14" thickBot="1" x14ac:dyDescent="0.2">
      <c r="A578" s="387"/>
      <c r="B578" s="388"/>
      <c r="C578" s="291" t="s">
        <v>1281</v>
      </c>
      <c r="D578" s="383">
        <f>SUM(D551,D572)</f>
        <v>1653.2</v>
      </c>
      <c r="E578" s="367"/>
      <c r="F578" s="389">
        <v>1787.33</v>
      </c>
    </row>
    <row r="579" spans="1:6" s="275" customFormat="1" ht="14" thickTop="1" x14ac:dyDescent="0.15">
      <c r="E579" s="369"/>
      <c r="F579" s="278"/>
    </row>
    <row r="580" spans="1:6" s="295" customFormat="1" x14ac:dyDescent="0.15">
      <c r="A580" s="370">
        <v>79153</v>
      </c>
      <c r="B580" s="371" t="s">
        <v>1232</v>
      </c>
      <c r="C580" s="371" t="s">
        <v>1277</v>
      </c>
      <c r="D580" s="371">
        <v>28.8</v>
      </c>
      <c r="E580" s="390">
        <v>41529</v>
      </c>
      <c r="F580" s="391">
        <v>40.520000000000003</v>
      </c>
    </row>
    <row r="581" spans="1:6" s="295" customFormat="1" x14ac:dyDescent="0.15">
      <c r="A581" s="374">
        <v>79154</v>
      </c>
      <c r="B581" s="287" t="s">
        <v>1255</v>
      </c>
      <c r="C581" s="287" t="s">
        <v>1256</v>
      </c>
      <c r="D581" s="287">
        <v>178.1</v>
      </c>
      <c r="E581" s="380">
        <v>41529</v>
      </c>
      <c r="F581" s="381">
        <v>117.6</v>
      </c>
    </row>
    <row r="582" spans="1:6" s="295" customFormat="1" x14ac:dyDescent="0.15">
      <c r="A582" s="374">
        <v>79155</v>
      </c>
      <c r="B582" s="287" t="s">
        <v>1257</v>
      </c>
      <c r="C582" s="287" t="s">
        <v>1258</v>
      </c>
      <c r="D582" s="287">
        <v>122.8</v>
      </c>
      <c r="E582" s="380">
        <v>41529</v>
      </c>
      <c r="F582" s="381">
        <v>123.18</v>
      </c>
    </row>
    <row r="583" spans="1:6" s="295" customFormat="1" x14ac:dyDescent="0.15">
      <c r="A583" s="374">
        <v>79366</v>
      </c>
      <c r="B583" s="287" t="s">
        <v>1259</v>
      </c>
      <c r="C583" s="287" t="s">
        <v>1260</v>
      </c>
      <c r="D583" s="287">
        <v>0</v>
      </c>
      <c r="E583" s="380">
        <v>41529</v>
      </c>
      <c r="F583" s="381">
        <v>11.42</v>
      </c>
    </row>
    <row r="584" spans="1:6" s="295" customFormat="1" x14ac:dyDescent="0.15">
      <c r="A584" s="374">
        <v>79370</v>
      </c>
      <c r="B584" s="287" t="s">
        <v>1261</v>
      </c>
      <c r="C584" s="287" t="s">
        <v>1262</v>
      </c>
      <c r="D584" s="287">
        <v>33</v>
      </c>
      <c r="E584" s="380">
        <v>41529</v>
      </c>
      <c r="F584" s="381">
        <v>49.16</v>
      </c>
    </row>
    <row r="585" spans="1:6" s="295" customFormat="1" x14ac:dyDescent="0.15">
      <c r="A585" s="374">
        <v>79380</v>
      </c>
      <c r="B585" s="287" t="s">
        <v>1278</v>
      </c>
      <c r="C585" s="287" t="s">
        <v>1264</v>
      </c>
      <c r="D585" s="287">
        <v>10.3</v>
      </c>
      <c r="E585" s="380">
        <v>41529</v>
      </c>
      <c r="F585" s="381">
        <v>22.53</v>
      </c>
    </row>
    <row r="586" spans="1:6" s="295" customFormat="1" x14ac:dyDescent="0.15">
      <c r="A586" s="374">
        <v>79383</v>
      </c>
      <c r="B586" s="287" t="s">
        <v>1265</v>
      </c>
      <c r="C586" s="287" t="s">
        <v>1266</v>
      </c>
      <c r="D586" s="287">
        <v>8.3000000000000007</v>
      </c>
      <c r="E586" s="380">
        <v>41529</v>
      </c>
      <c r="F586" s="381">
        <v>20.91</v>
      </c>
    </row>
    <row r="587" spans="1:6" s="295" customFormat="1" x14ac:dyDescent="0.15">
      <c r="A587" s="374">
        <v>79393</v>
      </c>
      <c r="B587" s="287" t="s">
        <v>1267</v>
      </c>
      <c r="C587" s="287" t="s">
        <v>1268</v>
      </c>
      <c r="D587" s="287">
        <v>45.4</v>
      </c>
      <c r="E587" s="380">
        <v>41529</v>
      </c>
      <c r="F587" s="381">
        <v>63.34</v>
      </c>
    </row>
    <row r="588" spans="1:6" s="295" customFormat="1" x14ac:dyDescent="0.15">
      <c r="A588" s="374">
        <v>79949</v>
      </c>
      <c r="B588" s="287" t="s">
        <v>1269</v>
      </c>
      <c r="C588" s="287" t="s">
        <v>1270</v>
      </c>
      <c r="D588" s="287">
        <v>40.299999999999997</v>
      </c>
      <c r="E588" s="380">
        <v>41529</v>
      </c>
      <c r="F588" s="381">
        <v>51.69</v>
      </c>
    </row>
    <row r="589" spans="1:6" s="295" customFormat="1" x14ac:dyDescent="0.15">
      <c r="A589" s="374">
        <v>118456</v>
      </c>
      <c r="B589" s="287" t="s">
        <v>1271</v>
      </c>
      <c r="C589" s="287" t="s">
        <v>1272</v>
      </c>
      <c r="D589" s="287">
        <v>38.200000000000003</v>
      </c>
      <c r="E589" s="380">
        <v>41529</v>
      </c>
      <c r="F589" s="381">
        <v>49.64</v>
      </c>
    </row>
    <row r="590" spans="1:6" s="275" customFormat="1" ht="14" thickBot="1" x14ac:dyDescent="0.2">
      <c r="A590" s="374"/>
      <c r="B590" s="287"/>
      <c r="C590" s="291" t="s">
        <v>115</v>
      </c>
      <c r="D590" s="394">
        <f>SUM(D580:D589)</f>
        <v>505.2</v>
      </c>
      <c r="E590" s="384"/>
      <c r="F590" s="385">
        <v>549.99</v>
      </c>
    </row>
    <row r="591" spans="1:6" s="275" customFormat="1" ht="14" thickTop="1" x14ac:dyDescent="0.15">
      <c r="A591" s="374"/>
      <c r="B591" s="287"/>
      <c r="C591" s="287"/>
      <c r="D591" s="287"/>
      <c r="E591" s="380"/>
      <c r="F591" s="381"/>
    </row>
    <row r="592" spans="1:6" s="275" customFormat="1" x14ac:dyDescent="0.15">
      <c r="A592" s="374"/>
      <c r="B592" s="287"/>
      <c r="C592" s="378" t="s">
        <v>1212</v>
      </c>
      <c r="D592" s="287"/>
      <c r="E592" s="380"/>
      <c r="F592" s="381"/>
    </row>
    <row r="593" spans="1:6" s="275" customFormat="1" x14ac:dyDescent="0.15">
      <c r="A593" s="374"/>
      <c r="B593" s="287"/>
      <c r="C593" s="378" t="s">
        <v>1139</v>
      </c>
      <c r="D593" s="287"/>
      <c r="E593" s="380"/>
      <c r="F593" s="381"/>
    </row>
    <row r="594" spans="1:6" s="275" customFormat="1" x14ac:dyDescent="0.15">
      <c r="A594" s="374"/>
      <c r="B594" s="287"/>
      <c r="C594" s="386">
        <v>41541</v>
      </c>
      <c r="D594" s="287"/>
      <c r="E594" s="380"/>
      <c r="F594" s="381"/>
    </row>
    <row r="595" spans="1:6" s="275" customFormat="1" x14ac:dyDescent="0.15">
      <c r="A595" s="399"/>
      <c r="B595" s="400"/>
      <c r="C595" s="400"/>
      <c r="D595" s="400"/>
      <c r="E595" s="401"/>
      <c r="F595" s="402"/>
    </row>
    <row r="596" spans="1:6" s="295" customFormat="1" x14ac:dyDescent="0.15">
      <c r="A596" s="370">
        <v>77571</v>
      </c>
      <c r="B596" s="371" t="s">
        <v>1226</v>
      </c>
      <c r="C596" s="371" t="s">
        <v>1227</v>
      </c>
      <c r="D596" s="371">
        <v>115.6</v>
      </c>
      <c r="E596" s="390">
        <v>41537</v>
      </c>
      <c r="F596" s="391">
        <v>112.11</v>
      </c>
    </row>
    <row r="597" spans="1:6" s="295" customFormat="1" x14ac:dyDescent="0.15">
      <c r="A597" s="374">
        <v>77572</v>
      </c>
      <c r="B597" s="287" t="s">
        <v>1228</v>
      </c>
      <c r="C597" s="287" t="s">
        <v>1229</v>
      </c>
      <c r="D597" s="287">
        <v>27.9</v>
      </c>
      <c r="E597" s="380">
        <v>41537</v>
      </c>
      <c r="F597" s="381">
        <v>44.51</v>
      </c>
    </row>
    <row r="598" spans="1:6" s="295" customFormat="1" x14ac:dyDescent="0.15">
      <c r="A598" s="374">
        <v>77573</v>
      </c>
      <c r="B598" s="287" t="s">
        <v>1230</v>
      </c>
      <c r="C598" s="287" t="s">
        <v>1231</v>
      </c>
      <c r="D598" s="287">
        <v>91.8</v>
      </c>
      <c r="E598" s="380">
        <v>41537</v>
      </c>
      <c r="F598" s="381">
        <v>96.55</v>
      </c>
    </row>
    <row r="599" spans="1:6" s="295" customFormat="1" x14ac:dyDescent="0.15">
      <c r="A599" s="374">
        <v>77575</v>
      </c>
      <c r="B599" s="287" t="s">
        <v>1232</v>
      </c>
      <c r="C599" s="287" t="s">
        <v>1233</v>
      </c>
      <c r="D599" s="287">
        <v>947.4</v>
      </c>
      <c r="E599" s="380">
        <v>41537</v>
      </c>
      <c r="F599" s="381">
        <v>451.91</v>
      </c>
    </row>
    <row r="600" spans="1:6" s="295" customFormat="1" x14ac:dyDescent="0.15">
      <c r="A600" s="374">
        <v>77661</v>
      </c>
      <c r="B600" s="287" t="s">
        <v>1234</v>
      </c>
      <c r="C600" s="287" t="s">
        <v>500</v>
      </c>
      <c r="D600" s="287">
        <v>141.4</v>
      </c>
      <c r="E600" s="380">
        <v>41537</v>
      </c>
      <c r="F600" s="381">
        <v>128.99</v>
      </c>
    </row>
    <row r="601" spans="1:6" s="295" customFormat="1" x14ac:dyDescent="0.15">
      <c r="A601" s="374">
        <v>77714</v>
      </c>
      <c r="B601" s="287" t="s">
        <v>1235</v>
      </c>
      <c r="C601" s="287" t="s">
        <v>1236</v>
      </c>
      <c r="D601" s="287">
        <v>115.6</v>
      </c>
      <c r="E601" s="380">
        <v>41537</v>
      </c>
      <c r="F601" s="381">
        <v>112.11</v>
      </c>
    </row>
    <row r="602" spans="1:6" s="295" customFormat="1" x14ac:dyDescent="0.15">
      <c r="A602" s="374">
        <v>77714</v>
      </c>
      <c r="B602" s="287" t="s">
        <v>1238</v>
      </c>
      <c r="C602" s="287" t="s">
        <v>1239</v>
      </c>
      <c r="D602" s="287">
        <v>119.7</v>
      </c>
      <c r="E602" s="380">
        <v>41537</v>
      </c>
      <c r="F602" s="381">
        <v>114.8</v>
      </c>
    </row>
    <row r="603" spans="1:6" s="295" customFormat="1" x14ac:dyDescent="0.15">
      <c r="A603" s="374">
        <v>77715</v>
      </c>
      <c r="B603" s="287" t="s">
        <v>1240</v>
      </c>
      <c r="C603" s="287" t="s">
        <v>1241</v>
      </c>
      <c r="D603" s="287">
        <v>97</v>
      </c>
      <c r="E603" s="380">
        <v>41537</v>
      </c>
      <c r="F603" s="381">
        <v>99.94</v>
      </c>
    </row>
    <row r="604" spans="1:6" s="295" customFormat="1" x14ac:dyDescent="0.15">
      <c r="A604" s="374">
        <v>79152</v>
      </c>
      <c r="B604" s="287" t="s">
        <v>1282</v>
      </c>
      <c r="C604" s="287" t="s">
        <v>1283</v>
      </c>
      <c r="D604" s="287">
        <v>136.80000000000001</v>
      </c>
      <c r="E604" s="380">
        <v>41537</v>
      </c>
      <c r="F604" s="381"/>
    </row>
    <row r="605" spans="1:6" s="295" customFormat="1" x14ac:dyDescent="0.15">
      <c r="A605" s="374">
        <v>79344</v>
      </c>
      <c r="B605" s="287" t="s">
        <v>1244</v>
      </c>
      <c r="C605" s="287" t="s">
        <v>1245</v>
      </c>
      <c r="D605" s="287">
        <v>111.5</v>
      </c>
      <c r="E605" s="380">
        <v>41537</v>
      </c>
      <c r="F605" s="381">
        <v>115.21</v>
      </c>
    </row>
    <row r="606" spans="1:6" s="295" customFormat="1" x14ac:dyDescent="0.15">
      <c r="A606" s="374">
        <v>79344</v>
      </c>
      <c r="B606" s="287" t="s">
        <v>1246</v>
      </c>
      <c r="C606" s="287" t="s">
        <v>1247</v>
      </c>
      <c r="D606" s="287">
        <v>114.6</v>
      </c>
      <c r="E606" s="380">
        <v>41537</v>
      </c>
      <c r="F606" s="381">
        <v>111.46</v>
      </c>
    </row>
    <row r="607" spans="1:6" s="295" customFormat="1" x14ac:dyDescent="0.15">
      <c r="A607" s="374">
        <v>79344</v>
      </c>
      <c r="B607" s="287" t="s">
        <v>1248</v>
      </c>
      <c r="C607" s="287" t="s">
        <v>1249</v>
      </c>
      <c r="D607" s="287">
        <v>7.2</v>
      </c>
      <c r="E607" s="380">
        <v>41537</v>
      </c>
      <c r="F607" s="381">
        <v>19.29</v>
      </c>
    </row>
    <row r="608" spans="1:6" s="295" customFormat="1" x14ac:dyDescent="0.15">
      <c r="A608" s="374">
        <v>79344</v>
      </c>
      <c r="B608" s="287" t="s">
        <v>1250</v>
      </c>
      <c r="C608" s="287" t="s">
        <v>1251</v>
      </c>
      <c r="D608" s="287">
        <v>0</v>
      </c>
      <c r="E608" s="380">
        <v>41537</v>
      </c>
      <c r="F608" s="381">
        <v>11.42</v>
      </c>
    </row>
    <row r="609" spans="1:6" s="295" customFormat="1" x14ac:dyDescent="0.15">
      <c r="A609" s="374">
        <v>79344</v>
      </c>
      <c r="B609" s="287" t="s">
        <v>1252</v>
      </c>
      <c r="C609" s="287" t="s">
        <v>1253</v>
      </c>
      <c r="D609" s="287">
        <v>69.2</v>
      </c>
      <c r="E609" s="380">
        <v>41537</v>
      </c>
      <c r="F609" s="381">
        <v>79.790000000000006</v>
      </c>
    </row>
    <row r="610" spans="1:6" s="295" customFormat="1" x14ac:dyDescent="0.15">
      <c r="A610" s="374">
        <v>79344</v>
      </c>
      <c r="B610" s="287" t="s">
        <v>1275</v>
      </c>
      <c r="C610" s="287" t="s">
        <v>1276</v>
      </c>
      <c r="D610" s="397">
        <v>106.3</v>
      </c>
      <c r="E610" s="380">
        <v>41537</v>
      </c>
      <c r="F610" s="381">
        <v>111.53</v>
      </c>
    </row>
    <row r="611" spans="1:6" s="295" customFormat="1" x14ac:dyDescent="0.15">
      <c r="A611" s="374">
        <v>79344</v>
      </c>
      <c r="B611" s="287" t="s">
        <v>1279</v>
      </c>
      <c r="C611" s="287" t="s">
        <v>1280</v>
      </c>
      <c r="D611" s="397">
        <v>120.8</v>
      </c>
      <c r="E611" s="380">
        <v>41537</v>
      </c>
      <c r="F611" s="381">
        <v>121.77</v>
      </c>
    </row>
    <row r="612" spans="1:6" s="295" customFormat="1" x14ac:dyDescent="0.15">
      <c r="A612" s="374">
        <v>79344</v>
      </c>
      <c r="B612" s="287" t="s">
        <v>1284</v>
      </c>
      <c r="C612" s="287" t="s">
        <v>1285</v>
      </c>
      <c r="D612" s="397">
        <v>7.2</v>
      </c>
      <c r="E612" s="403">
        <v>41537</v>
      </c>
      <c r="F612" s="381">
        <v>11.08</v>
      </c>
    </row>
    <row r="613" spans="1:6" s="275" customFormat="1" ht="14" thickBot="1" x14ac:dyDescent="0.2">
      <c r="A613" s="376"/>
      <c r="B613" s="359"/>
      <c r="C613" s="291" t="s">
        <v>115</v>
      </c>
      <c r="D613" s="383">
        <f>SUM(D596:D612)</f>
        <v>2330</v>
      </c>
      <c r="E613" s="404"/>
      <c r="F613" s="385">
        <v>1864.4499999999998</v>
      </c>
    </row>
    <row r="614" spans="1:6" s="275" customFormat="1" ht="14" thickTop="1" x14ac:dyDescent="0.15">
      <c r="A614" s="376"/>
      <c r="B614" s="359"/>
      <c r="C614" s="359"/>
      <c r="D614" s="287"/>
      <c r="E614" s="380"/>
      <c r="F614" s="381"/>
    </row>
    <row r="615" spans="1:6" s="275" customFormat="1" x14ac:dyDescent="0.15">
      <c r="A615" s="376"/>
      <c r="B615" s="359"/>
      <c r="C615" s="378" t="s">
        <v>1212</v>
      </c>
      <c r="D615" s="287"/>
      <c r="E615" s="380"/>
      <c r="F615" s="381"/>
    </row>
    <row r="616" spans="1:6" s="275" customFormat="1" x14ac:dyDescent="0.15">
      <c r="A616" s="376"/>
      <c r="B616" s="359"/>
      <c r="C616" s="378" t="s">
        <v>1139</v>
      </c>
      <c r="D616" s="287"/>
      <c r="E616" s="380"/>
      <c r="F616" s="381"/>
    </row>
    <row r="617" spans="1:6" s="275" customFormat="1" x14ac:dyDescent="0.15">
      <c r="A617" s="376"/>
      <c r="B617" s="359"/>
      <c r="C617" s="386">
        <v>41543</v>
      </c>
      <c r="D617" s="287"/>
      <c r="E617" s="380"/>
      <c r="F617" s="381"/>
    </row>
    <row r="618" spans="1:6" s="275" customFormat="1" x14ac:dyDescent="0.15">
      <c r="A618" s="399"/>
      <c r="B618" s="400"/>
      <c r="C618" s="400"/>
      <c r="D618" s="400"/>
      <c r="E618" s="401"/>
      <c r="F618" s="402"/>
    </row>
    <row r="619" spans="1:6" s="275" customFormat="1" ht="14" thickBot="1" x14ac:dyDescent="0.2">
      <c r="A619" s="387"/>
      <c r="B619" s="388"/>
      <c r="C619" s="291" t="s">
        <v>1148</v>
      </c>
      <c r="D619" s="383">
        <f>SUM(D590,D613)</f>
        <v>2835.2</v>
      </c>
      <c r="E619" s="367"/>
      <c r="F619" s="389">
        <v>2414.4399999999996</v>
      </c>
    </row>
    <row r="620" spans="1:6" s="275" customFormat="1" ht="14" thickTop="1" x14ac:dyDescent="0.15">
      <c r="E620" s="369"/>
      <c r="F620" s="278"/>
    </row>
    <row r="621" spans="1:6" s="295" customFormat="1" x14ac:dyDescent="0.15">
      <c r="A621" s="370">
        <v>79153</v>
      </c>
      <c r="B621" s="371" t="s">
        <v>1232</v>
      </c>
      <c r="C621" s="371" t="s">
        <v>1277</v>
      </c>
      <c r="D621" s="371">
        <v>218.3</v>
      </c>
      <c r="E621" s="390">
        <v>41563</v>
      </c>
      <c r="F621" s="391">
        <v>172.76</v>
      </c>
    </row>
    <row r="622" spans="1:6" s="295" customFormat="1" x14ac:dyDescent="0.15">
      <c r="A622" s="374">
        <v>79154</v>
      </c>
      <c r="B622" s="287" t="s">
        <v>1255</v>
      </c>
      <c r="C622" s="287" t="s">
        <v>1256</v>
      </c>
      <c r="D622" s="287">
        <v>759.6</v>
      </c>
      <c r="E622" s="380">
        <v>41563</v>
      </c>
      <c r="F622" s="381">
        <v>332.84</v>
      </c>
    </row>
    <row r="623" spans="1:6" s="295" customFormat="1" x14ac:dyDescent="0.15">
      <c r="A623" s="374">
        <v>79155</v>
      </c>
      <c r="B623" s="287" t="s">
        <v>1257</v>
      </c>
      <c r="C623" s="287" t="s">
        <v>1258</v>
      </c>
      <c r="D623" s="287">
        <v>302.3</v>
      </c>
      <c r="E623" s="380">
        <v>41563</v>
      </c>
      <c r="F623" s="381">
        <v>225.2</v>
      </c>
    </row>
    <row r="624" spans="1:6" s="295" customFormat="1" x14ac:dyDescent="0.15">
      <c r="A624" s="374">
        <v>79366</v>
      </c>
      <c r="B624" s="287" t="s">
        <v>1259</v>
      </c>
      <c r="C624" s="287" t="s">
        <v>1260</v>
      </c>
      <c r="D624" s="287">
        <v>14.4</v>
      </c>
      <c r="E624" s="380">
        <v>41563</v>
      </c>
      <c r="F624" s="381">
        <v>26.71</v>
      </c>
    </row>
    <row r="625" spans="1:6" s="295" customFormat="1" x14ac:dyDescent="0.15">
      <c r="A625" s="374">
        <v>79370</v>
      </c>
      <c r="B625" s="287" t="s">
        <v>1261</v>
      </c>
      <c r="C625" s="287" t="s">
        <v>1262</v>
      </c>
      <c r="D625" s="287">
        <v>77.400000000000006</v>
      </c>
      <c r="E625" s="380">
        <v>41563</v>
      </c>
      <c r="F625" s="381">
        <v>88.55</v>
      </c>
    </row>
    <row r="626" spans="1:6" s="295" customFormat="1" x14ac:dyDescent="0.15">
      <c r="A626" s="374">
        <v>79380</v>
      </c>
      <c r="B626" s="287" t="s">
        <v>1278</v>
      </c>
      <c r="C626" s="287" t="s">
        <v>1264</v>
      </c>
      <c r="D626" s="287">
        <v>152.69999999999999</v>
      </c>
      <c r="E626" s="380">
        <v>41563</v>
      </c>
      <c r="F626" s="381">
        <v>131.80000000000001</v>
      </c>
    </row>
    <row r="627" spans="1:6" s="295" customFormat="1" x14ac:dyDescent="0.15">
      <c r="A627" s="374">
        <v>79383</v>
      </c>
      <c r="B627" s="287" t="s">
        <v>1265</v>
      </c>
      <c r="C627" s="287" t="s">
        <v>1266</v>
      </c>
      <c r="D627" s="287">
        <v>83.6</v>
      </c>
      <c r="E627" s="380">
        <v>41563</v>
      </c>
      <c r="F627" s="381">
        <v>93.34</v>
      </c>
    </row>
    <row r="628" spans="1:6" s="295" customFormat="1" x14ac:dyDescent="0.15">
      <c r="A628" s="374">
        <v>79393</v>
      </c>
      <c r="B628" s="287" t="s">
        <v>1267</v>
      </c>
      <c r="C628" s="287" t="s">
        <v>1268</v>
      </c>
      <c r="D628" s="287">
        <v>172.3</v>
      </c>
      <c r="E628" s="380">
        <v>41564</v>
      </c>
      <c r="F628" s="381">
        <v>161.77000000000001</v>
      </c>
    </row>
    <row r="629" spans="1:6" s="295" customFormat="1" x14ac:dyDescent="0.15">
      <c r="A629" s="374">
        <v>79393</v>
      </c>
      <c r="B629" s="287" t="s">
        <v>1286</v>
      </c>
      <c r="C629" s="287" t="s">
        <v>1287</v>
      </c>
      <c r="D629" s="287">
        <v>1</v>
      </c>
      <c r="E629" s="380">
        <v>41564</v>
      </c>
      <c r="F629" s="381">
        <v>8.86</v>
      </c>
    </row>
    <row r="630" spans="1:6" s="295" customFormat="1" x14ac:dyDescent="0.15">
      <c r="A630" s="374">
        <v>79949</v>
      </c>
      <c r="B630" s="287" t="s">
        <v>1269</v>
      </c>
      <c r="C630" s="287" t="s">
        <v>1270</v>
      </c>
      <c r="D630" s="287">
        <v>216.7</v>
      </c>
      <c r="E630" s="380">
        <v>41563</v>
      </c>
      <c r="F630" s="381">
        <v>171.76</v>
      </c>
    </row>
    <row r="631" spans="1:6" s="295" customFormat="1" x14ac:dyDescent="0.15">
      <c r="A631" s="374">
        <v>118456</v>
      </c>
      <c r="B631" s="287" t="s">
        <v>1271</v>
      </c>
      <c r="C631" s="287" t="s">
        <v>1272</v>
      </c>
      <c r="D631" s="287">
        <v>137.19999999999999</v>
      </c>
      <c r="E631" s="380">
        <v>41563</v>
      </c>
      <c r="F631" s="381">
        <v>122.13</v>
      </c>
    </row>
    <row r="632" spans="1:6" s="275" customFormat="1" ht="14" thickBot="1" x14ac:dyDescent="0.2">
      <c r="A632" s="374"/>
      <c r="B632" s="287"/>
      <c r="C632" s="291" t="s">
        <v>115</v>
      </c>
      <c r="D632" s="394">
        <f>SUM(D621:D631)</f>
        <v>2135.5</v>
      </c>
      <c r="E632" s="384"/>
      <c r="F632" s="389">
        <v>1535.72</v>
      </c>
    </row>
    <row r="633" spans="1:6" s="275" customFormat="1" ht="14" thickTop="1" x14ac:dyDescent="0.15">
      <c r="A633" s="374"/>
      <c r="B633" s="287"/>
      <c r="C633" s="287"/>
      <c r="D633" s="287"/>
      <c r="E633" s="380"/>
      <c r="F633" s="381"/>
    </row>
    <row r="634" spans="1:6" s="275" customFormat="1" x14ac:dyDescent="0.15">
      <c r="A634" s="374"/>
      <c r="B634" s="287"/>
      <c r="C634" s="378" t="s">
        <v>1212</v>
      </c>
      <c r="D634" s="287"/>
      <c r="E634" s="380"/>
      <c r="F634" s="381"/>
    </row>
    <row r="635" spans="1:6" s="275" customFormat="1" x14ac:dyDescent="0.15">
      <c r="A635" s="374"/>
      <c r="B635" s="287"/>
      <c r="C635" s="378" t="s">
        <v>1139</v>
      </c>
      <c r="D635" s="287"/>
      <c r="E635" s="380"/>
      <c r="F635" s="381"/>
    </row>
    <row r="636" spans="1:6" s="275" customFormat="1" x14ac:dyDescent="0.15">
      <c r="A636" s="374"/>
      <c r="B636" s="287"/>
      <c r="C636" s="386">
        <v>41571</v>
      </c>
      <c r="D636" s="287"/>
      <c r="E636" s="380"/>
      <c r="F636" s="381"/>
    </row>
    <row r="637" spans="1:6" s="275" customFormat="1" x14ac:dyDescent="0.15">
      <c r="A637" s="399"/>
      <c r="B637" s="400"/>
      <c r="C637" s="400"/>
      <c r="D637" s="400"/>
      <c r="E637" s="401"/>
      <c r="F637" s="402"/>
    </row>
    <row r="638" spans="1:6" s="295" customFormat="1" x14ac:dyDescent="0.15">
      <c r="A638" s="370">
        <v>77571</v>
      </c>
      <c r="B638" s="371" t="s">
        <v>1226</v>
      </c>
      <c r="C638" s="371" t="s">
        <v>1227</v>
      </c>
      <c r="D638" s="371">
        <v>306.5</v>
      </c>
      <c r="E638" s="390">
        <v>41571</v>
      </c>
      <c r="F638" s="391">
        <v>227.83</v>
      </c>
    </row>
    <row r="639" spans="1:6" s="295" customFormat="1" x14ac:dyDescent="0.15">
      <c r="A639" s="374">
        <v>77572</v>
      </c>
      <c r="B639" s="287" t="s">
        <v>1228</v>
      </c>
      <c r="C639" s="287" t="s">
        <v>1229</v>
      </c>
      <c r="D639" s="287">
        <v>129</v>
      </c>
      <c r="E639" s="380">
        <v>41571</v>
      </c>
      <c r="F639" s="381">
        <v>83.64</v>
      </c>
    </row>
    <row r="640" spans="1:6" s="295" customFormat="1" x14ac:dyDescent="0.15">
      <c r="A640" s="374">
        <v>77573</v>
      </c>
      <c r="B640" s="287" t="s">
        <v>1230</v>
      </c>
      <c r="C640" s="287" t="s">
        <v>1231</v>
      </c>
      <c r="D640" s="287">
        <v>256.89999999999998</v>
      </c>
      <c r="E640" s="380">
        <v>41571</v>
      </c>
      <c r="F640" s="381">
        <v>196.85</v>
      </c>
    </row>
    <row r="641" spans="1:6" s="295" customFormat="1" x14ac:dyDescent="0.15">
      <c r="A641" s="374">
        <v>77575</v>
      </c>
      <c r="B641" s="287" t="s">
        <v>1232</v>
      </c>
      <c r="C641" s="287" t="s">
        <v>1233</v>
      </c>
      <c r="D641" s="287">
        <v>1552.9</v>
      </c>
      <c r="E641" s="380">
        <v>41571</v>
      </c>
      <c r="F641" s="381">
        <v>668.88</v>
      </c>
    </row>
    <row r="642" spans="1:6" s="295" customFormat="1" x14ac:dyDescent="0.15">
      <c r="A642" s="374">
        <v>77661</v>
      </c>
      <c r="B642" s="287" t="s">
        <v>1234</v>
      </c>
      <c r="C642" s="287" t="s">
        <v>500</v>
      </c>
      <c r="D642" s="287">
        <v>502.5</v>
      </c>
      <c r="E642" s="380">
        <v>41571</v>
      </c>
      <c r="F642" s="381">
        <v>350.18</v>
      </c>
    </row>
    <row r="643" spans="1:6" s="295" customFormat="1" x14ac:dyDescent="0.15">
      <c r="A643" s="374">
        <v>77714</v>
      </c>
      <c r="B643" s="287" t="s">
        <v>1235</v>
      </c>
      <c r="C643" s="287" t="s">
        <v>1236</v>
      </c>
      <c r="D643" s="287">
        <v>313.7</v>
      </c>
      <c r="E643" s="380">
        <v>41571</v>
      </c>
      <c r="F643" s="381">
        <v>232.31</v>
      </c>
    </row>
    <row r="644" spans="1:6" s="295" customFormat="1" x14ac:dyDescent="0.15">
      <c r="A644" s="374">
        <v>77714</v>
      </c>
      <c r="B644" s="287" t="s">
        <v>1238</v>
      </c>
      <c r="C644" s="287" t="s">
        <v>1239</v>
      </c>
      <c r="D644" s="287">
        <v>391.1</v>
      </c>
      <c r="E644" s="380">
        <v>41571</v>
      </c>
      <c r="F644" s="381">
        <v>280.63</v>
      </c>
    </row>
    <row r="645" spans="1:6" s="295" customFormat="1" x14ac:dyDescent="0.15">
      <c r="A645" s="374">
        <v>77715</v>
      </c>
      <c r="B645" s="287" t="s">
        <v>1240</v>
      </c>
      <c r="C645" s="287" t="s">
        <v>1241</v>
      </c>
      <c r="D645" s="287">
        <v>307.5</v>
      </c>
      <c r="E645" s="380">
        <v>41571</v>
      </c>
      <c r="F645" s="381">
        <v>228.45</v>
      </c>
    </row>
    <row r="646" spans="1:6" s="295" customFormat="1" x14ac:dyDescent="0.15">
      <c r="A646" s="374">
        <v>79152</v>
      </c>
      <c r="B646" s="287" t="s">
        <v>1282</v>
      </c>
      <c r="C646" s="287" t="s">
        <v>1283</v>
      </c>
      <c r="D646" s="287">
        <v>464.9</v>
      </c>
      <c r="E646" s="380">
        <v>41571</v>
      </c>
      <c r="F646" s="381"/>
    </row>
    <row r="647" spans="1:6" s="295" customFormat="1" x14ac:dyDescent="0.15">
      <c r="A647" s="374">
        <v>79344</v>
      </c>
      <c r="B647" s="287" t="s">
        <v>1244</v>
      </c>
      <c r="C647" s="287" t="s">
        <v>1245</v>
      </c>
      <c r="D647" s="287">
        <v>385.9</v>
      </c>
      <c r="E647" s="380">
        <v>41571</v>
      </c>
      <c r="F647" s="381">
        <v>277.39</v>
      </c>
    </row>
    <row r="648" spans="1:6" s="295" customFormat="1" x14ac:dyDescent="0.15">
      <c r="A648" s="374">
        <v>79344</v>
      </c>
      <c r="B648" s="287" t="s">
        <v>1246</v>
      </c>
      <c r="C648" s="287" t="s">
        <v>1247</v>
      </c>
      <c r="D648" s="287">
        <v>286.8</v>
      </c>
      <c r="E648" s="380">
        <v>41571</v>
      </c>
      <c r="F648" s="381">
        <v>215.53</v>
      </c>
    </row>
    <row r="649" spans="1:6" s="295" customFormat="1" x14ac:dyDescent="0.15">
      <c r="A649" s="374">
        <v>79344</v>
      </c>
      <c r="B649" s="287" t="s">
        <v>1248</v>
      </c>
      <c r="C649" s="287" t="s">
        <v>1249</v>
      </c>
      <c r="D649" s="287">
        <v>44.4</v>
      </c>
      <c r="E649" s="380">
        <v>41571</v>
      </c>
      <c r="F649" s="381">
        <v>58.57</v>
      </c>
    </row>
    <row r="650" spans="1:6" s="295" customFormat="1" x14ac:dyDescent="0.15">
      <c r="A650" s="374">
        <v>79344</v>
      </c>
      <c r="B650" s="287" t="s">
        <v>1250</v>
      </c>
      <c r="C650" s="287" t="s">
        <v>1251</v>
      </c>
      <c r="D650" s="287">
        <v>1</v>
      </c>
      <c r="E650" s="380">
        <v>41571</v>
      </c>
      <c r="F650" s="381">
        <v>12.48</v>
      </c>
    </row>
    <row r="651" spans="1:6" s="295" customFormat="1" x14ac:dyDescent="0.15">
      <c r="A651" s="374">
        <v>79344</v>
      </c>
      <c r="B651" s="287" t="s">
        <v>1252</v>
      </c>
      <c r="C651" s="287" t="s">
        <v>1253</v>
      </c>
      <c r="D651" s="287">
        <v>330.2</v>
      </c>
      <c r="E651" s="380">
        <v>41571</v>
      </c>
      <c r="F651" s="381">
        <v>242.62</v>
      </c>
    </row>
    <row r="652" spans="1:6" s="295" customFormat="1" x14ac:dyDescent="0.15">
      <c r="A652" s="374">
        <v>79344</v>
      </c>
      <c r="B652" s="287" t="s">
        <v>1275</v>
      </c>
      <c r="C652" s="287" t="s">
        <v>1276</v>
      </c>
      <c r="D652" s="397">
        <v>391</v>
      </c>
      <c r="E652" s="380">
        <v>41571</v>
      </c>
      <c r="F652" s="381">
        <v>280.57</v>
      </c>
    </row>
    <row r="653" spans="1:6" s="295" customFormat="1" x14ac:dyDescent="0.15">
      <c r="A653" s="374">
        <v>79344</v>
      </c>
      <c r="B653" s="287" t="s">
        <v>1279</v>
      </c>
      <c r="C653" s="287" t="s">
        <v>1280</v>
      </c>
      <c r="D653" s="397">
        <v>247.6</v>
      </c>
      <c r="E653" s="380">
        <v>41571</v>
      </c>
      <c r="F653" s="381">
        <v>191.04</v>
      </c>
    </row>
    <row r="654" spans="1:6" s="295" customFormat="1" x14ac:dyDescent="0.15">
      <c r="A654" s="374">
        <v>79344</v>
      </c>
      <c r="B654" s="287" t="s">
        <v>1284</v>
      </c>
      <c r="C654" s="287" t="s">
        <v>1285</v>
      </c>
      <c r="D654" s="397">
        <v>50.6</v>
      </c>
      <c r="E654" s="403">
        <v>41571</v>
      </c>
      <c r="F654" s="381">
        <v>65.150000000000006</v>
      </c>
    </row>
    <row r="655" spans="1:6" s="275" customFormat="1" ht="14" thickBot="1" x14ac:dyDescent="0.2">
      <c r="A655" s="376"/>
      <c r="B655" s="359"/>
      <c r="C655" s="291" t="s">
        <v>115</v>
      </c>
      <c r="D655" s="383">
        <f>SUM(D638:D654)</f>
        <v>5962.5</v>
      </c>
      <c r="E655" s="404"/>
      <c r="F655" s="389">
        <v>3938.8300000000004</v>
      </c>
    </row>
    <row r="656" spans="1:6" s="275" customFormat="1" ht="14" thickTop="1" x14ac:dyDescent="0.15">
      <c r="A656" s="376"/>
      <c r="B656" s="359"/>
      <c r="C656" s="359"/>
      <c r="D656" s="287"/>
      <c r="E656" s="380"/>
      <c r="F656" s="381"/>
    </row>
    <row r="657" spans="1:6" s="275" customFormat="1" x14ac:dyDescent="0.15">
      <c r="A657" s="376"/>
      <c r="B657" s="359"/>
      <c r="C657" s="378" t="s">
        <v>1212</v>
      </c>
      <c r="D657" s="287"/>
      <c r="E657" s="380"/>
      <c r="F657" s="381"/>
    </row>
    <row r="658" spans="1:6" s="275" customFormat="1" x14ac:dyDescent="0.15">
      <c r="A658" s="376"/>
      <c r="B658" s="359"/>
      <c r="C658" s="378" t="s">
        <v>1139</v>
      </c>
      <c r="D658" s="287"/>
      <c r="E658" s="380"/>
      <c r="F658" s="381"/>
    </row>
    <row r="659" spans="1:6" s="275" customFormat="1" x14ac:dyDescent="0.15">
      <c r="A659" s="376"/>
      <c r="B659" s="359"/>
      <c r="C659" s="386">
        <v>41578</v>
      </c>
      <c r="D659" s="287"/>
      <c r="E659" s="380"/>
      <c r="F659" s="381"/>
    </row>
    <row r="660" spans="1:6" s="275" customFormat="1" x14ac:dyDescent="0.15">
      <c r="A660" s="399"/>
      <c r="B660" s="400"/>
      <c r="C660" s="400"/>
      <c r="D660" s="400"/>
      <c r="E660" s="401"/>
      <c r="F660" s="402"/>
    </row>
    <row r="661" spans="1:6" s="275" customFormat="1" ht="14" thickBot="1" x14ac:dyDescent="0.2">
      <c r="A661" s="387"/>
      <c r="B661" s="388"/>
      <c r="C661" s="291" t="s">
        <v>1154</v>
      </c>
      <c r="D661" s="383">
        <f>SUM(D632,D655)</f>
        <v>8098</v>
      </c>
      <c r="E661" s="367"/>
      <c r="F661" s="389">
        <v>5474.55</v>
      </c>
    </row>
    <row r="662" spans="1:6" s="275" customFormat="1" ht="14" thickTop="1" x14ac:dyDescent="0.15">
      <c r="E662" s="369"/>
      <c r="F662" s="278"/>
    </row>
    <row r="663" spans="1:6" s="295" customFormat="1" x14ac:dyDescent="0.15">
      <c r="A663" s="370">
        <v>79153</v>
      </c>
      <c r="B663" s="371" t="s">
        <v>1232</v>
      </c>
      <c r="C663" s="371" t="s">
        <v>1277</v>
      </c>
      <c r="D663" s="371">
        <v>502.6</v>
      </c>
      <c r="E663" s="390">
        <v>41593</v>
      </c>
      <c r="F663" s="391">
        <v>461.18</v>
      </c>
    </row>
    <row r="664" spans="1:6" s="295" customFormat="1" x14ac:dyDescent="0.15">
      <c r="A664" s="374">
        <v>79154</v>
      </c>
      <c r="B664" s="287" t="s">
        <v>1255</v>
      </c>
      <c r="C664" s="287" t="s">
        <v>1256</v>
      </c>
      <c r="D664" s="287">
        <v>1333.2</v>
      </c>
      <c r="E664" s="380">
        <v>41593</v>
      </c>
      <c r="F664" s="381">
        <v>1004.14</v>
      </c>
    </row>
    <row r="665" spans="1:6" s="295" customFormat="1" x14ac:dyDescent="0.15">
      <c r="A665" s="374">
        <v>79155</v>
      </c>
      <c r="B665" s="287" t="s">
        <v>1257</v>
      </c>
      <c r="C665" s="287" t="s">
        <v>1258</v>
      </c>
      <c r="D665" s="287">
        <v>656.3</v>
      </c>
      <c r="E665" s="380">
        <v>41593</v>
      </c>
      <c r="F665" s="381">
        <v>591.07000000000005</v>
      </c>
    </row>
    <row r="666" spans="1:6" s="295" customFormat="1" x14ac:dyDescent="0.15">
      <c r="A666" s="374">
        <v>79366</v>
      </c>
      <c r="B666" s="287" t="s">
        <v>1259</v>
      </c>
      <c r="C666" s="287" t="s">
        <v>1260</v>
      </c>
      <c r="D666" s="287">
        <v>142.4</v>
      </c>
      <c r="E666" s="380">
        <v>41593</v>
      </c>
      <c r="F666" s="381">
        <v>162.47999999999999</v>
      </c>
    </row>
    <row r="667" spans="1:6" s="295" customFormat="1" x14ac:dyDescent="0.15">
      <c r="A667" s="374">
        <v>79370</v>
      </c>
      <c r="B667" s="287" t="s">
        <v>1261</v>
      </c>
      <c r="C667" s="287" t="s">
        <v>1262</v>
      </c>
      <c r="D667" s="287">
        <v>200.2</v>
      </c>
      <c r="E667" s="380">
        <v>41593</v>
      </c>
      <c r="F667" s="381">
        <v>216.74</v>
      </c>
    </row>
    <row r="668" spans="1:6" s="295" customFormat="1" x14ac:dyDescent="0.15">
      <c r="A668" s="374">
        <v>79380</v>
      </c>
      <c r="B668" s="287" t="s">
        <v>1278</v>
      </c>
      <c r="C668" s="287" t="s">
        <v>1264</v>
      </c>
      <c r="D668" s="287">
        <v>347.8</v>
      </c>
      <c r="E668" s="380">
        <v>41593</v>
      </c>
      <c r="F668" s="381">
        <v>330.37</v>
      </c>
    </row>
    <row r="669" spans="1:6" s="295" customFormat="1" x14ac:dyDescent="0.15">
      <c r="A669" s="374">
        <v>79383</v>
      </c>
      <c r="B669" s="287" t="s">
        <v>1265</v>
      </c>
      <c r="C669" s="287" t="s">
        <v>1266</v>
      </c>
      <c r="D669" s="287">
        <v>223.9</v>
      </c>
      <c r="E669" s="380">
        <v>41593</v>
      </c>
      <c r="F669" s="381">
        <v>238.98</v>
      </c>
    </row>
    <row r="670" spans="1:6" s="295" customFormat="1" x14ac:dyDescent="0.15">
      <c r="A670" s="374">
        <v>79393</v>
      </c>
      <c r="B670" s="287" t="s">
        <v>1267</v>
      </c>
      <c r="C670" s="287" t="s">
        <v>1268</v>
      </c>
      <c r="D670" s="287">
        <v>439.6</v>
      </c>
      <c r="E670" s="380">
        <v>41593</v>
      </c>
      <c r="F670" s="381">
        <v>441.43</v>
      </c>
    </row>
    <row r="671" spans="1:6" s="295" customFormat="1" x14ac:dyDescent="0.15">
      <c r="A671" s="374">
        <v>79393</v>
      </c>
      <c r="B671" s="287" t="s">
        <v>1286</v>
      </c>
      <c r="C671" s="287" t="s">
        <v>1287</v>
      </c>
      <c r="D671" s="287">
        <v>208.5</v>
      </c>
      <c r="E671" s="380">
        <v>41593</v>
      </c>
      <c r="F671" s="381">
        <v>225.16</v>
      </c>
    </row>
    <row r="672" spans="1:6" s="295" customFormat="1" x14ac:dyDescent="0.15">
      <c r="A672" s="374">
        <v>79949</v>
      </c>
      <c r="B672" s="287" t="s">
        <v>1269</v>
      </c>
      <c r="C672" s="287" t="s">
        <v>1270</v>
      </c>
      <c r="D672" s="287">
        <v>492.2</v>
      </c>
      <c r="E672" s="380">
        <v>41593</v>
      </c>
      <c r="F672" s="381">
        <v>452.4</v>
      </c>
    </row>
    <row r="673" spans="1:6" s="295" customFormat="1" x14ac:dyDescent="0.15">
      <c r="A673" s="374">
        <v>118456</v>
      </c>
      <c r="B673" s="287" t="s">
        <v>1271</v>
      </c>
      <c r="C673" s="287" t="s">
        <v>1272</v>
      </c>
      <c r="D673" s="287">
        <v>374.6</v>
      </c>
      <c r="E673" s="380">
        <v>41593</v>
      </c>
      <c r="F673" s="381">
        <v>353.02</v>
      </c>
    </row>
    <row r="674" spans="1:6" s="275" customFormat="1" ht="14" thickBot="1" x14ac:dyDescent="0.2">
      <c r="A674" s="374"/>
      <c r="B674" s="287"/>
      <c r="C674" s="291" t="s">
        <v>115</v>
      </c>
      <c r="D674" s="394">
        <f>SUM(D663:D673)</f>
        <v>4921.3000000000011</v>
      </c>
      <c r="E674" s="384"/>
      <c r="F674" s="389">
        <v>4476.97</v>
      </c>
    </row>
    <row r="675" spans="1:6" s="275" customFormat="1" ht="14" thickTop="1" x14ac:dyDescent="0.15">
      <c r="A675" s="374"/>
      <c r="B675" s="287"/>
      <c r="C675" s="287"/>
      <c r="D675" s="287"/>
      <c r="E675" s="380"/>
      <c r="F675" s="381"/>
    </row>
    <row r="676" spans="1:6" s="275" customFormat="1" x14ac:dyDescent="0.15">
      <c r="A676" s="374"/>
      <c r="B676" s="287"/>
      <c r="C676" s="378" t="s">
        <v>1212</v>
      </c>
      <c r="D676" s="287"/>
      <c r="E676" s="380"/>
      <c r="F676" s="381"/>
    </row>
    <row r="677" spans="1:6" s="275" customFormat="1" x14ac:dyDescent="0.15">
      <c r="A677" s="374"/>
      <c r="B677" s="287"/>
      <c r="C677" s="378" t="s">
        <v>1139</v>
      </c>
      <c r="D677" s="287"/>
      <c r="E677" s="380"/>
      <c r="F677" s="381"/>
    </row>
    <row r="678" spans="1:6" s="275" customFormat="1" x14ac:dyDescent="0.15">
      <c r="A678" s="374"/>
      <c r="B678" s="287"/>
      <c r="C678" s="386">
        <v>41600</v>
      </c>
      <c r="D678" s="287"/>
      <c r="E678" s="380"/>
      <c r="F678" s="381"/>
    </row>
    <row r="679" spans="1:6" s="275" customFormat="1" x14ac:dyDescent="0.15">
      <c r="A679" s="399"/>
      <c r="B679" s="400"/>
      <c r="C679" s="400"/>
      <c r="D679" s="400"/>
      <c r="E679" s="401"/>
      <c r="F679" s="402"/>
    </row>
    <row r="680" spans="1:6" s="295" customFormat="1" x14ac:dyDescent="0.15">
      <c r="A680" s="370">
        <v>77571</v>
      </c>
      <c r="B680" s="371" t="s">
        <v>1226</v>
      </c>
      <c r="C680" s="371" t="s">
        <v>1227</v>
      </c>
      <c r="D680" s="371">
        <v>1026.9000000000001</v>
      </c>
      <c r="E680" s="390">
        <v>41604</v>
      </c>
      <c r="F680" s="391">
        <v>1034.71</v>
      </c>
    </row>
    <row r="681" spans="1:6" s="295" customFormat="1" x14ac:dyDescent="0.15">
      <c r="A681" s="374">
        <v>77572</v>
      </c>
      <c r="B681" s="287" t="s">
        <v>1228</v>
      </c>
      <c r="C681" s="287" t="s">
        <v>1229</v>
      </c>
      <c r="D681" s="287">
        <v>1179.5</v>
      </c>
      <c r="E681" s="380">
        <v>41604</v>
      </c>
      <c r="F681" s="381">
        <v>1118.55</v>
      </c>
    </row>
    <row r="682" spans="1:6" s="295" customFormat="1" x14ac:dyDescent="0.15">
      <c r="A682" s="374">
        <v>77573</v>
      </c>
      <c r="B682" s="287" t="s">
        <v>1230</v>
      </c>
      <c r="C682" s="287" t="s">
        <v>1231</v>
      </c>
      <c r="D682" s="287">
        <v>684.6</v>
      </c>
      <c r="E682" s="380">
        <v>41604</v>
      </c>
      <c r="F682" s="381">
        <v>701.97</v>
      </c>
    </row>
    <row r="683" spans="1:6" s="295" customFormat="1" x14ac:dyDescent="0.15">
      <c r="A683" s="374">
        <v>77575</v>
      </c>
      <c r="B683" s="287" t="s">
        <v>1232</v>
      </c>
      <c r="C683" s="287" t="s">
        <v>1233</v>
      </c>
      <c r="D683" s="287">
        <v>1434.2</v>
      </c>
      <c r="E683" s="380">
        <v>41604</v>
      </c>
      <c r="F683" s="381">
        <v>1230.52</v>
      </c>
    </row>
    <row r="684" spans="1:6" s="295" customFormat="1" x14ac:dyDescent="0.15">
      <c r="A684" s="374">
        <v>77661</v>
      </c>
      <c r="B684" s="287" t="s">
        <v>1234</v>
      </c>
      <c r="C684" s="287" t="s">
        <v>500</v>
      </c>
      <c r="D684" s="287">
        <v>1188.8</v>
      </c>
      <c r="E684" s="380">
        <v>41604</v>
      </c>
      <c r="F684" s="381">
        <v>1192.1199999999999</v>
      </c>
    </row>
    <row r="685" spans="1:6" s="295" customFormat="1" x14ac:dyDescent="0.15">
      <c r="A685" s="374">
        <v>77714</v>
      </c>
      <c r="B685" s="287" t="s">
        <v>1235</v>
      </c>
      <c r="C685" s="287" t="s">
        <v>1236</v>
      </c>
      <c r="D685" s="287">
        <v>1275.4000000000001</v>
      </c>
      <c r="E685" s="380">
        <v>41604</v>
      </c>
      <c r="F685" s="381">
        <v>1276.29</v>
      </c>
    </row>
    <row r="686" spans="1:6" s="295" customFormat="1" x14ac:dyDescent="0.15">
      <c r="A686" s="374">
        <v>77714</v>
      </c>
      <c r="B686" s="287" t="s">
        <v>1238</v>
      </c>
      <c r="C686" s="287" t="s">
        <v>1239</v>
      </c>
      <c r="D686" s="287">
        <v>1132.0999999999999</v>
      </c>
      <c r="E686" s="380">
        <v>41604</v>
      </c>
      <c r="F686" s="381">
        <v>1136.98</v>
      </c>
    </row>
    <row r="687" spans="1:6" s="295" customFormat="1" x14ac:dyDescent="0.15">
      <c r="A687" s="374">
        <v>77715</v>
      </c>
      <c r="B687" s="287" t="s">
        <v>1240</v>
      </c>
      <c r="C687" s="287" t="s">
        <v>1241</v>
      </c>
      <c r="D687" s="287">
        <v>878.4</v>
      </c>
      <c r="E687" s="380">
        <v>41604</v>
      </c>
      <c r="F687" s="381">
        <v>890.35</v>
      </c>
    </row>
    <row r="688" spans="1:6" s="295" customFormat="1" x14ac:dyDescent="0.15">
      <c r="A688" s="374">
        <v>79152</v>
      </c>
      <c r="B688" s="287" t="s">
        <v>1282</v>
      </c>
      <c r="C688" s="287" t="s">
        <v>1283</v>
      </c>
      <c r="D688" s="287">
        <v>976.9</v>
      </c>
      <c r="E688" s="380">
        <v>41604</v>
      </c>
      <c r="F688" s="381">
        <v>986.11</v>
      </c>
    </row>
    <row r="689" spans="1:6" s="295" customFormat="1" x14ac:dyDescent="0.15">
      <c r="A689" s="374">
        <v>79344</v>
      </c>
      <c r="B689" s="287" t="s">
        <v>1244</v>
      </c>
      <c r="C689" s="287" t="s">
        <v>1245</v>
      </c>
      <c r="D689" s="287">
        <v>983.4</v>
      </c>
      <c r="E689" s="380">
        <v>41604</v>
      </c>
      <c r="F689" s="381">
        <v>867.48</v>
      </c>
    </row>
    <row r="690" spans="1:6" s="295" customFormat="1" x14ac:dyDescent="0.15">
      <c r="A690" s="374">
        <v>79344</v>
      </c>
      <c r="B690" s="287" t="s">
        <v>1246</v>
      </c>
      <c r="C690" s="287" t="s">
        <v>1247</v>
      </c>
      <c r="D690" s="287">
        <v>807.3</v>
      </c>
      <c r="E690" s="380">
        <v>41604</v>
      </c>
      <c r="F690" s="381">
        <v>821.23</v>
      </c>
    </row>
    <row r="691" spans="1:6" s="295" customFormat="1" x14ac:dyDescent="0.15">
      <c r="A691" s="374">
        <v>79344</v>
      </c>
      <c r="B691" s="287" t="s">
        <v>1248</v>
      </c>
      <c r="C691" s="287" t="s">
        <v>1249</v>
      </c>
      <c r="D691" s="287">
        <v>157.69999999999999</v>
      </c>
      <c r="E691" s="380">
        <v>41604</v>
      </c>
      <c r="F691" s="381">
        <v>190.83</v>
      </c>
    </row>
    <row r="692" spans="1:6" s="295" customFormat="1" x14ac:dyDescent="0.15">
      <c r="A692" s="374">
        <v>79344</v>
      </c>
      <c r="B692" s="287" t="s">
        <v>1250</v>
      </c>
      <c r="C692" s="287" t="s">
        <v>1251</v>
      </c>
      <c r="D692" s="287">
        <v>19.600000000000001</v>
      </c>
      <c r="E692" s="380">
        <v>41604</v>
      </c>
      <c r="F692" s="381">
        <v>35.51</v>
      </c>
    </row>
    <row r="693" spans="1:6" s="295" customFormat="1" x14ac:dyDescent="0.15">
      <c r="A693" s="374">
        <v>79344</v>
      </c>
      <c r="B693" s="287" t="s">
        <v>1252</v>
      </c>
      <c r="C693" s="287" t="s">
        <v>1253</v>
      </c>
      <c r="D693" s="287">
        <v>768.8</v>
      </c>
      <c r="E693" s="380">
        <v>41604</v>
      </c>
      <c r="F693" s="381">
        <v>686.14</v>
      </c>
    </row>
    <row r="694" spans="1:6" s="295" customFormat="1" x14ac:dyDescent="0.15">
      <c r="A694" s="374">
        <v>79344</v>
      </c>
      <c r="B694" s="287" t="s">
        <v>1275</v>
      </c>
      <c r="C694" s="287" t="s">
        <v>1276</v>
      </c>
      <c r="D694" s="397">
        <v>703.8</v>
      </c>
      <c r="E694" s="380">
        <v>41604</v>
      </c>
      <c r="F694" s="381">
        <v>631.22</v>
      </c>
    </row>
    <row r="695" spans="1:6" s="295" customFormat="1" x14ac:dyDescent="0.15">
      <c r="A695" s="374">
        <v>79344</v>
      </c>
      <c r="B695" s="287" t="s">
        <v>1279</v>
      </c>
      <c r="C695" s="287" t="s">
        <v>1280</v>
      </c>
      <c r="D695" s="397">
        <v>440.6</v>
      </c>
      <c r="E695" s="380">
        <v>41604</v>
      </c>
      <c r="F695" s="381">
        <v>408.79</v>
      </c>
    </row>
    <row r="696" spans="1:6" s="295" customFormat="1" x14ac:dyDescent="0.15">
      <c r="A696" s="374">
        <v>79344</v>
      </c>
      <c r="B696" s="287" t="s">
        <v>1284</v>
      </c>
      <c r="C696" s="287" t="s">
        <v>1285</v>
      </c>
      <c r="D696" s="397">
        <v>166.1</v>
      </c>
      <c r="E696" s="403">
        <v>41604</v>
      </c>
      <c r="F696" s="381">
        <v>184.73</v>
      </c>
    </row>
    <row r="697" spans="1:6" s="275" customFormat="1" ht="14" thickBot="1" x14ac:dyDescent="0.2">
      <c r="A697" s="376"/>
      <c r="B697" s="359"/>
      <c r="C697" s="291" t="s">
        <v>115</v>
      </c>
      <c r="D697" s="383">
        <f>SUM(D680:D696)</f>
        <v>13824.099999999999</v>
      </c>
      <c r="E697" s="404"/>
      <c r="F697" s="389">
        <v>13393.529999999997</v>
      </c>
    </row>
    <row r="698" spans="1:6" s="275" customFormat="1" ht="14" thickTop="1" x14ac:dyDescent="0.15">
      <c r="A698" s="376"/>
      <c r="B698" s="359"/>
      <c r="C698" s="359"/>
      <c r="D698" s="287"/>
      <c r="E698" s="380"/>
      <c r="F698" s="381"/>
    </row>
    <row r="699" spans="1:6" s="275" customFormat="1" x14ac:dyDescent="0.15">
      <c r="A699" s="376"/>
      <c r="B699" s="359"/>
      <c r="C699" s="378" t="s">
        <v>1212</v>
      </c>
      <c r="D699" s="287"/>
      <c r="E699" s="380"/>
      <c r="F699" s="381"/>
    </row>
    <row r="700" spans="1:6" s="275" customFormat="1" x14ac:dyDescent="0.15">
      <c r="A700" s="376"/>
      <c r="B700" s="359"/>
      <c r="C700" s="378" t="s">
        <v>1139</v>
      </c>
      <c r="D700" s="287"/>
      <c r="E700" s="380"/>
      <c r="F700" s="381"/>
    </row>
    <row r="701" spans="1:6" s="275" customFormat="1" x14ac:dyDescent="0.15">
      <c r="A701" s="376"/>
      <c r="B701" s="359"/>
      <c r="C701" s="386">
        <v>41608</v>
      </c>
      <c r="D701" s="287"/>
      <c r="E701" s="380"/>
      <c r="F701" s="381"/>
    </row>
    <row r="702" spans="1:6" s="275" customFormat="1" x14ac:dyDescent="0.15">
      <c r="A702" s="399"/>
      <c r="B702" s="400"/>
      <c r="C702" s="400"/>
      <c r="D702" s="400"/>
      <c r="E702" s="401"/>
      <c r="F702" s="402"/>
    </row>
    <row r="703" spans="1:6" s="275" customFormat="1" ht="14" thickBot="1" x14ac:dyDescent="0.2">
      <c r="A703" s="387"/>
      <c r="B703" s="388"/>
      <c r="C703" s="291" t="s">
        <v>1164</v>
      </c>
      <c r="D703" s="383">
        <f>SUM(D674,D697)</f>
        <v>18745.400000000001</v>
      </c>
      <c r="E703" s="367"/>
      <c r="F703" s="389">
        <v>17870.499999999996</v>
      </c>
    </row>
    <row r="704" spans="1:6" s="275" customFormat="1" ht="14" thickTop="1" x14ac:dyDescent="0.15">
      <c r="E704" s="369"/>
      <c r="F704" s="278"/>
    </row>
    <row r="705" spans="1:6" s="295" customFormat="1" x14ac:dyDescent="0.15">
      <c r="A705" s="370">
        <v>79153</v>
      </c>
      <c r="B705" s="371" t="s">
        <v>1232</v>
      </c>
      <c r="C705" s="371" t="s">
        <v>1277</v>
      </c>
      <c r="D705" s="371">
        <v>927.5</v>
      </c>
      <c r="E705" s="390">
        <v>41620</v>
      </c>
      <c r="F705" s="391">
        <v>1054.22</v>
      </c>
    </row>
    <row r="706" spans="1:6" s="295" customFormat="1" x14ac:dyDescent="0.15">
      <c r="A706" s="374">
        <v>79154</v>
      </c>
      <c r="B706" s="287" t="s">
        <v>1255</v>
      </c>
      <c r="C706" s="287" t="s">
        <v>1256</v>
      </c>
      <c r="D706" s="287">
        <v>1712.8</v>
      </c>
      <c r="E706" s="380">
        <v>41620</v>
      </c>
      <c r="F706" s="381">
        <v>1933.52</v>
      </c>
    </row>
    <row r="707" spans="1:6" s="295" customFormat="1" x14ac:dyDescent="0.15">
      <c r="A707" s="374">
        <v>79155</v>
      </c>
      <c r="B707" s="287" t="s">
        <v>1257</v>
      </c>
      <c r="C707" s="287" t="s">
        <v>1258</v>
      </c>
      <c r="D707" s="287">
        <v>807.1</v>
      </c>
      <c r="E707" s="380">
        <v>41620</v>
      </c>
      <c r="F707" s="381">
        <v>922.1</v>
      </c>
    </row>
    <row r="708" spans="1:6" s="295" customFormat="1" x14ac:dyDescent="0.15">
      <c r="A708" s="374">
        <v>79366</v>
      </c>
      <c r="B708" s="287" t="s">
        <v>1259</v>
      </c>
      <c r="C708" s="287" t="s">
        <v>1260</v>
      </c>
      <c r="D708" s="287">
        <v>245.7</v>
      </c>
      <c r="E708" s="380">
        <v>41620</v>
      </c>
      <c r="F708" s="381">
        <v>306.36</v>
      </c>
    </row>
    <row r="709" spans="1:6" s="295" customFormat="1" x14ac:dyDescent="0.15">
      <c r="A709" s="374">
        <v>79370</v>
      </c>
      <c r="B709" s="287" t="s">
        <v>1261</v>
      </c>
      <c r="C709" s="287" t="s">
        <v>1262</v>
      </c>
      <c r="D709" s="287">
        <v>314.60000000000002</v>
      </c>
      <c r="E709" s="380">
        <v>41620</v>
      </c>
      <c r="F709" s="381">
        <v>384.19</v>
      </c>
    </row>
    <row r="710" spans="1:6" s="295" customFormat="1" x14ac:dyDescent="0.15">
      <c r="A710" s="374">
        <v>79380</v>
      </c>
      <c r="B710" s="287" t="s">
        <v>1278</v>
      </c>
      <c r="C710" s="287" t="s">
        <v>1264</v>
      </c>
      <c r="D710" s="287">
        <v>423.6</v>
      </c>
      <c r="E710" s="380">
        <v>41620</v>
      </c>
      <c r="F710" s="381">
        <v>501.28</v>
      </c>
    </row>
    <row r="711" spans="1:6" s="295" customFormat="1" x14ac:dyDescent="0.15">
      <c r="A711" s="374">
        <v>79383</v>
      </c>
      <c r="B711" s="287" t="s">
        <v>1265</v>
      </c>
      <c r="C711" s="287" t="s">
        <v>1266</v>
      </c>
      <c r="D711" s="287">
        <v>269.39999999999998</v>
      </c>
      <c r="E711" s="380">
        <v>41620</v>
      </c>
      <c r="F711" s="381">
        <v>333.13</v>
      </c>
    </row>
    <row r="712" spans="1:6" s="295" customFormat="1" x14ac:dyDescent="0.15">
      <c r="A712" s="374">
        <v>79393</v>
      </c>
      <c r="B712" s="287" t="s">
        <v>1267</v>
      </c>
      <c r="C712" s="287" t="s">
        <v>1268</v>
      </c>
      <c r="D712" s="287">
        <v>631.29999999999995</v>
      </c>
      <c r="E712" s="380">
        <v>41621</v>
      </c>
      <c r="F712" s="381">
        <v>741.9</v>
      </c>
    </row>
    <row r="713" spans="1:6" s="295" customFormat="1" x14ac:dyDescent="0.15">
      <c r="A713" s="374">
        <v>79949</v>
      </c>
      <c r="B713" s="287" t="s">
        <v>1269</v>
      </c>
      <c r="C713" s="287" t="s">
        <v>1270</v>
      </c>
      <c r="D713" s="287">
        <v>665.2</v>
      </c>
      <c r="E713" s="380">
        <v>41620</v>
      </c>
      <c r="F713" s="381">
        <v>766.4</v>
      </c>
    </row>
    <row r="714" spans="1:6" s="295" customFormat="1" x14ac:dyDescent="0.15">
      <c r="A714" s="374">
        <v>118456</v>
      </c>
      <c r="B714" s="287" t="s">
        <v>1271</v>
      </c>
      <c r="C714" s="287" t="s">
        <v>1272</v>
      </c>
      <c r="D714" s="287">
        <v>604.5</v>
      </c>
      <c r="E714" s="380">
        <v>41620</v>
      </c>
      <c r="F714" s="381">
        <v>699.79</v>
      </c>
    </row>
    <row r="715" spans="1:6" s="295" customFormat="1" x14ac:dyDescent="0.15">
      <c r="A715" s="374">
        <v>173921</v>
      </c>
      <c r="B715" s="287" t="s">
        <v>1286</v>
      </c>
      <c r="C715" s="287" t="s">
        <v>1287</v>
      </c>
      <c r="D715" s="287">
        <v>263.2</v>
      </c>
      <c r="E715" s="380">
        <v>41621</v>
      </c>
      <c r="F715" s="381">
        <v>344</v>
      </c>
    </row>
    <row r="716" spans="1:6" s="275" customFormat="1" ht="14" thickBot="1" x14ac:dyDescent="0.2">
      <c r="A716" s="374"/>
      <c r="B716" s="287"/>
      <c r="C716" s="291" t="s">
        <v>115</v>
      </c>
      <c r="D716" s="394">
        <f>SUM(D705:D715)</f>
        <v>6864.9</v>
      </c>
      <c r="E716" s="384"/>
      <c r="F716" s="389">
        <v>7986.8900000000012</v>
      </c>
    </row>
    <row r="717" spans="1:6" s="275" customFormat="1" ht="14" thickTop="1" x14ac:dyDescent="0.15">
      <c r="A717" s="374"/>
      <c r="B717" s="287"/>
      <c r="C717" s="287"/>
      <c r="D717" s="287"/>
      <c r="E717" s="380"/>
      <c r="F717" s="381"/>
    </row>
    <row r="718" spans="1:6" s="275" customFormat="1" x14ac:dyDescent="0.15">
      <c r="A718" s="374"/>
      <c r="B718" s="287"/>
      <c r="C718" s="378" t="s">
        <v>1212</v>
      </c>
      <c r="D718" s="287"/>
      <c r="E718" s="380"/>
      <c r="F718" s="381"/>
    </row>
    <row r="719" spans="1:6" s="275" customFormat="1" x14ac:dyDescent="0.15">
      <c r="A719" s="374"/>
      <c r="B719" s="287"/>
      <c r="C719" s="378" t="s">
        <v>1139</v>
      </c>
      <c r="D719" s="287"/>
      <c r="E719" s="380"/>
      <c r="F719" s="381"/>
    </row>
    <row r="720" spans="1:6" s="275" customFormat="1" x14ac:dyDescent="0.15">
      <c r="A720" s="374"/>
      <c r="B720" s="287"/>
      <c r="C720" s="386">
        <v>41628</v>
      </c>
      <c r="D720" s="287"/>
      <c r="E720" s="380"/>
      <c r="F720" s="381"/>
    </row>
    <row r="721" spans="1:6" s="275" customFormat="1" x14ac:dyDescent="0.15">
      <c r="A721" s="399"/>
      <c r="B721" s="400"/>
      <c r="C721" s="400"/>
      <c r="D721" s="400"/>
      <c r="E721" s="401"/>
      <c r="F721" s="402"/>
    </row>
    <row r="722" spans="1:6" s="295" customFormat="1" x14ac:dyDescent="0.15">
      <c r="A722" s="370">
        <v>77571</v>
      </c>
      <c r="B722" s="371" t="s">
        <v>1226</v>
      </c>
      <c r="C722" s="371" t="s">
        <v>1227</v>
      </c>
      <c r="D722" s="371">
        <v>1190.7</v>
      </c>
      <c r="E722" s="390">
        <v>41628</v>
      </c>
      <c r="F722" s="391">
        <v>1343.03</v>
      </c>
    </row>
    <row r="723" spans="1:6" s="295" customFormat="1" x14ac:dyDescent="0.15">
      <c r="A723" s="374">
        <v>77572</v>
      </c>
      <c r="B723" s="287" t="s">
        <v>1228</v>
      </c>
      <c r="C723" s="287" t="s">
        <v>1229</v>
      </c>
      <c r="D723" s="287">
        <v>1385.9</v>
      </c>
      <c r="E723" s="380">
        <v>41628</v>
      </c>
      <c r="F723" s="381">
        <v>1570.73</v>
      </c>
    </row>
    <row r="724" spans="1:6" s="295" customFormat="1" x14ac:dyDescent="0.15">
      <c r="A724" s="374">
        <v>77573</v>
      </c>
      <c r="B724" s="287" t="s">
        <v>1230</v>
      </c>
      <c r="C724" s="287" t="s">
        <v>1231</v>
      </c>
      <c r="D724" s="287">
        <v>761.3</v>
      </c>
      <c r="E724" s="380">
        <v>41628</v>
      </c>
      <c r="F724" s="381">
        <v>871.85</v>
      </c>
    </row>
    <row r="725" spans="1:6" s="295" customFormat="1" x14ac:dyDescent="0.15">
      <c r="A725" s="374">
        <v>77575</v>
      </c>
      <c r="B725" s="287" t="s">
        <v>1232</v>
      </c>
      <c r="C725" s="287" t="s">
        <v>1233</v>
      </c>
      <c r="D725" s="287">
        <v>969.8</v>
      </c>
      <c r="E725" s="380">
        <v>41628</v>
      </c>
      <c r="F725" s="381">
        <v>991.2</v>
      </c>
    </row>
    <row r="726" spans="1:6" s="295" customFormat="1" x14ac:dyDescent="0.15">
      <c r="A726" s="374">
        <v>77661</v>
      </c>
      <c r="B726" s="287" t="s">
        <v>1234</v>
      </c>
      <c r="C726" s="287" t="s">
        <v>500</v>
      </c>
      <c r="D726" s="287">
        <v>1341.7</v>
      </c>
      <c r="E726" s="380">
        <v>41628</v>
      </c>
      <c r="F726" s="381">
        <v>1508.71</v>
      </c>
    </row>
    <row r="727" spans="1:6" s="295" customFormat="1" x14ac:dyDescent="0.15">
      <c r="A727" s="374">
        <v>77714</v>
      </c>
      <c r="B727" s="287" t="s">
        <v>1235</v>
      </c>
      <c r="C727" s="287" t="s">
        <v>1236</v>
      </c>
      <c r="D727" s="287">
        <v>1334.5</v>
      </c>
      <c r="E727" s="380">
        <v>41628</v>
      </c>
      <c r="F727" s="381">
        <v>1500.82</v>
      </c>
    </row>
    <row r="728" spans="1:6" s="295" customFormat="1" x14ac:dyDescent="0.15">
      <c r="A728" s="374">
        <v>77714</v>
      </c>
      <c r="B728" s="287" t="s">
        <v>1238</v>
      </c>
      <c r="C728" s="287" t="s">
        <v>1239</v>
      </c>
      <c r="D728" s="287">
        <v>1308.9000000000001</v>
      </c>
      <c r="E728" s="380">
        <v>41628</v>
      </c>
      <c r="F728" s="381">
        <v>1472.73</v>
      </c>
    </row>
    <row r="729" spans="1:6" s="295" customFormat="1" x14ac:dyDescent="0.15">
      <c r="A729" s="374">
        <v>77715</v>
      </c>
      <c r="B729" s="287" t="s">
        <v>1240</v>
      </c>
      <c r="C729" s="287" t="s">
        <v>1241</v>
      </c>
      <c r="D729" s="287">
        <v>922.6</v>
      </c>
      <c r="E729" s="380">
        <v>41628</v>
      </c>
      <c r="F729" s="381">
        <v>1048.8399999999999</v>
      </c>
    </row>
    <row r="730" spans="1:6" s="295" customFormat="1" x14ac:dyDescent="0.15">
      <c r="A730" s="374">
        <v>79152</v>
      </c>
      <c r="B730" s="287" t="s">
        <v>1282</v>
      </c>
      <c r="C730" s="287" t="s">
        <v>1283</v>
      </c>
      <c r="D730" s="287">
        <v>1039.8</v>
      </c>
      <c r="E730" s="380">
        <v>41628</v>
      </c>
      <c r="F730" s="381">
        <v>1177.45</v>
      </c>
    </row>
    <row r="731" spans="1:6" s="295" customFormat="1" x14ac:dyDescent="0.15">
      <c r="A731" s="374">
        <v>79344</v>
      </c>
      <c r="B731" s="287" t="s">
        <v>1244</v>
      </c>
      <c r="C731" s="287" t="s">
        <v>1245</v>
      </c>
      <c r="D731" s="287">
        <v>1165.9000000000001</v>
      </c>
      <c r="E731" s="380">
        <v>41628</v>
      </c>
      <c r="F731" s="381">
        <v>1315.82</v>
      </c>
    </row>
    <row r="732" spans="1:6" s="295" customFormat="1" x14ac:dyDescent="0.15">
      <c r="A732" s="374">
        <v>79344</v>
      </c>
      <c r="B732" s="287" t="s">
        <v>1246</v>
      </c>
      <c r="C732" s="287" t="s">
        <v>1247</v>
      </c>
      <c r="D732" s="287">
        <v>890.7</v>
      </c>
      <c r="E732" s="380">
        <v>41628</v>
      </c>
      <c r="F732" s="381">
        <v>1013.84</v>
      </c>
    </row>
    <row r="733" spans="1:6" s="295" customFormat="1" x14ac:dyDescent="0.15">
      <c r="A733" s="374">
        <v>79344</v>
      </c>
      <c r="B733" s="287" t="s">
        <v>1248</v>
      </c>
      <c r="C733" s="287" t="s">
        <v>1249</v>
      </c>
      <c r="D733" s="287">
        <v>206.5</v>
      </c>
      <c r="E733" s="380">
        <v>41628</v>
      </c>
      <c r="F733" s="381">
        <v>262.08</v>
      </c>
    </row>
    <row r="734" spans="1:6" s="295" customFormat="1" x14ac:dyDescent="0.15">
      <c r="A734" s="374">
        <v>79344</v>
      </c>
      <c r="B734" s="287" t="s">
        <v>1250</v>
      </c>
      <c r="C734" s="287" t="s">
        <v>1251</v>
      </c>
      <c r="D734" s="287">
        <v>47.3</v>
      </c>
      <c r="E734" s="380">
        <v>41628</v>
      </c>
      <c r="F734" s="381">
        <v>77</v>
      </c>
    </row>
    <row r="735" spans="1:6" s="295" customFormat="1" x14ac:dyDescent="0.15">
      <c r="A735" s="374">
        <v>79344</v>
      </c>
      <c r="B735" s="287" t="s">
        <v>1252</v>
      </c>
      <c r="C735" s="287" t="s">
        <v>1253</v>
      </c>
      <c r="D735" s="287">
        <v>887.3</v>
      </c>
      <c r="E735" s="380">
        <v>41628</v>
      </c>
      <c r="F735" s="381">
        <v>1010.1</v>
      </c>
    </row>
    <row r="736" spans="1:6" s="295" customFormat="1" x14ac:dyDescent="0.15">
      <c r="A736" s="374">
        <v>79344</v>
      </c>
      <c r="B736" s="287" t="s">
        <v>1275</v>
      </c>
      <c r="C736" s="287" t="s">
        <v>1276</v>
      </c>
      <c r="D736" s="397">
        <v>901.7</v>
      </c>
      <c r="E736" s="380">
        <v>41628</v>
      </c>
      <c r="F736" s="381">
        <v>1025.9000000000001</v>
      </c>
    </row>
    <row r="737" spans="1:6" s="295" customFormat="1" x14ac:dyDescent="0.15">
      <c r="A737" s="374">
        <v>79344</v>
      </c>
      <c r="B737" s="287" t="s">
        <v>1279</v>
      </c>
      <c r="C737" s="287" t="s">
        <v>1280</v>
      </c>
      <c r="D737" s="397">
        <v>648.70000000000005</v>
      </c>
      <c r="E737" s="380">
        <v>41628</v>
      </c>
      <c r="F737" s="381">
        <v>748.29</v>
      </c>
    </row>
    <row r="738" spans="1:6" s="295" customFormat="1" x14ac:dyDescent="0.15">
      <c r="A738" s="374">
        <v>79344</v>
      </c>
      <c r="B738" s="287" t="s">
        <v>1284</v>
      </c>
      <c r="C738" s="287" t="s">
        <v>1285</v>
      </c>
      <c r="D738" s="397">
        <v>247.8</v>
      </c>
      <c r="E738" s="380">
        <v>41628</v>
      </c>
      <c r="F738" s="381">
        <v>308.73</v>
      </c>
    </row>
    <row r="739" spans="1:6" s="295" customFormat="1" x14ac:dyDescent="0.15">
      <c r="A739" s="374">
        <v>79344</v>
      </c>
      <c r="B739" s="287" t="s">
        <v>1288</v>
      </c>
      <c r="C739" s="287" t="s">
        <v>1289</v>
      </c>
      <c r="D739" s="397">
        <v>875.3</v>
      </c>
      <c r="E739" s="403">
        <v>41628</v>
      </c>
      <c r="F739" s="381">
        <v>996.95</v>
      </c>
    </row>
    <row r="740" spans="1:6" s="275" customFormat="1" ht="14" thickBot="1" x14ac:dyDescent="0.2">
      <c r="A740" s="376"/>
      <c r="B740" s="359"/>
      <c r="C740" s="291" t="s">
        <v>115</v>
      </c>
      <c r="D740" s="383">
        <f>SUM(D722:D739)</f>
        <v>16126.4</v>
      </c>
      <c r="E740" s="404"/>
      <c r="F740" s="389">
        <v>18244.070000000003</v>
      </c>
    </row>
    <row r="741" spans="1:6" s="275" customFormat="1" ht="14" thickTop="1" x14ac:dyDescent="0.15">
      <c r="A741" s="376"/>
      <c r="B741" s="359"/>
      <c r="C741" s="359"/>
      <c r="D741" s="287"/>
      <c r="E741" s="380"/>
      <c r="F741" s="381"/>
    </row>
    <row r="742" spans="1:6" s="275" customFormat="1" x14ac:dyDescent="0.15">
      <c r="A742" s="376"/>
      <c r="B742" s="359"/>
      <c r="C742" s="378" t="s">
        <v>1212</v>
      </c>
      <c r="D742" s="287"/>
      <c r="E742" s="380"/>
      <c r="F742" s="381"/>
    </row>
    <row r="743" spans="1:6" s="275" customFormat="1" x14ac:dyDescent="0.15">
      <c r="A743" s="376"/>
      <c r="B743" s="359"/>
      <c r="C743" s="378" t="s">
        <v>1139</v>
      </c>
      <c r="D743" s="287"/>
      <c r="E743" s="380"/>
      <c r="F743" s="381"/>
    </row>
    <row r="744" spans="1:6" s="275" customFormat="1" x14ac:dyDescent="0.15">
      <c r="A744" s="376"/>
      <c r="B744" s="359"/>
      <c r="C744" s="386">
        <v>41639</v>
      </c>
      <c r="D744" s="287"/>
      <c r="E744" s="380"/>
      <c r="F744" s="381"/>
    </row>
    <row r="745" spans="1:6" s="275" customFormat="1" x14ac:dyDescent="0.15">
      <c r="A745" s="399"/>
      <c r="B745" s="400"/>
      <c r="C745" s="400"/>
      <c r="D745" s="400"/>
      <c r="E745" s="401"/>
      <c r="F745" s="402"/>
    </row>
    <row r="746" spans="1:6" s="275" customFormat="1" ht="14" thickBot="1" x14ac:dyDescent="0.2">
      <c r="A746" s="387"/>
      <c r="B746" s="388"/>
      <c r="C746" s="291" t="s">
        <v>1167</v>
      </c>
      <c r="D746" s="383">
        <f>SUM(D716,D740)</f>
        <v>22991.3</v>
      </c>
      <c r="E746" s="367"/>
      <c r="F746" s="389">
        <v>26230.960000000006</v>
      </c>
    </row>
    <row r="747" spans="1:6" s="275" customFormat="1" ht="14" thickTop="1" x14ac:dyDescent="0.15">
      <c r="E747" s="369"/>
      <c r="F747" s="278"/>
    </row>
    <row r="748" spans="1:6" s="275" customFormat="1" x14ac:dyDescent="0.15">
      <c r="A748" s="370" t="s">
        <v>1290</v>
      </c>
      <c r="B748" s="371" t="s">
        <v>1291</v>
      </c>
      <c r="C748" s="371" t="s">
        <v>1277</v>
      </c>
      <c r="D748" s="371">
        <v>1677</v>
      </c>
      <c r="E748" s="390">
        <v>41655</v>
      </c>
      <c r="F748" s="391">
        <v>1876.65</v>
      </c>
    </row>
    <row r="749" spans="1:6" s="275" customFormat="1" x14ac:dyDescent="0.15">
      <c r="A749" s="374" t="s">
        <v>1292</v>
      </c>
      <c r="B749" s="287" t="s">
        <v>1255</v>
      </c>
      <c r="C749" s="287" t="s">
        <v>1256</v>
      </c>
      <c r="D749" s="287">
        <v>2840.6</v>
      </c>
      <c r="E749" s="380">
        <v>41655</v>
      </c>
      <c r="F749" s="381">
        <v>3185.15</v>
      </c>
    </row>
    <row r="750" spans="1:6" s="275" customFormat="1" x14ac:dyDescent="0.15">
      <c r="A750" s="374" t="s">
        <v>1293</v>
      </c>
      <c r="B750" s="287" t="s">
        <v>1257</v>
      </c>
      <c r="C750" s="287" t="s">
        <v>1258</v>
      </c>
      <c r="D750" s="287">
        <v>1144.2</v>
      </c>
      <c r="E750" s="380">
        <v>41655</v>
      </c>
      <c r="F750" s="381">
        <v>1292.01</v>
      </c>
    </row>
    <row r="751" spans="1:6" s="275" customFormat="1" x14ac:dyDescent="0.15">
      <c r="A751" s="374" t="s">
        <v>1294</v>
      </c>
      <c r="B751" s="287" t="s">
        <v>1259</v>
      </c>
      <c r="C751" s="287" t="s">
        <v>1260</v>
      </c>
      <c r="D751" s="287">
        <v>478.6</v>
      </c>
      <c r="E751" s="380">
        <v>41655</v>
      </c>
      <c r="F751" s="381">
        <v>569.41999999999996</v>
      </c>
    </row>
    <row r="752" spans="1:6" s="275" customFormat="1" x14ac:dyDescent="0.15">
      <c r="A752" s="374" t="s">
        <v>1295</v>
      </c>
      <c r="B752" s="287" t="s">
        <v>1261</v>
      </c>
      <c r="C752" s="287" t="s">
        <v>1262</v>
      </c>
      <c r="D752" s="287">
        <v>544.4</v>
      </c>
      <c r="E752" s="380">
        <v>41655</v>
      </c>
      <c r="F752" s="381">
        <v>643.74</v>
      </c>
    </row>
    <row r="753" spans="1:6" s="275" customFormat="1" x14ac:dyDescent="0.15">
      <c r="A753" s="374" t="s">
        <v>1296</v>
      </c>
      <c r="B753" s="287" t="s">
        <v>1278</v>
      </c>
      <c r="C753" s="287" t="s">
        <v>1264</v>
      </c>
      <c r="D753" s="287">
        <v>850.4</v>
      </c>
      <c r="E753" s="380">
        <v>41655</v>
      </c>
      <c r="F753" s="381">
        <v>969.62</v>
      </c>
    </row>
    <row r="754" spans="1:6" s="275" customFormat="1" x14ac:dyDescent="0.15">
      <c r="A754" s="374" t="s">
        <v>1297</v>
      </c>
      <c r="B754" s="287" t="s">
        <v>1265</v>
      </c>
      <c r="C754" s="287" t="s">
        <v>1266</v>
      </c>
      <c r="D754" s="287">
        <v>497.1</v>
      </c>
      <c r="E754" s="380">
        <v>41655</v>
      </c>
      <c r="F754" s="381">
        <v>590.32000000000005</v>
      </c>
    </row>
    <row r="755" spans="1:6" s="275" customFormat="1" x14ac:dyDescent="0.15">
      <c r="A755" s="374" t="s">
        <v>1298</v>
      </c>
      <c r="B755" s="287" t="s">
        <v>1267</v>
      </c>
      <c r="C755" s="287" t="s">
        <v>1268</v>
      </c>
      <c r="D755" s="287">
        <v>1091.8</v>
      </c>
      <c r="E755" s="380">
        <v>41655</v>
      </c>
      <c r="F755" s="381">
        <v>1262.02</v>
      </c>
    </row>
    <row r="756" spans="1:6" s="275" customFormat="1" x14ac:dyDescent="0.15">
      <c r="A756" s="374" t="s">
        <v>1299</v>
      </c>
      <c r="B756" s="287" t="s">
        <v>1269</v>
      </c>
      <c r="C756" s="287" t="s">
        <v>1270</v>
      </c>
      <c r="D756" s="287">
        <v>1020.9</v>
      </c>
      <c r="E756" s="380">
        <v>41655</v>
      </c>
      <c r="F756" s="381">
        <v>1156.71</v>
      </c>
    </row>
    <row r="757" spans="1:6" s="275" customFormat="1" x14ac:dyDescent="0.15">
      <c r="A757" s="374" t="s">
        <v>1300</v>
      </c>
      <c r="B757" s="287" t="s">
        <v>1271</v>
      </c>
      <c r="C757" s="287" t="s">
        <v>1272</v>
      </c>
      <c r="D757" s="287">
        <v>1088.7</v>
      </c>
      <c r="E757" s="380">
        <v>41655</v>
      </c>
      <c r="F757" s="381">
        <v>1231.0999999999999</v>
      </c>
    </row>
    <row r="758" spans="1:6" s="275" customFormat="1" x14ac:dyDescent="0.15">
      <c r="A758" s="374" t="s">
        <v>1301</v>
      </c>
      <c r="B758" s="287" t="s">
        <v>1286</v>
      </c>
      <c r="C758" s="287" t="s">
        <v>1287</v>
      </c>
      <c r="D758" s="287">
        <v>544.4</v>
      </c>
      <c r="E758" s="380">
        <v>41655</v>
      </c>
      <c r="F758" s="381">
        <v>672.67</v>
      </c>
    </row>
    <row r="759" spans="1:6" s="275" customFormat="1" ht="14" thickBot="1" x14ac:dyDescent="0.2">
      <c r="A759" s="374"/>
      <c r="B759" s="287"/>
      <c r="C759" s="291" t="s">
        <v>115</v>
      </c>
      <c r="D759" s="394">
        <f>SUM(D748:D758)</f>
        <v>11778.1</v>
      </c>
      <c r="E759" s="384"/>
      <c r="F759" s="389">
        <v>13449.41</v>
      </c>
    </row>
    <row r="760" spans="1:6" s="275" customFormat="1" ht="14" thickTop="1" x14ac:dyDescent="0.15">
      <c r="A760" s="374"/>
      <c r="B760" s="287"/>
      <c r="C760" s="287"/>
      <c r="D760" s="287"/>
      <c r="E760" s="380"/>
      <c r="F760" s="381"/>
    </row>
    <row r="761" spans="1:6" s="275" customFormat="1" x14ac:dyDescent="0.15">
      <c r="A761" s="374"/>
      <c r="B761" s="287"/>
      <c r="C761" s="378" t="s">
        <v>1212</v>
      </c>
      <c r="D761" s="287"/>
      <c r="E761" s="380"/>
      <c r="F761" s="381"/>
    </row>
    <row r="762" spans="1:6" s="275" customFormat="1" x14ac:dyDescent="0.15">
      <c r="A762" s="374"/>
      <c r="B762" s="287"/>
      <c r="C762" s="378" t="s">
        <v>1139</v>
      </c>
      <c r="D762" s="287"/>
      <c r="E762" s="380"/>
      <c r="F762" s="381"/>
    </row>
    <row r="763" spans="1:6" s="275" customFormat="1" x14ac:dyDescent="0.15">
      <c r="A763" s="374"/>
      <c r="B763" s="287"/>
      <c r="C763" s="386">
        <v>41666</v>
      </c>
      <c r="D763" s="287"/>
      <c r="E763" s="380"/>
      <c r="F763" s="381"/>
    </row>
    <row r="764" spans="1:6" s="275" customFormat="1" x14ac:dyDescent="0.15">
      <c r="A764" s="399"/>
      <c r="B764" s="400"/>
      <c r="C764" s="400"/>
      <c r="D764" s="400"/>
      <c r="E764" s="401"/>
      <c r="F764" s="402"/>
    </row>
    <row r="765" spans="1:6" s="275" customFormat="1" x14ac:dyDescent="0.15">
      <c r="A765" s="370" t="s">
        <v>1302</v>
      </c>
      <c r="B765" s="371" t="s">
        <v>1226</v>
      </c>
      <c r="C765" s="371" t="s">
        <v>1227</v>
      </c>
      <c r="D765" s="371">
        <v>1525</v>
      </c>
      <c r="E765" s="390">
        <v>41667</v>
      </c>
      <c r="F765" s="391">
        <v>1709.86</v>
      </c>
    </row>
    <row r="766" spans="1:6" s="275" customFormat="1" x14ac:dyDescent="0.15">
      <c r="A766" s="374" t="s">
        <v>1303</v>
      </c>
      <c r="B766" s="287" t="s">
        <v>1228</v>
      </c>
      <c r="C766" s="287" t="s">
        <v>1229</v>
      </c>
      <c r="D766" s="287">
        <v>1760.2</v>
      </c>
      <c r="E766" s="380">
        <v>41667</v>
      </c>
      <c r="F766" s="381">
        <v>1986.12</v>
      </c>
    </row>
    <row r="767" spans="1:6" s="275" customFormat="1" x14ac:dyDescent="0.15">
      <c r="A767" s="374" t="s">
        <v>1304</v>
      </c>
      <c r="B767" s="287" t="s">
        <v>1230</v>
      </c>
      <c r="C767" s="287" t="s">
        <v>1231</v>
      </c>
      <c r="D767" s="287">
        <v>942.7</v>
      </c>
      <c r="E767" s="380">
        <v>41667</v>
      </c>
      <c r="F767" s="381">
        <v>1070.9000000000001</v>
      </c>
    </row>
    <row r="768" spans="1:6" s="275" customFormat="1" x14ac:dyDescent="0.15">
      <c r="A768" s="374" t="s">
        <v>1305</v>
      </c>
      <c r="B768" s="287" t="s">
        <v>1306</v>
      </c>
      <c r="C768" s="287" t="s">
        <v>1233</v>
      </c>
      <c r="D768" s="287">
        <v>662.4</v>
      </c>
      <c r="E768" s="380">
        <v>41667</v>
      </c>
      <c r="F768" s="381">
        <v>687.37</v>
      </c>
    </row>
    <row r="769" spans="1:6" s="275" customFormat="1" x14ac:dyDescent="0.15">
      <c r="A769" s="374" t="s">
        <v>1307</v>
      </c>
      <c r="B769" s="287" t="s">
        <v>1234</v>
      </c>
      <c r="C769" s="287" t="s">
        <v>500</v>
      </c>
      <c r="D769" s="287">
        <v>1654.4</v>
      </c>
      <c r="E769" s="380">
        <v>41667</v>
      </c>
      <c r="F769" s="381">
        <v>1851.84</v>
      </c>
    </row>
    <row r="770" spans="1:6" s="275" customFormat="1" x14ac:dyDescent="0.15">
      <c r="A770" s="374" t="s">
        <v>1308</v>
      </c>
      <c r="B770" s="287" t="s">
        <v>1235</v>
      </c>
      <c r="C770" s="287" t="s">
        <v>1236</v>
      </c>
      <c r="D770" s="287">
        <v>1665.7</v>
      </c>
      <c r="E770" s="380">
        <v>41667</v>
      </c>
      <c r="F770" s="381">
        <v>1864.25</v>
      </c>
    </row>
    <row r="771" spans="1:6" s="275" customFormat="1" x14ac:dyDescent="0.15">
      <c r="A771" s="374" t="s">
        <v>1308</v>
      </c>
      <c r="B771" s="287" t="s">
        <v>1238</v>
      </c>
      <c r="C771" s="287" t="s">
        <v>1239</v>
      </c>
      <c r="D771" s="287">
        <v>1556.8</v>
      </c>
      <c r="E771" s="380">
        <v>41667</v>
      </c>
      <c r="F771" s="381">
        <v>1744.76</v>
      </c>
    </row>
    <row r="772" spans="1:6" s="275" customFormat="1" x14ac:dyDescent="0.15">
      <c r="A772" s="374" t="s">
        <v>1309</v>
      </c>
      <c r="B772" s="287" t="s">
        <v>1240</v>
      </c>
      <c r="C772" s="287" t="s">
        <v>1241</v>
      </c>
      <c r="D772" s="287">
        <v>1136.8</v>
      </c>
      <c r="E772" s="380">
        <v>41667</v>
      </c>
      <c r="F772" s="381">
        <v>1283.8900000000001</v>
      </c>
    </row>
    <row r="773" spans="1:6" s="275" customFormat="1" x14ac:dyDescent="0.15">
      <c r="A773" s="374" t="s">
        <v>1310</v>
      </c>
      <c r="B773" s="287" t="s">
        <v>1282</v>
      </c>
      <c r="C773" s="287" t="s">
        <v>1283</v>
      </c>
      <c r="D773" s="287">
        <v>1139.7</v>
      </c>
      <c r="E773" s="380">
        <v>41667</v>
      </c>
      <c r="F773" s="381">
        <v>1287.06</v>
      </c>
    </row>
    <row r="774" spans="1:6" s="275" customFormat="1" x14ac:dyDescent="0.15">
      <c r="A774" s="374" t="s">
        <v>1311</v>
      </c>
      <c r="B774" s="287" t="s">
        <v>1244</v>
      </c>
      <c r="C774" s="287" t="s">
        <v>1245</v>
      </c>
      <c r="D774" s="287">
        <v>1698.8</v>
      </c>
      <c r="E774" s="380">
        <v>41667</v>
      </c>
      <c r="F774" s="381">
        <v>1900.57</v>
      </c>
    </row>
    <row r="775" spans="1:6" s="275" customFormat="1" x14ac:dyDescent="0.15">
      <c r="A775" s="374" t="s">
        <v>1311</v>
      </c>
      <c r="B775" s="287" t="s">
        <v>1246</v>
      </c>
      <c r="C775" s="287" t="s">
        <v>1247</v>
      </c>
      <c r="D775" s="287">
        <v>1062.9000000000001</v>
      </c>
      <c r="E775" s="380">
        <v>41667</v>
      </c>
      <c r="F775" s="381">
        <v>1202.79</v>
      </c>
    </row>
    <row r="776" spans="1:6" s="275" customFormat="1" x14ac:dyDescent="0.15">
      <c r="A776" s="374" t="s">
        <v>1311</v>
      </c>
      <c r="B776" s="287" t="s">
        <v>1248</v>
      </c>
      <c r="C776" s="287" t="s">
        <v>1249</v>
      </c>
      <c r="D776" s="287">
        <v>274.2</v>
      </c>
      <c r="E776" s="380">
        <v>41667</v>
      </c>
      <c r="F776" s="381">
        <v>338.55</v>
      </c>
    </row>
    <row r="777" spans="1:6" s="275" customFormat="1" x14ac:dyDescent="0.15">
      <c r="A777" s="374" t="s">
        <v>1311</v>
      </c>
      <c r="B777" s="287" t="s">
        <v>1250</v>
      </c>
      <c r="C777" s="287" t="s">
        <v>1251</v>
      </c>
      <c r="D777" s="287">
        <v>86.3</v>
      </c>
      <c r="E777" s="380">
        <v>41667</v>
      </c>
      <c r="F777" s="381">
        <v>130.18</v>
      </c>
    </row>
    <row r="778" spans="1:6" s="275" customFormat="1" x14ac:dyDescent="0.15">
      <c r="A778" s="374" t="s">
        <v>1311</v>
      </c>
      <c r="B778" s="287" t="s">
        <v>1252</v>
      </c>
      <c r="C778" s="287" t="s">
        <v>1253</v>
      </c>
      <c r="D778" s="287">
        <v>1393.8</v>
      </c>
      <c r="E778" s="380">
        <v>41667</v>
      </c>
      <c r="F778" s="381">
        <v>1565.89</v>
      </c>
    </row>
    <row r="779" spans="1:6" s="275" customFormat="1" x14ac:dyDescent="0.15">
      <c r="A779" s="374" t="s">
        <v>1311</v>
      </c>
      <c r="B779" s="287" t="s">
        <v>1275</v>
      </c>
      <c r="C779" s="287" t="s">
        <v>1276</v>
      </c>
      <c r="D779" s="397">
        <v>1495.5</v>
      </c>
      <c r="E779" s="380">
        <v>41667</v>
      </c>
      <c r="F779" s="381">
        <v>1677.49</v>
      </c>
    </row>
    <row r="780" spans="1:6" s="275" customFormat="1" x14ac:dyDescent="0.15">
      <c r="A780" s="374" t="s">
        <v>1311</v>
      </c>
      <c r="B780" s="287" t="s">
        <v>1279</v>
      </c>
      <c r="C780" s="287" t="s">
        <v>1280</v>
      </c>
      <c r="D780" s="397">
        <v>1134.9000000000001</v>
      </c>
      <c r="E780" s="380">
        <v>41667</v>
      </c>
      <c r="F780" s="381">
        <v>1281.8</v>
      </c>
    </row>
    <row r="781" spans="1:6" s="275" customFormat="1" x14ac:dyDescent="0.15">
      <c r="A781" s="374" t="s">
        <v>1311</v>
      </c>
      <c r="B781" s="287" t="s">
        <v>1284</v>
      </c>
      <c r="C781" s="287" t="s">
        <v>1285</v>
      </c>
      <c r="D781" s="397">
        <v>402.6</v>
      </c>
      <c r="E781" s="380">
        <v>41667</v>
      </c>
      <c r="F781" s="381">
        <v>483.57</v>
      </c>
    </row>
    <row r="782" spans="1:6" s="275" customFormat="1" x14ac:dyDescent="0.15">
      <c r="A782" s="374" t="s">
        <v>1311</v>
      </c>
      <c r="B782" s="287" t="s">
        <v>1288</v>
      </c>
      <c r="C782" s="287" t="s">
        <v>1289</v>
      </c>
      <c r="D782" s="397">
        <v>932.5</v>
      </c>
      <c r="E782" s="403">
        <v>41667</v>
      </c>
      <c r="F782" s="381">
        <v>1059.71</v>
      </c>
    </row>
    <row r="783" spans="1:6" s="275" customFormat="1" ht="14" thickBot="1" x14ac:dyDescent="0.2">
      <c r="A783" s="376"/>
      <c r="B783" s="359"/>
      <c r="C783" s="291" t="s">
        <v>115</v>
      </c>
      <c r="D783" s="383">
        <f>SUM(D765:D782)</f>
        <v>20525.199999999997</v>
      </c>
      <c r="E783" s="404"/>
      <c r="F783" s="389">
        <v>23126.6</v>
      </c>
    </row>
    <row r="784" spans="1:6" s="275" customFormat="1" ht="14" thickTop="1" x14ac:dyDescent="0.15">
      <c r="A784" s="376"/>
      <c r="B784" s="359"/>
      <c r="C784" s="359"/>
      <c r="D784" s="287"/>
      <c r="E784" s="380"/>
      <c r="F784" s="381"/>
    </row>
    <row r="785" spans="1:6" s="275" customFormat="1" x14ac:dyDescent="0.15">
      <c r="A785" s="376"/>
      <c r="B785" s="359"/>
      <c r="C785" s="378" t="s">
        <v>1212</v>
      </c>
      <c r="D785" s="287"/>
      <c r="E785" s="380"/>
      <c r="F785" s="381"/>
    </row>
    <row r="786" spans="1:6" s="275" customFormat="1" x14ac:dyDescent="0.15">
      <c r="A786" s="376"/>
      <c r="B786" s="359"/>
      <c r="C786" s="378" t="s">
        <v>1139</v>
      </c>
      <c r="D786" s="287"/>
      <c r="E786" s="380"/>
      <c r="F786" s="381"/>
    </row>
    <row r="787" spans="1:6" s="275" customFormat="1" x14ac:dyDescent="0.15">
      <c r="A787" s="376"/>
      <c r="B787" s="359"/>
      <c r="C787" s="386">
        <v>41670</v>
      </c>
      <c r="D787" s="287"/>
      <c r="E787" s="380"/>
      <c r="F787" s="381"/>
    </row>
    <row r="788" spans="1:6" s="275" customFormat="1" x14ac:dyDescent="0.15">
      <c r="A788" s="399"/>
      <c r="B788" s="400"/>
      <c r="C788" s="400"/>
      <c r="D788" s="400"/>
      <c r="E788" s="401"/>
      <c r="F788" s="402"/>
    </row>
    <row r="789" spans="1:6" s="275" customFormat="1" ht="14" thickBot="1" x14ac:dyDescent="0.2">
      <c r="A789" s="387"/>
      <c r="B789" s="388"/>
      <c r="C789" s="291" t="s">
        <v>1168</v>
      </c>
      <c r="D789" s="383">
        <f>SUM(D759,D783)</f>
        <v>32303.299999999996</v>
      </c>
      <c r="E789" s="367"/>
      <c r="F789" s="389">
        <v>36576.009999999995</v>
      </c>
    </row>
    <row r="790" spans="1:6" s="275" customFormat="1" ht="14" thickTop="1" x14ac:dyDescent="0.15">
      <c r="E790" s="369"/>
      <c r="F790" s="278"/>
    </row>
    <row r="791" spans="1:6" s="275" customFormat="1" x14ac:dyDescent="0.15">
      <c r="A791" s="370" t="s">
        <v>1299</v>
      </c>
      <c r="B791" s="371" t="s">
        <v>1269</v>
      </c>
      <c r="C791" s="371" t="s">
        <v>1270</v>
      </c>
      <c r="D791" s="371">
        <v>1026.9000000000001</v>
      </c>
      <c r="E791" s="390">
        <v>41688</v>
      </c>
      <c r="F791" s="391">
        <v>1163.29</v>
      </c>
    </row>
    <row r="792" spans="1:6" s="275" customFormat="1" x14ac:dyDescent="0.15">
      <c r="A792" s="374" t="s">
        <v>1293</v>
      </c>
      <c r="B792" s="287" t="s">
        <v>1257</v>
      </c>
      <c r="C792" s="287" t="s">
        <v>1258</v>
      </c>
      <c r="D792" s="287">
        <v>1228.2</v>
      </c>
      <c r="E792" s="380">
        <v>41688</v>
      </c>
      <c r="F792" s="381">
        <v>1384.17</v>
      </c>
    </row>
    <row r="793" spans="1:6" s="275" customFormat="1" x14ac:dyDescent="0.15">
      <c r="A793" s="374" t="s">
        <v>1294</v>
      </c>
      <c r="B793" s="287" t="s">
        <v>1259</v>
      </c>
      <c r="C793" s="287" t="s">
        <v>1260</v>
      </c>
      <c r="D793" s="287">
        <v>460.1</v>
      </c>
      <c r="E793" s="380">
        <v>41688</v>
      </c>
      <c r="F793" s="381">
        <v>548.52</v>
      </c>
    </row>
    <row r="794" spans="1:6" s="275" customFormat="1" x14ac:dyDescent="0.15">
      <c r="A794" s="374" t="s">
        <v>1296</v>
      </c>
      <c r="B794" s="287" t="s">
        <v>1278</v>
      </c>
      <c r="C794" s="287" t="s">
        <v>1264</v>
      </c>
      <c r="D794" s="287">
        <v>820.5</v>
      </c>
      <c r="E794" s="380">
        <v>41688</v>
      </c>
      <c r="F794" s="381">
        <v>936.81</v>
      </c>
    </row>
    <row r="795" spans="1:6" s="275" customFormat="1" x14ac:dyDescent="0.15">
      <c r="A795" s="374" t="s">
        <v>1295</v>
      </c>
      <c r="B795" s="287" t="s">
        <v>1261</v>
      </c>
      <c r="C795" s="287" t="s">
        <v>1262</v>
      </c>
      <c r="D795" s="287">
        <v>528.9</v>
      </c>
      <c r="E795" s="380">
        <v>41688</v>
      </c>
      <c r="F795" s="381">
        <v>626.24</v>
      </c>
    </row>
    <row r="796" spans="1:6" s="275" customFormat="1" x14ac:dyDescent="0.15">
      <c r="A796" s="374" t="s">
        <v>1301</v>
      </c>
      <c r="B796" s="287" t="s">
        <v>1286</v>
      </c>
      <c r="C796" s="287" t="s">
        <v>1287</v>
      </c>
      <c r="D796" s="287">
        <v>414.9</v>
      </c>
      <c r="E796" s="380">
        <v>41688</v>
      </c>
      <c r="F796" s="381">
        <v>521.70000000000005</v>
      </c>
    </row>
    <row r="797" spans="1:6" s="275" customFormat="1" x14ac:dyDescent="0.15">
      <c r="A797" s="374" t="s">
        <v>1297</v>
      </c>
      <c r="B797" s="287" t="s">
        <v>1265</v>
      </c>
      <c r="C797" s="287" t="s">
        <v>1266</v>
      </c>
      <c r="D797" s="287">
        <v>506.3</v>
      </c>
      <c r="E797" s="380">
        <v>41688</v>
      </c>
      <c r="F797" s="381">
        <v>600.71</v>
      </c>
    </row>
    <row r="798" spans="1:6" s="275" customFormat="1" x14ac:dyDescent="0.15">
      <c r="A798" s="374" t="s">
        <v>1298</v>
      </c>
      <c r="B798" s="287" t="s">
        <v>1267</v>
      </c>
      <c r="C798" s="287" t="s">
        <v>1268</v>
      </c>
      <c r="D798" s="287">
        <v>1033.0999999999999</v>
      </c>
      <c r="E798" s="380">
        <v>41688</v>
      </c>
      <c r="F798" s="381">
        <v>1195.73</v>
      </c>
    </row>
    <row r="799" spans="1:6" s="275" customFormat="1" x14ac:dyDescent="0.15">
      <c r="A799" s="374" t="s">
        <v>1300</v>
      </c>
      <c r="B799" s="287" t="s">
        <v>1271</v>
      </c>
      <c r="C799" s="287" t="s">
        <v>1272</v>
      </c>
      <c r="D799" s="287">
        <v>1034.0999999999999</v>
      </c>
      <c r="E799" s="380">
        <v>41688</v>
      </c>
      <c r="F799" s="381">
        <v>1171.18</v>
      </c>
    </row>
    <row r="800" spans="1:6" s="275" customFormat="1" x14ac:dyDescent="0.15">
      <c r="A800" s="374" t="s">
        <v>1290</v>
      </c>
      <c r="B800" s="287" t="s">
        <v>1291</v>
      </c>
      <c r="C800" s="287" t="s">
        <v>1277</v>
      </c>
      <c r="D800" s="287">
        <v>1490.1</v>
      </c>
      <c r="E800" s="380">
        <v>41688</v>
      </c>
      <c r="F800" s="381">
        <v>1671.57</v>
      </c>
    </row>
    <row r="801" spans="1:6" s="275" customFormat="1" x14ac:dyDescent="0.15">
      <c r="A801" s="374" t="s">
        <v>1292</v>
      </c>
      <c r="B801" s="287" t="s">
        <v>1255</v>
      </c>
      <c r="C801" s="287" t="s">
        <v>1256</v>
      </c>
      <c r="D801" s="287">
        <v>2748.2</v>
      </c>
      <c r="E801" s="380">
        <v>41688</v>
      </c>
      <c r="F801" s="381">
        <v>3082.6</v>
      </c>
    </row>
    <row r="802" spans="1:6" s="275" customFormat="1" ht="14" thickBot="1" x14ac:dyDescent="0.2">
      <c r="A802" s="374"/>
      <c r="B802" s="287"/>
      <c r="C802" s="291" t="s">
        <v>115</v>
      </c>
      <c r="D802" s="394">
        <f>SUM(D791:D801)</f>
        <v>11291.3</v>
      </c>
      <c r="E802" s="384"/>
      <c r="F802" s="389">
        <v>12902.52</v>
      </c>
    </row>
    <row r="803" spans="1:6" s="275" customFormat="1" ht="14" thickTop="1" x14ac:dyDescent="0.15">
      <c r="A803" s="374"/>
      <c r="B803" s="287"/>
      <c r="C803" s="287"/>
      <c r="D803" s="287"/>
      <c r="E803" s="380"/>
      <c r="F803" s="381"/>
    </row>
    <row r="804" spans="1:6" s="275" customFormat="1" x14ac:dyDescent="0.15">
      <c r="A804" s="374"/>
      <c r="B804" s="287"/>
      <c r="C804" s="378" t="s">
        <v>1212</v>
      </c>
      <c r="D804" s="287"/>
      <c r="E804" s="380"/>
      <c r="F804" s="381"/>
    </row>
    <row r="805" spans="1:6" s="275" customFormat="1" x14ac:dyDescent="0.15">
      <c r="A805" s="374"/>
      <c r="B805" s="287"/>
      <c r="C805" s="378" t="s">
        <v>1139</v>
      </c>
      <c r="D805" s="287"/>
      <c r="E805" s="380"/>
      <c r="F805" s="381"/>
    </row>
    <row r="806" spans="1:6" s="275" customFormat="1" x14ac:dyDescent="0.15">
      <c r="A806" s="374"/>
      <c r="B806" s="287"/>
      <c r="C806" s="386">
        <v>41696</v>
      </c>
      <c r="D806" s="287"/>
      <c r="E806" s="380"/>
      <c r="F806" s="381"/>
    </row>
    <row r="807" spans="1:6" s="275" customFormat="1" x14ac:dyDescent="0.15">
      <c r="A807" s="399"/>
      <c r="B807" s="400"/>
      <c r="C807" s="400"/>
      <c r="D807" s="400"/>
      <c r="E807" s="401"/>
      <c r="F807" s="402"/>
    </row>
    <row r="808" spans="1:6" s="295" customFormat="1" x14ac:dyDescent="0.15">
      <c r="A808" s="370" t="s">
        <v>1302</v>
      </c>
      <c r="B808" s="371" t="s">
        <v>1226</v>
      </c>
      <c r="C808" s="371" t="s">
        <v>1227</v>
      </c>
      <c r="D808" s="371">
        <v>1870.3</v>
      </c>
      <c r="E808" s="390">
        <v>41698</v>
      </c>
      <c r="F808" s="391">
        <v>2088.7600000000002</v>
      </c>
    </row>
    <row r="809" spans="1:6" s="295" customFormat="1" x14ac:dyDescent="0.15">
      <c r="A809" s="374" t="s">
        <v>1303</v>
      </c>
      <c r="B809" s="287" t="s">
        <v>1228</v>
      </c>
      <c r="C809" s="287" t="s">
        <v>1229</v>
      </c>
      <c r="D809" s="287">
        <v>2297.5</v>
      </c>
      <c r="E809" s="380">
        <v>41698</v>
      </c>
      <c r="F809" s="381">
        <v>2582.42</v>
      </c>
    </row>
    <row r="810" spans="1:6" s="295" customFormat="1" x14ac:dyDescent="0.15">
      <c r="A810" s="374" t="s">
        <v>1304</v>
      </c>
      <c r="B810" s="287" t="s">
        <v>1230</v>
      </c>
      <c r="C810" s="287" t="s">
        <v>1231</v>
      </c>
      <c r="D810" s="287">
        <v>1241.7</v>
      </c>
      <c r="E810" s="380">
        <v>41698</v>
      </c>
      <c r="F810" s="381">
        <v>1398.98</v>
      </c>
    </row>
    <row r="811" spans="1:6" s="295" customFormat="1" x14ac:dyDescent="0.15">
      <c r="A811" s="374" t="s">
        <v>1305</v>
      </c>
      <c r="B811" s="287" t="s">
        <v>1306</v>
      </c>
      <c r="C811" s="287" t="s">
        <v>1233</v>
      </c>
      <c r="D811" s="287">
        <v>1453.3</v>
      </c>
      <c r="E811" s="380">
        <v>41698</v>
      </c>
      <c r="F811" s="381">
        <v>1469.1</v>
      </c>
    </row>
    <row r="812" spans="1:6" s="295" customFormat="1" x14ac:dyDescent="0.15">
      <c r="A812" s="374" t="s">
        <v>1307</v>
      </c>
      <c r="B812" s="287" t="s">
        <v>1234</v>
      </c>
      <c r="C812" s="287" t="s">
        <v>500</v>
      </c>
      <c r="D812" s="287">
        <v>2183.5</v>
      </c>
      <c r="E812" s="380">
        <v>41698</v>
      </c>
      <c r="F812" s="381">
        <v>2432.42</v>
      </c>
    </row>
    <row r="813" spans="1:6" s="295" customFormat="1" x14ac:dyDescent="0.15">
      <c r="A813" s="374" t="s">
        <v>1308</v>
      </c>
      <c r="B813" s="287" t="s">
        <v>1235</v>
      </c>
      <c r="C813" s="287" t="s">
        <v>1236</v>
      </c>
      <c r="D813" s="287">
        <v>2078.8000000000002</v>
      </c>
      <c r="E813" s="380">
        <v>41698</v>
      </c>
      <c r="F813" s="381">
        <v>2317.5500000000002</v>
      </c>
    </row>
    <row r="814" spans="1:6" s="295" customFormat="1" x14ac:dyDescent="0.15">
      <c r="A814" s="374" t="s">
        <v>1308</v>
      </c>
      <c r="B814" s="287" t="s">
        <v>1238</v>
      </c>
      <c r="C814" s="287" t="s">
        <v>1239</v>
      </c>
      <c r="D814" s="287">
        <v>1845.6</v>
      </c>
      <c r="E814" s="380">
        <v>41698</v>
      </c>
      <c r="F814" s="381">
        <v>2061.65</v>
      </c>
    </row>
    <row r="815" spans="1:6" s="295" customFormat="1" x14ac:dyDescent="0.15">
      <c r="A815" s="374" t="s">
        <v>1309</v>
      </c>
      <c r="B815" s="287" t="s">
        <v>1240</v>
      </c>
      <c r="C815" s="287" t="s">
        <v>1241</v>
      </c>
      <c r="D815" s="287">
        <v>1463.6</v>
      </c>
      <c r="E815" s="380">
        <v>41698</v>
      </c>
      <c r="F815" s="381">
        <v>1642.48</v>
      </c>
    </row>
    <row r="816" spans="1:6" s="295" customFormat="1" x14ac:dyDescent="0.15">
      <c r="A816" s="374" t="s">
        <v>1310</v>
      </c>
      <c r="B816" s="287" t="s">
        <v>1282</v>
      </c>
      <c r="C816" s="287" t="s">
        <v>1283</v>
      </c>
      <c r="D816" s="287">
        <v>1417.1</v>
      </c>
      <c r="E816" s="380">
        <v>41698</v>
      </c>
      <c r="F816" s="381">
        <v>1591.46</v>
      </c>
    </row>
    <row r="817" spans="1:6" s="295" customFormat="1" x14ac:dyDescent="0.15">
      <c r="A817" s="374" t="s">
        <v>1311</v>
      </c>
      <c r="B817" s="287" t="s">
        <v>1244</v>
      </c>
      <c r="C817" s="287" t="s">
        <v>1245</v>
      </c>
      <c r="D817" s="287">
        <v>1660.5</v>
      </c>
      <c r="E817" s="380">
        <v>41698</v>
      </c>
      <c r="F817" s="381">
        <v>1858.54</v>
      </c>
    </row>
    <row r="818" spans="1:6" s="295" customFormat="1" x14ac:dyDescent="0.15">
      <c r="A818" s="374" t="s">
        <v>1311</v>
      </c>
      <c r="B818" s="287" t="s">
        <v>1246</v>
      </c>
      <c r="C818" s="287" t="s">
        <v>1247</v>
      </c>
      <c r="D818" s="287">
        <v>1424.5</v>
      </c>
      <c r="E818" s="380">
        <v>41698</v>
      </c>
      <c r="F818" s="381">
        <v>1599.57</v>
      </c>
    </row>
    <row r="819" spans="1:6" s="295" customFormat="1" x14ac:dyDescent="0.15">
      <c r="A819" s="374" t="s">
        <v>1311</v>
      </c>
      <c r="B819" s="287" t="s">
        <v>1248</v>
      </c>
      <c r="C819" s="287" t="s">
        <v>1249</v>
      </c>
      <c r="D819" s="287">
        <v>360.5</v>
      </c>
      <c r="E819" s="380">
        <v>41698</v>
      </c>
      <c r="F819" s="381">
        <v>436.02</v>
      </c>
    </row>
    <row r="820" spans="1:6" s="295" customFormat="1" x14ac:dyDescent="0.15">
      <c r="A820" s="374" t="s">
        <v>1311</v>
      </c>
      <c r="B820" s="287" t="s">
        <v>1250</v>
      </c>
      <c r="C820" s="287" t="s">
        <v>1251</v>
      </c>
      <c r="D820" s="287">
        <v>76</v>
      </c>
      <c r="E820" s="380">
        <v>41698</v>
      </c>
      <c r="F820" s="381">
        <v>116.13</v>
      </c>
    </row>
    <row r="821" spans="1:6" s="295" customFormat="1" x14ac:dyDescent="0.15">
      <c r="A821" s="374" t="s">
        <v>1311</v>
      </c>
      <c r="B821" s="287" t="s">
        <v>1252</v>
      </c>
      <c r="C821" s="287" t="s">
        <v>1253</v>
      </c>
      <c r="D821" s="287">
        <v>1384.3</v>
      </c>
      <c r="E821" s="380">
        <v>41698</v>
      </c>
      <c r="F821" s="381">
        <v>1555.47</v>
      </c>
    </row>
    <row r="822" spans="1:6" s="295" customFormat="1" x14ac:dyDescent="0.15">
      <c r="A822" s="374" t="s">
        <v>1311</v>
      </c>
      <c r="B822" s="287" t="s">
        <v>1275</v>
      </c>
      <c r="C822" s="287" t="s">
        <v>1276</v>
      </c>
      <c r="D822" s="397">
        <v>1492.1</v>
      </c>
      <c r="E822" s="380">
        <v>41698</v>
      </c>
      <c r="F822" s="381">
        <v>1673.75</v>
      </c>
    </row>
    <row r="823" spans="1:6" s="295" customFormat="1" x14ac:dyDescent="0.15">
      <c r="A823" s="374" t="s">
        <v>1311</v>
      </c>
      <c r="B823" s="287" t="s">
        <v>1279</v>
      </c>
      <c r="C823" s="287" t="s">
        <v>1280</v>
      </c>
      <c r="D823" s="397">
        <v>1037.2</v>
      </c>
      <c r="E823" s="380">
        <v>41698</v>
      </c>
      <c r="F823" s="381">
        <v>1174.5899999999999</v>
      </c>
    </row>
    <row r="824" spans="1:6" s="295" customFormat="1" x14ac:dyDescent="0.15">
      <c r="A824" s="374" t="s">
        <v>1311</v>
      </c>
      <c r="B824" s="287" t="s">
        <v>1284</v>
      </c>
      <c r="C824" s="287" t="s">
        <v>1285</v>
      </c>
      <c r="D824" s="397">
        <v>407.7</v>
      </c>
      <c r="E824" s="380">
        <v>41698</v>
      </c>
      <c r="F824" s="381">
        <v>489.34</v>
      </c>
    </row>
    <row r="825" spans="1:6" s="295" customFormat="1" x14ac:dyDescent="0.15">
      <c r="A825" s="374" t="s">
        <v>1311</v>
      </c>
      <c r="B825" s="287" t="s">
        <v>1288</v>
      </c>
      <c r="C825" s="287" t="s">
        <v>1289</v>
      </c>
      <c r="D825" s="397">
        <v>1177</v>
      </c>
      <c r="E825" s="403">
        <v>41698</v>
      </c>
      <c r="F825" s="381">
        <v>1328</v>
      </c>
    </row>
    <row r="826" spans="1:6" s="275" customFormat="1" ht="14" thickBot="1" x14ac:dyDescent="0.2">
      <c r="A826" s="376"/>
      <c r="B826" s="359"/>
      <c r="C826" s="291" t="s">
        <v>115</v>
      </c>
      <c r="D826" s="383">
        <f>SUM(D808:D825)</f>
        <v>24871.200000000001</v>
      </c>
      <c r="E826" s="404"/>
      <c r="F826" s="389">
        <v>27816.23</v>
      </c>
    </row>
    <row r="827" spans="1:6" s="275" customFormat="1" ht="14" thickTop="1" x14ac:dyDescent="0.15">
      <c r="A827" s="376"/>
      <c r="B827" s="359"/>
      <c r="C827" s="359"/>
      <c r="D827" s="287"/>
      <c r="E827" s="380"/>
      <c r="F827" s="381"/>
    </row>
    <row r="828" spans="1:6" s="275" customFormat="1" x14ac:dyDescent="0.15">
      <c r="A828" s="376"/>
      <c r="B828" s="359"/>
      <c r="C828" s="378" t="s">
        <v>1212</v>
      </c>
      <c r="D828" s="287"/>
      <c r="E828" s="380"/>
      <c r="F828" s="381"/>
    </row>
    <row r="829" spans="1:6" s="275" customFormat="1" x14ac:dyDescent="0.15">
      <c r="A829" s="376"/>
      <c r="B829" s="359"/>
      <c r="C829" s="378" t="s">
        <v>1139</v>
      </c>
      <c r="D829" s="287"/>
      <c r="E829" s="380"/>
      <c r="F829" s="381"/>
    </row>
    <row r="830" spans="1:6" s="275" customFormat="1" x14ac:dyDescent="0.15">
      <c r="A830" s="376"/>
      <c r="B830" s="359"/>
      <c r="C830" s="386">
        <v>41698</v>
      </c>
      <c r="D830" s="287"/>
      <c r="E830" s="380"/>
      <c r="F830" s="381"/>
    </row>
    <row r="831" spans="1:6" s="275" customFormat="1" x14ac:dyDescent="0.15">
      <c r="A831" s="399"/>
      <c r="B831" s="400"/>
      <c r="C831" s="400"/>
      <c r="D831" s="400"/>
      <c r="E831" s="401"/>
      <c r="F831" s="402"/>
    </row>
    <row r="832" spans="1:6" s="275" customFormat="1" ht="14" thickBot="1" x14ac:dyDescent="0.2">
      <c r="A832" s="387"/>
      <c r="B832" s="388"/>
      <c r="C832" s="291" t="s">
        <v>1169</v>
      </c>
      <c r="D832" s="383">
        <f>SUM(D802,D826)</f>
        <v>36162.5</v>
      </c>
      <c r="E832" s="367"/>
      <c r="F832" s="389">
        <v>40718.75</v>
      </c>
    </row>
    <row r="833" spans="1:6" s="275" customFormat="1" ht="14" thickTop="1" x14ac:dyDescent="0.15">
      <c r="E833" s="369"/>
      <c r="F833" s="278"/>
    </row>
    <row r="834" spans="1:6" s="295" customFormat="1" x14ac:dyDescent="0.15">
      <c r="A834" s="370" t="s">
        <v>1299</v>
      </c>
      <c r="B834" s="371" t="s">
        <v>1269</v>
      </c>
      <c r="C834" s="371" t="s">
        <v>1270</v>
      </c>
      <c r="D834" s="371">
        <v>983.5</v>
      </c>
      <c r="E834" s="390">
        <v>41716</v>
      </c>
      <c r="F834" s="391">
        <v>1220.5899999999999</v>
      </c>
    </row>
    <row r="835" spans="1:6" s="295" customFormat="1" x14ac:dyDescent="0.15">
      <c r="A835" s="374" t="s">
        <v>1293</v>
      </c>
      <c r="B835" s="287" t="s">
        <v>1257</v>
      </c>
      <c r="C835" s="287" t="s">
        <v>1258</v>
      </c>
      <c r="D835" s="287">
        <v>1045.0999999999999</v>
      </c>
      <c r="E835" s="380">
        <v>41716</v>
      </c>
      <c r="F835" s="381">
        <v>1294.77</v>
      </c>
    </row>
    <row r="836" spans="1:6" s="295" customFormat="1" x14ac:dyDescent="0.15">
      <c r="A836" s="374" t="s">
        <v>1294</v>
      </c>
      <c r="B836" s="287" t="s">
        <v>1259</v>
      </c>
      <c r="C836" s="287" t="s">
        <v>1260</v>
      </c>
      <c r="D836" s="287">
        <v>422.4</v>
      </c>
      <c r="E836" s="380">
        <v>41716</v>
      </c>
      <c r="F836" s="381">
        <v>551.14</v>
      </c>
    </row>
    <row r="837" spans="1:6" s="295" customFormat="1" x14ac:dyDescent="0.15">
      <c r="A837" s="374" t="s">
        <v>1296</v>
      </c>
      <c r="B837" s="287" t="s">
        <v>1278</v>
      </c>
      <c r="C837" s="287" t="s">
        <v>1264</v>
      </c>
      <c r="D837" s="287">
        <v>763.6</v>
      </c>
      <c r="E837" s="380">
        <v>41716</v>
      </c>
      <c r="F837" s="381">
        <v>955.89</v>
      </c>
    </row>
    <row r="838" spans="1:6" s="295" customFormat="1" x14ac:dyDescent="0.15">
      <c r="A838" s="374" t="s">
        <v>1295</v>
      </c>
      <c r="B838" s="287" t="s">
        <v>1261</v>
      </c>
      <c r="C838" s="287" t="s">
        <v>1262</v>
      </c>
      <c r="D838" s="287">
        <v>504.6</v>
      </c>
      <c r="E838" s="380">
        <v>41716</v>
      </c>
      <c r="F838" s="381">
        <v>652.84</v>
      </c>
    </row>
    <row r="839" spans="1:6" s="295" customFormat="1" x14ac:dyDescent="0.15">
      <c r="A839" s="374" t="s">
        <v>1301</v>
      </c>
      <c r="B839" s="287" t="s">
        <v>1286</v>
      </c>
      <c r="C839" s="287" t="s">
        <v>1287</v>
      </c>
      <c r="D839" s="287">
        <v>357.6</v>
      </c>
      <c r="E839" s="380">
        <v>41716</v>
      </c>
      <c r="F839" s="381">
        <v>495.43</v>
      </c>
    </row>
    <row r="840" spans="1:6" s="295" customFormat="1" x14ac:dyDescent="0.15">
      <c r="A840" s="374" t="s">
        <v>1297</v>
      </c>
      <c r="B840" s="287" t="s">
        <v>1265</v>
      </c>
      <c r="C840" s="287" t="s">
        <v>1266</v>
      </c>
      <c r="D840" s="287">
        <v>467.6</v>
      </c>
      <c r="E840" s="380">
        <v>41716</v>
      </c>
      <c r="F840" s="381">
        <v>606.96</v>
      </c>
    </row>
    <row r="841" spans="1:6" s="295" customFormat="1" x14ac:dyDescent="0.15">
      <c r="A841" s="374" t="s">
        <v>1298</v>
      </c>
      <c r="B841" s="287" t="s">
        <v>1267</v>
      </c>
      <c r="C841" s="287" t="s">
        <v>1268</v>
      </c>
      <c r="D841" s="287">
        <v>930</v>
      </c>
      <c r="E841" s="380">
        <v>41716</v>
      </c>
      <c r="F841" s="381">
        <v>1178.53</v>
      </c>
    </row>
    <row r="842" spans="1:6" s="295" customFormat="1" x14ac:dyDescent="0.15">
      <c r="A842" s="374" t="s">
        <v>1300</v>
      </c>
      <c r="B842" s="287" t="s">
        <v>1271</v>
      </c>
      <c r="C842" s="287" t="s">
        <v>1272</v>
      </c>
      <c r="D842" s="287">
        <v>901.3</v>
      </c>
      <c r="E842" s="380">
        <v>41716</v>
      </c>
      <c r="F842" s="381">
        <v>1121.76</v>
      </c>
    </row>
    <row r="843" spans="1:6" s="295" customFormat="1" x14ac:dyDescent="0.15">
      <c r="A843" s="374" t="s">
        <v>1290</v>
      </c>
      <c r="B843" s="287" t="s">
        <v>1291</v>
      </c>
      <c r="C843" s="287" t="s">
        <v>1277</v>
      </c>
      <c r="D843" s="287">
        <v>1378.4</v>
      </c>
      <c r="E843" s="380">
        <v>41716</v>
      </c>
      <c r="F843" s="381">
        <v>1696.3</v>
      </c>
    </row>
    <row r="844" spans="1:6" s="295" customFormat="1" x14ac:dyDescent="0.15">
      <c r="A844" s="374" t="s">
        <v>1292</v>
      </c>
      <c r="B844" s="287" t="s">
        <v>1255</v>
      </c>
      <c r="C844" s="287" t="s">
        <v>1256</v>
      </c>
      <c r="D844" s="287">
        <v>2556.6</v>
      </c>
      <c r="E844" s="380">
        <v>41716</v>
      </c>
      <c r="F844" s="381">
        <v>3142.75</v>
      </c>
    </row>
    <row r="845" spans="1:6" s="295" customFormat="1" x14ac:dyDescent="0.15">
      <c r="A845" s="374" t="s">
        <v>1312</v>
      </c>
      <c r="B845" s="287" t="s">
        <v>1313</v>
      </c>
      <c r="C845" s="287" t="s">
        <v>1313</v>
      </c>
      <c r="D845" s="287">
        <v>495.5</v>
      </c>
      <c r="E845" s="380">
        <v>41716</v>
      </c>
      <c r="F845" s="381">
        <v>719.5</v>
      </c>
    </row>
    <row r="846" spans="1:6" s="275" customFormat="1" ht="14" thickBot="1" x14ac:dyDescent="0.2">
      <c r="A846" s="374"/>
      <c r="B846" s="287"/>
      <c r="C846" s="291" t="s">
        <v>115</v>
      </c>
      <c r="D846" s="394">
        <f>SUM(D834:D845)</f>
        <v>10806.2</v>
      </c>
      <c r="E846" s="384"/>
      <c r="F846" s="389">
        <v>13636.46</v>
      </c>
    </row>
    <row r="847" spans="1:6" s="275" customFormat="1" ht="14" thickTop="1" x14ac:dyDescent="0.15">
      <c r="A847" s="374"/>
      <c r="B847" s="287"/>
      <c r="C847" s="287"/>
      <c r="D847" s="287"/>
      <c r="E847" s="380"/>
      <c r="F847" s="381"/>
    </row>
    <row r="848" spans="1:6" s="275" customFormat="1" x14ac:dyDescent="0.15">
      <c r="A848" s="374"/>
      <c r="B848" s="287"/>
      <c r="C848" s="378" t="s">
        <v>1212</v>
      </c>
      <c r="D848" s="287"/>
      <c r="E848" s="380"/>
      <c r="F848" s="381"/>
    </row>
    <row r="849" spans="1:6" s="275" customFormat="1" x14ac:dyDescent="0.15">
      <c r="A849" s="374"/>
      <c r="B849" s="287"/>
      <c r="C849" s="378" t="s">
        <v>1139</v>
      </c>
      <c r="D849" s="287"/>
      <c r="E849" s="380"/>
      <c r="F849" s="381"/>
    </row>
    <row r="850" spans="1:6" s="275" customFormat="1" x14ac:dyDescent="0.15">
      <c r="A850" s="374"/>
      <c r="B850" s="287"/>
      <c r="C850" s="386">
        <v>41722</v>
      </c>
      <c r="D850" s="287"/>
      <c r="E850" s="380"/>
      <c r="F850" s="381"/>
    </row>
    <row r="851" spans="1:6" s="275" customFormat="1" x14ac:dyDescent="0.15">
      <c r="A851" s="399"/>
      <c r="B851" s="400"/>
      <c r="C851" s="400"/>
      <c r="D851" s="400"/>
      <c r="E851" s="401"/>
      <c r="F851" s="402"/>
    </row>
    <row r="852" spans="1:6" s="295" customFormat="1" x14ac:dyDescent="0.15">
      <c r="A852" s="370" t="s">
        <v>1302</v>
      </c>
      <c r="B852" s="371" t="s">
        <v>1226</v>
      </c>
      <c r="C852" s="371" t="s">
        <v>1227</v>
      </c>
      <c r="D852" s="371">
        <v>1391.6</v>
      </c>
      <c r="E852" s="390">
        <v>41731</v>
      </c>
      <c r="F852" s="391">
        <v>1830.14</v>
      </c>
    </row>
    <row r="853" spans="1:6" s="295" customFormat="1" x14ac:dyDescent="0.15">
      <c r="A853" s="374" t="s">
        <v>1303</v>
      </c>
      <c r="B853" s="287" t="s">
        <v>1228</v>
      </c>
      <c r="C853" s="287" t="s">
        <v>1229</v>
      </c>
      <c r="D853" s="287">
        <v>1827.4</v>
      </c>
      <c r="E853" s="380">
        <v>41731</v>
      </c>
      <c r="F853" s="381">
        <v>2410.71</v>
      </c>
    </row>
    <row r="854" spans="1:6" s="295" customFormat="1" x14ac:dyDescent="0.15">
      <c r="A854" s="374" t="s">
        <v>1304</v>
      </c>
      <c r="B854" s="287" t="s">
        <v>1230</v>
      </c>
      <c r="C854" s="287" t="s">
        <v>1231</v>
      </c>
      <c r="D854" s="287">
        <v>924</v>
      </c>
      <c r="E854" s="380">
        <v>41731</v>
      </c>
      <c r="F854" s="381">
        <v>1227.55</v>
      </c>
    </row>
    <row r="855" spans="1:6" s="295" customFormat="1" x14ac:dyDescent="0.15">
      <c r="A855" s="374" t="s">
        <v>1305</v>
      </c>
      <c r="B855" s="287" t="s">
        <v>1306</v>
      </c>
      <c r="C855" s="287" t="s">
        <v>1233</v>
      </c>
      <c r="D855" s="287">
        <v>1148.0999999999999</v>
      </c>
      <c r="E855" s="380">
        <v>41731</v>
      </c>
      <c r="F855" s="381">
        <v>1347.71</v>
      </c>
    </row>
    <row r="856" spans="1:6" s="295" customFormat="1" x14ac:dyDescent="0.15">
      <c r="A856" s="374" t="s">
        <v>1307</v>
      </c>
      <c r="B856" s="287" t="s">
        <v>1234</v>
      </c>
      <c r="C856" s="287" t="s">
        <v>500</v>
      </c>
      <c r="D856" s="287">
        <v>1655.8</v>
      </c>
      <c r="E856" s="380">
        <v>41731</v>
      </c>
      <c r="F856" s="381">
        <v>2170.71</v>
      </c>
    </row>
    <row r="857" spans="1:6" s="295" customFormat="1" x14ac:dyDescent="0.15">
      <c r="A857" s="374" t="s">
        <v>1308</v>
      </c>
      <c r="B857" s="287" t="s">
        <v>1235</v>
      </c>
      <c r="C857" s="287" t="s">
        <v>1236</v>
      </c>
      <c r="D857" s="287">
        <v>1615.7</v>
      </c>
      <c r="E857" s="380">
        <v>41731</v>
      </c>
      <c r="F857" s="381">
        <v>2118.98</v>
      </c>
    </row>
    <row r="858" spans="1:6" s="295" customFormat="1" x14ac:dyDescent="0.15">
      <c r="A858" s="374" t="s">
        <v>1308</v>
      </c>
      <c r="B858" s="287" t="s">
        <v>1238</v>
      </c>
      <c r="C858" s="287" t="s">
        <v>1239</v>
      </c>
      <c r="D858" s="287">
        <v>1388.6</v>
      </c>
      <c r="E858" s="380">
        <v>41731</v>
      </c>
      <c r="F858" s="381">
        <v>1826.18</v>
      </c>
    </row>
    <row r="859" spans="1:6" s="295" customFormat="1" x14ac:dyDescent="0.15">
      <c r="A859" s="374" t="s">
        <v>1309</v>
      </c>
      <c r="B859" s="287" t="s">
        <v>1240</v>
      </c>
      <c r="C859" s="287" t="s">
        <v>1241</v>
      </c>
      <c r="D859" s="287">
        <v>1193.3</v>
      </c>
      <c r="E859" s="380">
        <v>41731</v>
      </c>
      <c r="F859" s="381">
        <v>1574.62</v>
      </c>
    </row>
    <row r="860" spans="1:6" s="295" customFormat="1" x14ac:dyDescent="0.15">
      <c r="A860" s="374" t="s">
        <v>1310</v>
      </c>
      <c r="B860" s="287" t="s">
        <v>1282</v>
      </c>
      <c r="C860" s="287" t="s">
        <v>1283</v>
      </c>
      <c r="D860" s="287">
        <v>1357</v>
      </c>
      <c r="E860" s="380">
        <v>41731</v>
      </c>
      <c r="F860" s="381">
        <v>1785.54</v>
      </c>
    </row>
    <row r="861" spans="1:6" s="295" customFormat="1" x14ac:dyDescent="0.15">
      <c r="A861" s="374" t="s">
        <v>1311</v>
      </c>
      <c r="B861" s="287" t="s">
        <v>1244</v>
      </c>
      <c r="C861" s="287" t="s">
        <v>1245</v>
      </c>
      <c r="D861" s="287">
        <v>1509.6</v>
      </c>
      <c r="E861" s="380">
        <v>41731</v>
      </c>
      <c r="F861" s="381">
        <v>1854.2</v>
      </c>
    </row>
    <row r="862" spans="1:6" s="295" customFormat="1" x14ac:dyDescent="0.15">
      <c r="A862" s="374" t="s">
        <v>1311</v>
      </c>
      <c r="B862" s="287" t="s">
        <v>1246</v>
      </c>
      <c r="C862" s="287" t="s">
        <v>1247</v>
      </c>
      <c r="D862" s="287">
        <v>1098.7</v>
      </c>
      <c r="E862" s="380">
        <v>41731</v>
      </c>
      <c r="F862" s="381">
        <v>1452.65</v>
      </c>
    </row>
    <row r="863" spans="1:6" s="295" customFormat="1" x14ac:dyDescent="0.15">
      <c r="A863" s="374" t="s">
        <v>1311</v>
      </c>
      <c r="B863" s="287" t="s">
        <v>1248</v>
      </c>
      <c r="C863" s="287" t="s">
        <v>1249</v>
      </c>
      <c r="D863" s="287">
        <v>270.3</v>
      </c>
      <c r="E863" s="380">
        <v>41731</v>
      </c>
      <c r="F863" s="381">
        <v>385.92</v>
      </c>
    </row>
    <row r="864" spans="1:6" s="295" customFormat="1" x14ac:dyDescent="0.15">
      <c r="A864" s="374" t="s">
        <v>1311</v>
      </c>
      <c r="B864" s="287" t="s">
        <v>1250</v>
      </c>
      <c r="C864" s="287" t="s">
        <v>1251</v>
      </c>
      <c r="D864" s="287">
        <v>67.8</v>
      </c>
      <c r="E864" s="380">
        <v>41731</v>
      </c>
      <c r="F864" s="381">
        <v>112.23</v>
      </c>
    </row>
    <row r="865" spans="1:6" s="295" customFormat="1" x14ac:dyDescent="0.15">
      <c r="A865" s="374" t="s">
        <v>1311</v>
      </c>
      <c r="B865" s="287" t="s">
        <v>1252</v>
      </c>
      <c r="C865" s="287" t="s">
        <v>1253</v>
      </c>
      <c r="D865" s="287">
        <v>1238.3</v>
      </c>
      <c r="E865" s="380">
        <v>41731</v>
      </c>
      <c r="F865" s="381">
        <v>1527.44</v>
      </c>
    </row>
    <row r="866" spans="1:6" s="295" customFormat="1" x14ac:dyDescent="0.15">
      <c r="A866" s="374" t="s">
        <v>1311</v>
      </c>
      <c r="B866" s="287" t="s">
        <v>1275</v>
      </c>
      <c r="C866" s="287" t="s">
        <v>1276</v>
      </c>
      <c r="D866" s="397">
        <v>1342.1</v>
      </c>
      <c r="E866" s="380">
        <v>41731</v>
      </c>
      <c r="F866" s="381">
        <v>1652.48</v>
      </c>
    </row>
    <row r="867" spans="1:6" s="295" customFormat="1" x14ac:dyDescent="0.15">
      <c r="A867" s="374" t="s">
        <v>1311</v>
      </c>
      <c r="B867" s="287" t="s">
        <v>1279</v>
      </c>
      <c r="C867" s="287" t="s">
        <v>1280</v>
      </c>
      <c r="D867" s="397">
        <v>904.3</v>
      </c>
      <c r="E867" s="380">
        <v>41731</v>
      </c>
      <c r="F867" s="381">
        <v>1125.29</v>
      </c>
    </row>
    <row r="868" spans="1:6" s="295" customFormat="1" x14ac:dyDescent="0.15">
      <c r="A868" s="374" t="s">
        <v>1311</v>
      </c>
      <c r="B868" s="287" t="s">
        <v>1284</v>
      </c>
      <c r="C868" s="287" t="s">
        <v>1285</v>
      </c>
      <c r="D868" s="397">
        <v>383.3</v>
      </c>
      <c r="E868" s="380">
        <v>41731</v>
      </c>
      <c r="F868" s="381">
        <v>502.89</v>
      </c>
    </row>
    <row r="869" spans="1:6" s="295" customFormat="1" x14ac:dyDescent="0.15">
      <c r="A869" s="374" t="s">
        <v>1311</v>
      </c>
      <c r="B869" s="287" t="s">
        <v>1288</v>
      </c>
      <c r="C869" s="287" t="s">
        <v>1289</v>
      </c>
      <c r="D869" s="397">
        <v>855.1</v>
      </c>
      <c r="E869" s="403">
        <v>41731</v>
      </c>
      <c r="F869" s="381">
        <v>1138.77</v>
      </c>
    </row>
    <row r="870" spans="1:6" s="275" customFormat="1" ht="14" thickBot="1" x14ac:dyDescent="0.2">
      <c r="A870" s="376"/>
      <c r="B870" s="359"/>
      <c r="C870" s="291" t="s">
        <v>115</v>
      </c>
      <c r="D870" s="383">
        <f>SUM(D852:D869)</f>
        <v>20170.999999999996</v>
      </c>
      <c r="E870" s="404"/>
      <c r="F870" s="389">
        <v>26044.010000000002</v>
      </c>
    </row>
    <row r="871" spans="1:6" s="275" customFormat="1" ht="14" thickTop="1" x14ac:dyDescent="0.15">
      <c r="A871" s="376"/>
      <c r="B871" s="359"/>
      <c r="C871" s="359"/>
      <c r="D871" s="287"/>
      <c r="E871" s="380"/>
      <c r="F871" s="381"/>
    </row>
    <row r="872" spans="1:6" s="275" customFormat="1" x14ac:dyDescent="0.15">
      <c r="A872" s="376"/>
      <c r="B872" s="359"/>
      <c r="C872" s="378" t="s">
        <v>1212</v>
      </c>
      <c r="D872" s="287"/>
      <c r="E872" s="380"/>
      <c r="F872" s="381"/>
    </row>
    <row r="873" spans="1:6" s="275" customFormat="1" x14ac:dyDescent="0.15">
      <c r="A873" s="376"/>
      <c r="B873" s="359"/>
      <c r="C873" s="378" t="s">
        <v>1139</v>
      </c>
      <c r="D873" s="287"/>
      <c r="E873" s="380"/>
      <c r="F873" s="381"/>
    </row>
    <row r="874" spans="1:6" s="275" customFormat="1" x14ac:dyDescent="0.15">
      <c r="A874" s="376"/>
      <c r="B874" s="359"/>
      <c r="C874" s="386">
        <v>41729</v>
      </c>
      <c r="D874" s="287"/>
      <c r="E874" s="380"/>
      <c r="F874" s="381"/>
    </row>
    <row r="875" spans="1:6" s="275" customFormat="1" x14ac:dyDescent="0.15">
      <c r="A875" s="399"/>
      <c r="B875" s="400"/>
      <c r="C875" s="400"/>
      <c r="D875" s="400"/>
      <c r="E875" s="401"/>
      <c r="F875" s="402"/>
    </row>
    <row r="876" spans="1:6" s="275" customFormat="1" ht="14" thickBot="1" x14ac:dyDescent="0.2">
      <c r="A876" s="387"/>
      <c r="B876" s="388"/>
      <c r="C876" s="291" t="s">
        <v>1171</v>
      </c>
      <c r="D876" s="383">
        <f>SUM(D846,D870)</f>
        <v>30977.199999999997</v>
      </c>
      <c r="E876" s="367"/>
      <c r="F876" s="389">
        <v>39680.47</v>
      </c>
    </row>
    <row r="877" spans="1:6" s="275" customFormat="1" ht="14" thickTop="1" x14ac:dyDescent="0.15">
      <c r="E877" s="369"/>
      <c r="F877" s="278"/>
    </row>
    <row r="878" spans="1:6" s="295" customFormat="1" x14ac:dyDescent="0.15">
      <c r="A878" s="370" t="s">
        <v>1299</v>
      </c>
      <c r="B878" s="371" t="s">
        <v>1269</v>
      </c>
      <c r="C878" s="371" t="s">
        <v>1270</v>
      </c>
      <c r="D878" s="371">
        <v>662.3</v>
      </c>
      <c r="E878" s="390">
        <v>41745</v>
      </c>
      <c r="F878" s="391">
        <v>909.58</v>
      </c>
    </row>
    <row r="879" spans="1:6" s="295" customFormat="1" x14ac:dyDescent="0.15">
      <c r="A879" s="374" t="s">
        <v>1293</v>
      </c>
      <c r="B879" s="287" t="s">
        <v>1257</v>
      </c>
      <c r="C879" s="287" t="s">
        <v>1258</v>
      </c>
      <c r="D879" s="287">
        <v>769.3</v>
      </c>
      <c r="E879" s="380">
        <v>41745</v>
      </c>
      <c r="F879" s="381">
        <v>1050.6400000000001</v>
      </c>
    </row>
    <row r="880" spans="1:6" s="295" customFormat="1" x14ac:dyDescent="0.15">
      <c r="A880" s="374" t="s">
        <v>1294</v>
      </c>
      <c r="B880" s="287" t="s">
        <v>1259</v>
      </c>
      <c r="C880" s="287" t="s">
        <v>1260</v>
      </c>
      <c r="D880" s="287">
        <v>257.10000000000002</v>
      </c>
      <c r="E880" s="380">
        <v>41745</v>
      </c>
      <c r="F880" s="381">
        <v>376.05</v>
      </c>
    </row>
    <row r="881" spans="1:6" s="295" customFormat="1" x14ac:dyDescent="0.15">
      <c r="A881" s="374" t="s">
        <v>1296</v>
      </c>
      <c r="B881" s="287" t="s">
        <v>1278</v>
      </c>
      <c r="C881" s="287" t="s">
        <v>1264</v>
      </c>
      <c r="D881" s="287">
        <v>557.4</v>
      </c>
      <c r="E881" s="380">
        <v>41745</v>
      </c>
      <c r="F881" s="381">
        <v>771.29</v>
      </c>
    </row>
    <row r="882" spans="1:6" s="295" customFormat="1" x14ac:dyDescent="0.15">
      <c r="A882" s="374" t="s">
        <v>1295</v>
      </c>
      <c r="B882" s="287" t="s">
        <v>1261</v>
      </c>
      <c r="C882" s="287" t="s">
        <v>1262</v>
      </c>
      <c r="D882" s="287">
        <v>363.1</v>
      </c>
      <c r="E882" s="380">
        <v>41745</v>
      </c>
      <c r="F882" s="381">
        <v>519.20000000000005</v>
      </c>
    </row>
    <row r="883" spans="1:6" s="295" customFormat="1" x14ac:dyDescent="0.15">
      <c r="A883" s="374" t="s">
        <v>1301</v>
      </c>
      <c r="B883" s="287" t="s">
        <v>1286</v>
      </c>
      <c r="C883" s="287" t="s">
        <v>1287</v>
      </c>
      <c r="D883" s="287">
        <v>209.8</v>
      </c>
      <c r="E883" s="380">
        <v>41745</v>
      </c>
      <c r="F883" s="381">
        <v>331.83</v>
      </c>
    </row>
    <row r="884" spans="1:6" s="295" customFormat="1" x14ac:dyDescent="0.15">
      <c r="A884" s="374" t="s">
        <v>1297</v>
      </c>
      <c r="B884" s="287" t="s">
        <v>1265</v>
      </c>
      <c r="C884" s="287" t="s">
        <v>1266</v>
      </c>
      <c r="D884" s="287">
        <v>338.4</v>
      </c>
      <c r="E884" s="380">
        <v>41745</v>
      </c>
      <c r="F884" s="381">
        <v>485.85</v>
      </c>
    </row>
    <row r="885" spans="1:6" s="295" customFormat="1" x14ac:dyDescent="0.15">
      <c r="A885" s="374" t="s">
        <v>1298</v>
      </c>
      <c r="B885" s="287" t="s">
        <v>1267</v>
      </c>
      <c r="C885" s="287" t="s">
        <v>1268</v>
      </c>
      <c r="D885" s="287">
        <v>644.9</v>
      </c>
      <c r="E885" s="380">
        <v>41745</v>
      </c>
      <c r="F885" s="381">
        <v>899.78</v>
      </c>
    </row>
    <row r="886" spans="1:6" s="295" customFormat="1" x14ac:dyDescent="0.15">
      <c r="A886" s="374" t="s">
        <v>1300</v>
      </c>
      <c r="B886" s="287" t="s">
        <v>1271</v>
      </c>
      <c r="C886" s="287" t="s">
        <v>1272</v>
      </c>
      <c r="D886" s="287">
        <v>588.29999999999995</v>
      </c>
      <c r="E886" s="380">
        <v>41745</v>
      </c>
      <c r="F886" s="381">
        <v>812.03</v>
      </c>
    </row>
    <row r="887" spans="1:6" s="295" customFormat="1" x14ac:dyDescent="0.15">
      <c r="A887" s="374" t="s">
        <v>1290</v>
      </c>
      <c r="B887" s="287" t="s">
        <v>1291</v>
      </c>
      <c r="C887" s="287" t="s">
        <v>1277</v>
      </c>
      <c r="D887" s="287">
        <v>985.4</v>
      </c>
      <c r="E887" s="380">
        <v>41745</v>
      </c>
      <c r="F887" s="381">
        <v>1335.53</v>
      </c>
    </row>
    <row r="888" spans="1:6" s="295" customFormat="1" x14ac:dyDescent="0.15">
      <c r="A888" s="374" t="s">
        <v>1292</v>
      </c>
      <c r="B888" s="287" t="s">
        <v>1255</v>
      </c>
      <c r="C888" s="287" t="s">
        <v>1256</v>
      </c>
      <c r="D888" s="287">
        <v>2058.9</v>
      </c>
      <c r="E888" s="380">
        <v>41745</v>
      </c>
      <c r="F888" s="381">
        <v>2772.63</v>
      </c>
    </row>
    <row r="889" spans="1:6" s="295" customFormat="1" x14ac:dyDescent="0.15">
      <c r="A889" s="374" t="s">
        <v>1312</v>
      </c>
      <c r="B889" s="287" t="s">
        <v>1313</v>
      </c>
      <c r="C889" s="287" t="s">
        <v>1313</v>
      </c>
      <c r="D889" s="287">
        <v>1230.0999999999999</v>
      </c>
      <c r="E889" s="380">
        <v>41745</v>
      </c>
      <c r="F889" s="381">
        <v>1760.97</v>
      </c>
    </row>
    <row r="890" spans="1:6" s="275" customFormat="1" ht="14" thickBot="1" x14ac:dyDescent="0.2">
      <c r="A890" s="374"/>
      <c r="B890" s="287"/>
      <c r="C890" s="291" t="s">
        <v>115</v>
      </c>
      <c r="D890" s="394">
        <f>SUM(D878:D889)</f>
        <v>8665</v>
      </c>
      <c r="E890" s="384"/>
      <c r="F890" s="389">
        <v>12025.380000000001</v>
      </c>
    </row>
    <row r="891" spans="1:6" s="275" customFormat="1" ht="14" thickTop="1" x14ac:dyDescent="0.15">
      <c r="A891" s="374"/>
      <c r="B891" s="287"/>
      <c r="C891" s="287"/>
      <c r="D891" s="287"/>
      <c r="E891" s="380"/>
      <c r="F891" s="381"/>
    </row>
    <row r="892" spans="1:6" s="275" customFormat="1" x14ac:dyDescent="0.15">
      <c r="A892" s="374"/>
      <c r="B892" s="287"/>
      <c r="C892" s="378" t="s">
        <v>1212</v>
      </c>
      <c r="D892" s="287"/>
      <c r="E892" s="380"/>
      <c r="F892" s="381"/>
    </row>
    <row r="893" spans="1:6" s="275" customFormat="1" x14ac:dyDescent="0.15">
      <c r="A893" s="374"/>
      <c r="B893" s="287"/>
      <c r="C893" s="378" t="s">
        <v>1139</v>
      </c>
      <c r="D893" s="287"/>
      <c r="E893" s="380"/>
      <c r="F893" s="381"/>
    </row>
    <row r="894" spans="1:6" s="275" customFormat="1" x14ac:dyDescent="0.15">
      <c r="A894" s="374"/>
      <c r="B894" s="287"/>
      <c r="C894" s="386">
        <v>41753</v>
      </c>
      <c r="D894" s="287"/>
      <c r="E894" s="380"/>
      <c r="F894" s="381"/>
    </row>
    <row r="895" spans="1:6" s="275" customFormat="1" x14ac:dyDescent="0.15">
      <c r="A895" s="399"/>
      <c r="B895" s="400"/>
      <c r="C895" s="400"/>
      <c r="D895" s="400"/>
      <c r="E895" s="401"/>
      <c r="F895" s="402"/>
    </row>
    <row r="896" spans="1:6" s="295" customFormat="1" x14ac:dyDescent="0.15">
      <c r="A896" s="370" t="s">
        <v>1302</v>
      </c>
      <c r="B896" s="371" t="s">
        <v>1226</v>
      </c>
      <c r="C896" s="371" t="s">
        <v>1227</v>
      </c>
      <c r="D896" s="371">
        <v>837.8</v>
      </c>
      <c r="E896" s="390">
        <v>41760</v>
      </c>
      <c r="F896" s="391">
        <v>1140.95</v>
      </c>
    </row>
    <row r="897" spans="1:6" s="295" customFormat="1" x14ac:dyDescent="0.15">
      <c r="A897" s="374" t="s">
        <v>1303</v>
      </c>
      <c r="B897" s="287" t="s">
        <v>1228</v>
      </c>
      <c r="C897" s="287" t="s">
        <v>1229</v>
      </c>
      <c r="D897" s="287">
        <v>927.3</v>
      </c>
      <c r="E897" s="380">
        <v>41760</v>
      </c>
      <c r="F897" s="381">
        <v>1266.69</v>
      </c>
    </row>
    <row r="898" spans="1:6" s="295" customFormat="1" x14ac:dyDescent="0.15">
      <c r="A898" s="374" t="s">
        <v>1304</v>
      </c>
      <c r="B898" s="287" t="s">
        <v>1230</v>
      </c>
      <c r="C898" s="287" t="s">
        <v>1231</v>
      </c>
      <c r="D898" s="287">
        <v>521.79999999999995</v>
      </c>
      <c r="E898" s="380">
        <v>41760</v>
      </c>
      <c r="F898" s="381">
        <v>724.37</v>
      </c>
    </row>
    <row r="899" spans="1:6" s="295" customFormat="1" x14ac:dyDescent="0.15">
      <c r="A899" s="374" t="s">
        <v>1305</v>
      </c>
      <c r="B899" s="287" t="s">
        <v>1306</v>
      </c>
      <c r="C899" s="287" t="s">
        <v>1233</v>
      </c>
      <c r="D899" s="287">
        <v>1504.7</v>
      </c>
      <c r="E899" s="380">
        <v>41760</v>
      </c>
      <c r="F899" s="381">
        <v>1792.25</v>
      </c>
    </row>
    <row r="900" spans="1:6" s="295" customFormat="1" x14ac:dyDescent="0.15">
      <c r="A900" s="374" t="s">
        <v>1307</v>
      </c>
      <c r="B900" s="287" t="s">
        <v>1234</v>
      </c>
      <c r="C900" s="287" t="s">
        <v>500</v>
      </c>
      <c r="D900" s="287">
        <v>1027.2</v>
      </c>
      <c r="E900" s="380">
        <v>41760</v>
      </c>
      <c r="F900" s="381">
        <v>1390.63</v>
      </c>
    </row>
    <row r="901" spans="1:6" s="295" customFormat="1" x14ac:dyDescent="0.15">
      <c r="A901" s="374" t="s">
        <v>1308</v>
      </c>
      <c r="B901" s="287" t="s">
        <v>1235</v>
      </c>
      <c r="C901" s="287" t="s">
        <v>1236</v>
      </c>
      <c r="D901" s="287">
        <v>938.6</v>
      </c>
      <c r="E901" s="380">
        <v>41760</v>
      </c>
      <c r="F901" s="381">
        <v>1273.83</v>
      </c>
    </row>
    <row r="902" spans="1:6" s="295" customFormat="1" x14ac:dyDescent="0.15">
      <c r="A902" s="374" t="s">
        <v>1308</v>
      </c>
      <c r="B902" s="287" t="s">
        <v>1238</v>
      </c>
      <c r="C902" s="287" t="s">
        <v>1239</v>
      </c>
      <c r="D902" s="287">
        <v>953.1</v>
      </c>
      <c r="E902" s="380">
        <v>41760</v>
      </c>
      <c r="F902" s="381">
        <v>1292.94</v>
      </c>
    </row>
    <row r="903" spans="1:6" s="295" customFormat="1" x14ac:dyDescent="0.15">
      <c r="A903" s="374" t="s">
        <v>1309</v>
      </c>
      <c r="B903" s="287" t="s">
        <v>1240</v>
      </c>
      <c r="C903" s="287" t="s">
        <v>1241</v>
      </c>
      <c r="D903" s="287">
        <v>745.2</v>
      </c>
      <c r="E903" s="380">
        <v>41760</v>
      </c>
      <c r="F903" s="381">
        <v>1018.87</v>
      </c>
    </row>
    <row r="904" spans="1:6" s="295" customFormat="1" x14ac:dyDescent="0.15">
      <c r="A904" s="374" t="s">
        <v>1310</v>
      </c>
      <c r="B904" s="287" t="s">
        <v>1282</v>
      </c>
      <c r="C904" s="287" t="s">
        <v>1283</v>
      </c>
      <c r="D904" s="287">
        <v>656.3</v>
      </c>
      <c r="E904" s="380">
        <v>41760</v>
      </c>
      <c r="F904" s="381">
        <v>901.67</v>
      </c>
    </row>
    <row r="905" spans="1:6" s="295" customFormat="1" x14ac:dyDescent="0.15">
      <c r="A905" s="374" t="s">
        <v>1311</v>
      </c>
      <c r="B905" s="287" t="s">
        <v>1244</v>
      </c>
      <c r="C905" s="287" t="s">
        <v>1245</v>
      </c>
      <c r="D905" s="287">
        <v>1138.5</v>
      </c>
      <c r="E905" s="380">
        <v>41760</v>
      </c>
      <c r="F905" s="381">
        <v>1537.36</v>
      </c>
    </row>
    <row r="906" spans="1:6" s="295" customFormat="1" x14ac:dyDescent="0.15">
      <c r="A906" s="374" t="s">
        <v>1311</v>
      </c>
      <c r="B906" s="287" t="s">
        <v>1246</v>
      </c>
      <c r="C906" s="287" t="s">
        <v>1247</v>
      </c>
      <c r="D906" s="287">
        <v>724.6</v>
      </c>
      <c r="E906" s="380">
        <v>41760</v>
      </c>
      <c r="F906" s="381">
        <v>991.71</v>
      </c>
    </row>
    <row r="907" spans="1:6" s="295" customFormat="1" x14ac:dyDescent="0.15">
      <c r="A907" s="374" t="s">
        <v>1311</v>
      </c>
      <c r="B907" s="287" t="s">
        <v>1248</v>
      </c>
      <c r="C907" s="287" t="s">
        <v>1249</v>
      </c>
      <c r="D907" s="287">
        <v>147.19999999999999</v>
      </c>
      <c r="E907" s="380">
        <v>41760</v>
      </c>
      <c r="F907" s="381">
        <v>227.63</v>
      </c>
    </row>
    <row r="908" spans="1:6" s="295" customFormat="1" x14ac:dyDescent="0.15">
      <c r="A908" s="374" t="s">
        <v>1311</v>
      </c>
      <c r="B908" s="287" t="s">
        <v>1250</v>
      </c>
      <c r="C908" s="287" t="s">
        <v>1251</v>
      </c>
      <c r="D908" s="287">
        <v>47.3</v>
      </c>
      <c r="E908" s="380">
        <v>41760</v>
      </c>
      <c r="F908" s="381">
        <v>87.45</v>
      </c>
    </row>
    <row r="909" spans="1:6" s="295" customFormat="1" x14ac:dyDescent="0.15">
      <c r="A909" s="374" t="s">
        <v>1311</v>
      </c>
      <c r="B909" s="287" t="s">
        <v>1252</v>
      </c>
      <c r="C909" s="287" t="s">
        <v>1253</v>
      </c>
      <c r="D909" s="287">
        <v>986.3</v>
      </c>
      <c r="E909" s="380">
        <v>41760</v>
      </c>
      <c r="F909" s="381">
        <v>1336.71</v>
      </c>
    </row>
    <row r="910" spans="1:6" s="295" customFormat="1" x14ac:dyDescent="0.15">
      <c r="A910" s="374" t="s">
        <v>1311</v>
      </c>
      <c r="B910" s="287" t="s">
        <v>1275</v>
      </c>
      <c r="C910" s="287" t="s">
        <v>1276</v>
      </c>
      <c r="D910" s="397">
        <v>998.7</v>
      </c>
      <c r="E910" s="380">
        <v>41760</v>
      </c>
      <c r="F910" s="381">
        <v>1353.06</v>
      </c>
    </row>
    <row r="911" spans="1:6" s="295" customFormat="1" x14ac:dyDescent="0.15">
      <c r="A911" s="374" t="s">
        <v>1311</v>
      </c>
      <c r="B911" s="287" t="s">
        <v>1279</v>
      </c>
      <c r="C911" s="287" t="s">
        <v>1280</v>
      </c>
      <c r="D911" s="397">
        <v>646.9</v>
      </c>
      <c r="E911" s="380">
        <v>41760</v>
      </c>
      <c r="F911" s="381">
        <v>889.28</v>
      </c>
    </row>
    <row r="912" spans="1:6" s="295" customFormat="1" x14ac:dyDescent="0.15">
      <c r="A912" s="374" t="s">
        <v>1311</v>
      </c>
      <c r="B912" s="287" t="s">
        <v>1284</v>
      </c>
      <c r="C912" s="287" t="s">
        <v>1285</v>
      </c>
      <c r="D912" s="397">
        <v>261.2</v>
      </c>
      <c r="E912" s="380">
        <v>41760</v>
      </c>
      <c r="F912" s="381">
        <v>381.59</v>
      </c>
    </row>
    <row r="913" spans="1:6" s="295" customFormat="1" x14ac:dyDescent="0.15">
      <c r="A913" s="374" t="s">
        <v>1311</v>
      </c>
      <c r="B913" s="287" t="s">
        <v>1288</v>
      </c>
      <c r="C913" s="287" t="s">
        <v>1289</v>
      </c>
      <c r="D913" s="397">
        <v>494</v>
      </c>
      <c r="E913" s="403">
        <v>41760</v>
      </c>
      <c r="F913" s="381">
        <v>687.72</v>
      </c>
    </row>
    <row r="914" spans="1:6" s="275" customFormat="1" ht="14" thickBot="1" x14ac:dyDescent="0.2">
      <c r="A914" s="376"/>
      <c r="B914" s="359"/>
      <c r="C914" s="291" t="s">
        <v>115</v>
      </c>
      <c r="D914" s="383">
        <f>SUM(D896:D913)</f>
        <v>13556.7</v>
      </c>
      <c r="E914" s="404"/>
      <c r="F914" s="389">
        <v>18294.71</v>
      </c>
    </row>
    <row r="915" spans="1:6" s="275" customFormat="1" ht="14" thickTop="1" x14ac:dyDescent="0.15">
      <c r="A915" s="376"/>
      <c r="B915" s="359"/>
      <c r="C915" s="359"/>
      <c r="D915" s="287"/>
      <c r="E915" s="380"/>
      <c r="F915" s="381"/>
    </row>
    <row r="916" spans="1:6" s="275" customFormat="1" x14ac:dyDescent="0.15">
      <c r="A916" s="376"/>
      <c r="B916" s="359"/>
      <c r="C916" s="378" t="s">
        <v>1212</v>
      </c>
      <c r="D916" s="287"/>
      <c r="E916" s="380"/>
      <c r="F916" s="381"/>
    </row>
    <row r="917" spans="1:6" s="275" customFormat="1" x14ac:dyDescent="0.15">
      <c r="A917" s="376"/>
      <c r="B917" s="359"/>
      <c r="C917" s="378" t="s">
        <v>1139</v>
      </c>
      <c r="D917" s="287"/>
      <c r="E917" s="380"/>
      <c r="F917" s="381"/>
    </row>
    <row r="918" spans="1:6" s="275" customFormat="1" x14ac:dyDescent="0.15">
      <c r="A918" s="376"/>
      <c r="B918" s="359"/>
      <c r="C918" s="386">
        <v>41759</v>
      </c>
      <c r="D918" s="287"/>
      <c r="E918" s="380"/>
      <c r="F918" s="381"/>
    </row>
    <row r="919" spans="1:6" s="275" customFormat="1" x14ac:dyDescent="0.15">
      <c r="A919" s="399"/>
      <c r="B919" s="400"/>
      <c r="C919" s="400"/>
      <c r="D919" s="400"/>
      <c r="E919" s="401"/>
      <c r="F919" s="402"/>
    </row>
    <row r="920" spans="1:6" s="275" customFormat="1" ht="14" thickBot="1" x14ac:dyDescent="0.2">
      <c r="A920" s="387"/>
      <c r="B920" s="388"/>
      <c r="C920" s="291" t="s">
        <v>1172</v>
      </c>
      <c r="D920" s="383">
        <f>SUM(D890,D914)</f>
        <v>22221.7</v>
      </c>
      <c r="E920" s="367"/>
      <c r="F920" s="389">
        <v>30320.09</v>
      </c>
    </row>
    <row r="921" spans="1:6" s="275" customFormat="1" ht="14" thickTop="1" x14ac:dyDescent="0.15">
      <c r="E921" s="369"/>
      <c r="F921" s="278"/>
    </row>
    <row r="922" spans="1:6" s="295" customFormat="1" x14ac:dyDescent="0.15">
      <c r="A922" s="370" t="s">
        <v>1299</v>
      </c>
      <c r="B922" s="371" t="s">
        <v>1269</v>
      </c>
      <c r="C922" s="371" t="s">
        <v>1270</v>
      </c>
      <c r="D922" s="371">
        <v>329.5</v>
      </c>
      <c r="E922" s="390">
        <v>41775</v>
      </c>
      <c r="F922" s="391">
        <v>421.13</v>
      </c>
    </row>
    <row r="923" spans="1:6" s="295" customFormat="1" x14ac:dyDescent="0.15">
      <c r="A923" s="374" t="s">
        <v>1293</v>
      </c>
      <c r="B923" s="287" t="s">
        <v>1257</v>
      </c>
      <c r="C923" s="287" t="s">
        <v>1258</v>
      </c>
      <c r="D923" s="287">
        <f>186.2+279.1</f>
        <v>465.3</v>
      </c>
      <c r="E923" s="380">
        <v>41775</v>
      </c>
      <c r="F923" s="381">
        <v>589.85</v>
      </c>
    </row>
    <row r="924" spans="1:6" s="295" customFormat="1" x14ac:dyDescent="0.15">
      <c r="A924" s="374" t="s">
        <v>1294</v>
      </c>
      <c r="B924" s="287" t="s">
        <v>1259</v>
      </c>
      <c r="C924" s="287" t="s">
        <v>1260</v>
      </c>
      <c r="D924" s="287">
        <v>89.6</v>
      </c>
      <c r="E924" s="380">
        <v>41775</v>
      </c>
      <c r="F924" s="381">
        <v>136.66999999999999</v>
      </c>
    </row>
    <row r="925" spans="1:6" s="295" customFormat="1" x14ac:dyDescent="0.15">
      <c r="A925" s="374" t="s">
        <v>1296</v>
      </c>
      <c r="B925" s="287" t="s">
        <v>1278</v>
      </c>
      <c r="C925" s="287" t="s">
        <v>1264</v>
      </c>
      <c r="D925" s="287">
        <v>297.5</v>
      </c>
      <c r="E925" s="380">
        <v>41775</v>
      </c>
      <c r="F925" s="381">
        <v>383.91</v>
      </c>
    </row>
    <row r="926" spans="1:6" s="295" customFormat="1" x14ac:dyDescent="0.15">
      <c r="A926" s="374" t="s">
        <v>1295</v>
      </c>
      <c r="B926" s="287" t="s">
        <v>1261</v>
      </c>
      <c r="C926" s="287" t="s">
        <v>1262</v>
      </c>
      <c r="D926" s="287">
        <v>168.8</v>
      </c>
      <c r="E926" s="380">
        <v>41775</v>
      </c>
      <c r="F926" s="381">
        <v>232.06</v>
      </c>
    </row>
    <row r="927" spans="1:6" s="295" customFormat="1" x14ac:dyDescent="0.15">
      <c r="A927" s="374" t="s">
        <v>1301</v>
      </c>
      <c r="B927" s="287" t="s">
        <v>1286</v>
      </c>
      <c r="C927" s="287" t="s">
        <v>1287</v>
      </c>
      <c r="D927" s="287">
        <v>58.7</v>
      </c>
      <c r="E927" s="380">
        <v>41775</v>
      </c>
      <c r="F927" s="381">
        <v>0</v>
      </c>
    </row>
    <row r="928" spans="1:6" s="295" customFormat="1" x14ac:dyDescent="0.15">
      <c r="A928" s="374" t="s">
        <v>1297</v>
      </c>
      <c r="B928" s="287" t="s">
        <v>1265</v>
      </c>
      <c r="C928" s="287" t="s">
        <v>1266</v>
      </c>
      <c r="D928" s="287">
        <v>181.2</v>
      </c>
      <c r="E928" s="380">
        <v>41775</v>
      </c>
      <c r="F928" s="381">
        <v>246.88</v>
      </c>
    </row>
    <row r="929" spans="1:6" s="295" customFormat="1" x14ac:dyDescent="0.15">
      <c r="A929" s="374" t="s">
        <v>1298</v>
      </c>
      <c r="B929" s="287" t="s">
        <v>1267</v>
      </c>
      <c r="C929" s="287" t="s">
        <v>1268</v>
      </c>
      <c r="D929" s="287">
        <v>279</v>
      </c>
      <c r="E929" s="380">
        <v>41775</v>
      </c>
      <c r="F929" s="381">
        <v>364.82</v>
      </c>
    </row>
    <row r="930" spans="1:6" s="295" customFormat="1" x14ac:dyDescent="0.15">
      <c r="A930" s="374" t="s">
        <v>1300</v>
      </c>
      <c r="B930" s="287" t="s">
        <v>1271</v>
      </c>
      <c r="C930" s="287" t="s">
        <v>1272</v>
      </c>
      <c r="D930" s="287">
        <v>226.5</v>
      </c>
      <c r="E930" s="380">
        <v>41775</v>
      </c>
      <c r="F930" s="381">
        <v>300.93</v>
      </c>
    </row>
    <row r="931" spans="1:6" s="295" customFormat="1" x14ac:dyDescent="0.15">
      <c r="A931" s="374" t="s">
        <v>1290</v>
      </c>
      <c r="B931" s="287" t="s">
        <v>1291</v>
      </c>
      <c r="C931" s="287" t="s">
        <v>1277</v>
      </c>
      <c r="D931" s="287">
        <v>275.39999999999998</v>
      </c>
      <c r="E931" s="380">
        <v>41775</v>
      </c>
      <c r="F931" s="381">
        <v>357.84</v>
      </c>
    </row>
    <row r="932" spans="1:6" s="295" customFormat="1" x14ac:dyDescent="0.15">
      <c r="A932" s="374" t="s">
        <v>1292</v>
      </c>
      <c r="B932" s="287" t="s">
        <v>1255</v>
      </c>
      <c r="C932" s="287" t="s">
        <v>1256</v>
      </c>
      <c r="D932" s="287">
        <f>935.4+231.9</f>
        <v>1167.3</v>
      </c>
      <c r="E932" s="380">
        <v>41775</v>
      </c>
      <c r="F932" s="381">
        <v>1350.03</v>
      </c>
    </row>
    <row r="933" spans="1:6" s="295" customFormat="1" x14ac:dyDescent="0.15">
      <c r="A933" s="374" t="s">
        <v>1312</v>
      </c>
      <c r="B933" s="287" t="s">
        <v>1313</v>
      </c>
      <c r="C933" s="287" t="s">
        <v>1313</v>
      </c>
      <c r="D933" s="287">
        <v>189.4</v>
      </c>
      <c r="E933" s="380">
        <v>41775</v>
      </c>
      <c r="F933" s="381">
        <v>112.49</v>
      </c>
    </row>
    <row r="934" spans="1:6" s="275" customFormat="1" ht="14" thickBot="1" x14ac:dyDescent="0.2">
      <c r="A934" s="374"/>
      <c r="B934" s="287"/>
      <c r="C934" s="291" t="s">
        <v>115</v>
      </c>
      <c r="D934" s="394">
        <f>SUM(D922:D933)</f>
        <v>3728.2000000000003</v>
      </c>
      <c r="E934" s="384"/>
      <c r="F934" s="389">
        <v>4496.6100000000006</v>
      </c>
    </row>
    <row r="935" spans="1:6" s="275" customFormat="1" ht="14" thickTop="1" x14ac:dyDescent="0.15">
      <c r="A935" s="374"/>
      <c r="B935" s="287"/>
      <c r="C935" s="287"/>
      <c r="D935" s="287"/>
      <c r="E935" s="380"/>
      <c r="F935" s="381"/>
    </row>
    <row r="936" spans="1:6" s="275" customFormat="1" x14ac:dyDescent="0.15">
      <c r="A936" s="374"/>
      <c r="B936" s="287"/>
      <c r="C936" s="378" t="s">
        <v>1212</v>
      </c>
      <c r="D936" s="287"/>
      <c r="E936" s="380"/>
      <c r="F936" s="381"/>
    </row>
    <row r="937" spans="1:6" s="275" customFormat="1" x14ac:dyDescent="0.15">
      <c r="A937" s="374"/>
      <c r="B937" s="287"/>
      <c r="C937" s="378" t="s">
        <v>1139</v>
      </c>
      <c r="D937" s="287"/>
      <c r="E937" s="380"/>
      <c r="F937" s="381"/>
    </row>
    <row r="938" spans="1:6" s="275" customFormat="1" x14ac:dyDescent="0.15">
      <c r="A938" s="374"/>
      <c r="B938" s="287"/>
      <c r="C938" s="386">
        <v>41780</v>
      </c>
      <c r="D938" s="287"/>
      <c r="E938" s="380"/>
      <c r="F938" s="381"/>
    </row>
    <row r="939" spans="1:6" s="275" customFormat="1" x14ac:dyDescent="0.15">
      <c r="A939" s="399"/>
      <c r="B939" s="400"/>
      <c r="C939" s="400"/>
      <c r="D939" s="400"/>
      <c r="E939" s="401"/>
      <c r="F939" s="402"/>
    </row>
    <row r="940" spans="1:6" s="295" customFormat="1" x14ac:dyDescent="0.15">
      <c r="A940" s="370" t="s">
        <v>1302</v>
      </c>
      <c r="B940" s="371" t="s">
        <v>1226</v>
      </c>
      <c r="C940" s="371" t="s">
        <v>1227</v>
      </c>
      <c r="D940" s="371">
        <f>162.7+164.8</f>
        <v>327.5</v>
      </c>
      <c r="E940" s="390">
        <v>41792</v>
      </c>
      <c r="F940" s="391">
        <v>377.66</v>
      </c>
    </row>
    <row r="941" spans="1:6" s="295" customFormat="1" x14ac:dyDescent="0.15">
      <c r="A941" s="374" t="s">
        <v>1303</v>
      </c>
      <c r="B941" s="287" t="s">
        <v>1228</v>
      </c>
      <c r="C941" s="287" t="s">
        <v>1229</v>
      </c>
      <c r="D941" s="287">
        <f>150.4+46.3</f>
        <v>196.7</v>
      </c>
      <c r="E941" s="380">
        <v>41792</v>
      </c>
      <c r="F941" s="381">
        <v>207.34</v>
      </c>
    </row>
    <row r="942" spans="1:6" s="295" customFormat="1" x14ac:dyDescent="0.15">
      <c r="A942" s="374" t="s">
        <v>1304</v>
      </c>
      <c r="B942" s="287" t="s">
        <v>1230</v>
      </c>
      <c r="C942" s="287" t="s">
        <v>1231</v>
      </c>
      <c r="D942" s="287">
        <v>200.8</v>
      </c>
      <c r="E942" s="380">
        <v>41792</v>
      </c>
      <c r="F942" s="381">
        <v>240.83</v>
      </c>
    </row>
    <row r="943" spans="1:6" s="295" customFormat="1" x14ac:dyDescent="0.15">
      <c r="A943" s="374" t="s">
        <v>1305</v>
      </c>
      <c r="B943" s="287" t="s">
        <v>1306</v>
      </c>
      <c r="C943" s="287" t="s">
        <v>1233</v>
      </c>
      <c r="D943" s="287">
        <v>1144.0999999999999</v>
      </c>
      <c r="E943" s="380">
        <v>41792</v>
      </c>
      <c r="F943" s="381">
        <v>993.59</v>
      </c>
    </row>
    <row r="944" spans="1:6" s="295" customFormat="1" x14ac:dyDescent="0.15">
      <c r="A944" s="374" t="s">
        <v>1307</v>
      </c>
      <c r="B944" s="287" t="s">
        <v>1234</v>
      </c>
      <c r="C944" s="287" t="s">
        <v>500</v>
      </c>
      <c r="D944" s="287">
        <v>361.5</v>
      </c>
      <c r="E944" s="380">
        <v>41792</v>
      </c>
      <c r="F944" s="381">
        <v>404.59</v>
      </c>
    </row>
    <row r="945" spans="1:6" s="295" customFormat="1" x14ac:dyDescent="0.15">
      <c r="A945" s="374" t="s">
        <v>1308</v>
      </c>
      <c r="B945" s="287" t="s">
        <v>1235</v>
      </c>
      <c r="C945" s="287" t="s">
        <v>1236</v>
      </c>
      <c r="D945" s="287">
        <v>400.6</v>
      </c>
      <c r="E945" s="380">
        <v>41792</v>
      </c>
      <c r="F945" s="381">
        <v>444.23</v>
      </c>
    </row>
    <row r="946" spans="1:6" s="295" customFormat="1" x14ac:dyDescent="0.15">
      <c r="A946" s="374" t="s">
        <v>1308</v>
      </c>
      <c r="B946" s="287" t="s">
        <v>1238</v>
      </c>
      <c r="C946" s="287" t="s">
        <v>1239</v>
      </c>
      <c r="D946" s="287">
        <f>145.2+176.1</f>
        <v>321.29999999999995</v>
      </c>
      <c r="E946" s="380">
        <v>41792</v>
      </c>
      <c r="F946" s="381">
        <v>372.16</v>
      </c>
    </row>
    <row r="947" spans="1:6" s="295" customFormat="1" x14ac:dyDescent="0.15">
      <c r="A947" s="374" t="s">
        <v>1309</v>
      </c>
      <c r="B947" s="287" t="s">
        <v>1240</v>
      </c>
      <c r="C947" s="287" t="s">
        <v>1241</v>
      </c>
      <c r="D947" s="287">
        <v>284.2</v>
      </c>
      <c r="E947" s="380">
        <v>41792</v>
      </c>
      <c r="F947" s="381">
        <v>325.94</v>
      </c>
    </row>
    <row r="948" spans="1:6" s="295" customFormat="1" x14ac:dyDescent="0.15">
      <c r="A948" s="374" t="s">
        <v>1310</v>
      </c>
      <c r="B948" s="287" t="s">
        <v>1282</v>
      </c>
      <c r="C948" s="287" t="s">
        <v>1283</v>
      </c>
      <c r="D948" s="287">
        <v>235.4</v>
      </c>
      <c r="E948" s="380">
        <v>41792</v>
      </c>
      <c r="F948" s="381">
        <v>275.95999999999998</v>
      </c>
    </row>
    <row r="949" spans="1:6" s="295" customFormat="1" x14ac:dyDescent="0.15">
      <c r="A949" s="374" t="s">
        <v>1311</v>
      </c>
      <c r="B949" s="287" t="s">
        <v>1244</v>
      </c>
      <c r="C949" s="287" t="s">
        <v>1245</v>
      </c>
      <c r="D949" s="287">
        <f>307.8+131.8</f>
        <v>439.6</v>
      </c>
      <c r="E949" s="380">
        <v>41792</v>
      </c>
      <c r="F949" s="381">
        <v>576.20000000000005</v>
      </c>
    </row>
    <row r="950" spans="1:6" s="295" customFormat="1" x14ac:dyDescent="0.15">
      <c r="A950" s="374" t="s">
        <v>1311</v>
      </c>
      <c r="B950" s="287" t="s">
        <v>1246</v>
      </c>
      <c r="C950" s="287" t="s">
        <v>1247</v>
      </c>
      <c r="D950" s="287">
        <f>35+252.3</f>
        <v>287.3</v>
      </c>
      <c r="E950" s="380">
        <v>41792</v>
      </c>
      <c r="F950" s="381">
        <v>336.62</v>
      </c>
    </row>
    <row r="951" spans="1:6" s="295" customFormat="1" x14ac:dyDescent="0.15">
      <c r="A951" s="374" t="s">
        <v>1311</v>
      </c>
      <c r="B951" s="287" t="s">
        <v>1248</v>
      </c>
      <c r="C951" s="287" t="s">
        <v>1249</v>
      </c>
      <c r="D951" s="287">
        <v>47.4</v>
      </c>
      <c r="E951" s="380">
        <v>41792</v>
      </c>
      <c r="F951" s="381">
        <v>75.37</v>
      </c>
    </row>
    <row r="952" spans="1:6" s="295" customFormat="1" x14ac:dyDescent="0.15">
      <c r="A952" s="374" t="s">
        <v>1311</v>
      </c>
      <c r="B952" s="287" t="s">
        <v>1250</v>
      </c>
      <c r="C952" s="287" t="s">
        <v>1251</v>
      </c>
      <c r="D952" s="287">
        <v>14.4</v>
      </c>
      <c r="E952" s="380">
        <v>41792</v>
      </c>
      <c r="F952" s="381">
        <v>33</v>
      </c>
    </row>
    <row r="953" spans="1:6" s="295" customFormat="1" x14ac:dyDescent="0.15">
      <c r="A953" s="374" t="s">
        <v>1311</v>
      </c>
      <c r="B953" s="287" t="s">
        <v>1252</v>
      </c>
      <c r="C953" s="287" t="s">
        <v>1253</v>
      </c>
      <c r="D953" s="287">
        <v>567.29999999999995</v>
      </c>
      <c r="E953" s="380">
        <v>41792</v>
      </c>
      <c r="F953" s="381">
        <v>698.83</v>
      </c>
    </row>
    <row r="954" spans="1:6" s="295" customFormat="1" x14ac:dyDescent="0.15">
      <c r="A954" s="374" t="s">
        <v>1311</v>
      </c>
      <c r="B954" s="287" t="s">
        <v>1275</v>
      </c>
      <c r="C954" s="287" t="s">
        <v>1276</v>
      </c>
      <c r="D954" s="397">
        <v>571.4</v>
      </c>
      <c r="E954" s="380">
        <v>41792</v>
      </c>
      <c r="F954" s="381">
        <v>703.86</v>
      </c>
    </row>
    <row r="955" spans="1:6" s="295" customFormat="1" x14ac:dyDescent="0.15">
      <c r="A955" s="374" t="s">
        <v>1311</v>
      </c>
      <c r="B955" s="287" t="s">
        <v>1279</v>
      </c>
      <c r="C955" s="287" t="s">
        <v>1280</v>
      </c>
      <c r="D955" s="397">
        <v>348</v>
      </c>
      <c r="E955" s="380">
        <v>41792</v>
      </c>
      <c r="F955" s="381">
        <v>442.86</v>
      </c>
    </row>
    <row r="956" spans="1:6" s="295" customFormat="1" x14ac:dyDescent="0.15">
      <c r="A956" s="374" t="s">
        <v>1311</v>
      </c>
      <c r="B956" s="287" t="s">
        <v>1284</v>
      </c>
      <c r="C956" s="287" t="s">
        <v>1285</v>
      </c>
      <c r="D956" s="397">
        <v>107.1</v>
      </c>
      <c r="E956" s="380">
        <v>41792</v>
      </c>
      <c r="F956" s="381">
        <v>157.75</v>
      </c>
    </row>
    <row r="957" spans="1:6" s="295" customFormat="1" x14ac:dyDescent="0.15">
      <c r="A957" s="374" t="s">
        <v>1311</v>
      </c>
      <c r="B957" s="287" t="s">
        <v>1288</v>
      </c>
      <c r="C957" s="287" t="s">
        <v>1289</v>
      </c>
      <c r="D957" s="397">
        <v>113.3</v>
      </c>
      <c r="E957" s="403">
        <v>41792</v>
      </c>
      <c r="F957" s="381">
        <v>151.68</v>
      </c>
    </row>
    <row r="958" spans="1:6" s="275" customFormat="1" ht="14" thickBot="1" x14ac:dyDescent="0.2">
      <c r="A958" s="376"/>
      <c r="B958" s="359"/>
      <c r="C958" s="291" t="s">
        <v>115</v>
      </c>
      <c r="D958" s="383">
        <f>SUM(D940:D957)</f>
        <v>5967.9</v>
      </c>
      <c r="E958" s="404"/>
      <c r="F958" s="389">
        <v>6818.47</v>
      </c>
    </row>
    <row r="959" spans="1:6" s="275" customFormat="1" ht="14" thickTop="1" x14ac:dyDescent="0.15">
      <c r="A959" s="376"/>
      <c r="B959" s="359"/>
      <c r="C959" s="359"/>
      <c r="D959" s="287"/>
      <c r="E959" s="380"/>
      <c r="F959" s="381"/>
    </row>
    <row r="960" spans="1:6" s="275" customFormat="1" x14ac:dyDescent="0.15">
      <c r="A960" s="376"/>
      <c r="B960" s="359"/>
      <c r="C960" s="378" t="s">
        <v>1212</v>
      </c>
      <c r="D960" s="287"/>
      <c r="E960" s="380"/>
      <c r="F960" s="381"/>
    </row>
    <row r="961" spans="1:6" s="275" customFormat="1" x14ac:dyDescent="0.15">
      <c r="A961" s="376"/>
      <c r="B961" s="359"/>
      <c r="C961" s="378" t="s">
        <v>1139</v>
      </c>
      <c r="D961" s="287"/>
      <c r="E961" s="380"/>
      <c r="F961" s="381"/>
    </row>
    <row r="962" spans="1:6" s="275" customFormat="1" x14ac:dyDescent="0.15">
      <c r="A962" s="376"/>
      <c r="B962" s="359"/>
      <c r="C962" s="386">
        <v>41790</v>
      </c>
      <c r="D962" s="287"/>
      <c r="E962" s="380"/>
      <c r="F962" s="381"/>
    </row>
    <row r="963" spans="1:6" s="275" customFormat="1" x14ac:dyDescent="0.15">
      <c r="A963" s="399"/>
      <c r="B963" s="400"/>
      <c r="C963" s="400"/>
      <c r="D963" s="400"/>
      <c r="E963" s="401"/>
      <c r="F963" s="402"/>
    </row>
    <row r="964" spans="1:6" s="275" customFormat="1" ht="14" thickBot="1" x14ac:dyDescent="0.2">
      <c r="A964" s="387"/>
      <c r="B964" s="388"/>
      <c r="C964" s="291" t="s">
        <v>1173</v>
      </c>
      <c r="D964" s="383">
        <f>SUM(D934,D958)</f>
        <v>9696.1</v>
      </c>
      <c r="E964" s="367"/>
      <c r="F964" s="389">
        <v>11315.080000000002</v>
      </c>
    </row>
    <row r="965" spans="1:6" s="275" customFormat="1" ht="14" thickTop="1" x14ac:dyDescent="0.15">
      <c r="E965" s="369"/>
      <c r="F965" s="278"/>
    </row>
    <row r="966" spans="1:6" s="295" customFormat="1" x14ac:dyDescent="0.15">
      <c r="A966" s="370" t="s">
        <v>1299</v>
      </c>
      <c r="B966" s="371" t="s">
        <v>1269</v>
      </c>
      <c r="C966" s="371" t="s">
        <v>1270</v>
      </c>
      <c r="D966" s="371">
        <v>33</v>
      </c>
      <c r="E966" s="390">
        <v>41807</v>
      </c>
      <c r="F966" s="391">
        <v>54.17</v>
      </c>
    </row>
    <row r="967" spans="1:6" s="295" customFormat="1" x14ac:dyDescent="0.15">
      <c r="A967" s="374" t="s">
        <v>1293</v>
      </c>
      <c r="B967" s="287" t="s">
        <v>1257</v>
      </c>
      <c r="C967" s="287" t="s">
        <v>1258</v>
      </c>
      <c r="D967" s="287">
        <v>153.5</v>
      </c>
      <c r="E967" s="380">
        <v>41807</v>
      </c>
      <c r="F967" s="381">
        <v>189.41</v>
      </c>
    </row>
    <row r="968" spans="1:6" s="295" customFormat="1" x14ac:dyDescent="0.15">
      <c r="A968" s="374" t="s">
        <v>1294</v>
      </c>
      <c r="B968" s="287" t="s">
        <v>1259</v>
      </c>
      <c r="C968" s="287" t="s">
        <v>1260</v>
      </c>
      <c r="D968" s="287">
        <v>8.1999999999999993</v>
      </c>
      <c r="E968" s="380">
        <v>41807</v>
      </c>
      <c r="F968" s="381">
        <v>22.32</v>
      </c>
    </row>
    <row r="969" spans="1:6" s="295" customFormat="1" x14ac:dyDescent="0.15">
      <c r="A969" s="374" t="s">
        <v>1296</v>
      </c>
      <c r="B969" s="287" t="s">
        <v>1278</v>
      </c>
      <c r="C969" s="287" t="s">
        <v>1264</v>
      </c>
      <c r="D969" s="287">
        <v>25.7</v>
      </c>
      <c r="E969" s="380">
        <v>41807</v>
      </c>
      <c r="F969" s="381">
        <v>44.95</v>
      </c>
    </row>
    <row r="970" spans="1:6" s="295" customFormat="1" x14ac:dyDescent="0.15">
      <c r="A970" s="374" t="s">
        <v>1295</v>
      </c>
      <c r="B970" s="287" t="s">
        <v>1261</v>
      </c>
      <c r="C970" s="287" t="s">
        <v>1262</v>
      </c>
      <c r="D970" s="287">
        <v>65.900000000000006</v>
      </c>
      <c r="E970" s="380">
        <v>41807</v>
      </c>
      <c r="F970" s="381">
        <v>97.28</v>
      </c>
    </row>
    <row r="971" spans="1:6" s="295" customFormat="1" x14ac:dyDescent="0.15">
      <c r="A971" s="374" t="s">
        <v>1301</v>
      </c>
      <c r="B971" s="287" t="s">
        <v>1286</v>
      </c>
      <c r="C971" s="287" t="s">
        <v>1287</v>
      </c>
      <c r="D971" s="287">
        <v>26.8</v>
      </c>
      <c r="E971" s="380">
        <v>41807</v>
      </c>
      <c r="F971" s="381">
        <v>7.39</v>
      </c>
    </row>
    <row r="972" spans="1:6" s="295" customFormat="1" x14ac:dyDescent="0.15">
      <c r="A972" s="374" t="s">
        <v>1297</v>
      </c>
      <c r="B972" s="287" t="s">
        <v>1265</v>
      </c>
      <c r="C972" s="287" t="s">
        <v>1266</v>
      </c>
      <c r="D972" s="287">
        <v>62.8</v>
      </c>
      <c r="E972" s="380">
        <v>41807</v>
      </c>
      <c r="F972" s="381">
        <v>94.06</v>
      </c>
    </row>
    <row r="973" spans="1:6" s="295" customFormat="1" x14ac:dyDescent="0.15">
      <c r="A973" s="374" t="s">
        <v>1298</v>
      </c>
      <c r="B973" s="287" t="s">
        <v>1267</v>
      </c>
      <c r="C973" s="287" t="s">
        <v>1268</v>
      </c>
      <c r="D973" s="287">
        <v>95.8</v>
      </c>
      <c r="E973" s="380">
        <v>41807</v>
      </c>
      <c r="F973" s="381">
        <v>128.33000000000001</v>
      </c>
    </row>
    <row r="974" spans="1:6" s="295" customFormat="1" x14ac:dyDescent="0.15">
      <c r="A974" s="374" t="s">
        <v>1300</v>
      </c>
      <c r="B974" s="287" t="s">
        <v>1271</v>
      </c>
      <c r="C974" s="287" t="s">
        <v>1272</v>
      </c>
      <c r="D974" s="287">
        <v>48.4</v>
      </c>
      <c r="E974" s="380">
        <v>41807</v>
      </c>
      <c r="F974" s="381">
        <v>73.61</v>
      </c>
    </row>
    <row r="975" spans="1:6" s="295" customFormat="1" x14ac:dyDescent="0.15">
      <c r="A975" s="374" t="s">
        <v>1290</v>
      </c>
      <c r="B975" s="287" t="s">
        <v>1291</v>
      </c>
      <c r="C975" s="287" t="s">
        <v>1277</v>
      </c>
      <c r="D975" s="287">
        <v>30.7</v>
      </c>
      <c r="E975" s="380">
        <v>41807</v>
      </c>
      <c r="F975" s="381">
        <v>51.26</v>
      </c>
    </row>
    <row r="976" spans="1:6" s="295" customFormat="1" x14ac:dyDescent="0.15">
      <c r="A976" s="374" t="s">
        <v>1292</v>
      </c>
      <c r="B976" s="287" t="s">
        <v>1255</v>
      </c>
      <c r="C976" s="287" t="s">
        <v>1256</v>
      </c>
      <c r="D976" s="287">
        <v>345.8</v>
      </c>
      <c r="E976" s="380">
        <v>41807</v>
      </c>
      <c r="F976" s="381">
        <v>297.95</v>
      </c>
    </row>
    <row r="977" spans="1:6" s="295" customFormat="1" x14ac:dyDescent="0.15">
      <c r="A977" s="374" t="s">
        <v>1312</v>
      </c>
      <c r="B977" s="287" t="s">
        <v>1313</v>
      </c>
      <c r="C977" s="287" t="s">
        <v>1313</v>
      </c>
      <c r="D977" s="287">
        <v>4.0999999999999996</v>
      </c>
      <c r="E977" s="380">
        <v>41807</v>
      </c>
      <c r="F977" s="381">
        <v>17.690000000000001</v>
      </c>
    </row>
    <row r="978" spans="1:6" s="275" customFormat="1" ht="14" thickBot="1" x14ac:dyDescent="0.2">
      <c r="A978" s="374"/>
      <c r="B978" s="287"/>
      <c r="C978" s="291" t="s">
        <v>115</v>
      </c>
      <c r="D978" s="394">
        <f>SUM(D966:D977)</f>
        <v>900.70000000000016</v>
      </c>
      <c r="E978" s="384"/>
      <c r="F978" s="389">
        <v>1078.42</v>
      </c>
    </row>
    <row r="979" spans="1:6" s="275" customFormat="1" ht="14" thickTop="1" x14ac:dyDescent="0.15">
      <c r="A979" s="374"/>
      <c r="B979" s="287"/>
      <c r="C979" s="287"/>
      <c r="D979" s="287"/>
      <c r="E979" s="380"/>
      <c r="F979" s="381"/>
    </row>
    <row r="980" spans="1:6" s="275" customFormat="1" x14ac:dyDescent="0.15">
      <c r="A980" s="374"/>
      <c r="B980" s="287"/>
      <c r="C980" s="378" t="s">
        <v>1212</v>
      </c>
      <c r="D980" s="287"/>
      <c r="E980" s="380"/>
      <c r="F980" s="381"/>
    </row>
    <row r="981" spans="1:6" s="275" customFormat="1" x14ac:dyDescent="0.15">
      <c r="A981" s="374"/>
      <c r="B981" s="287"/>
      <c r="C981" s="378" t="s">
        <v>1139</v>
      </c>
      <c r="D981" s="287"/>
      <c r="E981" s="380"/>
      <c r="F981" s="381"/>
    </row>
    <row r="982" spans="1:6" s="275" customFormat="1" x14ac:dyDescent="0.15">
      <c r="A982" s="374"/>
      <c r="B982" s="287"/>
      <c r="C982" s="386">
        <v>41810</v>
      </c>
      <c r="D982" s="287"/>
      <c r="E982" s="380"/>
      <c r="F982" s="381"/>
    </row>
    <row r="983" spans="1:6" s="275" customFormat="1" x14ac:dyDescent="0.15">
      <c r="A983" s="399"/>
      <c r="B983" s="400"/>
      <c r="C983" s="400"/>
      <c r="D983" s="400"/>
      <c r="E983" s="401"/>
      <c r="F983" s="402"/>
    </row>
    <row r="984" spans="1:6" s="295" customFormat="1" x14ac:dyDescent="0.15">
      <c r="A984" s="370" t="s">
        <v>1302</v>
      </c>
      <c r="B984" s="371" t="s">
        <v>1226</v>
      </c>
      <c r="C984" s="371" t="s">
        <v>1227</v>
      </c>
      <c r="D984" s="371">
        <v>95.8</v>
      </c>
      <c r="E984" s="390">
        <v>41821</v>
      </c>
      <c r="F984" s="391">
        <v>131.91999999999999</v>
      </c>
    </row>
    <row r="985" spans="1:6" s="295" customFormat="1" x14ac:dyDescent="0.15">
      <c r="A985" s="374" t="s">
        <v>1303</v>
      </c>
      <c r="B985" s="287" t="s">
        <v>1228</v>
      </c>
      <c r="C985" s="287" t="s">
        <v>1229</v>
      </c>
      <c r="D985" s="287">
        <v>0</v>
      </c>
      <c r="E985" s="380">
        <v>41821</v>
      </c>
      <c r="F985" s="381">
        <v>32.65</v>
      </c>
    </row>
    <row r="986" spans="1:6" s="295" customFormat="1" x14ac:dyDescent="0.15">
      <c r="A986" s="374" t="s">
        <v>1304</v>
      </c>
      <c r="B986" s="287" t="s">
        <v>1230</v>
      </c>
      <c r="C986" s="287" t="s">
        <v>1231</v>
      </c>
      <c r="D986" s="287">
        <v>60.7</v>
      </c>
      <c r="E986" s="380">
        <v>41821</v>
      </c>
      <c r="F986" s="381">
        <v>89.14</v>
      </c>
    </row>
    <row r="987" spans="1:6" s="295" customFormat="1" x14ac:dyDescent="0.15">
      <c r="A987" s="374" t="s">
        <v>1305</v>
      </c>
      <c r="B987" s="287" t="s">
        <v>1306</v>
      </c>
      <c r="C987" s="287" t="s">
        <v>1233</v>
      </c>
      <c r="D987" s="287">
        <f>215.3+441.6</f>
        <v>656.90000000000009</v>
      </c>
      <c r="E987" s="380">
        <v>41821</v>
      </c>
      <c r="F987" s="381">
        <v>568.48</v>
      </c>
    </row>
    <row r="988" spans="1:6" s="295" customFormat="1" x14ac:dyDescent="0.15">
      <c r="A988" s="374" t="s">
        <v>1307</v>
      </c>
      <c r="B988" s="287" t="s">
        <v>1234</v>
      </c>
      <c r="C988" s="287" t="s">
        <v>500</v>
      </c>
      <c r="D988" s="287">
        <v>181.2</v>
      </c>
      <c r="E988" s="380">
        <v>41821</v>
      </c>
      <c r="F988" s="381">
        <v>217</v>
      </c>
    </row>
    <row r="989" spans="1:6" s="295" customFormat="1" x14ac:dyDescent="0.15">
      <c r="A989" s="374" t="s">
        <v>1308</v>
      </c>
      <c r="B989" s="287" t="s">
        <v>1235</v>
      </c>
      <c r="C989" s="287" t="s">
        <v>1236</v>
      </c>
      <c r="D989" s="287">
        <v>127.7</v>
      </c>
      <c r="E989" s="380">
        <v>41821</v>
      </c>
      <c r="F989" s="381">
        <v>163.69999999999999</v>
      </c>
    </row>
    <row r="990" spans="1:6" s="295" customFormat="1" x14ac:dyDescent="0.15">
      <c r="A990" s="374" t="s">
        <v>1308</v>
      </c>
      <c r="B990" s="287" t="s">
        <v>1238</v>
      </c>
      <c r="C990" s="287" t="s">
        <v>1239</v>
      </c>
      <c r="D990" s="287">
        <v>129.69999999999999</v>
      </c>
      <c r="E990" s="380">
        <v>41821</v>
      </c>
      <c r="F990" s="381">
        <v>165.69</v>
      </c>
    </row>
    <row r="991" spans="1:6" s="295" customFormat="1" x14ac:dyDescent="0.15">
      <c r="A991" s="374" t="s">
        <v>1309</v>
      </c>
      <c r="B991" s="287" t="s">
        <v>1240</v>
      </c>
      <c r="C991" s="287" t="s">
        <v>1241</v>
      </c>
      <c r="D991" s="287">
        <v>73.099999999999994</v>
      </c>
      <c r="E991" s="380">
        <v>41821</v>
      </c>
      <c r="F991" s="381">
        <v>104.81</v>
      </c>
    </row>
    <row r="992" spans="1:6" s="295" customFormat="1" x14ac:dyDescent="0.15">
      <c r="A992" s="374" t="s">
        <v>1310</v>
      </c>
      <c r="B992" s="287" t="s">
        <v>1282</v>
      </c>
      <c r="C992" s="287" t="s">
        <v>1283</v>
      </c>
      <c r="D992" s="287">
        <v>69.900000000000006</v>
      </c>
      <c r="E992" s="380">
        <v>41821</v>
      </c>
      <c r="F992" s="381">
        <v>100.75</v>
      </c>
    </row>
    <row r="993" spans="1:6" s="295" customFormat="1" x14ac:dyDescent="0.15">
      <c r="A993" s="374" t="s">
        <v>1311</v>
      </c>
      <c r="B993" s="287" t="s">
        <v>1244</v>
      </c>
      <c r="C993" s="287" t="s">
        <v>1245</v>
      </c>
      <c r="D993" s="287">
        <v>157.6</v>
      </c>
      <c r="E993" s="380">
        <v>41821</v>
      </c>
      <c r="F993" s="381">
        <v>193.5</v>
      </c>
    </row>
    <row r="994" spans="1:6" s="295" customFormat="1" x14ac:dyDescent="0.15">
      <c r="A994" s="374" t="s">
        <v>1311</v>
      </c>
      <c r="B994" s="287" t="s">
        <v>1246</v>
      </c>
      <c r="C994" s="287" t="s">
        <v>1247</v>
      </c>
      <c r="D994" s="287">
        <v>115.3</v>
      </c>
      <c r="E994" s="380">
        <v>41821</v>
      </c>
      <c r="F994" s="381">
        <v>151.35</v>
      </c>
    </row>
    <row r="995" spans="1:6" s="295" customFormat="1" x14ac:dyDescent="0.15">
      <c r="A995" s="374" t="s">
        <v>1311</v>
      </c>
      <c r="B995" s="287" t="s">
        <v>1248</v>
      </c>
      <c r="C995" s="287" t="s">
        <v>1249</v>
      </c>
      <c r="D995" s="287">
        <v>8.1999999999999993</v>
      </c>
      <c r="E995" s="380">
        <v>41821</v>
      </c>
      <c r="F995" s="381">
        <v>22.32</v>
      </c>
    </row>
    <row r="996" spans="1:6" s="295" customFormat="1" x14ac:dyDescent="0.15">
      <c r="A996" s="374" t="s">
        <v>1311</v>
      </c>
      <c r="B996" s="287" t="s">
        <v>1250</v>
      </c>
      <c r="C996" s="287" t="s">
        <v>1251</v>
      </c>
      <c r="D996" s="287">
        <v>2.1</v>
      </c>
      <c r="E996" s="380">
        <v>41821</v>
      </c>
      <c r="F996" s="381">
        <v>15.17</v>
      </c>
    </row>
    <row r="997" spans="1:6" s="295" customFormat="1" x14ac:dyDescent="0.15">
      <c r="A997" s="374" t="s">
        <v>1311</v>
      </c>
      <c r="B997" s="287" t="s">
        <v>1252</v>
      </c>
      <c r="C997" s="287" t="s">
        <v>1253</v>
      </c>
      <c r="D997" s="287">
        <v>321.3</v>
      </c>
      <c r="E997" s="380">
        <v>41821</v>
      </c>
      <c r="F997" s="381">
        <v>356.59</v>
      </c>
    </row>
    <row r="998" spans="1:6" s="295" customFormat="1" x14ac:dyDescent="0.15">
      <c r="A998" s="374" t="s">
        <v>1311</v>
      </c>
      <c r="B998" s="287" t="s">
        <v>1275</v>
      </c>
      <c r="C998" s="287" t="s">
        <v>1276</v>
      </c>
      <c r="D998" s="397">
        <v>187.4</v>
      </c>
      <c r="E998" s="380">
        <v>41821</v>
      </c>
      <c r="F998" s="381">
        <v>223.17</v>
      </c>
    </row>
    <row r="999" spans="1:6" s="295" customFormat="1" x14ac:dyDescent="0.15">
      <c r="A999" s="374" t="s">
        <v>1311</v>
      </c>
      <c r="B999" s="287" t="s">
        <v>1279</v>
      </c>
      <c r="C999" s="287" t="s">
        <v>1280</v>
      </c>
      <c r="D999" s="397">
        <v>107.1</v>
      </c>
      <c r="E999" s="380">
        <v>41821</v>
      </c>
      <c r="F999" s="381">
        <v>143.18</v>
      </c>
    </row>
    <row r="1000" spans="1:6" s="295" customFormat="1" x14ac:dyDescent="0.15">
      <c r="A1000" s="374" t="s">
        <v>1311</v>
      </c>
      <c r="B1000" s="287" t="s">
        <v>1284</v>
      </c>
      <c r="C1000" s="287" t="s">
        <v>1285</v>
      </c>
      <c r="D1000" s="397">
        <v>23.7</v>
      </c>
      <c r="E1000" s="380">
        <v>41821</v>
      </c>
      <c r="F1000" s="381">
        <v>42.91</v>
      </c>
    </row>
    <row r="1001" spans="1:6" s="295" customFormat="1" x14ac:dyDescent="0.15">
      <c r="A1001" s="374" t="s">
        <v>1311</v>
      </c>
      <c r="B1001" s="287" t="s">
        <v>1288</v>
      </c>
      <c r="C1001" s="287" t="s">
        <v>1289</v>
      </c>
      <c r="D1001" s="397">
        <v>10.3</v>
      </c>
      <c r="E1001" s="403">
        <v>41821</v>
      </c>
      <c r="F1001" s="381">
        <v>25.52</v>
      </c>
    </row>
    <row r="1002" spans="1:6" s="275" customFormat="1" ht="14" thickBot="1" x14ac:dyDescent="0.2">
      <c r="A1002" s="376"/>
      <c r="B1002" s="359"/>
      <c r="C1002" s="291" t="s">
        <v>115</v>
      </c>
      <c r="D1002" s="383">
        <f>SUM(D984:D1001)</f>
        <v>2328</v>
      </c>
      <c r="E1002" s="404"/>
      <c r="F1002" s="389">
        <v>2747.85</v>
      </c>
    </row>
    <row r="1003" spans="1:6" s="275" customFormat="1" ht="14" thickTop="1" x14ac:dyDescent="0.15">
      <c r="A1003" s="376"/>
      <c r="B1003" s="359"/>
      <c r="C1003" s="359"/>
      <c r="D1003" s="287"/>
      <c r="E1003" s="380"/>
      <c r="F1003" s="381"/>
    </row>
    <row r="1004" spans="1:6" s="275" customFormat="1" x14ac:dyDescent="0.15">
      <c r="A1004" s="376"/>
      <c r="B1004" s="359"/>
      <c r="C1004" s="378" t="s">
        <v>1212</v>
      </c>
      <c r="D1004" s="287"/>
      <c r="E1004" s="380"/>
      <c r="F1004" s="381"/>
    </row>
    <row r="1005" spans="1:6" s="275" customFormat="1" x14ac:dyDescent="0.15">
      <c r="A1005" s="376"/>
      <c r="B1005" s="359"/>
      <c r="C1005" s="378" t="s">
        <v>1139</v>
      </c>
      <c r="D1005" s="287"/>
      <c r="E1005" s="380"/>
      <c r="F1005" s="381"/>
    </row>
    <row r="1006" spans="1:6" s="275" customFormat="1" x14ac:dyDescent="0.15">
      <c r="A1006" s="376"/>
      <c r="B1006" s="359"/>
      <c r="C1006" s="386">
        <v>41820</v>
      </c>
      <c r="D1006" s="287"/>
      <c r="E1006" s="380"/>
      <c r="F1006" s="381"/>
    </row>
    <row r="1007" spans="1:6" s="275" customFormat="1" x14ac:dyDescent="0.15">
      <c r="A1007" s="399"/>
      <c r="B1007" s="400"/>
      <c r="C1007" s="400"/>
      <c r="D1007" s="400"/>
      <c r="E1007" s="401"/>
      <c r="F1007" s="402"/>
    </row>
    <row r="1008" spans="1:6" s="275" customFormat="1" ht="14" thickBot="1" x14ac:dyDescent="0.2">
      <c r="A1008" s="387"/>
      <c r="B1008" s="388"/>
      <c r="C1008" s="291" t="s">
        <v>1174</v>
      </c>
      <c r="D1008" s="383">
        <f>SUM(D978,D1002)</f>
        <v>3228.7000000000003</v>
      </c>
      <c r="E1008" s="367"/>
      <c r="F1008" s="389">
        <v>3826.27</v>
      </c>
    </row>
    <row r="1009" spans="1:6" ht="14" thickTop="1" x14ac:dyDescent="0.15">
      <c r="A1009" s="351"/>
      <c r="B1009" s="351"/>
      <c r="C1009" s="261"/>
      <c r="D1009" s="405"/>
      <c r="E1009" s="406"/>
      <c r="F1009" s="407"/>
    </row>
    <row r="1010" spans="1:6" ht="14" thickBot="1" x14ac:dyDescent="0.2">
      <c r="A1010" s="351"/>
      <c r="B1010" s="351"/>
      <c r="C1010" s="261"/>
      <c r="D1010" s="405"/>
      <c r="E1010" s="406"/>
      <c r="F1010" s="407"/>
    </row>
    <row r="1011" spans="1:6" s="275" customFormat="1" ht="31" thickBot="1" x14ac:dyDescent="0.35">
      <c r="A1011" s="767" t="s">
        <v>1103</v>
      </c>
      <c r="B1011" s="768"/>
      <c r="C1011" s="768"/>
      <c r="D1011" s="768"/>
      <c r="E1011" s="768"/>
      <c r="F1011" s="769"/>
    </row>
    <row r="1012" spans="1:6" s="275" customFormat="1" x14ac:dyDescent="0.15">
      <c r="E1012" s="369"/>
      <c r="F1012" s="278"/>
    </row>
    <row r="1013" spans="1:6" s="295" customFormat="1" x14ac:dyDescent="0.15">
      <c r="A1013" s="370" t="s">
        <v>1299</v>
      </c>
      <c r="B1013" s="371" t="s">
        <v>1269</v>
      </c>
      <c r="C1013" s="371" t="s">
        <v>1270</v>
      </c>
      <c r="D1013" s="371">
        <v>0</v>
      </c>
      <c r="E1013" s="390">
        <v>41837</v>
      </c>
      <c r="F1013" s="391">
        <v>12.51</v>
      </c>
    </row>
    <row r="1014" spans="1:6" s="295" customFormat="1" x14ac:dyDescent="0.15">
      <c r="A1014" s="374" t="s">
        <v>1293</v>
      </c>
      <c r="B1014" s="287" t="s">
        <v>1257</v>
      </c>
      <c r="C1014" s="287" t="s">
        <v>1258</v>
      </c>
      <c r="D1014" s="287">
        <v>82.4</v>
      </c>
      <c r="E1014" s="380">
        <v>41837</v>
      </c>
      <c r="F1014" s="381">
        <v>111.06</v>
      </c>
    </row>
    <row r="1015" spans="1:6" s="295" customFormat="1" x14ac:dyDescent="0.15">
      <c r="A1015" s="374" t="s">
        <v>1294</v>
      </c>
      <c r="B1015" s="287" t="s">
        <v>1259</v>
      </c>
      <c r="C1015" s="287" t="s">
        <v>1260</v>
      </c>
      <c r="D1015" s="287">
        <v>0</v>
      </c>
      <c r="E1015" s="380">
        <v>41837</v>
      </c>
      <c r="F1015" s="381">
        <v>11.42</v>
      </c>
    </row>
    <row r="1016" spans="1:6" s="295" customFormat="1" x14ac:dyDescent="0.15">
      <c r="A1016" s="374" t="s">
        <v>1296</v>
      </c>
      <c r="B1016" s="287" t="s">
        <v>1278</v>
      </c>
      <c r="C1016" s="287" t="s">
        <v>1264</v>
      </c>
      <c r="D1016" s="287">
        <v>0</v>
      </c>
      <c r="E1016" s="380">
        <v>41837</v>
      </c>
      <c r="F1016" s="381">
        <v>12.51</v>
      </c>
    </row>
    <row r="1017" spans="1:6" s="295" customFormat="1" x14ac:dyDescent="0.15">
      <c r="A1017" s="374" t="s">
        <v>1295</v>
      </c>
      <c r="B1017" s="287" t="s">
        <v>1261</v>
      </c>
      <c r="C1017" s="287" t="s">
        <v>1262</v>
      </c>
      <c r="D1017" s="287">
        <v>44.3</v>
      </c>
      <c r="E1017" s="380">
        <v>41837</v>
      </c>
      <c r="F1017" s="381">
        <v>67.260000000000005</v>
      </c>
    </row>
    <row r="1018" spans="1:6" s="295" customFormat="1" x14ac:dyDescent="0.15">
      <c r="A1018" s="374" t="s">
        <v>1301</v>
      </c>
      <c r="B1018" s="287" t="s">
        <v>1286</v>
      </c>
      <c r="C1018" s="287" t="s">
        <v>1287</v>
      </c>
      <c r="D1018" s="287">
        <v>0</v>
      </c>
      <c r="E1018" s="380">
        <v>41837</v>
      </c>
      <c r="F1018" s="381">
        <v>12.51</v>
      </c>
    </row>
    <row r="1019" spans="1:6" s="295" customFormat="1" x14ac:dyDescent="0.15">
      <c r="A1019" s="374" t="s">
        <v>1297</v>
      </c>
      <c r="B1019" s="287" t="s">
        <v>1265</v>
      </c>
      <c r="C1019" s="287" t="s">
        <v>1266</v>
      </c>
      <c r="D1019" s="287">
        <v>24.7</v>
      </c>
      <c r="E1019" s="380">
        <v>41837</v>
      </c>
      <c r="F1019" s="381">
        <v>42.52</v>
      </c>
    </row>
    <row r="1020" spans="1:6" s="295" customFormat="1" x14ac:dyDescent="0.15">
      <c r="A1020" s="374" t="s">
        <v>1298</v>
      </c>
      <c r="B1020" s="287" t="s">
        <v>1267</v>
      </c>
      <c r="C1020" s="287" t="s">
        <v>1268</v>
      </c>
      <c r="D1020" s="287">
        <v>42.2</v>
      </c>
      <c r="E1020" s="380">
        <v>41837</v>
      </c>
      <c r="F1020" s="381">
        <v>64.61</v>
      </c>
    </row>
    <row r="1021" spans="1:6" s="295" customFormat="1" x14ac:dyDescent="0.15">
      <c r="A1021" s="374" t="s">
        <v>1300</v>
      </c>
      <c r="B1021" s="287" t="s">
        <v>1271</v>
      </c>
      <c r="C1021" s="287" t="s">
        <v>1272</v>
      </c>
      <c r="D1021" s="287">
        <v>46.3</v>
      </c>
      <c r="E1021" s="380">
        <v>41837</v>
      </c>
      <c r="F1021" s="381">
        <v>67.790000000000006</v>
      </c>
    </row>
    <row r="1022" spans="1:6" s="295" customFormat="1" x14ac:dyDescent="0.15">
      <c r="A1022" s="374" t="s">
        <v>1290</v>
      </c>
      <c r="B1022" s="287" t="s">
        <v>1291</v>
      </c>
      <c r="C1022" s="287" t="s">
        <v>1277</v>
      </c>
      <c r="D1022" s="287">
        <v>8.1999999999999993</v>
      </c>
      <c r="E1022" s="380">
        <v>41837</v>
      </c>
      <c r="F1022" s="381">
        <v>22.3</v>
      </c>
    </row>
    <row r="1023" spans="1:6" s="295" customFormat="1" x14ac:dyDescent="0.15">
      <c r="A1023" s="374" t="s">
        <v>1292</v>
      </c>
      <c r="B1023" s="287" t="s">
        <v>1255</v>
      </c>
      <c r="C1023" s="287" t="s">
        <v>1256</v>
      </c>
      <c r="D1023" s="287">
        <v>271.3</v>
      </c>
      <c r="E1023" s="380">
        <v>41837</v>
      </c>
      <c r="F1023" s="381">
        <v>222.95</v>
      </c>
    </row>
    <row r="1024" spans="1:6" s="295" customFormat="1" x14ac:dyDescent="0.15">
      <c r="A1024" s="374" t="s">
        <v>1312</v>
      </c>
      <c r="B1024" s="287" t="s">
        <v>1313</v>
      </c>
      <c r="C1024" s="287" t="s">
        <v>1313</v>
      </c>
      <c r="D1024" s="287">
        <v>0</v>
      </c>
      <c r="E1024" s="380">
        <v>41837</v>
      </c>
      <c r="F1024" s="381">
        <v>12.51</v>
      </c>
    </row>
    <row r="1025" spans="1:6" s="275" customFormat="1" ht="14" thickBot="1" x14ac:dyDescent="0.2">
      <c r="A1025" s="374"/>
      <c r="B1025" s="287"/>
      <c r="C1025" s="291" t="s">
        <v>115</v>
      </c>
      <c r="D1025" s="394">
        <f>SUM(D1013:D1024)</f>
        <v>519.40000000000009</v>
      </c>
      <c r="E1025" s="384"/>
      <c r="F1025" s="389">
        <v>659.95</v>
      </c>
    </row>
    <row r="1026" spans="1:6" s="275" customFormat="1" ht="14" thickTop="1" x14ac:dyDescent="0.15">
      <c r="A1026" s="374"/>
      <c r="B1026" s="287"/>
      <c r="C1026" s="287"/>
      <c r="D1026" s="287"/>
      <c r="E1026" s="380"/>
      <c r="F1026" s="381"/>
    </row>
    <row r="1027" spans="1:6" s="275" customFormat="1" x14ac:dyDescent="0.15">
      <c r="A1027" s="374"/>
      <c r="B1027" s="287"/>
      <c r="C1027" s="378" t="s">
        <v>1212</v>
      </c>
      <c r="D1027" s="287"/>
      <c r="E1027" s="380"/>
      <c r="F1027" s="381"/>
    </row>
    <row r="1028" spans="1:6" s="275" customFormat="1" x14ac:dyDescent="0.15">
      <c r="A1028" s="374"/>
      <c r="B1028" s="287"/>
      <c r="C1028" s="378" t="s">
        <v>1139</v>
      </c>
      <c r="D1028" s="287"/>
      <c r="E1028" s="380"/>
      <c r="F1028" s="381"/>
    </row>
    <row r="1029" spans="1:6" s="275" customFormat="1" x14ac:dyDescent="0.15">
      <c r="A1029" s="374"/>
      <c r="B1029" s="287"/>
      <c r="C1029" s="386">
        <v>41842</v>
      </c>
      <c r="D1029" s="287"/>
      <c r="E1029" s="380"/>
      <c r="F1029" s="381"/>
    </row>
    <row r="1030" spans="1:6" s="275" customFormat="1" x14ac:dyDescent="0.15">
      <c r="A1030" s="399"/>
      <c r="B1030" s="400"/>
      <c r="C1030" s="400"/>
      <c r="D1030" s="400"/>
      <c r="E1030" s="401"/>
      <c r="F1030" s="402"/>
    </row>
    <row r="1031" spans="1:6" s="295" customFormat="1" x14ac:dyDescent="0.15">
      <c r="A1031" s="370" t="s">
        <v>1302</v>
      </c>
      <c r="B1031" s="371" t="s">
        <v>1226</v>
      </c>
      <c r="C1031" s="371" t="s">
        <v>1227</v>
      </c>
      <c r="D1031" s="371">
        <v>76.2</v>
      </c>
      <c r="E1031" s="390">
        <v>41852</v>
      </c>
      <c r="F1031" s="391">
        <v>99.63</v>
      </c>
    </row>
    <row r="1032" spans="1:6" s="295" customFormat="1" x14ac:dyDescent="0.15">
      <c r="A1032" s="374" t="s">
        <v>1303</v>
      </c>
      <c r="B1032" s="287" t="s">
        <v>1228</v>
      </c>
      <c r="C1032" s="287" t="s">
        <v>1229</v>
      </c>
      <c r="D1032" s="287">
        <v>0</v>
      </c>
      <c r="E1032" s="380">
        <v>41852</v>
      </c>
      <c r="F1032" s="381">
        <v>32.65</v>
      </c>
    </row>
    <row r="1033" spans="1:6" s="295" customFormat="1" x14ac:dyDescent="0.15">
      <c r="A1033" s="374" t="s">
        <v>1304</v>
      </c>
      <c r="B1033" s="287" t="s">
        <v>1230</v>
      </c>
      <c r="C1033" s="287" t="s">
        <v>1231</v>
      </c>
      <c r="D1033" s="287">
        <v>41.2</v>
      </c>
      <c r="E1033" s="380">
        <v>41852</v>
      </c>
      <c r="F1033" s="381">
        <v>59.62</v>
      </c>
    </row>
    <row r="1034" spans="1:6" s="295" customFormat="1" x14ac:dyDescent="0.15">
      <c r="A1034" s="374" t="s">
        <v>1305</v>
      </c>
      <c r="B1034" s="287" t="s">
        <v>1306</v>
      </c>
      <c r="C1034" s="287" t="s">
        <v>1233</v>
      </c>
      <c r="D1034" s="287">
        <v>946.4</v>
      </c>
      <c r="E1034" s="380">
        <v>41852</v>
      </c>
      <c r="F1034" s="381">
        <v>681.71</v>
      </c>
    </row>
    <row r="1035" spans="1:6" s="295" customFormat="1" x14ac:dyDescent="0.15">
      <c r="A1035" s="374" t="s">
        <v>1307</v>
      </c>
      <c r="B1035" s="287" t="s">
        <v>1234</v>
      </c>
      <c r="C1035" s="287" t="s">
        <v>500</v>
      </c>
      <c r="D1035" s="287">
        <v>114.3</v>
      </c>
      <c r="E1035" s="380">
        <v>41852</v>
      </c>
      <c r="F1035" s="381">
        <v>136.66</v>
      </c>
    </row>
    <row r="1036" spans="1:6" s="295" customFormat="1" x14ac:dyDescent="0.15">
      <c r="A1036" s="374" t="s">
        <v>1308</v>
      </c>
      <c r="B1036" s="287" t="s">
        <v>1235</v>
      </c>
      <c r="C1036" s="287" t="s">
        <v>1236</v>
      </c>
      <c r="D1036" s="287">
        <v>86.5</v>
      </c>
      <c r="E1036" s="380">
        <v>41852</v>
      </c>
      <c r="F1036" s="381">
        <v>111.34</v>
      </c>
    </row>
    <row r="1037" spans="1:6" s="295" customFormat="1" x14ac:dyDescent="0.15">
      <c r="A1037" s="374" t="s">
        <v>1308</v>
      </c>
      <c r="B1037" s="287" t="s">
        <v>1238</v>
      </c>
      <c r="C1037" s="287" t="s">
        <v>1239</v>
      </c>
      <c r="D1037" s="287">
        <v>93.7</v>
      </c>
      <c r="E1037" s="380">
        <v>41852</v>
      </c>
      <c r="F1037" s="381">
        <v>118.58</v>
      </c>
    </row>
    <row r="1038" spans="1:6" s="295" customFormat="1" x14ac:dyDescent="0.15">
      <c r="A1038" s="374" t="s">
        <v>1309</v>
      </c>
      <c r="B1038" s="287" t="s">
        <v>1240</v>
      </c>
      <c r="C1038" s="287" t="s">
        <v>1241</v>
      </c>
      <c r="D1038" s="287">
        <v>56.6</v>
      </c>
      <c r="E1038" s="380">
        <v>41852</v>
      </c>
      <c r="F1038" s="381">
        <v>77.2</v>
      </c>
    </row>
    <row r="1039" spans="1:6" s="295" customFormat="1" x14ac:dyDescent="0.15">
      <c r="A1039" s="374" t="s">
        <v>1310</v>
      </c>
      <c r="B1039" s="287" t="s">
        <v>1282</v>
      </c>
      <c r="C1039" s="287" t="s">
        <v>1283</v>
      </c>
      <c r="D1039" s="287">
        <v>78.5</v>
      </c>
      <c r="E1039" s="380">
        <v>41852</v>
      </c>
      <c r="F1039" s="381">
        <v>102.07</v>
      </c>
    </row>
    <row r="1040" spans="1:6" s="295" customFormat="1" x14ac:dyDescent="0.15">
      <c r="A1040" s="374" t="s">
        <v>1311</v>
      </c>
      <c r="B1040" s="287" t="s">
        <v>1244</v>
      </c>
      <c r="C1040" s="287" t="s">
        <v>1245</v>
      </c>
      <c r="D1040" s="287">
        <v>128.69999999999999</v>
      </c>
      <c r="E1040" s="380">
        <v>41852</v>
      </c>
      <c r="F1040" s="381">
        <v>156.18</v>
      </c>
    </row>
    <row r="1041" spans="1:6" s="295" customFormat="1" x14ac:dyDescent="0.15">
      <c r="A1041" s="374" t="s">
        <v>1311</v>
      </c>
      <c r="B1041" s="287" t="s">
        <v>1246</v>
      </c>
      <c r="C1041" s="287" t="s">
        <v>1247</v>
      </c>
      <c r="D1041" s="287">
        <v>59.7</v>
      </c>
      <c r="E1041" s="380">
        <v>41852</v>
      </c>
      <c r="F1041" s="381">
        <v>80.67</v>
      </c>
    </row>
    <row r="1042" spans="1:6" s="295" customFormat="1" x14ac:dyDescent="0.15">
      <c r="A1042" s="374" t="s">
        <v>1311</v>
      </c>
      <c r="B1042" s="287" t="s">
        <v>1248</v>
      </c>
      <c r="C1042" s="287" t="s">
        <v>1249</v>
      </c>
      <c r="D1042" s="287">
        <v>0</v>
      </c>
      <c r="E1042" s="380">
        <v>41852</v>
      </c>
      <c r="F1042" s="381">
        <v>11.42</v>
      </c>
    </row>
    <row r="1043" spans="1:6" s="295" customFormat="1" x14ac:dyDescent="0.15">
      <c r="A1043" s="374" t="s">
        <v>1311</v>
      </c>
      <c r="B1043" s="287" t="s">
        <v>1250</v>
      </c>
      <c r="C1043" s="287" t="s">
        <v>1251</v>
      </c>
      <c r="D1043" s="287">
        <v>0</v>
      </c>
      <c r="E1043" s="380">
        <v>41852</v>
      </c>
      <c r="F1043" s="381">
        <v>12.51</v>
      </c>
    </row>
    <row r="1044" spans="1:6" s="295" customFormat="1" x14ac:dyDescent="0.15">
      <c r="A1044" s="374" t="s">
        <v>1311</v>
      </c>
      <c r="B1044" s="287" t="s">
        <v>1252</v>
      </c>
      <c r="C1044" s="287" t="s">
        <v>1253</v>
      </c>
      <c r="D1044" s="287">
        <v>114.3</v>
      </c>
      <c r="E1044" s="380">
        <v>41852</v>
      </c>
      <c r="F1044" s="381">
        <v>142.69999999999999</v>
      </c>
    </row>
    <row r="1045" spans="1:6" s="295" customFormat="1" x14ac:dyDescent="0.15">
      <c r="A1045" s="374" t="s">
        <v>1311</v>
      </c>
      <c r="B1045" s="287" t="s">
        <v>1275</v>
      </c>
      <c r="C1045" s="287" t="s">
        <v>1276</v>
      </c>
      <c r="D1045" s="397">
        <v>98.9</v>
      </c>
      <c r="E1045" s="380">
        <v>41852</v>
      </c>
      <c r="F1045" s="381">
        <v>128.53</v>
      </c>
    </row>
    <row r="1046" spans="1:6" s="295" customFormat="1" x14ac:dyDescent="0.15">
      <c r="A1046" s="374" t="s">
        <v>1311</v>
      </c>
      <c r="B1046" s="287" t="s">
        <v>1279</v>
      </c>
      <c r="C1046" s="287" t="s">
        <v>1280</v>
      </c>
      <c r="D1046" s="397">
        <v>86.5</v>
      </c>
      <c r="E1046" s="380">
        <v>41852</v>
      </c>
      <c r="F1046" s="381">
        <v>115.95</v>
      </c>
    </row>
    <row r="1047" spans="1:6" s="295" customFormat="1" x14ac:dyDescent="0.15">
      <c r="A1047" s="374" t="s">
        <v>1311</v>
      </c>
      <c r="B1047" s="287" t="s">
        <v>1284</v>
      </c>
      <c r="C1047" s="287" t="s">
        <v>1285</v>
      </c>
      <c r="D1047" s="397">
        <v>11.3</v>
      </c>
      <c r="E1047" s="380">
        <v>41852</v>
      </c>
      <c r="F1047" s="381">
        <v>25.57</v>
      </c>
    </row>
    <row r="1048" spans="1:6" s="295" customFormat="1" x14ac:dyDescent="0.15">
      <c r="A1048" s="374" t="s">
        <v>1311</v>
      </c>
      <c r="B1048" s="287" t="s">
        <v>1288</v>
      </c>
      <c r="C1048" s="287" t="s">
        <v>1289</v>
      </c>
      <c r="D1048" s="397">
        <v>0</v>
      </c>
      <c r="E1048" s="403">
        <v>41852</v>
      </c>
      <c r="F1048" s="381">
        <v>12.51</v>
      </c>
    </row>
    <row r="1049" spans="1:6" s="275" customFormat="1" ht="14" thickBot="1" x14ac:dyDescent="0.2">
      <c r="A1049" s="376"/>
      <c r="B1049" s="359"/>
      <c r="C1049" s="291" t="s">
        <v>115</v>
      </c>
      <c r="D1049" s="383">
        <f>SUM(D1031:D1048)</f>
        <v>1992.8</v>
      </c>
      <c r="E1049" s="404"/>
      <c r="F1049" s="389">
        <v>2105.5000000000005</v>
      </c>
    </row>
    <row r="1050" spans="1:6" s="275" customFormat="1" ht="14" thickTop="1" x14ac:dyDescent="0.15">
      <c r="A1050" s="376"/>
      <c r="B1050" s="359"/>
      <c r="C1050" s="359"/>
      <c r="D1050" s="287"/>
      <c r="E1050" s="380"/>
      <c r="F1050" s="381"/>
    </row>
    <row r="1051" spans="1:6" s="275" customFormat="1" x14ac:dyDescent="0.15">
      <c r="A1051" s="376"/>
      <c r="B1051" s="359"/>
      <c r="C1051" s="378" t="s">
        <v>1212</v>
      </c>
      <c r="D1051" s="287"/>
      <c r="E1051" s="380"/>
      <c r="F1051" s="381"/>
    </row>
    <row r="1052" spans="1:6" s="275" customFormat="1" x14ac:dyDescent="0.15">
      <c r="A1052" s="376"/>
      <c r="B1052" s="359"/>
      <c r="C1052" s="378" t="s">
        <v>1139</v>
      </c>
      <c r="D1052" s="287"/>
      <c r="E1052" s="380"/>
      <c r="F1052" s="381"/>
    </row>
    <row r="1053" spans="1:6" s="275" customFormat="1" x14ac:dyDescent="0.15">
      <c r="A1053" s="376"/>
      <c r="B1053" s="359"/>
      <c r="C1053" s="386">
        <v>41851</v>
      </c>
      <c r="D1053" s="287"/>
      <c r="E1053" s="380"/>
      <c r="F1053" s="381"/>
    </row>
    <row r="1054" spans="1:6" s="275" customFormat="1" x14ac:dyDescent="0.15">
      <c r="A1054" s="399"/>
      <c r="B1054" s="400"/>
      <c r="C1054" s="400"/>
      <c r="D1054" s="400"/>
      <c r="E1054" s="401"/>
      <c r="F1054" s="402"/>
    </row>
    <row r="1055" spans="1:6" s="275" customFormat="1" ht="14" thickBot="1" x14ac:dyDescent="0.2">
      <c r="A1055" s="387"/>
      <c r="B1055" s="388"/>
      <c r="C1055" s="291" t="s">
        <v>1177</v>
      </c>
      <c r="D1055" s="383">
        <f>SUM(D1025,D1049)</f>
        <v>2512.1999999999998</v>
      </c>
      <c r="E1055" s="367"/>
      <c r="F1055" s="389">
        <v>2765.4500000000007</v>
      </c>
    </row>
    <row r="1056" spans="1:6" s="275" customFormat="1" ht="14" thickTop="1" x14ac:dyDescent="0.15">
      <c r="E1056" s="369"/>
      <c r="F1056" s="278"/>
    </row>
    <row r="1057" spans="1:6" s="295" customFormat="1" x14ac:dyDescent="0.15">
      <c r="A1057" s="370" t="s">
        <v>1299</v>
      </c>
      <c r="B1057" s="371" t="s">
        <v>1269</v>
      </c>
      <c r="C1057" s="371" t="s">
        <v>1270</v>
      </c>
      <c r="D1057" s="371">
        <v>1</v>
      </c>
      <c r="E1057" s="390">
        <v>41869</v>
      </c>
      <c r="F1057" s="391">
        <v>13.63</v>
      </c>
    </row>
    <row r="1058" spans="1:6" s="295" customFormat="1" x14ac:dyDescent="0.15">
      <c r="A1058" s="374" t="s">
        <v>1293</v>
      </c>
      <c r="B1058" s="287" t="s">
        <v>1257</v>
      </c>
      <c r="C1058" s="287" t="s">
        <v>1258</v>
      </c>
      <c r="D1058" s="287">
        <v>74.099999999999994</v>
      </c>
      <c r="E1058" s="380">
        <v>41869</v>
      </c>
      <c r="F1058" s="381">
        <v>95.69</v>
      </c>
    </row>
    <row r="1059" spans="1:6" s="295" customFormat="1" x14ac:dyDescent="0.15">
      <c r="A1059" s="374" t="s">
        <v>1294</v>
      </c>
      <c r="B1059" s="287" t="s">
        <v>1259</v>
      </c>
      <c r="C1059" s="287" t="s">
        <v>1260</v>
      </c>
      <c r="D1059" s="287">
        <v>0</v>
      </c>
      <c r="E1059" s="380">
        <v>41869</v>
      </c>
      <c r="F1059" s="381">
        <v>11.42</v>
      </c>
    </row>
    <row r="1060" spans="1:6" s="295" customFormat="1" x14ac:dyDescent="0.15">
      <c r="A1060" s="374" t="s">
        <v>1296</v>
      </c>
      <c r="B1060" s="287" t="s">
        <v>1278</v>
      </c>
      <c r="C1060" s="287" t="s">
        <v>1264</v>
      </c>
      <c r="D1060" s="287">
        <v>0</v>
      </c>
      <c r="E1060" s="380">
        <v>41869</v>
      </c>
      <c r="F1060" s="381">
        <v>12.51</v>
      </c>
    </row>
    <row r="1061" spans="1:6" s="295" customFormat="1" x14ac:dyDescent="0.15">
      <c r="A1061" s="374" t="s">
        <v>1295</v>
      </c>
      <c r="B1061" s="287" t="s">
        <v>1261</v>
      </c>
      <c r="C1061" s="287" t="s">
        <v>1262</v>
      </c>
      <c r="D1061" s="287">
        <v>46.3</v>
      </c>
      <c r="E1061" s="380">
        <v>41869</v>
      </c>
      <c r="F1061" s="381">
        <v>66.47</v>
      </c>
    </row>
    <row r="1062" spans="1:6" s="295" customFormat="1" x14ac:dyDescent="0.15">
      <c r="A1062" s="374" t="s">
        <v>1301</v>
      </c>
      <c r="B1062" s="287" t="s">
        <v>1286</v>
      </c>
      <c r="C1062" s="287" t="s">
        <v>1287</v>
      </c>
      <c r="D1062" s="287">
        <v>1</v>
      </c>
      <c r="E1062" s="380">
        <v>41869</v>
      </c>
      <c r="F1062" s="381">
        <v>13.63</v>
      </c>
    </row>
    <row r="1063" spans="1:6" s="295" customFormat="1" x14ac:dyDescent="0.15">
      <c r="A1063" s="374" t="s">
        <v>1297</v>
      </c>
      <c r="B1063" s="287" t="s">
        <v>1265</v>
      </c>
      <c r="C1063" s="287" t="s">
        <v>1266</v>
      </c>
      <c r="D1063" s="287">
        <v>17.5</v>
      </c>
      <c r="E1063" s="380">
        <v>41869</v>
      </c>
      <c r="F1063" s="381">
        <v>32.229999999999997</v>
      </c>
    </row>
    <row r="1064" spans="1:6" s="295" customFormat="1" x14ac:dyDescent="0.15">
      <c r="A1064" s="374" t="s">
        <v>1298</v>
      </c>
      <c r="B1064" s="287" t="s">
        <v>1267</v>
      </c>
      <c r="C1064" s="287" t="s">
        <v>1268</v>
      </c>
      <c r="D1064" s="287">
        <v>37.1</v>
      </c>
      <c r="E1064" s="380">
        <v>41869</v>
      </c>
      <c r="F1064" s="381">
        <v>55.53</v>
      </c>
    </row>
    <row r="1065" spans="1:6" s="295" customFormat="1" x14ac:dyDescent="0.15">
      <c r="A1065" s="374" t="s">
        <v>1300</v>
      </c>
      <c r="B1065" s="287" t="s">
        <v>1271</v>
      </c>
      <c r="C1065" s="287" t="s">
        <v>1272</v>
      </c>
      <c r="D1065" s="287">
        <v>44.3</v>
      </c>
      <c r="E1065" s="380">
        <v>41869</v>
      </c>
      <c r="F1065" s="381">
        <v>62.24</v>
      </c>
    </row>
    <row r="1066" spans="1:6" s="295" customFormat="1" x14ac:dyDescent="0.15">
      <c r="A1066" s="374" t="s">
        <v>1290</v>
      </c>
      <c r="B1066" s="287" t="s">
        <v>1291</v>
      </c>
      <c r="C1066" s="287" t="s">
        <v>1277</v>
      </c>
      <c r="D1066" s="287">
        <v>2</v>
      </c>
      <c r="E1066" s="380">
        <v>41869</v>
      </c>
      <c r="F1066" s="381">
        <v>14.76</v>
      </c>
    </row>
    <row r="1067" spans="1:6" s="295" customFormat="1" x14ac:dyDescent="0.15">
      <c r="A1067" s="374" t="s">
        <v>1292</v>
      </c>
      <c r="B1067" s="287" t="s">
        <v>1255</v>
      </c>
      <c r="C1067" s="287" t="s">
        <v>1256</v>
      </c>
      <c r="D1067" s="287">
        <v>203.5</v>
      </c>
      <c r="E1067" s="380">
        <v>41869</v>
      </c>
      <c r="F1067" s="381">
        <v>160.29</v>
      </c>
    </row>
    <row r="1068" spans="1:6" s="295" customFormat="1" x14ac:dyDescent="0.15">
      <c r="A1068" s="374" t="s">
        <v>1312</v>
      </c>
      <c r="B1068" s="287" t="s">
        <v>1313</v>
      </c>
      <c r="C1068" s="287" t="s">
        <v>1313</v>
      </c>
      <c r="D1068" s="287">
        <v>0</v>
      </c>
      <c r="E1068" s="380">
        <v>41869</v>
      </c>
      <c r="F1068" s="381">
        <v>12.51</v>
      </c>
    </row>
    <row r="1069" spans="1:6" s="275" customFormat="1" ht="14" thickBot="1" x14ac:dyDescent="0.2">
      <c r="A1069" s="374"/>
      <c r="B1069" s="287"/>
      <c r="C1069" s="291" t="s">
        <v>115</v>
      </c>
      <c r="D1069" s="394">
        <f>SUM(D1057:D1068)</f>
        <v>426.79999999999995</v>
      </c>
      <c r="E1069" s="384"/>
      <c r="F1069" s="389">
        <v>550.91</v>
      </c>
    </row>
    <row r="1070" spans="1:6" s="275" customFormat="1" ht="14" thickTop="1" x14ac:dyDescent="0.15">
      <c r="A1070" s="374"/>
      <c r="B1070" s="287"/>
      <c r="C1070" s="287"/>
      <c r="D1070" s="287"/>
      <c r="E1070" s="380"/>
      <c r="F1070" s="381"/>
    </row>
    <row r="1071" spans="1:6" s="275" customFormat="1" x14ac:dyDescent="0.15">
      <c r="A1071" s="374"/>
      <c r="B1071" s="287"/>
      <c r="C1071" s="378" t="s">
        <v>1212</v>
      </c>
      <c r="D1071" s="287"/>
      <c r="E1071" s="380"/>
      <c r="F1071" s="381"/>
    </row>
    <row r="1072" spans="1:6" s="275" customFormat="1" x14ac:dyDescent="0.15">
      <c r="A1072" s="374"/>
      <c r="B1072" s="287"/>
      <c r="C1072" s="378" t="s">
        <v>1139</v>
      </c>
      <c r="D1072" s="287"/>
      <c r="E1072" s="380"/>
      <c r="F1072" s="381"/>
    </row>
    <row r="1073" spans="1:6" s="275" customFormat="1" x14ac:dyDescent="0.15">
      <c r="A1073" s="374"/>
      <c r="B1073" s="287"/>
      <c r="C1073" s="386">
        <v>41873</v>
      </c>
      <c r="D1073" s="287"/>
      <c r="E1073" s="380"/>
      <c r="F1073" s="381"/>
    </row>
    <row r="1074" spans="1:6" s="275" customFormat="1" x14ac:dyDescent="0.15">
      <c r="A1074" s="399"/>
      <c r="B1074" s="400"/>
      <c r="C1074" s="400"/>
      <c r="D1074" s="400"/>
      <c r="E1074" s="401"/>
      <c r="F1074" s="402"/>
    </row>
    <row r="1075" spans="1:6" s="295" customFormat="1" x14ac:dyDescent="0.15">
      <c r="A1075" s="370" t="s">
        <v>1302</v>
      </c>
      <c r="B1075" s="371" t="s">
        <v>1226</v>
      </c>
      <c r="C1075" s="371" t="s">
        <v>1227</v>
      </c>
      <c r="D1075" s="371">
        <v>66.900000000000006</v>
      </c>
      <c r="E1075" s="390">
        <v>41884</v>
      </c>
      <c r="F1075" s="391">
        <v>87.6</v>
      </c>
    </row>
    <row r="1076" spans="1:6" s="295" customFormat="1" x14ac:dyDescent="0.15">
      <c r="A1076" s="374" t="s">
        <v>1303</v>
      </c>
      <c r="B1076" s="287" t="s">
        <v>1228</v>
      </c>
      <c r="C1076" s="287" t="s">
        <v>1229</v>
      </c>
      <c r="D1076" s="287">
        <v>0</v>
      </c>
      <c r="E1076" s="380">
        <v>41884</v>
      </c>
      <c r="F1076" s="381">
        <v>32.65</v>
      </c>
    </row>
    <row r="1077" spans="1:6" s="295" customFormat="1" x14ac:dyDescent="0.15">
      <c r="A1077" s="374" t="s">
        <v>1304</v>
      </c>
      <c r="B1077" s="287" t="s">
        <v>1230</v>
      </c>
      <c r="C1077" s="287" t="s">
        <v>1231</v>
      </c>
      <c r="D1077" s="287">
        <v>37.1</v>
      </c>
      <c r="E1077" s="380">
        <v>41884</v>
      </c>
      <c r="F1077" s="381">
        <v>54.16</v>
      </c>
    </row>
    <row r="1078" spans="1:6" s="295" customFormat="1" x14ac:dyDescent="0.15">
      <c r="A1078" s="374" t="s">
        <v>1305</v>
      </c>
      <c r="B1078" s="287" t="s">
        <v>1306</v>
      </c>
      <c r="C1078" s="287" t="s">
        <v>1233</v>
      </c>
      <c r="D1078" s="287">
        <v>608.70000000000005</v>
      </c>
      <c r="E1078" s="380">
        <v>41884</v>
      </c>
      <c r="F1078" s="381">
        <v>436.03</v>
      </c>
    </row>
    <row r="1079" spans="1:6" s="295" customFormat="1" x14ac:dyDescent="0.15">
      <c r="A1079" s="374" t="s">
        <v>1307</v>
      </c>
      <c r="B1079" s="287" t="s">
        <v>1234</v>
      </c>
      <c r="C1079" s="287" t="s">
        <v>500</v>
      </c>
      <c r="D1079" s="287">
        <v>77.2</v>
      </c>
      <c r="E1079" s="380">
        <v>41884</v>
      </c>
      <c r="F1079" s="381">
        <v>99.16</v>
      </c>
    </row>
    <row r="1080" spans="1:6" s="295" customFormat="1" x14ac:dyDescent="0.15">
      <c r="A1080" s="374" t="s">
        <v>1308</v>
      </c>
      <c r="B1080" s="287" t="s">
        <v>1235</v>
      </c>
      <c r="C1080" s="287" t="s">
        <v>1236</v>
      </c>
      <c r="D1080" s="287">
        <v>80.3</v>
      </c>
      <c r="E1080" s="380">
        <v>41884</v>
      </c>
      <c r="F1080" s="381">
        <v>102.65</v>
      </c>
    </row>
    <row r="1081" spans="1:6" s="295" customFormat="1" x14ac:dyDescent="0.15">
      <c r="A1081" s="374" t="s">
        <v>1308</v>
      </c>
      <c r="B1081" s="287" t="s">
        <v>1238</v>
      </c>
      <c r="C1081" s="287" t="s">
        <v>1239</v>
      </c>
      <c r="D1081" s="287">
        <v>59.7</v>
      </c>
      <c r="E1081" s="380">
        <v>41884</v>
      </c>
      <c r="F1081" s="381">
        <v>79.52</v>
      </c>
    </row>
    <row r="1082" spans="1:6" s="295" customFormat="1" x14ac:dyDescent="0.15">
      <c r="A1082" s="374" t="s">
        <v>1309</v>
      </c>
      <c r="B1082" s="287" t="s">
        <v>1240</v>
      </c>
      <c r="C1082" s="287" t="s">
        <v>1241</v>
      </c>
      <c r="D1082" s="287">
        <v>60.8</v>
      </c>
      <c r="E1082" s="380">
        <v>41884</v>
      </c>
      <c r="F1082" s="381">
        <v>80.760000000000005</v>
      </c>
    </row>
    <row r="1083" spans="1:6" s="295" customFormat="1" x14ac:dyDescent="0.15">
      <c r="A1083" s="374" t="s">
        <v>1310</v>
      </c>
      <c r="B1083" s="287" t="s">
        <v>1282</v>
      </c>
      <c r="C1083" s="287" t="s">
        <v>1283</v>
      </c>
      <c r="D1083" s="287">
        <v>69.900000000000006</v>
      </c>
      <c r="E1083" s="380">
        <v>41884</v>
      </c>
      <c r="F1083" s="381">
        <v>90.97</v>
      </c>
    </row>
    <row r="1084" spans="1:6" s="295" customFormat="1" x14ac:dyDescent="0.15">
      <c r="A1084" s="374" t="s">
        <v>1311</v>
      </c>
      <c r="B1084" s="287" t="s">
        <v>1244</v>
      </c>
      <c r="C1084" s="287" t="s">
        <v>1245</v>
      </c>
      <c r="D1084" s="287">
        <v>109.2</v>
      </c>
      <c r="E1084" s="380">
        <v>41884</v>
      </c>
      <c r="F1084" s="381">
        <v>129.97</v>
      </c>
    </row>
    <row r="1085" spans="1:6" s="295" customFormat="1" x14ac:dyDescent="0.15">
      <c r="A1085" s="374" t="s">
        <v>1311</v>
      </c>
      <c r="B1085" s="287" t="s">
        <v>1246</v>
      </c>
      <c r="C1085" s="287" t="s">
        <v>1247</v>
      </c>
      <c r="D1085" s="287">
        <v>58.7</v>
      </c>
      <c r="E1085" s="380">
        <v>41884</v>
      </c>
      <c r="F1085" s="381">
        <v>78.39</v>
      </c>
    </row>
    <row r="1086" spans="1:6" s="295" customFormat="1" x14ac:dyDescent="0.15">
      <c r="A1086" s="374" t="s">
        <v>1311</v>
      </c>
      <c r="B1086" s="287" t="s">
        <v>1248</v>
      </c>
      <c r="C1086" s="287" t="s">
        <v>1249</v>
      </c>
      <c r="D1086" s="287">
        <v>0</v>
      </c>
      <c r="E1086" s="380">
        <v>41884</v>
      </c>
      <c r="F1086" s="381">
        <v>11.42</v>
      </c>
    </row>
    <row r="1087" spans="1:6" s="295" customFormat="1" x14ac:dyDescent="0.15">
      <c r="A1087" s="374" t="s">
        <v>1311</v>
      </c>
      <c r="B1087" s="287" t="s">
        <v>1250</v>
      </c>
      <c r="C1087" s="287" t="s">
        <v>1251</v>
      </c>
      <c r="D1087" s="287">
        <v>0</v>
      </c>
      <c r="E1087" s="380">
        <v>41884</v>
      </c>
      <c r="F1087" s="381">
        <v>12.51</v>
      </c>
    </row>
    <row r="1088" spans="1:6" s="295" customFormat="1" x14ac:dyDescent="0.15">
      <c r="A1088" s="374" t="s">
        <v>1311</v>
      </c>
      <c r="B1088" s="287" t="s">
        <v>1252</v>
      </c>
      <c r="C1088" s="287" t="s">
        <v>1253</v>
      </c>
      <c r="D1088" s="287">
        <v>74.099999999999994</v>
      </c>
      <c r="E1088" s="380">
        <v>41884</v>
      </c>
      <c r="F1088" s="381">
        <v>95.69</v>
      </c>
    </row>
    <row r="1089" spans="1:6" s="295" customFormat="1" x14ac:dyDescent="0.15">
      <c r="A1089" s="374" t="s">
        <v>1311</v>
      </c>
      <c r="B1089" s="287" t="s">
        <v>1275</v>
      </c>
      <c r="C1089" s="287" t="s">
        <v>1276</v>
      </c>
      <c r="D1089" s="397">
        <v>90.6</v>
      </c>
      <c r="E1089" s="380">
        <v>41884</v>
      </c>
      <c r="F1089" s="381">
        <v>114.06</v>
      </c>
    </row>
    <row r="1090" spans="1:6" s="295" customFormat="1" x14ac:dyDescent="0.15">
      <c r="A1090" s="374" t="s">
        <v>1311</v>
      </c>
      <c r="B1090" s="287" t="s">
        <v>1279</v>
      </c>
      <c r="C1090" s="287" t="s">
        <v>1280</v>
      </c>
      <c r="D1090" s="397">
        <v>83.4</v>
      </c>
      <c r="E1090" s="380">
        <v>41884</v>
      </c>
      <c r="F1090" s="381">
        <v>106.12</v>
      </c>
    </row>
    <row r="1091" spans="1:6" s="295" customFormat="1" x14ac:dyDescent="0.15">
      <c r="A1091" s="374" t="s">
        <v>1311</v>
      </c>
      <c r="B1091" s="287" t="s">
        <v>1284</v>
      </c>
      <c r="C1091" s="287" t="s">
        <v>1285</v>
      </c>
      <c r="D1091" s="397">
        <v>9.3000000000000007</v>
      </c>
      <c r="E1091" s="380">
        <v>41884</v>
      </c>
      <c r="F1091" s="381">
        <v>22.48</v>
      </c>
    </row>
    <row r="1092" spans="1:6" s="295" customFormat="1" x14ac:dyDescent="0.15">
      <c r="A1092" s="374" t="s">
        <v>1311</v>
      </c>
      <c r="B1092" s="287" t="s">
        <v>1288</v>
      </c>
      <c r="C1092" s="287" t="s">
        <v>1289</v>
      </c>
      <c r="D1092" s="397">
        <v>0</v>
      </c>
      <c r="E1092" s="403">
        <v>41884</v>
      </c>
      <c r="F1092" s="381">
        <v>12.51</v>
      </c>
    </row>
    <row r="1093" spans="1:6" s="275" customFormat="1" ht="14" thickBot="1" x14ac:dyDescent="0.2">
      <c r="A1093" s="376"/>
      <c r="B1093" s="359"/>
      <c r="C1093" s="291" t="s">
        <v>115</v>
      </c>
      <c r="D1093" s="383">
        <f>SUM(D1075:D1092)</f>
        <v>1485.9</v>
      </c>
      <c r="E1093" s="404"/>
      <c r="F1093" s="389">
        <v>1646.65</v>
      </c>
    </row>
    <row r="1094" spans="1:6" s="275" customFormat="1" ht="14" thickTop="1" x14ac:dyDescent="0.15">
      <c r="A1094" s="376"/>
      <c r="B1094" s="359"/>
      <c r="C1094" s="359"/>
      <c r="D1094" s="287"/>
      <c r="E1094" s="380"/>
      <c r="F1094" s="381"/>
    </row>
    <row r="1095" spans="1:6" s="275" customFormat="1" x14ac:dyDescent="0.15">
      <c r="A1095" s="376"/>
      <c r="B1095" s="359"/>
      <c r="C1095" s="378" t="s">
        <v>1212</v>
      </c>
      <c r="D1095" s="287"/>
      <c r="E1095" s="380"/>
      <c r="F1095" s="381"/>
    </row>
    <row r="1096" spans="1:6" s="275" customFormat="1" x14ac:dyDescent="0.15">
      <c r="A1096" s="376"/>
      <c r="B1096" s="359"/>
      <c r="C1096" s="378" t="s">
        <v>1139</v>
      </c>
      <c r="D1096" s="287"/>
      <c r="E1096" s="380"/>
      <c r="F1096" s="381"/>
    </row>
    <row r="1097" spans="1:6" s="275" customFormat="1" x14ac:dyDescent="0.15">
      <c r="A1097" s="376"/>
      <c r="B1097" s="359"/>
      <c r="C1097" s="386">
        <v>41882</v>
      </c>
      <c r="D1097" s="287"/>
      <c r="E1097" s="380"/>
      <c r="F1097" s="381"/>
    </row>
    <row r="1098" spans="1:6" s="275" customFormat="1" x14ac:dyDescent="0.15">
      <c r="A1098" s="399"/>
      <c r="B1098" s="400"/>
      <c r="C1098" s="400"/>
      <c r="D1098" s="400"/>
      <c r="E1098" s="401"/>
      <c r="F1098" s="402"/>
    </row>
    <row r="1099" spans="1:6" s="275" customFormat="1" ht="14" thickBot="1" x14ac:dyDescent="0.2">
      <c r="A1099" s="387"/>
      <c r="B1099" s="388"/>
      <c r="C1099" s="291" t="s">
        <v>1281</v>
      </c>
      <c r="D1099" s="383">
        <f>SUM(D1069,D1093)</f>
        <v>1912.7</v>
      </c>
      <c r="E1099" s="367"/>
      <c r="F1099" s="389">
        <v>2197.56</v>
      </c>
    </row>
    <row r="1100" spans="1:6" s="275" customFormat="1" ht="14" thickTop="1" x14ac:dyDescent="0.15">
      <c r="E1100" s="369"/>
      <c r="F1100" s="278"/>
    </row>
    <row r="1101" spans="1:6" s="295" customFormat="1" x14ac:dyDescent="0.15">
      <c r="A1101" s="370" t="s">
        <v>1299</v>
      </c>
      <c r="B1101" s="371" t="s">
        <v>1269</v>
      </c>
      <c r="C1101" s="371" t="s">
        <v>1270</v>
      </c>
      <c r="D1101" s="371">
        <v>31.9</v>
      </c>
      <c r="E1101" s="390">
        <v>41899</v>
      </c>
      <c r="F1101" s="391">
        <v>44.93</v>
      </c>
    </row>
    <row r="1102" spans="1:6" s="295" customFormat="1" x14ac:dyDescent="0.15">
      <c r="A1102" s="374" t="s">
        <v>1293</v>
      </c>
      <c r="B1102" s="287" t="s">
        <v>1257</v>
      </c>
      <c r="C1102" s="287" t="s">
        <v>1258</v>
      </c>
      <c r="D1102" s="287">
        <v>109.2</v>
      </c>
      <c r="E1102" s="380">
        <v>41899</v>
      </c>
      <c r="F1102" s="381">
        <v>118.64</v>
      </c>
    </row>
    <row r="1103" spans="1:6" s="295" customFormat="1" x14ac:dyDescent="0.15">
      <c r="A1103" s="374" t="s">
        <v>1294</v>
      </c>
      <c r="B1103" s="287" t="s">
        <v>1259</v>
      </c>
      <c r="C1103" s="287" t="s">
        <v>1260</v>
      </c>
      <c r="D1103" s="287">
        <v>2.1</v>
      </c>
      <c r="E1103" s="380">
        <v>41899</v>
      </c>
      <c r="F1103" s="381">
        <v>13.68</v>
      </c>
    </row>
    <row r="1104" spans="1:6" s="295" customFormat="1" x14ac:dyDescent="0.15">
      <c r="A1104" s="374" t="s">
        <v>1296</v>
      </c>
      <c r="B1104" s="287" t="s">
        <v>1278</v>
      </c>
      <c r="C1104" s="287" t="s">
        <v>1264</v>
      </c>
      <c r="D1104" s="287">
        <v>0</v>
      </c>
      <c r="E1104" s="380">
        <v>41899</v>
      </c>
      <c r="F1104" s="381">
        <v>12.51</v>
      </c>
    </row>
    <row r="1105" spans="1:6" s="295" customFormat="1" x14ac:dyDescent="0.15">
      <c r="A1105" s="374" t="s">
        <v>1295</v>
      </c>
      <c r="B1105" s="287" t="s">
        <v>1261</v>
      </c>
      <c r="C1105" s="287" t="s">
        <v>1262</v>
      </c>
      <c r="D1105" s="287">
        <v>49.4</v>
      </c>
      <c r="E1105" s="380">
        <v>41899</v>
      </c>
      <c r="F1105" s="381">
        <v>64.930000000000007</v>
      </c>
    </row>
    <row r="1106" spans="1:6" s="295" customFormat="1" x14ac:dyDescent="0.15">
      <c r="A1106" s="374" t="s">
        <v>1301</v>
      </c>
      <c r="B1106" s="287" t="s">
        <v>1286</v>
      </c>
      <c r="C1106" s="287" t="s">
        <v>1287</v>
      </c>
      <c r="D1106" s="287">
        <v>5.0999999999999996</v>
      </c>
      <c r="E1106" s="380">
        <v>41899</v>
      </c>
      <c r="F1106" s="381">
        <v>17.579999999999998</v>
      </c>
    </row>
    <row r="1107" spans="1:6" s="295" customFormat="1" x14ac:dyDescent="0.15">
      <c r="A1107" s="374" t="s">
        <v>1297</v>
      </c>
      <c r="B1107" s="287" t="s">
        <v>1265</v>
      </c>
      <c r="C1107" s="287" t="s">
        <v>1266</v>
      </c>
      <c r="D1107" s="287">
        <v>25.7</v>
      </c>
      <c r="E1107" s="380">
        <v>41899</v>
      </c>
      <c r="F1107" s="381">
        <v>39.25</v>
      </c>
    </row>
    <row r="1108" spans="1:6" s="295" customFormat="1" x14ac:dyDescent="0.15">
      <c r="A1108" s="374" t="s">
        <v>1298</v>
      </c>
      <c r="B1108" s="287" t="s">
        <v>1267</v>
      </c>
      <c r="C1108" s="287" t="s">
        <v>1268</v>
      </c>
      <c r="D1108" s="287">
        <v>62.8</v>
      </c>
      <c r="E1108" s="380">
        <v>41899</v>
      </c>
      <c r="F1108" s="381">
        <v>78.69</v>
      </c>
    </row>
    <row r="1109" spans="1:6" s="295" customFormat="1" x14ac:dyDescent="0.15">
      <c r="A1109" s="374" t="s">
        <v>1300</v>
      </c>
      <c r="B1109" s="287" t="s">
        <v>1271</v>
      </c>
      <c r="C1109" s="287" t="s">
        <v>1272</v>
      </c>
      <c r="D1109" s="287">
        <v>49.4</v>
      </c>
      <c r="E1109" s="380">
        <v>41899</v>
      </c>
      <c r="F1109" s="381">
        <v>62.74</v>
      </c>
    </row>
    <row r="1110" spans="1:6" s="295" customFormat="1" x14ac:dyDescent="0.15">
      <c r="A1110" s="374" t="s">
        <v>1290</v>
      </c>
      <c r="B1110" s="287" t="s">
        <v>1291</v>
      </c>
      <c r="C1110" s="287" t="s">
        <v>1277</v>
      </c>
      <c r="D1110" s="287">
        <v>4.2</v>
      </c>
      <c r="E1110" s="380">
        <v>41899</v>
      </c>
      <c r="F1110" s="381">
        <v>16.739999999999998</v>
      </c>
    </row>
    <row r="1111" spans="1:6" s="295" customFormat="1" x14ac:dyDescent="0.15">
      <c r="A1111" s="374" t="s">
        <v>1292</v>
      </c>
      <c r="B1111" s="287" t="s">
        <v>1255</v>
      </c>
      <c r="C1111" s="287" t="s">
        <v>1256</v>
      </c>
      <c r="D1111" s="287">
        <v>204.8</v>
      </c>
      <c r="E1111" s="380">
        <v>41899</v>
      </c>
      <c r="F1111" s="381">
        <v>139.91999999999999</v>
      </c>
    </row>
    <row r="1112" spans="1:6" s="295" customFormat="1" x14ac:dyDescent="0.15">
      <c r="A1112" s="374" t="s">
        <v>1312</v>
      </c>
      <c r="B1112" s="287" t="s">
        <v>1313</v>
      </c>
      <c r="C1112" s="287" t="s">
        <v>1313</v>
      </c>
      <c r="D1112" s="287">
        <v>1</v>
      </c>
      <c r="E1112" s="380">
        <v>41899</v>
      </c>
      <c r="F1112" s="381">
        <v>13.41</v>
      </c>
    </row>
    <row r="1113" spans="1:6" s="295" customFormat="1" x14ac:dyDescent="0.15">
      <c r="A1113" s="374" t="s">
        <v>1314</v>
      </c>
      <c r="B1113" s="287" t="s">
        <v>1315</v>
      </c>
      <c r="C1113" s="287" t="s">
        <v>1316</v>
      </c>
      <c r="D1113" s="287">
        <v>0</v>
      </c>
      <c r="E1113" s="380">
        <v>41900</v>
      </c>
      <c r="F1113" s="381">
        <v>42.53</v>
      </c>
    </row>
    <row r="1114" spans="1:6" s="275" customFormat="1" ht="14" thickBot="1" x14ac:dyDescent="0.2">
      <c r="A1114" s="374"/>
      <c r="B1114" s="287"/>
      <c r="C1114" s="291" t="s">
        <v>115</v>
      </c>
      <c r="D1114" s="394">
        <f>SUM(D1101:D1113)</f>
        <v>545.59999999999991</v>
      </c>
      <c r="E1114" s="384"/>
      <c r="F1114" s="389">
        <v>665.55</v>
      </c>
    </row>
    <row r="1115" spans="1:6" s="275" customFormat="1" ht="14" thickTop="1" x14ac:dyDescent="0.15">
      <c r="A1115" s="374"/>
      <c r="B1115" s="287"/>
      <c r="C1115" s="287"/>
      <c r="D1115" s="287"/>
      <c r="E1115" s="380"/>
      <c r="F1115" s="381"/>
    </row>
    <row r="1116" spans="1:6" s="275" customFormat="1" x14ac:dyDescent="0.15">
      <c r="A1116" s="374"/>
      <c r="B1116" s="287"/>
      <c r="C1116" s="378" t="s">
        <v>1212</v>
      </c>
      <c r="D1116" s="287"/>
      <c r="E1116" s="380"/>
      <c r="F1116" s="381"/>
    </row>
    <row r="1117" spans="1:6" s="275" customFormat="1" x14ac:dyDescent="0.15">
      <c r="A1117" s="374"/>
      <c r="B1117" s="287"/>
      <c r="C1117" s="378" t="s">
        <v>1139</v>
      </c>
      <c r="D1117" s="287"/>
      <c r="E1117" s="380"/>
      <c r="F1117" s="381"/>
    </row>
    <row r="1118" spans="1:6" s="275" customFormat="1" x14ac:dyDescent="0.15">
      <c r="A1118" s="374"/>
      <c r="B1118" s="287"/>
      <c r="C1118" s="386">
        <v>41906</v>
      </c>
      <c r="D1118" s="287"/>
      <c r="E1118" s="380"/>
      <c r="F1118" s="381"/>
    </row>
    <row r="1119" spans="1:6" s="275" customFormat="1" x14ac:dyDescent="0.15">
      <c r="A1119" s="399"/>
      <c r="B1119" s="400"/>
      <c r="C1119" s="400"/>
      <c r="D1119" s="400"/>
      <c r="E1119" s="401"/>
      <c r="F1119" s="402"/>
    </row>
    <row r="1120" spans="1:6" s="295" customFormat="1" x14ac:dyDescent="0.15">
      <c r="A1120" s="370" t="s">
        <v>1302</v>
      </c>
      <c r="B1120" s="371" t="s">
        <v>1226</v>
      </c>
      <c r="C1120" s="371" t="s">
        <v>1227</v>
      </c>
      <c r="D1120" s="371">
        <v>212.1</v>
      </c>
      <c r="E1120" s="390">
        <v>41913</v>
      </c>
      <c r="F1120" s="391">
        <v>179.14</v>
      </c>
    </row>
    <row r="1121" spans="1:6" s="295" customFormat="1" x14ac:dyDescent="0.15">
      <c r="A1121" s="374" t="s">
        <v>1303</v>
      </c>
      <c r="B1121" s="287" t="s">
        <v>1228</v>
      </c>
      <c r="C1121" s="287" t="s">
        <v>1229</v>
      </c>
      <c r="D1121" s="287">
        <v>54.6</v>
      </c>
      <c r="E1121" s="380">
        <v>41913</v>
      </c>
      <c r="F1121" s="381">
        <v>56.69</v>
      </c>
    </row>
    <row r="1122" spans="1:6" s="295" customFormat="1" x14ac:dyDescent="0.15">
      <c r="A1122" s="374" t="s">
        <v>1304</v>
      </c>
      <c r="B1122" s="287" t="s">
        <v>1230</v>
      </c>
      <c r="C1122" s="287" t="s">
        <v>1231</v>
      </c>
      <c r="D1122" s="287">
        <v>130.80000000000001</v>
      </c>
      <c r="E1122" s="380">
        <v>41913</v>
      </c>
      <c r="F1122" s="381">
        <v>124.45</v>
      </c>
    </row>
    <row r="1123" spans="1:6" s="295" customFormat="1" x14ac:dyDescent="0.15">
      <c r="A1123" s="374" t="s">
        <v>1305</v>
      </c>
      <c r="B1123" s="287" t="s">
        <v>1306</v>
      </c>
      <c r="C1123" s="287" t="s">
        <v>1233</v>
      </c>
      <c r="D1123" s="287">
        <v>1358.3</v>
      </c>
      <c r="E1123" s="380">
        <v>41913</v>
      </c>
      <c r="F1123" s="381">
        <v>658.66</v>
      </c>
    </row>
    <row r="1124" spans="1:6" s="295" customFormat="1" x14ac:dyDescent="0.15">
      <c r="A1124" s="374" t="s">
        <v>1307</v>
      </c>
      <c r="B1124" s="287" t="s">
        <v>1234</v>
      </c>
      <c r="C1124" s="287" t="s">
        <v>500</v>
      </c>
      <c r="D1124" s="287">
        <v>200.8</v>
      </c>
      <c r="E1124" s="380">
        <v>41913</v>
      </c>
      <c r="F1124" s="381">
        <v>171.5</v>
      </c>
    </row>
    <row r="1125" spans="1:6" s="295" customFormat="1" x14ac:dyDescent="0.15">
      <c r="A1125" s="374" t="s">
        <v>1308</v>
      </c>
      <c r="B1125" s="287" t="s">
        <v>1235</v>
      </c>
      <c r="C1125" s="287" t="s">
        <v>1236</v>
      </c>
      <c r="D1125" s="287">
        <v>250.2</v>
      </c>
      <c r="E1125" s="380">
        <v>41913</v>
      </c>
      <c r="F1125" s="381">
        <v>204.73</v>
      </c>
    </row>
    <row r="1126" spans="1:6" s="295" customFormat="1" x14ac:dyDescent="0.15">
      <c r="A1126" s="374" t="s">
        <v>1308</v>
      </c>
      <c r="B1126" s="287" t="s">
        <v>1238</v>
      </c>
      <c r="C1126" s="287" t="s">
        <v>1239</v>
      </c>
      <c r="D1126" s="287">
        <v>166.8</v>
      </c>
      <c r="E1126" s="380">
        <v>41913</v>
      </c>
      <c r="F1126" s="381">
        <v>148.72999999999999</v>
      </c>
    </row>
    <row r="1127" spans="1:6" s="295" customFormat="1" x14ac:dyDescent="0.15">
      <c r="A1127" s="374" t="s">
        <v>1309</v>
      </c>
      <c r="B1127" s="287" t="s">
        <v>1240</v>
      </c>
      <c r="C1127" s="287" t="s">
        <v>1241</v>
      </c>
      <c r="D1127" s="287">
        <v>153.4</v>
      </c>
      <c r="E1127" s="380">
        <v>41913</v>
      </c>
      <c r="F1127" s="381">
        <v>139.51</v>
      </c>
    </row>
    <row r="1128" spans="1:6" s="295" customFormat="1" x14ac:dyDescent="0.15">
      <c r="A1128" s="374" t="s">
        <v>1310</v>
      </c>
      <c r="B1128" s="287" t="s">
        <v>1282</v>
      </c>
      <c r="C1128" s="287" t="s">
        <v>1283</v>
      </c>
      <c r="D1128" s="287">
        <v>307.10000000000002</v>
      </c>
      <c r="E1128" s="380">
        <v>41913</v>
      </c>
      <c r="F1128" s="381">
        <v>243.14</v>
      </c>
    </row>
    <row r="1129" spans="1:6" s="295" customFormat="1" x14ac:dyDescent="0.15">
      <c r="A1129" s="374" t="s">
        <v>1311</v>
      </c>
      <c r="B1129" s="287" t="s">
        <v>1244</v>
      </c>
      <c r="C1129" s="287" t="s">
        <v>1245</v>
      </c>
      <c r="D1129" s="287">
        <v>147.30000000000001</v>
      </c>
      <c r="E1129" s="380">
        <v>41913</v>
      </c>
      <c r="F1129" s="381">
        <v>147.21</v>
      </c>
    </row>
    <row r="1130" spans="1:6" s="295" customFormat="1" x14ac:dyDescent="0.15">
      <c r="A1130" s="374" t="s">
        <v>1311</v>
      </c>
      <c r="B1130" s="287" t="s">
        <v>1246</v>
      </c>
      <c r="C1130" s="287" t="s">
        <v>1247</v>
      </c>
      <c r="D1130" s="287">
        <v>208</v>
      </c>
      <c r="E1130" s="380">
        <v>41913</v>
      </c>
      <c r="F1130" s="381">
        <v>176.3</v>
      </c>
    </row>
    <row r="1131" spans="1:6" s="295" customFormat="1" x14ac:dyDescent="0.15">
      <c r="A1131" s="374" t="s">
        <v>1311</v>
      </c>
      <c r="B1131" s="287" t="s">
        <v>1248</v>
      </c>
      <c r="C1131" s="287" t="s">
        <v>1249</v>
      </c>
      <c r="D1131" s="287">
        <v>22.7</v>
      </c>
      <c r="E1131" s="380">
        <v>41913</v>
      </c>
      <c r="F1131" s="381">
        <v>34.090000000000003</v>
      </c>
    </row>
    <row r="1132" spans="1:6" s="295" customFormat="1" x14ac:dyDescent="0.15">
      <c r="A1132" s="374" t="s">
        <v>1311</v>
      </c>
      <c r="B1132" s="287" t="s">
        <v>1250</v>
      </c>
      <c r="C1132" s="287" t="s">
        <v>1251</v>
      </c>
      <c r="D1132" s="287">
        <v>1</v>
      </c>
      <c r="E1132" s="380">
        <v>41913</v>
      </c>
      <c r="F1132" s="381">
        <v>13.41</v>
      </c>
    </row>
    <row r="1133" spans="1:6" s="295" customFormat="1" x14ac:dyDescent="0.15">
      <c r="A1133" s="374" t="s">
        <v>1311</v>
      </c>
      <c r="B1133" s="287" t="s">
        <v>1252</v>
      </c>
      <c r="C1133" s="287" t="s">
        <v>1253</v>
      </c>
      <c r="D1133" s="287">
        <v>105</v>
      </c>
      <c r="E1133" s="380">
        <v>41913</v>
      </c>
      <c r="F1133" s="381">
        <v>115.51</v>
      </c>
    </row>
    <row r="1134" spans="1:6" s="295" customFormat="1" x14ac:dyDescent="0.15">
      <c r="A1134" s="374" t="s">
        <v>1311</v>
      </c>
      <c r="B1134" s="287" t="s">
        <v>1275</v>
      </c>
      <c r="C1134" s="287" t="s">
        <v>1276</v>
      </c>
      <c r="D1134" s="397">
        <v>123.6</v>
      </c>
      <c r="E1134" s="380">
        <v>41913</v>
      </c>
      <c r="F1134" s="381">
        <v>129.4</v>
      </c>
    </row>
    <row r="1135" spans="1:6" s="295" customFormat="1" x14ac:dyDescent="0.15">
      <c r="A1135" s="374" t="s">
        <v>1311</v>
      </c>
      <c r="B1135" s="287" t="s">
        <v>1279</v>
      </c>
      <c r="C1135" s="287" t="s">
        <v>1280</v>
      </c>
      <c r="D1135" s="397">
        <v>176.1</v>
      </c>
      <c r="E1135" s="380">
        <v>41913</v>
      </c>
      <c r="F1135" s="381">
        <v>168.92</v>
      </c>
    </row>
    <row r="1136" spans="1:6" s="295" customFormat="1" x14ac:dyDescent="0.15">
      <c r="A1136" s="374" t="s">
        <v>1311</v>
      </c>
      <c r="B1136" s="287" t="s">
        <v>1284</v>
      </c>
      <c r="C1136" s="287" t="s">
        <v>1285</v>
      </c>
      <c r="D1136" s="397">
        <v>12.4</v>
      </c>
      <c r="E1136" s="380">
        <v>41913</v>
      </c>
      <c r="F1136" s="381">
        <v>24.79</v>
      </c>
    </row>
    <row r="1137" spans="1:6" s="295" customFormat="1" x14ac:dyDescent="0.15">
      <c r="A1137" s="374" t="s">
        <v>1311</v>
      </c>
      <c r="B1137" s="287" t="s">
        <v>1288</v>
      </c>
      <c r="C1137" s="287" t="s">
        <v>1289</v>
      </c>
      <c r="D1137" s="397">
        <v>28.8</v>
      </c>
      <c r="E1137" s="403">
        <v>41913</v>
      </c>
      <c r="F1137" s="381">
        <v>39.4</v>
      </c>
    </row>
    <row r="1138" spans="1:6" s="275" customFormat="1" ht="14" thickBot="1" x14ac:dyDescent="0.2">
      <c r="A1138" s="376"/>
      <c r="B1138" s="359"/>
      <c r="C1138" s="291" t="s">
        <v>115</v>
      </c>
      <c r="D1138" s="383">
        <f>SUM(D1120:D1137)</f>
        <v>3659</v>
      </c>
      <c r="E1138" s="404"/>
      <c r="F1138" s="389">
        <v>2775.58</v>
      </c>
    </row>
    <row r="1139" spans="1:6" s="275" customFormat="1" ht="14" thickTop="1" x14ac:dyDescent="0.15">
      <c r="A1139" s="376"/>
      <c r="B1139" s="359"/>
      <c r="C1139" s="359"/>
      <c r="D1139" s="287"/>
      <c r="E1139" s="380"/>
      <c r="F1139" s="381"/>
    </row>
    <row r="1140" spans="1:6" s="275" customFormat="1" x14ac:dyDescent="0.15">
      <c r="A1140" s="376"/>
      <c r="B1140" s="359"/>
      <c r="C1140" s="378" t="s">
        <v>1212</v>
      </c>
      <c r="D1140" s="287"/>
      <c r="E1140" s="380"/>
      <c r="F1140" s="381"/>
    </row>
    <row r="1141" spans="1:6" s="275" customFormat="1" x14ac:dyDescent="0.15">
      <c r="A1141" s="376"/>
      <c r="B1141" s="359"/>
      <c r="C1141" s="378" t="s">
        <v>1139</v>
      </c>
      <c r="D1141" s="287"/>
      <c r="E1141" s="380"/>
      <c r="F1141" s="381"/>
    </row>
    <row r="1142" spans="1:6" s="275" customFormat="1" x14ac:dyDescent="0.15">
      <c r="A1142" s="376"/>
      <c r="B1142" s="359"/>
      <c r="C1142" s="386">
        <v>41912</v>
      </c>
      <c r="D1142" s="287"/>
      <c r="E1142" s="380"/>
      <c r="F1142" s="381"/>
    </row>
    <row r="1143" spans="1:6" s="275" customFormat="1" x14ac:dyDescent="0.15">
      <c r="A1143" s="399"/>
      <c r="B1143" s="400"/>
      <c r="C1143" s="400"/>
      <c r="D1143" s="400"/>
      <c r="E1143" s="401"/>
      <c r="F1143" s="402"/>
    </row>
    <row r="1144" spans="1:6" s="275" customFormat="1" ht="14" thickBot="1" x14ac:dyDescent="0.2">
      <c r="A1144" s="387"/>
      <c r="B1144" s="388"/>
      <c r="C1144" s="291" t="s">
        <v>1317</v>
      </c>
      <c r="D1144" s="383">
        <f>SUM(D1114,D1138)</f>
        <v>4204.6000000000004</v>
      </c>
      <c r="E1144" s="367"/>
      <c r="F1144" s="389">
        <v>3441.13</v>
      </c>
    </row>
    <row r="1145" spans="1:6" s="275" customFormat="1" ht="14" thickTop="1" x14ac:dyDescent="0.15">
      <c r="E1145" s="369"/>
      <c r="F1145" s="278"/>
    </row>
    <row r="1146" spans="1:6" s="295" customFormat="1" x14ac:dyDescent="0.15">
      <c r="A1146" s="370" t="s">
        <v>1299</v>
      </c>
      <c r="B1146" s="371" t="s">
        <v>1269</v>
      </c>
      <c r="C1146" s="371" t="s">
        <v>1270</v>
      </c>
      <c r="D1146" s="371">
        <v>160.6</v>
      </c>
      <c r="E1146" s="390">
        <v>41929</v>
      </c>
      <c r="F1146" s="391">
        <v>138.66999999999999</v>
      </c>
    </row>
    <row r="1147" spans="1:6" s="295" customFormat="1" x14ac:dyDescent="0.15">
      <c r="A1147" s="374" t="s">
        <v>1293</v>
      </c>
      <c r="B1147" s="287" t="s">
        <v>1257</v>
      </c>
      <c r="C1147" s="287" t="s">
        <v>1258</v>
      </c>
      <c r="D1147" s="287">
        <v>284.2</v>
      </c>
      <c r="E1147" s="380">
        <v>41929</v>
      </c>
      <c r="F1147" s="381">
        <v>217.31</v>
      </c>
    </row>
    <row r="1148" spans="1:6" s="295" customFormat="1" x14ac:dyDescent="0.15">
      <c r="A1148" s="374" t="s">
        <v>1294</v>
      </c>
      <c r="B1148" s="287" t="s">
        <v>1259</v>
      </c>
      <c r="C1148" s="287" t="s">
        <v>1260</v>
      </c>
      <c r="D1148" s="287">
        <v>23.7</v>
      </c>
      <c r="E1148" s="380">
        <v>41929</v>
      </c>
      <c r="F1148" s="381">
        <v>34.380000000000003</v>
      </c>
    </row>
    <row r="1149" spans="1:6" s="295" customFormat="1" x14ac:dyDescent="0.15">
      <c r="A1149" s="374" t="s">
        <v>1296</v>
      </c>
      <c r="B1149" s="287" t="s">
        <v>1278</v>
      </c>
      <c r="C1149" s="287" t="s">
        <v>1264</v>
      </c>
      <c r="D1149" s="287">
        <v>146.19999999999999</v>
      </c>
      <c r="E1149" s="380">
        <v>41929</v>
      </c>
      <c r="F1149" s="381">
        <v>129.5</v>
      </c>
    </row>
    <row r="1150" spans="1:6" s="295" customFormat="1" x14ac:dyDescent="0.15">
      <c r="A1150" s="374" t="s">
        <v>1295</v>
      </c>
      <c r="B1150" s="287" t="s">
        <v>1261</v>
      </c>
      <c r="C1150" s="287" t="s">
        <v>1262</v>
      </c>
      <c r="D1150" s="287">
        <v>107.1</v>
      </c>
      <c r="E1150" s="380">
        <v>41929</v>
      </c>
      <c r="F1150" s="381">
        <v>101.51</v>
      </c>
    </row>
    <row r="1151" spans="1:6" s="295" customFormat="1" x14ac:dyDescent="0.15">
      <c r="A1151" s="374" t="s">
        <v>1301</v>
      </c>
      <c r="B1151" s="287" t="s">
        <v>1286</v>
      </c>
      <c r="C1151" s="287" t="s">
        <v>1287</v>
      </c>
      <c r="D1151" s="287">
        <v>23.7</v>
      </c>
      <c r="E1151" s="380">
        <v>41929</v>
      </c>
      <c r="F1151" s="381">
        <v>33.9</v>
      </c>
    </row>
    <row r="1152" spans="1:6" s="295" customFormat="1" x14ac:dyDescent="0.15">
      <c r="A1152" s="374" t="s">
        <v>1297</v>
      </c>
      <c r="B1152" s="287" t="s">
        <v>1265</v>
      </c>
      <c r="C1152" s="287" t="s">
        <v>1266</v>
      </c>
      <c r="D1152" s="287">
        <v>81.400000000000006</v>
      </c>
      <c r="E1152" s="380">
        <v>41929</v>
      </c>
      <c r="F1152" s="381">
        <v>84.07</v>
      </c>
    </row>
    <row r="1153" spans="1:6" s="295" customFormat="1" x14ac:dyDescent="0.15">
      <c r="A1153" s="374" t="s">
        <v>1298</v>
      </c>
      <c r="B1153" s="287" t="s">
        <v>1267</v>
      </c>
      <c r="C1153" s="287" t="s">
        <v>1268</v>
      </c>
      <c r="D1153" s="287">
        <v>174</v>
      </c>
      <c r="E1153" s="380">
        <v>41929</v>
      </c>
      <c r="F1153" s="381">
        <v>146.9</v>
      </c>
    </row>
    <row r="1154" spans="1:6" s="295" customFormat="1" x14ac:dyDescent="0.15">
      <c r="A1154" s="374" t="s">
        <v>1300</v>
      </c>
      <c r="B1154" s="287" t="s">
        <v>1271</v>
      </c>
      <c r="C1154" s="287" t="s">
        <v>1272</v>
      </c>
      <c r="D1154" s="287">
        <v>142.1</v>
      </c>
      <c r="E1154" s="380">
        <v>41929</v>
      </c>
      <c r="F1154" s="381">
        <v>126.9</v>
      </c>
    </row>
    <row r="1155" spans="1:6" s="295" customFormat="1" x14ac:dyDescent="0.15">
      <c r="A1155" s="374" t="s">
        <v>1290</v>
      </c>
      <c r="B1155" s="287" t="s">
        <v>1291</v>
      </c>
      <c r="C1155" s="287" t="s">
        <v>1277</v>
      </c>
      <c r="D1155" s="287">
        <v>41.1</v>
      </c>
      <c r="E1155" s="380">
        <v>41929</v>
      </c>
      <c r="F1155" s="381">
        <v>49.61</v>
      </c>
    </row>
    <row r="1156" spans="1:6" s="295" customFormat="1" x14ac:dyDescent="0.15">
      <c r="A1156" s="374" t="s">
        <v>1292</v>
      </c>
      <c r="B1156" s="287" t="s">
        <v>1255</v>
      </c>
      <c r="C1156" s="287" t="s">
        <v>1256</v>
      </c>
      <c r="D1156" s="287">
        <v>821.8</v>
      </c>
      <c r="E1156" s="380">
        <v>41929</v>
      </c>
      <c r="F1156" s="381">
        <v>367.29</v>
      </c>
    </row>
    <row r="1157" spans="1:6" s="295" customFormat="1" x14ac:dyDescent="0.15">
      <c r="A1157" s="374" t="s">
        <v>1312</v>
      </c>
      <c r="B1157" s="287" t="s">
        <v>1313</v>
      </c>
      <c r="C1157" s="287" t="s">
        <v>1313</v>
      </c>
      <c r="D1157" s="287">
        <v>19.600000000000001</v>
      </c>
      <c r="E1157" s="380">
        <v>41929</v>
      </c>
      <c r="F1157" s="381">
        <v>30.2</v>
      </c>
    </row>
    <row r="1158" spans="1:6" s="295" customFormat="1" x14ac:dyDescent="0.15">
      <c r="A1158" s="374" t="s">
        <v>1314</v>
      </c>
      <c r="B1158" s="287" t="s">
        <v>1315</v>
      </c>
      <c r="C1158" s="287" t="s">
        <v>1316</v>
      </c>
      <c r="D1158" s="287">
        <v>20.6</v>
      </c>
      <c r="E1158" s="380">
        <v>41929</v>
      </c>
      <c r="F1158" s="381">
        <v>32.03</v>
      </c>
    </row>
    <row r="1159" spans="1:6" s="275" customFormat="1" ht="14" thickBot="1" x14ac:dyDescent="0.2">
      <c r="A1159" s="374"/>
      <c r="B1159" s="287"/>
      <c r="C1159" s="291" t="s">
        <v>115</v>
      </c>
      <c r="D1159" s="394">
        <f>SUM(D1146:D1158)</f>
        <v>2046.0999999999997</v>
      </c>
      <c r="E1159" s="384"/>
      <c r="F1159" s="389">
        <v>1492.27</v>
      </c>
    </row>
    <row r="1160" spans="1:6" s="275" customFormat="1" ht="14" thickTop="1" x14ac:dyDescent="0.15">
      <c r="A1160" s="374"/>
      <c r="B1160" s="287"/>
      <c r="C1160" s="287"/>
      <c r="D1160" s="287"/>
      <c r="E1160" s="380"/>
      <c r="F1160" s="381"/>
    </row>
    <row r="1161" spans="1:6" s="275" customFormat="1" x14ac:dyDescent="0.15">
      <c r="A1161" s="374"/>
      <c r="B1161" s="287"/>
      <c r="C1161" s="378" t="s">
        <v>1212</v>
      </c>
      <c r="D1161" s="287"/>
      <c r="E1161" s="380"/>
      <c r="F1161" s="381"/>
    </row>
    <row r="1162" spans="1:6" s="275" customFormat="1" x14ac:dyDescent="0.15">
      <c r="A1162" s="374"/>
      <c r="B1162" s="287"/>
      <c r="C1162" s="378" t="s">
        <v>1139</v>
      </c>
      <c r="D1162" s="287"/>
      <c r="E1162" s="380"/>
      <c r="F1162" s="381"/>
    </row>
    <row r="1163" spans="1:6" s="275" customFormat="1" x14ac:dyDescent="0.15">
      <c r="A1163" s="374"/>
      <c r="B1163" s="287"/>
      <c r="C1163" s="386">
        <v>41933</v>
      </c>
      <c r="D1163" s="287"/>
      <c r="E1163" s="380"/>
      <c r="F1163" s="381"/>
    </row>
    <row r="1164" spans="1:6" s="275" customFormat="1" x14ac:dyDescent="0.15">
      <c r="A1164" s="399"/>
      <c r="B1164" s="400"/>
      <c r="C1164" s="400"/>
      <c r="D1164" s="400"/>
      <c r="E1164" s="401"/>
      <c r="F1164" s="402"/>
    </row>
    <row r="1165" spans="1:6" s="295" customFormat="1" x14ac:dyDescent="0.15">
      <c r="A1165" s="370" t="s">
        <v>1302</v>
      </c>
      <c r="B1165" s="371" t="s">
        <v>1226</v>
      </c>
      <c r="C1165" s="371" t="s">
        <v>1227</v>
      </c>
      <c r="D1165" s="371">
        <v>430.5</v>
      </c>
      <c r="E1165" s="390">
        <v>41946</v>
      </c>
      <c r="F1165" s="391">
        <v>310.39999999999998</v>
      </c>
    </row>
    <row r="1166" spans="1:6" s="295" customFormat="1" x14ac:dyDescent="0.15">
      <c r="A1166" s="374" t="s">
        <v>1303</v>
      </c>
      <c r="B1166" s="287" t="s">
        <v>1228</v>
      </c>
      <c r="C1166" s="287" t="s">
        <v>1229</v>
      </c>
      <c r="D1166" s="287">
        <v>332.7</v>
      </c>
      <c r="E1166" s="380">
        <v>41946</v>
      </c>
      <c r="F1166" s="381">
        <v>168.12</v>
      </c>
    </row>
    <row r="1167" spans="1:6" s="295" customFormat="1" x14ac:dyDescent="0.15">
      <c r="A1167" s="374" t="s">
        <v>1304</v>
      </c>
      <c r="B1167" s="287" t="s">
        <v>1230</v>
      </c>
      <c r="C1167" s="287" t="s">
        <v>1231</v>
      </c>
      <c r="D1167" s="287">
        <v>262.60000000000002</v>
      </c>
      <c r="E1167" s="380">
        <v>41946</v>
      </c>
      <c r="F1167" s="381">
        <v>203.57</v>
      </c>
    </row>
    <row r="1168" spans="1:6" s="295" customFormat="1" x14ac:dyDescent="0.15">
      <c r="A1168" s="374" t="s">
        <v>1305</v>
      </c>
      <c r="B1168" s="287" t="s">
        <v>1306</v>
      </c>
      <c r="C1168" s="287" t="s">
        <v>1233</v>
      </c>
      <c r="D1168" s="287">
        <v>1485.1</v>
      </c>
      <c r="E1168" s="380">
        <v>41946</v>
      </c>
      <c r="F1168" s="381">
        <v>657.44</v>
      </c>
    </row>
    <row r="1169" spans="1:6" s="295" customFormat="1" x14ac:dyDescent="0.15">
      <c r="A1169" s="374" t="s">
        <v>1307</v>
      </c>
      <c r="B1169" s="287" t="s">
        <v>1234</v>
      </c>
      <c r="C1169" s="287" t="s">
        <v>500</v>
      </c>
      <c r="D1169" s="287">
        <v>655</v>
      </c>
      <c r="E1169" s="380">
        <v>41946</v>
      </c>
      <c r="F1169" s="381">
        <v>453.25</v>
      </c>
    </row>
    <row r="1170" spans="1:6" s="295" customFormat="1" x14ac:dyDescent="0.15">
      <c r="A1170" s="374" t="s">
        <v>1308</v>
      </c>
      <c r="B1170" s="287" t="s">
        <v>1235</v>
      </c>
      <c r="C1170" s="287" t="s">
        <v>1236</v>
      </c>
      <c r="D1170" s="287">
        <v>629.29999999999995</v>
      </c>
      <c r="E1170" s="380">
        <v>41946</v>
      </c>
      <c r="F1170" s="381">
        <v>436.9</v>
      </c>
    </row>
    <row r="1171" spans="1:6" s="295" customFormat="1" x14ac:dyDescent="0.15">
      <c r="A1171" s="374" t="s">
        <v>1308</v>
      </c>
      <c r="B1171" s="287" t="s">
        <v>1238</v>
      </c>
      <c r="C1171" s="287" t="s">
        <v>1239</v>
      </c>
      <c r="D1171" s="287">
        <v>427.4</v>
      </c>
      <c r="E1171" s="380">
        <v>41946</v>
      </c>
      <c r="F1171" s="381">
        <v>308.42</v>
      </c>
    </row>
    <row r="1172" spans="1:6" s="295" customFormat="1" x14ac:dyDescent="0.15">
      <c r="A1172" s="374" t="s">
        <v>1309</v>
      </c>
      <c r="B1172" s="287" t="s">
        <v>1240</v>
      </c>
      <c r="C1172" s="287" t="s">
        <v>1241</v>
      </c>
      <c r="D1172" s="287">
        <v>345</v>
      </c>
      <c r="E1172" s="380">
        <v>41946</v>
      </c>
      <c r="F1172" s="381">
        <v>256</v>
      </c>
    </row>
    <row r="1173" spans="1:6" s="295" customFormat="1" x14ac:dyDescent="0.15">
      <c r="A1173" s="374" t="s">
        <v>1310</v>
      </c>
      <c r="B1173" s="287" t="s">
        <v>1282</v>
      </c>
      <c r="C1173" s="287" t="s">
        <v>1283</v>
      </c>
      <c r="D1173" s="287">
        <v>421.4</v>
      </c>
      <c r="E1173" s="380">
        <v>41946</v>
      </c>
      <c r="F1173" s="381">
        <v>304.61</v>
      </c>
    </row>
    <row r="1174" spans="1:6" s="295" customFormat="1" x14ac:dyDescent="0.15">
      <c r="A1174" s="374" t="s">
        <v>1311</v>
      </c>
      <c r="B1174" s="287" t="s">
        <v>1244</v>
      </c>
      <c r="C1174" s="287" t="s">
        <v>1245</v>
      </c>
      <c r="D1174" s="287">
        <v>330.6</v>
      </c>
      <c r="E1174" s="380">
        <v>41946</v>
      </c>
      <c r="F1174" s="381">
        <v>246.84</v>
      </c>
    </row>
    <row r="1175" spans="1:6" s="295" customFormat="1" x14ac:dyDescent="0.15">
      <c r="A1175" s="374" t="s">
        <v>1311</v>
      </c>
      <c r="B1175" s="287" t="s">
        <v>1246</v>
      </c>
      <c r="C1175" s="287" t="s">
        <v>1247</v>
      </c>
      <c r="D1175" s="287">
        <v>386.2</v>
      </c>
      <c r="E1175" s="380">
        <v>41946</v>
      </c>
      <c r="F1175" s="381">
        <v>282.20999999999998</v>
      </c>
    </row>
    <row r="1176" spans="1:6" s="295" customFormat="1" x14ac:dyDescent="0.15">
      <c r="A1176" s="374" t="s">
        <v>1311</v>
      </c>
      <c r="B1176" s="287" t="s">
        <v>1248</v>
      </c>
      <c r="C1176" s="287" t="s">
        <v>1249</v>
      </c>
      <c r="D1176" s="287">
        <v>75.2</v>
      </c>
      <c r="E1176" s="380">
        <v>41946</v>
      </c>
      <c r="F1176" s="381">
        <v>79.86</v>
      </c>
    </row>
    <row r="1177" spans="1:6" s="295" customFormat="1" x14ac:dyDescent="0.15">
      <c r="A1177" s="374" t="s">
        <v>1311</v>
      </c>
      <c r="B1177" s="287" t="s">
        <v>1250</v>
      </c>
      <c r="C1177" s="287" t="s">
        <v>1251</v>
      </c>
      <c r="D1177" s="287">
        <v>9.3000000000000007</v>
      </c>
      <c r="E1177" s="380">
        <v>41946</v>
      </c>
      <c r="F1177" s="381">
        <v>20.91</v>
      </c>
    </row>
    <row r="1178" spans="1:6" s="295" customFormat="1" x14ac:dyDescent="0.15">
      <c r="A1178" s="374" t="s">
        <v>1311</v>
      </c>
      <c r="B1178" s="287" t="s">
        <v>1252</v>
      </c>
      <c r="C1178" s="287" t="s">
        <v>1253</v>
      </c>
      <c r="D1178" s="287">
        <v>217.3</v>
      </c>
      <c r="E1178" s="380">
        <v>41946</v>
      </c>
      <c r="F1178" s="381">
        <v>174.74</v>
      </c>
    </row>
    <row r="1179" spans="1:6" s="295" customFormat="1" x14ac:dyDescent="0.15">
      <c r="A1179" s="374" t="s">
        <v>1311</v>
      </c>
      <c r="B1179" s="287" t="s">
        <v>1275</v>
      </c>
      <c r="C1179" s="287" t="s">
        <v>1276</v>
      </c>
      <c r="D1179" s="397">
        <v>352.2</v>
      </c>
      <c r="E1179" s="380">
        <v>41946</v>
      </c>
      <c r="F1179" s="381">
        <v>260.58</v>
      </c>
    </row>
    <row r="1180" spans="1:6" s="295" customFormat="1" x14ac:dyDescent="0.15">
      <c r="A1180" s="374" t="s">
        <v>1311</v>
      </c>
      <c r="B1180" s="287" t="s">
        <v>1279</v>
      </c>
      <c r="C1180" s="287" t="s">
        <v>1280</v>
      </c>
      <c r="D1180" s="397">
        <v>279.10000000000002</v>
      </c>
      <c r="E1180" s="380">
        <v>41946</v>
      </c>
      <c r="F1180" s="381">
        <v>214.07</v>
      </c>
    </row>
    <row r="1181" spans="1:6" s="295" customFormat="1" x14ac:dyDescent="0.15">
      <c r="A1181" s="374" t="s">
        <v>1311</v>
      </c>
      <c r="B1181" s="287" t="s">
        <v>1284</v>
      </c>
      <c r="C1181" s="287" t="s">
        <v>1285</v>
      </c>
      <c r="D1181" s="397">
        <v>46.3</v>
      </c>
      <c r="E1181" s="380">
        <v>41946</v>
      </c>
      <c r="F1181" s="381">
        <v>56.28</v>
      </c>
    </row>
    <row r="1182" spans="1:6" s="295" customFormat="1" x14ac:dyDescent="0.15">
      <c r="A1182" s="374" t="s">
        <v>1311</v>
      </c>
      <c r="B1182" s="287" t="s">
        <v>1288</v>
      </c>
      <c r="C1182" s="287" t="s">
        <v>1289</v>
      </c>
      <c r="D1182" s="397">
        <v>124.6</v>
      </c>
      <c r="E1182" s="403">
        <v>41946</v>
      </c>
      <c r="F1182" s="381">
        <v>115.76</v>
      </c>
    </row>
    <row r="1183" spans="1:6" s="275" customFormat="1" ht="14" thickBot="1" x14ac:dyDescent="0.2">
      <c r="A1183" s="376"/>
      <c r="B1183" s="359"/>
      <c r="C1183" s="291" t="s">
        <v>115</v>
      </c>
      <c r="D1183" s="383">
        <f>SUM(D1165:D1182)</f>
        <v>6809.8</v>
      </c>
      <c r="E1183" s="404"/>
      <c r="F1183" s="389">
        <v>4549.96</v>
      </c>
    </row>
    <row r="1184" spans="1:6" s="275" customFormat="1" ht="14" thickTop="1" x14ac:dyDescent="0.15">
      <c r="A1184" s="376"/>
      <c r="B1184" s="359"/>
      <c r="C1184" s="359"/>
      <c r="D1184" s="287"/>
      <c r="E1184" s="380"/>
      <c r="F1184" s="381"/>
    </row>
    <row r="1185" spans="1:6" s="275" customFormat="1" x14ac:dyDescent="0.15">
      <c r="A1185" s="376"/>
      <c r="B1185" s="359"/>
      <c r="C1185" s="378" t="s">
        <v>1212</v>
      </c>
      <c r="D1185" s="287"/>
      <c r="E1185" s="380"/>
      <c r="F1185" s="381"/>
    </row>
    <row r="1186" spans="1:6" s="275" customFormat="1" x14ac:dyDescent="0.15">
      <c r="A1186" s="376"/>
      <c r="B1186" s="359"/>
      <c r="C1186" s="378" t="s">
        <v>1139</v>
      </c>
      <c r="D1186" s="287"/>
      <c r="E1186" s="380"/>
      <c r="F1186" s="381"/>
    </row>
    <row r="1187" spans="1:6" s="275" customFormat="1" x14ac:dyDescent="0.15">
      <c r="A1187" s="376"/>
      <c r="B1187" s="359"/>
      <c r="C1187" s="386">
        <v>41943</v>
      </c>
      <c r="D1187" s="287"/>
      <c r="E1187" s="380"/>
      <c r="F1187" s="381"/>
    </row>
    <row r="1188" spans="1:6" s="275" customFormat="1" x14ac:dyDescent="0.15">
      <c r="A1188" s="399"/>
      <c r="B1188" s="400"/>
      <c r="C1188" s="400"/>
      <c r="D1188" s="400"/>
      <c r="E1188" s="401"/>
      <c r="F1188" s="402"/>
    </row>
    <row r="1189" spans="1:6" s="275" customFormat="1" ht="14" thickBot="1" x14ac:dyDescent="0.2">
      <c r="A1189" s="387"/>
      <c r="B1189" s="388"/>
      <c r="C1189" s="291" t="s">
        <v>1154</v>
      </c>
      <c r="D1189" s="383">
        <f>SUM(D1159,D1183)</f>
        <v>8855.9</v>
      </c>
      <c r="E1189" s="367"/>
      <c r="F1189" s="389">
        <v>6042.23</v>
      </c>
    </row>
    <row r="1190" spans="1:6" s="275" customFormat="1" ht="14" thickTop="1" x14ac:dyDescent="0.15">
      <c r="E1190" s="369"/>
      <c r="F1190" s="278"/>
    </row>
    <row r="1191" spans="1:6" s="295" customFormat="1" x14ac:dyDescent="0.15">
      <c r="A1191" s="370" t="s">
        <v>1299</v>
      </c>
      <c r="B1191" s="371" t="s">
        <v>1269</v>
      </c>
      <c r="C1191" s="371" t="s">
        <v>1270</v>
      </c>
      <c r="D1191" s="371">
        <v>363.5</v>
      </c>
      <c r="E1191" s="390">
        <v>41962</v>
      </c>
      <c r="F1191" s="391">
        <v>357.73</v>
      </c>
    </row>
    <row r="1192" spans="1:6" s="295" customFormat="1" x14ac:dyDescent="0.15">
      <c r="A1192" s="374" t="s">
        <v>1293</v>
      </c>
      <c r="B1192" s="287" t="s">
        <v>1257</v>
      </c>
      <c r="C1192" s="287" t="s">
        <v>1258</v>
      </c>
      <c r="D1192" s="287">
        <v>526.1</v>
      </c>
      <c r="E1192" s="380">
        <v>41962</v>
      </c>
      <c r="F1192" s="381">
        <v>501.7</v>
      </c>
    </row>
    <row r="1193" spans="1:6" s="295" customFormat="1" x14ac:dyDescent="0.15">
      <c r="A1193" s="374" t="s">
        <v>1294</v>
      </c>
      <c r="B1193" s="287" t="s">
        <v>1259</v>
      </c>
      <c r="C1193" s="287" t="s">
        <v>1260</v>
      </c>
      <c r="D1193" s="287">
        <v>129.69999999999999</v>
      </c>
      <c r="E1193" s="380">
        <v>41962</v>
      </c>
      <c r="F1193" s="381">
        <v>149.22999999999999</v>
      </c>
    </row>
    <row r="1194" spans="1:6" s="295" customFormat="1" x14ac:dyDescent="0.15">
      <c r="A1194" s="374" t="s">
        <v>1296</v>
      </c>
      <c r="B1194" s="287" t="s">
        <v>1278</v>
      </c>
      <c r="C1194" s="287" t="s">
        <v>1264</v>
      </c>
      <c r="D1194" s="287">
        <v>381</v>
      </c>
      <c r="E1194" s="380">
        <v>41962</v>
      </c>
      <c r="F1194" s="381">
        <v>373.32</v>
      </c>
    </row>
    <row r="1195" spans="1:6" s="295" customFormat="1" x14ac:dyDescent="0.15">
      <c r="A1195" s="374" t="s">
        <v>1295</v>
      </c>
      <c r="B1195" s="287" t="s">
        <v>1261</v>
      </c>
      <c r="C1195" s="287" t="s">
        <v>1262</v>
      </c>
      <c r="D1195" s="287">
        <v>256.39999999999998</v>
      </c>
      <c r="E1195" s="380">
        <v>41962</v>
      </c>
      <c r="F1195" s="381">
        <v>267.08999999999997</v>
      </c>
    </row>
    <row r="1196" spans="1:6" s="295" customFormat="1" x14ac:dyDescent="0.15">
      <c r="A1196" s="374" t="s">
        <v>1301</v>
      </c>
      <c r="B1196" s="287" t="s">
        <v>1286</v>
      </c>
      <c r="C1196" s="287" t="s">
        <v>1287</v>
      </c>
      <c r="D1196" s="287">
        <v>116.3</v>
      </c>
      <c r="E1196" s="380">
        <v>41964</v>
      </c>
      <c r="F1196" s="381">
        <v>139.62</v>
      </c>
    </row>
    <row r="1197" spans="1:6" s="295" customFormat="1" x14ac:dyDescent="0.15">
      <c r="A1197" s="374" t="s">
        <v>1297</v>
      </c>
      <c r="B1197" s="287" t="s">
        <v>1265</v>
      </c>
      <c r="C1197" s="287" t="s">
        <v>1266</v>
      </c>
      <c r="D1197" s="287">
        <v>222.4</v>
      </c>
      <c r="E1197" s="380">
        <v>41962</v>
      </c>
      <c r="F1197" s="381">
        <v>235.54</v>
      </c>
    </row>
    <row r="1198" spans="1:6" s="295" customFormat="1" x14ac:dyDescent="0.15">
      <c r="A1198" s="374" t="s">
        <v>1298</v>
      </c>
      <c r="B1198" s="287" t="s">
        <v>1267</v>
      </c>
      <c r="C1198" s="287" t="s">
        <v>1268</v>
      </c>
      <c r="D1198" s="287">
        <v>444.8</v>
      </c>
      <c r="E1198" s="380">
        <v>41962</v>
      </c>
      <c r="F1198" s="381">
        <v>441.77</v>
      </c>
    </row>
    <row r="1199" spans="1:6" s="295" customFormat="1" x14ac:dyDescent="0.15">
      <c r="A1199" s="374" t="s">
        <v>1300</v>
      </c>
      <c r="B1199" s="287" t="s">
        <v>1271</v>
      </c>
      <c r="C1199" s="287" t="s">
        <v>1272</v>
      </c>
      <c r="D1199" s="287">
        <v>388.2</v>
      </c>
      <c r="E1199" s="380">
        <v>41962</v>
      </c>
      <c r="F1199" s="381">
        <v>379.86</v>
      </c>
    </row>
    <row r="1200" spans="1:6" s="295" customFormat="1" x14ac:dyDescent="0.15">
      <c r="A1200" s="374" t="s">
        <v>1290</v>
      </c>
      <c r="B1200" s="287" t="s">
        <v>1291</v>
      </c>
      <c r="C1200" s="287" t="s">
        <v>1277</v>
      </c>
      <c r="D1200" s="287">
        <v>573.4</v>
      </c>
      <c r="E1200" s="380">
        <v>41962</v>
      </c>
      <c r="F1200" s="381">
        <v>543.4</v>
      </c>
    </row>
    <row r="1201" spans="1:6" s="295" customFormat="1" x14ac:dyDescent="0.15">
      <c r="A1201" s="374" t="s">
        <v>1292</v>
      </c>
      <c r="B1201" s="287" t="s">
        <v>1255</v>
      </c>
      <c r="C1201" s="287" t="s">
        <v>1256</v>
      </c>
      <c r="D1201" s="287">
        <v>1509.2</v>
      </c>
      <c r="E1201" s="380">
        <v>41962</v>
      </c>
      <c r="F1201" s="381">
        <v>1199.5899999999999</v>
      </c>
    </row>
    <row r="1202" spans="1:6" s="295" customFormat="1" x14ac:dyDescent="0.15">
      <c r="A1202" s="374" t="s">
        <v>1312</v>
      </c>
      <c r="B1202" s="287" t="s">
        <v>1313</v>
      </c>
      <c r="C1202" s="287" t="s">
        <v>1313</v>
      </c>
      <c r="D1202" s="287">
        <v>311</v>
      </c>
      <c r="E1202" s="380">
        <v>41962</v>
      </c>
      <c r="F1202" s="381">
        <v>311.5</v>
      </c>
    </row>
    <row r="1203" spans="1:6" s="295" customFormat="1" x14ac:dyDescent="0.15">
      <c r="A1203" s="374" t="s">
        <v>1314</v>
      </c>
      <c r="B1203" s="287" t="s">
        <v>1315</v>
      </c>
      <c r="C1203" s="287" t="s">
        <v>1316</v>
      </c>
      <c r="D1203" s="287">
        <v>110.2</v>
      </c>
      <c r="E1203" s="380">
        <v>41964</v>
      </c>
      <c r="F1203" s="381">
        <v>143.47999999999999</v>
      </c>
    </row>
    <row r="1204" spans="1:6" s="275" customFormat="1" ht="14" thickBot="1" x14ac:dyDescent="0.2">
      <c r="A1204" s="374"/>
      <c r="B1204" s="287"/>
      <c r="C1204" s="291" t="s">
        <v>115</v>
      </c>
      <c r="D1204" s="394">
        <f>SUM(D1191:D1203)</f>
        <v>5332.2</v>
      </c>
      <c r="E1204" s="384"/>
      <c r="F1204" s="389">
        <v>5043.83</v>
      </c>
    </row>
    <row r="1205" spans="1:6" s="275" customFormat="1" ht="14" thickTop="1" x14ac:dyDescent="0.15">
      <c r="A1205" s="374"/>
      <c r="B1205" s="287"/>
      <c r="C1205" s="287"/>
      <c r="D1205" s="287"/>
      <c r="E1205" s="380"/>
      <c r="F1205" s="381"/>
    </row>
    <row r="1206" spans="1:6" s="275" customFormat="1" x14ac:dyDescent="0.15">
      <c r="A1206" s="374"/>
      <c r="B1206" s="287"/>
      <c r="C1206" s="378" t="s">
        <v>1212</v>
      </c>
      <c r="D1206" s="287"/>
      <c r="E1206" s="380"/>
      <c r="F1206" s="381"/>
    </row>
    <row r="1207" spans="1:6" s="275" customFormat="1" x14ac:dyDescent="0.15">
      <c r="A1207" s="374"/>
      <c r="B1207" s="287"/>
      <c r="C1207" s="378" t="s">
        <v>1139</v>
      </c>
      <c r="D1207" s="287"/>
      <c r="E1207" s="380"/>
      <c r="F1207" s="381"/>
    </row>
    <row r="1208" spans="1:6" s="275" customFormat="1" x14ac:dyDescent="0.15">
      <c r="A1208" s="374"/>
      <c r="B1208" s="287"/>
      <c r="C1208" s="386">
        <v>41969</v>
      </c>
      <c r="D1208" s="287"/>
      <c r="E1208" s="380"/>
      <c r="F1208" s="381"/>
    </row>
    <row r="1209" spans="1:6" s="275" customFormat="1" x14ac:dyDescent="0.15">
      <c r="A1209" s="399"/>
      <c r="B1209" s="400"/>
      <c r="C1209" s="400"/>
      <c r="D1209" s="400"/>
      <c r="E1209" s="401"/>
      <c r="F1209" s="402"/>
    </row>
    <row r="1210" spans="1:6" s="295" customFormat="1" x14ac:dyDescent="0.15">
      <c r="A1210" s="370" t="s">
        <v>1302</v>
      </c>
      <c r="B1210" s="371" t="s">
        <v>1226</v>
      </c>
      <c r="C1210" s="371" t="s">
        <v>1227</v>
      </c>
      <c r="D1210" s="371">
        <v>865.6</v>
      </c>
      <c r="E1210" s="390">
        <v>41974</v>
      </c>
      <c r="F1210" s="391">
        <v>958.3</v>
      </c>
    </row>
    <row r="1211" spans="1:6" s="295" customFormat="1" x14ac:dyDescent="0.15">
      <c r="A1211" s="374" t="s">
        <v>1303</v>
      </c>
      <c r="B1211" s="287" t="s">
        <v>1228</v>
      </c>
      <c r="C1211" s="287" t="s">
        <v>1229</v>
      </c>
      <c r="D1211" s="287">
        <v>847</v>
      </c>
      <c r="E1211" s="380">
        <v>41974</v>
      </c>
      <c r="F1211" s="381">
        <v>914.3</v>
      </c>
    </row>
    <row r="1212" spans="1:6" s="295" customFormat="1" x14ac:dyDescent="0.15">
      <c r="A1212" s="374" t="s">
        <v>1304</v>
      </c>
      <c r="B1212" s="287" t="s">
        <v>1230</v>
      </c>
      <c r="C1212" s="287" t="s">
        <v>1231</v>
      </c>
      <c r="D1212" s="287">
        <v>541.4</v>
      </c>
      <c r="E1212" s="380">
        <v>41974</v>
      </c>
      <c r="F1212" s="381">
        <v>613.19000000000005</v>
      </c>
    </row>
    <row r="1213" spans="1:6" s="295" customFormat="1" x14ac:dyDescent="0.15">
      <c r="A1213" s="374" t="s">
        <v>1305</v>
      </c>
      <c r="B1213" s="287" t="s">
        <v>1306</v>
      </c>
      <c r="C1213" s="287" t="s">
        <v>1233</v>
      </c>
      <c r="D1213" s="287">
        <v>1249.5</v>
      </c>
      <c r="E1213" s="380">
        <v>41974</v>
      </c>
      <c r="F1213" s="381">
        <v>1200.6199999999999</v>
      </c>
    </row>
    <row r="1214" spans="1:6" s="295" customFormat="1" x14ac:dyDescent="0.15">
      <c r="A1214" s="374" t="s">
        <v>1307</v>
      </c>
      <c r="B1214" s="287" t="s">
        <v>1234</v>
      </c>
      <c r="C1214" s="287" t="s">
        <v>500</v>
      </c>
      <c r="D1214" s="287">
        <v>981.9</v>
      </c>
      <c r="E1214" s="380">
        <v>41974</v>
      </c>
      <c r="F1214" s="381">
        <v>1082.17</v>
      </c>
    </row>
    <row r="1215" spans="1:6" s="295" customFormat="1" x14ac:dyDescent="0.15">
      <c r="A1215" s="374" t="s">
        <v>1308</v>
      </c>
      <c r="B1215" s="287" t="s">
        <v>1235</v>
      </c>
      <c r="C1215" s="287" t="s">
        <v>1236</v>
      </c>
      <c r="D1215" s="287">
        <v>1058</v>
      </c>
      <c r="E1215" s="380">
        <v>41974</v>
      </c>
      <c r="F1215" s="381">
        <v>1163.18</v>
      </c>
    </row>
    <row r="1216" spans="1:6" s="295" customFormat="1" x14ac:dyDescent="0.15">
      <c r="A1216" s="374" t="s">
        <v>1308</v>
      </c>
      <c r="B1216" s="287" t="s">
        <v>1238</v>
      </c>
      <c r="C1216" s="287" t="s">
        <v>1239</v>
      </c>
      <c r="D1216" s="287">
        <v>770.9</v>
      </c>
      <c r="E1216" s="380">
        <v>41974</v>
      </c>
      <c r="F1216" s="381">
        <v>857.53</v>
      </c>
    </row>
    <row r="1217" spans="1:6" s="295" customFormat="1" x14ac:dyDescent="0.15">
      <c r="A1217" s="374" t="s">
        <v>1309</v>
      </c>
      <c r="B1217" s="287" t="s">
        <v>1240</v>
      </c>
      <c r="C1217" s="287" t="s">
        <v>1241</v>
      </c>
      <c r="D1217" s="287">
        <v>647.4</v>
      </c>
      <c r="E1217" s="380">
        <v>41974</v>
      </c>
      <c r="F1217" s="381">
        <v>726.05</v>
      </c>
    </row>
    <row r="1218" spans="1:6" s="295" customFormat="1" x14ac:dyDescent="0.15">
      <c r="A1218" s="374" t="s">
        <v>1310</v>
      </c>
      <c r="B1218" s="287" t="s">
        <v>1282</v>
      </c>
      <c r="C1218" s="287" t="s">
        <v>1283</v>
      </c>
      <c r="D1218" s="287">
        <v>755.2</v>
      </c>
      <c r="E1218" s="380">
        <v>41974</v>
      </c>
      <c r="F1218" s="381">
        <v>841.01</v>
      </c>
    </row>
    <row r="1219" spans="1:6" s="295" customFormat="1" x14ac:dyDescent="0.15">
      <c r="A1219" s="374" t="s">
        <v>1311</v>
      </c>
      <c r="B1219" s="287" t="s">
        <v>1244</v>
      </c>
      <c r="C1219" s="287" t="s">
        <v>1245</v>
      </c>
      <c r="D1219" s="287">
        <v>769.1</v>
      </c>
      <c r="E1219" s="380">
        <v>41974</v>
      </c>
      <c r="F1219" s="381">
        <v>716.13</v>
      </c>
    </row>
    <row r="1220" spans="1:6" s="295" customFormat="1" x14ac:dyDescent="0.15">
      <c r="A1220" s="374" t="s">
        <v>1311</v>
      </c>
      <c r="B1220" s="287" t="s">
        <v>1246</v>
      </c>
      <c r="C1220" s="287" t="s">
        <v>1247</v>
      </c>
      <c r="D1220" s="287">
        <v>708.1</v>
      </c>
      <c r="E1220" s="380">
        <v>41975</v>
      </c>
      <c r="F1220" s="381">
        <v>790.88</v>
      </c>
    </row>
    <row r="1221" spans="1:6" s="295" customFormat="1" x14ac:dyDescent="0.15">
      <c r="A1221" s="374" t="s">
        <v>1311</v>
      </c>
      <c r="B1221" s="287" t="s">
        <v>1248</v>
      </c>
      <c r="C1221" s="287" t="s">
        <v>1249</v>
      </c>
      <c r="D1221" s="287">
        <v>144.1</v>
      </c>
      <c r="E1221" s="380">
        <v>41975</v>
      </c>
      <c r="F1221" s="381">
        <v>188.9</v>
      </c>
    </row>
    <row r="1222" spans="1:6" s="295" customFormat="1" x14ac:dyDescent="0.15">
      <c r="A1222" s="374" t="s">
        <v>1311</v>
      </c>
      <c r="B1222" s="287" t="s">
        <v>1250</v>
      </c>
      <c r="C1222" s="287" t="s">
        <v>1251</v>
      </c>
      <c r="D1222" s="287">
        <v>36</v>
      </c>
      <c r="E1222" s="380">
        <v>41975</v>
      </c>
      <c r="F1222" s="381">
        <v>54.36</v>
      </c>
    </row>
    <row r="1223" spans="1:6" s="295" customFormat="1" x14ac:dyDescent="0.15">
      <c r="A1223" s="374" t="s">
        <v>1311</v>
      </c>
      <c r="B1223" s="287" t="s">
        <v>1252</v>
      </c>
      <c r="C1223" s="287" t="s">
        <v>1253</v>
      </c>
      <c r="D1223" s="287">
        <v>723.8</v>
      </c>
      <c r="E1223" s="380">
        <v>41975</v>
      </c>
      <c r="F1223" s="381">
        <v>676.41</v>
      </c>
    </row>
    <row r="1224" spans="1:6" s="295" customFormat="1" x14ac:dyDescent="0.15">
      <c r="A1224" s="374" t="s">
        <v>1311</v>
      </c>
      <c r="B1224" s="287" t="s">
        <v>1275</v>
      </c>
      <c r="C1224" s="287" t="s">
        <v>1276</v>
      </c>
      <c r="D1224" s="397">
        <v>759.9</v>
      </c>
      <c r="E1224" s="380">
        <v>41975</v>
      </c>
      <c r="F1224" s="381">
        <v>708.31</v>
      </c>
    </row>
    <row r="1225" spans="1:6" s="295" customFormat="1" x14ac:dyDescent="0.15">
      <c r="A1225" s="374" t="s">
        <v>1311</v>
      </c>
      <c r="B1225" s="287" t="s">
        <v>1279</v>
      </c>
      <c r="C1225" s="287" t="s">
        <v>1280</v>
      </c>
      <c r="D1225" s="397">
        <v>506.6</v>
      </c>
      <c r="E1225" s="380">
        <v>41975</v>
      </c>
      <c r="F1225" s="381">
        <v>484.35</v>
      </c>
    </row>
    <row r="1226" spans="1:6" s="295" customFormat="1" x14ac:dyDescent="0.15">
      <c r="A1226" s="374" t="s">
        <v>1311</v>
      </c>
      <c r="B1226" s="287" t="s">
        <v>1284</v>
      </c>
      <c r="C1226" s="287" t="s">
        <v>1285</v>
      </c>
      <c r="D1226" s="397">
        <v>153.4</v>
      </c>
      <c r="E1226" s="380">
        <v>41975</v>
      </c>
      <c r="F1226" s="381">
        <v>171.31</v>
      </c>
    </row>
    <row r="1227" spans="1:6" s="295" customFormat="1" x14ac:dyDescent="0.15">
      <c r="A1227" s="374" t="s">
        <v>1311</v>
      </c>
      <c r="B1227" s="287" t="s">
        <v>1288</v>
      </c>
      <c r="C1227" s="287" t="s">
        <v>1289</v>
      </c>
      <c r="D1227" s="397">
        <v>357.1</v>
      </c>
      <c r="E1227" s="403">
        <v>41975</v>
      </c>
      <c r="F1227" s="381">
        <v>416.82</v>
      </c>
    </row>
    <row r="1228" spans="1:6" s="275" customFormat="1" ht="14" thickBot="1" x14ac:dyDescent="0.2">
      <c r="A1228" s="376"/>
      <c r="B1228" s="359"/>
      <c r="C1228" s="291" t="s">
        <v>115</v>
      </c>
      <c r="D1228" s="383">
        <f>SUM(D1210:D1227)</f>
        <v>11874.999999999998</v>
      </c>
      <c r="E1228" s="404"/>
      <c r="F1228" s="389">
        <v>12563.820000000002</v>
      </c>
    </row>
    <row r="1229" spans="1:6" s="275" customFormat="1" ht="14" thickTop="1" x14ac:dyDescent="0.15">
      <c r="A1229" s="376"/>
      <c r="B1229" s="359"/>
      <c r="C1229" s="359"/>
      <c r="D1229" s="287"/>
      <c r="E1229" s="380"/>
      <c r="F1229" s="381"/>
    </row>
    <row r="1230" spans="1:6" s="275" customFormat="1" x14ac:dyDescent="0.15">
      <c r="A1230" s="376"/>
      <c r="B1230" s="359"/>
      <c r="C1230" s="378" t="s">
        <v>1212</v>
      </c>
      <c r="D1230" s="287"/>
      <c r="E1230" s="380"/>
      <c r="F1230" s="381"/>
    </row>
    <row r="1231" spans="1:6" s="275" customFormat="1" x14ac:dyDescent="0.15">
      <c r="A1231" s="376"/>
      <c r="B1231" s="359"/>
      <c r="C1231" s="378" t="s">
        <v>1139</v>
      </c>
      <c r="D1231" s="287"/>
      <c r="E1231" s="380"/>
      <c r="F1231" s="381"/>
    </row>
    <row r="1232" spans="1:6" s="275" customFormat="1" x14ac:dyDescent="0.15">
      <c r="A1232" s="376"/>
      <c r="B1232" s="359"/>
      <c r="C1232" s="386">
        <v>41973</v>
      </c>
      <c r="D1232" s="287"/>
      <c r="E1232" s="380"/>
      <c r="F1232" s="381"/>
    </row>
    <row r="1233" spans="1:6" s="275" customFormat="1" x14ac:dyDescent="0.15">
      <c r="A1233" s="399"/>
      <c r="B1233" s="400"/>
      <c r="C1233" s="400"/>
      <c r="D1233" s="400"/>
      <c r="E1233" s="401"/>
      <c r="F1233" s="402"/>
    </row>
    <row r="1234" spans="1:6" s="275" customFormat="1" ht="14" thickBot="1" x14ac:dyDescent="0.2">
      <c r="A1234" s="387"/>
      <c r="B1234" s="388"/>
      <c r="C1234" s="291" t="s">
        <v>1164</v>
      </c>
      <c r="D1234" s="383">
        <f>SUM(D1204,D1228)</f>
        <v>17207.199999999997</v>
      </c>
      <c r="E1234" s="367"/>
      <c r="F1234" s="389">
        <v>17607.650000000001</v>
      </c>
    </row>
    <row r="1235" spans="1:6" s="275" customFormat="1" ht="14" thickTop="1" x14ac:dyDescent="0.15">
      <c r="E1235" s="369"/>
      <c r="F1235" s="278"/>
    </row>
    <row r="1236" spans="1:6" s="295" customFormat="1" x14ac:dyDescent="0.15">
      <c r="A1236" s="370" t="s">
        <v>1299</v>
      </c>
      <c r="B1236" s="371" t="s">
        <v>1269</v>
      </c>
      <c r="C1236" s="371" t="s">
        <v>1270</v>
      </c>
      <c r="D1236" s="371">
        <v>534.9</v>
      </c>
      <c r="E1236" s="390">
        <v>41990</v>
      </c>
      <c r="F1236" s="391">
        <v>633.59</v>
      </c>
    </row>
    <row r="1237" spans="1:6" s="295" customFormat="1" x14ac:dyDescent="0.15">
      <c r="A1237" s="374" t="s">
        <v>1293</v>
      </c>
      <c r="B1237" s="287" t="s">
        <v>1257</v>
      </c>
      <c r="C1237" s="287" t="s">
        <v>1258</v>
      </c>
      <c r="D1237" s="287">
        <v>744.7</v>
      </c>
      <c r="E1237" s="380">
        <v>41990</v>
      </c>
      <c r="F1237" s="381">
        <v>867.78</v>
      </c>
    </row>
    <row r="1238" spans="1:6" s="295" customFormat="1" x14ac:dyDescent="0.15">
      <c r="A1238" s="374" t="s">
        <v>1294</v>
      </c>
      <c r="B1238" s="287" t="s">
        <v>1259</v>
      </c>
      <c r="C1238" s="287" t="s">
        <v>1260</v>
      </c>
      <c r="D1238" s="287">
        <v>297.3</v>
      </c>
      <c r="E1238" s="380">
        <v>41990</v>
      </c>
      <c r="F1238" s="381">
        <v>374.45</v>
      </c>
    </row>
    <row r="1239" spans="1:6" s="295" customFormat="1" x14ac:dyDescent="0.15">
      <c r="A1239" s="374" t="s">
        <v>1296</v>
      </c>
      <c r="B1239" s="287" t="s">
        <v>1278</v>
      </c>
      <c r="C1239" s="287" t="s">
        <v>1264</v>
      </c>
      <c r="D1239" s="287">
        <v>591.5</v>
      </c>
      <c r="E1239" s="380">
        <v>41990</v>
      </c>
      <c r="F1239" s="381">
        <v>696.76</v>
      </c>
    </row>
    <row r="1240" spans="1:6" s="295" customFormat="1" x14ac:dyDescent="0.15">
      <c r="A1240" s="374" t="s">
        <v>1295</v>
      </c>
      <c r="B1240" s="287" t="s">
        <v>1261</v>
      </c>
      <c r="C1240" s="287" t="s">
        <v>1262</v>
      </c>
      <c r="D1240" s="287">
        <v>439.2</v>
      </c>
      <c r="E1240" s="380">
        <v>41990</v>
      </c>
      <c r="F1240" s="381">
        <v>539.41</v>
      </c>
    </row>
    <row r="1241" spans="1:6" s="295" customFormat="1" x14ac:dyDescent="0.15">
      <c r="A1241" s="374" t="s">
        <v>1301</v>
      </c>
      <c r="B1241" s="287" t="s">
        <v>1286</v>
      </c>
      <c r="C1241" s="287" t="s">
        <v>1287</v>
      </c>
      <c r="D1241" s="287">
        <v>268.5</v>
      </c>
      <c r="E1241" s="380">
        <v>41990</v>
      </c>
      <c r="F1241" s="381">
        <v>336.2</v>
      </c>
    </row>
    <row r="1242" spans="1:6" s="295" customFormat="1" x14ac:dyDescent="0.15">
      <c r="A1242" s="374" t="s">
        <v>1297</v>
      </c>
      <c r="B1242" s="287" t="s">
        <v>1265</v>
      </c>
      <c r="C1242" s="287" t="s">
        <v>1266</v>
      </c>
      <c r="D1242" s="287">
        <v>342.5</v>
      </c>
      <c r="E1242" s="380">
        <v>41990</v>
      </c>
      <c r="F1242" s="381">
        <v>427</v>
      </c>
    </row>
    <row r="1243" spans="1:6" s="295" customFormat="1" x14ac:dyDescent="0.15">
      <c r="A1243" s="374" t="s">
        <v>1298</v>
      </c>
      <c r="B1243" s="287" t="s">
        <v>1267</v>
      </c>
      <c r="C1243" s="287" t="s">
        <v>1268</v>
      </c>
      <c r="D1243" s="287">
        <v>682</v>
      </c>
      <c r="E1243" s="380">
        <v>41990</v>
      </c>
      <c r="F1243" s="381">
        <v>821.66</v>
      </c>
    </row>
    <row r="1244" spans="1:6" s="295" customFormat="1" x14ac:dyDescent="0.15">
      <c r="A1244" s="374" t="s">
        <v>1300</v>
      </c>
      <c r="B1244" s="287" t="s">
        <v>1271</v>
      </c>
      <c r="C1244" s="287" t="s">
        <v>1272</v>
      </c>
      <c r="D1244" s="287">
        <v>605.9</v>
      </c>
      <c r="E1244" s="380">
        <v>41990</v>
      </c>
      <c r="F1244" s="381">
        <v>712.84</v>
      </c>
    </row>
    <row r="1245" spans="1:6" s="295" customFormat="1" x14ac:dyDescent="0.15">
      <c r="A1245" s="374" t="s">
        <v>1290</v>
      </c>
      <c r="B1245" s="287" t="s">
        <v>1291</v>
      </c>
      <c r="C1245" s="287" t="s">
        <v>1277</v>
      </c>
      <c r="D1245" s="287">
        <v>1016.3</v>
      </c>
      <c r="E1245" s="380">
        <v>41990</v>
      </c>
      <c r="F1245" s="381">
        <v>1170.97</v>
      </c>
    </row>
    <row r="1246" spans="1:6" s="295" customFormat="1" x14ac:dyDescent="0.15">
      <c r="A1246" s="374" t="s">
        <v>1292</v>
      </c>
      <c r="B1246" s="287" t="s">
        <v>1255</v>
      </c>
      <c r="C1246" s="287" t="s">
        <v>1256</v>
      </c>
      <c r="D1246" s="287">
        <v>2070.1</v>
      </c>
      <c r="E1246" s="380">
        <v>41990</v>
      </c>
      <c r="F1246" s="381">
        <v>2344.54</v>
      </c>
    </row>
    <row r="1247" spans="1:6" s="295" customFormat="1" x14ac:dyDescent="0.15">
      <c r="A1247" s="374" t="s">
        <v>1312</v>
      </c>
      <c r="B1247" s="287" t="s">
        <v>1313</v>
      </c>
      <c r="C1247" s="287" t="s">
        <v>1313</v>
      </c>
      <c r="D1247" s="287">
        <v>1198.4000000000001</v>
      </c>
      <c r="E1247" s="380">
        <v>41990</v>
      </c>
      <c r="F1247" s="381">
        <v>1374.25</v>
      </c>
    </row>
    <row r="1248" spans="1:6" s="295" customFormat="1" x14ac:dyDescent="0.15">
      <c r="A1248" s="374" t="s">
        <v>1314</v>
      </c>
      <c r="B1248" s="287" t="s">
        <v>1315</v>
      </c>
      <c r="C1248" s="287" t="s">
        <v>1316</v>
      </c>
      <c r="D1248" s="287">
        <v>183.1</v>
      </c>
      <c r="E1248" s="380">
        <v>41990</v>
      </c>
      <c r="F1248" s="381">
        <v>256.23</v>
      </c>
    </row>
    <row r="1249" spans="1:6" s="275" customFormat="1" ht="14" thickBot="1" x14ac:dyDescent="0.2">
      <c r="A1249" s="374"/>
      <c r="B1249" s="287"/>
      <c r="C1249" s="291" t="s">
        <v>115</v>
      </c>
      <c r="D1249" s="394">
        <f>SUM(D1236:D1248)</f>
        <v>8974.4</v>
      </c>
      <c r="E1249" s="384"/>
      <c r="F1249" s="389">
        <v>10555.68</v>
      </c>
    </row>
    <row r="1250" spans="1:6" s="275" customFormat="1" ht="14" thickTop="1" x14ac:dyDescent="0.15">
      <c r="A1250" s="374"/>
      <c r="B1250" s="287"/>
      <c r="C1250" s="287"/>
      <c r="D1250" s="287"/>
      <c r="E1250" s="380"/>
      <c r="F1250" s="381"/>
    </row>
    <row r="1251" spans="1:6" s="275" customFormat="1" x14ac:dyDescent="0.15">
      <c r="A1251" s="374"/>
      <c r="B1251" s="287"/>
      <c r="C1251" s="378" t="s">
        <v>1212</v>
      </c>
      <c r="D1251" s="287"/>
      <c r="E1251" s="380"/>
      <c r="F1251" s="381"/>
    </row>
    <row r="1252" spans="1:6" s="275" customFormat="1" x14ac:dyDescent="0.15">
      <c r="A1252" s="374"/>
      <c r="B1252" s="287"/>
      <c r="C1252" s="378" t="s">
        <v>1139</v>
      </c>
      <c r="D1252" s="287"/>
      <c r="E1252" s="380"/>
      <c r="F1252" s="381"/>
    </row>
    <row r="1253" spans="1:6" s="275" customFormat="1" x14ac:dyDescent="0.15">
      <c r="A1253" s="374"/>
      <c r="B1253" s="287"/>
      <c r="C1253" s="386">
        <v>41996</v>
      </c>
      <c r="D1253" s="287"/>
      <c r="E1253" s="380"/>
      <c r="F1253" s="381"/>
    </row>
    <row r="1254" spans="1:6" s="275" customFormat="1" x14ac:dyDescent="0.15">
      <c r="A1254" s="399"/>
      <c r="B1254" s="400"/>
      <c r="C1254" s="400"/>
      <c r="D1254" s="400"/>
      <c r="E1254" s="401"/>
      <c r="F1254" s="402"/>
    </row>
    <row r="1255" spans="1:6" s="295" customFormat="1" x14ac:dyDescent="0.15">
      <c r="A1255" s="370" t="s">
        <v>1302</v>
      </c>
      <c r="B1255" s="371" t="s">
        <v>1226</v>
      </c>
      <c r="C1255" s="371" t="s">
        <v>1227</v>
      </c>
      <c r="D1255" s="371">
        <v>1261.3</v>
      </c>
      <c r="E1255" s="390">
        <v>42006</v>
      </c>
      <c r="F1255" s="391">
        <v>1444.47</v>
      </c>
    </row>
    <row r="1256" spans="1:6" s="295" customFormat="1" x14ac:dyDescent="0.15">
      <c r="A1256" s="374" t="s">
        <v>1303</v>
      </c>
      <c r="B1256" s="287" t="s">
        <v>1228</v>
      </c>
      <c r="C1256" s="287" t="s">
        <v>1229</v>
      </c>
      <c r="D1256" s="287">
        <v>1352.9</v>
      </c>
      <c r="E1256" s="380">
        <v>42006</v>
      </c>
      <c r="F1256" s="381">
        <v>1543.57</v>
      </c>
    </row>
    <row r="1257" spans="1:6" s="295" customFormat="1" x14ac:dyDescent="0.15">
      <c r="A1257" s="374" t="s">
        <v>1304</v>
      </c>
      <c r="B1257" s="287" t="s">
        <v>1230</v>
      </c>
      <c r="C1257" s="287" t="s">
        <v>1231</v>
      </c>
      <c r="D1257" s="287">
        <v>837.4</v>
      </c>
      <c r="E1257" s="380">
        <v>42006</v>
      </c>
      <c r="F1257" s="381">
        <v>971.27</v>
      </c>
    </row>
    <row r="1258" spans="1:6" s="295" customFormat="1" x14ac:dyDescent="0.15">
      <c r="A1258" s="374" t="s">
        <v>1305</v>
      </c>
      <c r="B1258" s="287" t="s">
        <v>1306</v>
      </c>
      <c r="C1258" s="287" t="s">
        <v>1233</v>
      </c>
      <c r="D1258" s="287">
        <v>995.9</v>
      </c>
      <c r="E1258" s="380">
        <v>42006</v>
      </c>
      <c r="F1258" s="381">
        <v>1024.97</v>
      </c>
    </row>
    <row r="1259" spans="1:6" s="295" customFormat="1" x14ac:dyDescent="0.15">
      <c r="A1259" s="374" t="s">
        <v>1307</v>
      </c>
      <c r="B1259" s="287" t="s">
        <v>1234</v>
      </c>
      <c r="C1259" s="287" t="s">
        <v>500</v>
      </c>
      <c r="D1259" s="287">
        <v>1440.3</v>
      </c>
      <c r="E1259" s="380">
        <v>42006</v>
      </c>
      <c r="F1259" s="381">
        <v>1644.28</v>
      </c>
    </row>
    <row r="1260" spans="1:6" s="295" customFormat="1" x14ac:dyDescent="0.15">
      <c r="A1260" s="374" t="s">
        <v>1308</v>
      </c>
      <c r="B1260" s="287" t="s">
        <v>1235</v>
      </c>
      <c r="C1260" s="287" t="s">
        <v>1236</v>
      </c>
      <c r="D1260" s="287">
        <v>1508.2</v>
      </c>
      <c r="E1260" s="380">
        <v>42006</v>
      </c>
      <c r="F1260" s="381">
        <v>1720.07</v>
      </c>
    </row>
    <row r="1261" spans="1:6" s="295" customFormat="1" x14ac:dyDescent="0.15">
      <c r="A1261" s="374" t="s">
        <v>1308</v>
      </c>
      <c r="B1261" s="287" t="s">
        <v>1238</v>
      </c>
      <c r="C1261" s="287" t="s">
        <v>1239</v>
      </c>
      <c r="D1261" s="287">
        <v>1251</v>
      </c>
      <c r="E1261" s="380">
        <v>42006</v>
      </c>
      <c r="F1261" s="381">
        <v>1432.96</v>
      </c>
    </row>
    <row r="1262" spans="1:6" s="295" customFormat="1" x14ac:dyDescent="0.15">
      <c r="A1262" s="374" t="s">
        <v>1309</v>
      </c>
      <c r="B1262" s="287" t="s">
        <v>1240</v>
      </c>
      <c r="C1262" s="287" t="s">
        <v>1241</v>
      </c>
      <c r="D1262" s="287">
        <v>992.8</v>
      </c>
      <c r="E1262" s="380">
        <v>42006</v>
      </c>
      <c r="F1262" s="381">
        <v>1144.74</v>
      </c>
    </row>
    <row r="1263" spans="1:6" s="295" customFormat="1" x14ac:dyDescent="0.15">
      <c r="A1263" s="374" t="s">
        <v>1310</v>
      </c>
      <c r="B1263" s="287" t="s">
        <v>1282</v>
      </c>
      <c r="C1263" s="287" t="s">
        <v>1283</v>
      </c>
      <c r="D1263" s="287">
        <v>671.4</v>
      </c>
      <c r="E1263" s="380">
        <v>42006</v>
      </c>
      <c r="F1263" s="381">
        <v>785.95</v>
      </c>
    </row>
    <row r="1264" spans="1:6" s="295" customFormat="1" x14ac:dyDescent="0.15">
      <c r="A1264" s="374" t="s">
        <v>1311</v>
      </c>
      <c r="B1264" s="287" t="s">
        <v>1244</v>
      </c>
      <c r="C1264" s="287" t="s">
        <v>1245</v>
      </c>
      <c r="D1264" s="287">
        <v>1120.2</v>
      </c>
      <c r="E1264" s="380">
        <v>42006</v>
      </c>
      <c r="F1264" s="381">
        <v>1286.95</v>
      </c>
    </row>
    <row r="1265" spans="1:6" s="295" customFormat="1" x14ac:dyDescent="0.15">
      <c r="A1265" s="374" t="s">
        <v>1311</v>
      </c>
      <c r="B1265" s="287" t="s">
        <v>1246</v>
      </c>
      <c r="C1265" s="287" t="s">
        <v>1247</v>
      </c>
      <c r="D1265" s="287">
        <v>1095.7</v>
      </c>
      <c r="E1265" s="380">
        <v>42006</v>
      </c>
      <c r="F1265" s="381">
        <v>1259.5999999999999</v>
      </c>
    </row>
    <row r="1266" spans="1:6" s="295" customFormat="1" x14ac:dyDescent="0.15">
      <c r="A1266" s="374" t="s">
        <v>1311</v>
      </c>
      <c r="B1266" s="287" t="s">
        <v>1248</v>
      </c>
      <c r="C1266" s="287" t="s">
        <v>1249</v>
      </c>
      <c r="D1266" s="287">
        <v>254.1</v>
      </c>
      <c r="E1266" s="380">
        <v>42006</v>
      </c>
      <c r="F1266" s="381">
        <v>324.23</v>
      </c>
    </row>
    <row r="1267" spans="1:6" s="295" customFormat="1" x14ac:dyDescent="0.15">
      <c r="A1267" s="374" t="s">
        <v>1311</v>
      </c>
      <c r="B1267" s="287" t="s">
        <v>1250</v>
      </c>
      <c r="C1267" s="287" t="s">
        <v>1251</v>
      </c>
      <c r="D1267" s="287">
        <v>57.6</v>
      </c>
      <c r="E1267" s="380">
        <v>42006</v>
      </c>
      <c r="F1267" s="381">
        <v>92.15</v>
      </c>
    </row>
    <row r="1268" spans="1:6" s="295" customFormat="1" x14ac:dyDescent="0.15">
      <c r="A1268" s="374" t="s">
        <v>1311</v>
      </c>
      <c r="B1268" s="287" t="s">
        <v>1252</v>
      </c>
      <c r="C1268" s="287" t="s">
        <v>1253</v>
      </c>
      <c r="D1268" s="287">
        <v>1028.7</v>
      </c>
      <c r="E1268" s="380">
        <v>42006</v>
      </c>
      <c r="F1268" s="381">
        <v>1184.8</v>
      </c>
    </row>
    <row r="1269" spans="1:6" s="295" customFormat="1" x14ac:dyDescent="0.15">
      <c r="A1269" s="374" t="s">
        <v>1311</v>
      </c>
      <c r="B1269" s="287" t="s">
        <v>1275</v>
      </c>
      <c r="C1269" s="287" t="s">
        <v>1276</v>
      </c>
      <c r="D1269" s="397">
        <v>989.6</v>
      </c>
      <c r="E1269" s="380">
        <v>42006</v>
      </c>
      <c r="F1269" s="381">
        <v>1141.17</v>
      </c>
    </row>
    <row r="1270" spans="1:6" s="295" customFormat="1" x14ac:dyDescent="0.15">
      <c r="A1270" s="374" t="s">
        <v>1311</v>
      </c>
      <c r="B1270" s="287" t="s">
        <v>1279</v>
      </c>
      <c r="C1270" s="287" t="s">
        <v>1280</v>
      </c>
      <c r="D1270" s="397">
        <v>719</v>
      </c>
      <c r="E1270" s="380">
        <v>42006</v>
      </c>
      <c r="F1270" s="381">
        <v>839.09</v>
      </c>
    </row>
    <row r="1271" spans="1:6" s="295" customFormat="1" x14ac:dyDescent="0.15">
      <c r="A1271" s="374" t="s">
        <v>1311</v>
      </c>
      <c r="B1271" s="287" t="s">
        <v>1284</v>
      </c>
      <c r="C1271" s="287" t="s">
        <v>1285</v>
      </c>
      <c r="D1271" s="397">
        <v>270.5</v>
      </c>
      <c r="E1271" s="380">
        <v>42006</v>
      </c>
      <c r="F1271" s="381">
        <v>343.3</v>
      </c>
    </row>
    <row r="1272" spans="1:6" s="295" customFormat="1" x14ac:dyDescent="0.15">
      <c r="A1272" s="374" t="s">
        <v>1311</v>
      </c>
      <c r="B1272" s="287" t="s">
        <v>1288</v>
      </c>
      <c r="C1272" s="287" t="s">
        <v>1289</v>
      </c>
      <c r="D1272" s="397">
        <v>739.7</v>
      </c>
      <c r="E1272" s="403">
        <v>42006</v>
      </c>
      <c r="F1272" s="381">
        <v>862.2</v>
      </c>
    </row>
    <row r="1273" spans="1:6" s="275" customFormat="1" ht="14" thickBot="1" x14ac:dyDescent="0.2">
      <c r="A1273" s="376"/>
      <c r="B1273" s="359"/>
      <c r="C1273" s="291" t="s">
        <v>115</v>
      </c>
      <c r="D1273" s="383">
        <f>SUM(D1255:D1272)</f>
        <v>16586.300000000003</v>
      </c>
      <c r="E1273" s="404"/>
      <c r="F1273" s="389">
        <v>19045.77</v>
      </c>
    </row>
    <row r="1274" spans="1:6" s="275" customFormat="1" ht="14" thickTop="1" x14ac:dyDescent="0.15">
      <c r="A1274" s="376"/>
      <c r="B1274" s="359"/>
      <c r="C1274" s="359"/>
      <c r="D1274" s="287"/>
      <c r="E1274" s="380"/>
      <c r="F1274" s="381"/>
    </row>
    <row r="1275" spans="1:6" s="275" customFormat="1" x14ac:dyDescent="0.15">
      <c r="A1275" s="376"/>
      <c r="B1275" s="359"/>
      <c r="C1275" s="378" t="s">
        <v>1212</v>
      </c>
      <c r="D1275" s="287"/>
      <c r="E1275" s="380"/>
      <c r="F1275" s="381"/>
    </row>
    <row r="1276" spans="1:6" s="275" customFormat="1" x14ac:dyDescent="0.15">
      <c r="A1276" s="376"/>
      <c r="B1276" s="359"/>
      <c r="C1276" s="378" t="s">
        <v>1139</v>
      </c>
      <c r="D1276" s="287"/>
      <c r="E1276" s="380"/>
      <c r="F1276" s="381"/>
    </row>
    <row r="1277" spans="1:6" s="275" customFormat="1" x14ac:dyDescent="0.15">
      <c r="A1277" s="376"/>
      <c r="B1277" s="359"/>
      <c r="C1277" s="386">
        <v>42004</v>
      </c>
      <c r="D1277" s="287"/>
      <c r="E1277" s="380"/>
      <c r="F1277" s="381"/>
    </row>
    <row r="1278" spans="1:6" s="275" customFormat="1" x14ac:dyDescent="0.15">
      <c r="A1278" s="399"/>
      <c r="B1278" s="400"/>
      <c r="C1278" s="400"/>
      <c r="D1278" s="400"/>
      <c r="E1278" s="401"/>
      <c r="F1278" s="402"/>
    </row>
    <row r="1279" spans="1:6" s="275" customFormat="1" ht="14" thickBot="1" x14ac:dyDescent="0.2">
      <c r="A1279" s="387"/>
      <c r="B1279" s="388"/>
      <c r="C1279" s="291" t="s">
        <v>1167</v>
      </c>
      <c r="D1279" s="383">
        <f>SUM(D1249,D1273)</f>
        <v>25560.700000000004</v>
      </c>
      <c r="E1279" s="367"/>
      <c r="F1279" s="389">
        <v>29601.45</v>
      </c>
    </row>
    <row r="1280" spans="1:6" s="275" customFormat="1" ht="14" thickTop="1" x14ac:dyDescent="0.15">
      <c r="E1280" s="369"/>
      <c r="F1280" s="278"/>
    </row>
    <row r="1281" spans="1:6" s="295" customFormat="1" x14ac:dyDescent="0.15">
      <c r="A1281" s="370" t="s">
        <v>1299</v>
      </c>
      <c r="B1281" s="371" t="s">
        <v>1269</v>
      </c>
      <c r="C1281" s="371" t="s">
        <v>1270</v>
      </c>
      <c r="D1281" s="371">
        <v>752.9</v>
      </c>
      <c r="E1281" s="390">
        <v>42023</v>
      </c>
      <c r="F1281" s="391">
        <v>882.13</v>
      </c>
    </row>
    <row r="1282" spans="1:6" s="295" customFormat="1" x14ac:dyDescent="0.15">
      <c r="A1282" s="374" t="s">
        <v>1293</v>
      </c>
      <c r="B1282" s="287" t="s">
        <v>1257</v>
      </c>
      <c r="C1282" s="287" t="s">
        <v>1258</v>
      </c>
      <c r="D1282" s="287">
        <v>1022.4</v>
      </c>
      <c r="E1282" s="380">
        <v>42023</v>
      </c>
      <c r="F1282" s="381">
        <v>1184.8900000000001</v>
      </c>
    </row>
    <row r="1283" spans="1:6" s="295" customFormat="1" x14ac:dyDescent="0.15">
      <c r="A1283" s="374" t="s">
        <v>1294</v>
      </c>
      <c r="B1283" s="287" t="s">
        <v>1259</v>
      </c>
      <c r="C1283" s="287" t="s">
        <v>1260</v>
      </c>
      <c r="D1283" s="287">
        <v>405.2</v>
      </c>
      <c r="E1283" s="380">
        <v>42023</v>
      </c>
      <c r="F1283" s="381">
        <v>499.89</v>
      </c>
    </row>
    <row r="1284" spans="1:6" s="295" customFormat="1" x14ac:dyDescent="0.15">
      <c r="A1284" s="374" t="s">
        <v>1296</v>
      </c>
      <c r="B1284" s="287" t="s">
        <v>1278</v>
      </c>
      <c r="C1284" s="287" t="s">
        <v>1264</v>
      </c>
      <c r="D1284" s="287">
        <v>774.5</v>
      </c>
      <c r="E1284" s="380">
        <v>42023</v>
      </c>
      <c r="F1284" s="381">
        <v>906.76</v>
      </c>
    </row>
    <row r="1285" spans="1:6" s="295" customFormat="1" x14ac:dyDescent="0.15">
      <c r="A1285" s="374" t="s">
        <v>1295</v>
      </c>
      <c r="B1285" s="287" t="s">
        <v>1261</v>
      </c>
      <c r="C1285" s="287" t="s">
        <v>1262</v>
      </c>
      <c r="D1285" s="287">
        <v>602.70000000000005</v>
      </c>
      <c r="E1285" s="380">
        <v>42023</v>
      </c>
      <c r="F1285" s="381">
        <v>729.48</v>
      </c>
    </row>
    <row r="1286" spans="1:6" s="295" customFormat="1" x14ac:dyDescent="0.15">
      <c r="A1286" s="374" t="s">
        <v>1301</v>
      </c>
      <c r="B1286" s="287" t="s">
        <v>1286</v>
      </c>
      <c r="C1286" s="287" t="s">
        <v>1287</v>
      </c>
      <c r="D1286" s="287">
        <v>405.2</v>
      </c>
      <c r="E1286" s="380">
        <v>42023</v>
      </c>
      <c r="F1286" s="381">
        <v>491.56</v>
      </c>
    </row>
    <row r="1287" spans="1:6" s="295" customFormat="1" x14ac:dyDescent="0.15">
      <c r="A1287" s="374" t="s">
        <v>1297</v>
      </c>
      <c r="B1287" s="287" t="s">
        <v>1265</v>
      </c>
      <c r="C1287" s="287" t="s">
        <v>1266</v>
      </c>
      <c r="D1287" s="287">
        <v>429.9</v>
      </c>
      <c r="E1287" s="380">
        <v>42023</v>
      </c>
      <c r="F1287" s="381">
        <v>528.59</v>
      </c>
    </row>
    <row r="1288" spans="1:6" s="295" customFormat="1" x14ac:dyDescent="0.15">
      <c r="A1288" s="374" t="s">
        <v>1298</v>
      </c>
      <c r="B1288" s="287" t="s">
        <v>1267</v>
      </c>
      <c r="C1288" s="287" t="s">
        <v>1268</v>
      </c>
      <c r="D1288" s="287">
        <v>902</v>
      </c>
      <c r="E1288" s="380">
        <v>42023</v>
      </c>
      <c r="F1288" s="381">
        <v>1077.4100000000001</v>
      </c>
    </row>
    <row r="1289" spans="1:6" s="295" customFormat="1" x14ac:dyDescent="0.15">
      <c r="A1289" s="374" t="s">
        <v>1300</v>
      </c>
      <c r="B1289" s="287" t="s">
        <v>1271</v>
      </c>
      <c r="C1289" s="287" t="s">
        <v>1272</v>
      </c>
      <c r="D1289" s="287">
        <v>891.8</v>
      </c>
      <c r="E1289" s="380">
        <v>42023</v>
      </c>
      <c r="F1289" s="381">
        <v>1037.8499999999999</v>
      </c>
    </row>
    <row r="1290" spans="1:6" s="295" customFormat="1" x14ac:dyDescent="0.15">
      <c r="A1290" s="374" t="s">
        <v>1290</v>
      </c>
      <c r="B1290" s="287" t="s">
        <v>1291</v>
      </c>
      <c r="C1290" s="287" t="s">
        <v>1277</v>
      </c>
      <c r="D1290" s="287">
        <v>1295.3</v>
      </c>
      <c r="E1290" s="380">
        <v>42023</v>
      </c>
      <c r="F1290" s="381">
        <v>1492.01</v>
      </c>
    </row>
    <row r="1291" spans="1:6" s="295" customFormat="1" x14ac:dyDescent="0.15">
      <c r="A1291" s="374" t="s">
        <v>1292</v>
      </c>
      <c r="B1291" s="287" t="s">
        <v>1255</v>
      </c>
      <c r="C1291" s="287" t="s">
        <v>1256</v>
      </c>
      <c r="D1291" s="287">
        <v>2454.5</v>
      </c>
      <c r="E1291" s="380">
        <v>42023</v>
      </c>
      <c r="F1291" s="381">
        <v>2998.56</v>
      </c>
    </row>
    <row r="1292" spans="1:6" s="295" customFormat="1" x14ac:dyDescent="0.15">
      <c r="A1292" s="374" t="s">
        <v>1312</v>
      </c>
      <c r="B1292" s="287" t="s">
        <v>1313</v>
      </c>
      <c r="C1292" s="287" t="s">
        <v>1313</v>
      </c>
      <c r="D1292" s="287">
        <v>1708.4</v>
      </c>
      <c r="E1292" s="380">
        <v>42023</v>
      </c>
      <c r="F1292" s="381">
        <v>1954.83</v>
      </c>
    </row>
    <row r="1293" spans="1:6" s="295" customFormat="1" x14ac:dyDescent="0.15">
      <c r="A1293" s="374" t="s">
        <v>1314</v>
      </c>
      <c r="B1293" s="287" t="s">
        <v>1315</v>
      </c>
      <c r="C1293" s="287" t="s">
        <v>1316</v>
      </c>
      <c r="D1293" s="287">
        <v>287</v>
      </c>
      <c r="E1293" s="380">
        <v>42023</v>
      </c>
      <c r="F1293" s="381">
        <v>359.3</v>
      </c>
    </row>
    <row r="1294" spans="1:6" s="275" customFormat="1" ht="14" thickBot="1" x14ac:dyDescent="0.2">
      <c r="A1294" s="374"/>
      <c r="B1294" s="287"/>
      <c r="C1294" s="291" t="s">
        <v>115</v>
      </c>
      <c r="D1294" s="394">
        <f>SUM(D1281:D1293)</f>
        <v>11931.8</v>
      </c>
      <c r="E1294" s="384"/>
      <c r="F1294" s="389">
        <v>14143.260000000002</v>
      </c>
    </row>
    <row r="1295" spans="1:6" s="275" customFormat="1" ht="14" thickTop="1" x14ac:dyDescent="0.15">
      <c r="A1295" s="374"/>
      <c r="B1295" s="287"/>
      <c r="C1295" s="287"/>
      <c r="D1295" s="287"/>
      <c r="E1295" s="380"/>
      <c r="F1295" s="381"/>
    </row>
    <row r="1296" spans="1:6" s="275" customFormat="1" x14ac:dyDescent="0.15">
      <c r="A1296" s="374"/>
      <c r="B1296" s="287"/>
      <c r="C1296" s="378" t="s">
        <v>1212</v>
      </c>
      <c r="D1296" s="287"/>
      <c r="E1296" s="380"/>
      <c r="F1296" s="381"/>
    </row>
    <row r="1297" spans="1:6" s="275" customFormat="1" x14ac:dyDescent="0.15">
      <c r="A1297" s="374"/>
      <c r="B1297" s="287"/>
      <c r="C1297" s="378" t="s">
        <v>1139</v>
      </c>
      <c r="D1297" s="287"/>
      <c r="E1297" s="380"/>
      <c r="F1297" s="381"/>
    </row>
    <row r="1298" spans="1:6" s="275" customFormat="1" x14ac:dyDescent="0.15">
      <c r="A1298" s="374"/>
      <c r="B1298" s="287"/>
      <c r="C1298" s="386">
        <v>42035</v>
      </c>
      <c r="D1298" s="287"/>
      <c r="E1298" s="380"/>
      <c r="F1298" s="381"/>
    </row>
    <row r="1299" spans="1:6" s="275" customFormat="1" x14ac:dyDescent="0.15">
      <c r="A1299" s="399"/>
      <c r="B1299" s="400"/>
      <c r="C1299" s="400"/>
      <c r="D1299" s="400"/>
      <c r="E1299" s="401"/>
      <c r="F1299" s="402"/>
    </row>
    <row r="1300" spans="1:6" s="295" customFormat="1" x14ac:dyDescent="0.15">
      <c r="A1300" s="370" t="s">
        <v>1302</v>
      </c>
      <c r="B1300" s="371" t="s">
        <v>1226</v>
      </c>
      <c r="C1300" s="371" t="s">
        <v>1227</v>
      </c>
      <c r="D1300" s="371">
        <v>1496.1</v>
      </c>
      <c r="E1300" s="390">
        <v>42038</v>
      </c>
      <c r="F1300" s="391">
        <v>1706.57</v>
      </c>
    </row>
    <row r="1301" spans="1:6" s="295" customFormat="1" x14ac:dyDescent="0.15">
      <c r="A1301" s="374" t="s">
        <v>1303</v>
      </c>
      <c r="B1301" s="287" t="s">
        <v>1228</v>
      </c>
      <c r="C1301" s="287" t="s">
        <v>1229</v>
      </c>
      <c r="D1301" s="287">
        <v>1654.5</v>
      </c>
      <c r="E1301" s="380">
        <v>42038</v>
      </c>
      <c r="F1301" s="381">
        <v>1880.4</v>
      </c>
    </row>
    <row r="1302" spans="1:6" s="295" customFormat="1" x14ac:dyDescent="0.15">
      <c r="A1302" s="374" t="s">
        <v>1304</v>
      </c>
      <c r="B1302" s="287" t="s">
        <v>1230</v>
      </c>
      <c r="C1302" s="287" t="s">
        <v>1231</v>
      </c>
      <c r="D1302" s="287">
        <v>971.3</v>
      </c>
      <c r="E1302" s="380">
        <v>42038</v>
      </c>
      <c r="F1302" s="381">
        <v>1120.74</v>
      </c>
    </row>
    <row r="1303" spans="1:6" s="295" customFormat="1" x14ac:dyDescent="0.15">
      <c r="A1303" s="374" t="s">
        <v>1305</v>
      </c>
      <c r="B1303" s="287" t="s">
        <v>1306</v>
      </c>
      <c r="C1303" s="287" t="s">
        <v>1233</v>
      </c>
      <c r="D1303" s="287">
        <v>822.1</v>
      </c>
      <c r="E1303" s="380">
        <v>42038</v>
      </c>
      <c r="F1303" s="381">
        <v>851.79</v>
      </c>
    </row>
    <row r="1304" spans="1:6" s="295" customFormat="1" x14ac:dyDescent="0.15">
      <c r="A1304" s="374" t="s">
        <v>1307</v>
      </c>
      <c r="B1304" s="287" t="s">
        <v>1234</v>
      </c>
      <c r="C1304" s="287" t="s">
        <v>500</v>
      </c>
      <c r="D1304" s="287">
        <v>1710.1</v>
      </c>
      <c r="E1304" s="380">
        <v>42038</v>
      </c>
      <c r="F1304" s="381">
        <v>1945.46</v>
      </c>
    </row>
    <row r="1305" spans="1:6" s="295" customFormat="1" x14ac:dyDescent="0.15">
      <c r="A1305" s="374" t="s">
        <v>1308</v>
      </c>
      <c r="B1305" s="287" t="s">
        <v>1235</v>
      </c>
      <c r="C1305" s="287" t="s">
        <v>1236</v>
      </c>
      <c r="D1305" s="287">
        <v>1637</v>
      </c>
      <c r="E1305" s="380">
        <v>42038</v>
      </c>
      <c r="F1305" s="381">
        <v>1863.86</v>
      </c>
    </row>
    <row r="1306" spans="1:6" s="295" customFormat="1" x14ac:dyDescent="0.15">
      <c r="A1306" s="374" t="s">
        <v>1308</v>
      </c>
      <c r="B1306" s="287" t="s">
        <v>1238</v>
      </c>
      <c r="C1306" s="287" t="s">
        <v>1239</v>
      </c>
      <c r="D1306" s="287">
        <v>1345.8</v>
      </c>
      <c r="E1306" s="380">
        <v>42038</v>
      </c>
      <c r="F1306" s="381">
        <v>1538.79</v>
      </c>
    </row>
    <row r="1307" spans="1:6" s="295" customFormat="1" x14ac:dyDescent="0.15">
      <c r="A1307" s="374" t="s">
        <v>1309</v>
      </c>
      <c r="B1307" s="287" t="s">
        <v>1240</v>
      </c>
      <c r="C1307" s="287" t="s">
        <v>1241</v>
      </c>
      <c r="D1307" s="287">
        <v>1156.5</v>
      </c>
      <c r="E1307" s="380">
        <v>42038</v>
      </c>
      <c r="F1307" s="381">
        <v>1327.47</v>
      </c>
    </row>
    <row r="1308" spans="1:6" s="295" customFormat="1" x14ac:dyDescent="0.15">
      <c r="A1308" s="374" t="s">
        <v>1310</v>
      </c>
      <c r="B1308" s="287" t="s">
        <v>1282</v>
      </c>
      <c r="C1308" s="287" t="s">
        <v>1283</v>
      </c>
      <c r="D1308" s="287">
        <v>971.5</v>
      </c>
      <c r="E1308" s="380">
        <v>42038</v>
      </c>
      <c r="F1308" s="381">
        <v>1120.96</v>
      </c>
    </row>
    <row r="1309" spans="1:6" s="295" customFormat="1" x14ac:dyDescent="0.15">
      <c r="A1309" s="374" t="s">
        <v>1311</v>
      </c>
      <c r="B1309" s="287" t="s">
        <v>1244</v>
      </c>
      <c r="C1309" s="287" t="s">
        <v>1245</v>
      </c>
      <c r="D1309" s="287">
        <v>1391.6</v>
      </c>
      <c r="E1309" s="380">
        <v>42038</v>
      </c>
      <c r="F1309" s="381">
        <v>1589.91</v>
      </c>
    </row>
    <row r="1310" spans="1:6" s="295" customFormat="1" x14ac:dyDescent="0.15">
      <c r="A1310" s="374" t="s">
        <v>1311</v>
      </c>
      <c r="B1310" s="287" t="s">
        <v>1246</v>
      </c>
      <c r="C1310" s="287" t="s">
        <v>1247</v>
      </c>
      <c r="D1310" s="287">
        <v>1161.7</v>
      </c>
      <c r="E1310" s="380">
        <v>42038</v>
      </c>
      <c r="F1310" s="381">
        <v>1333.28</v>
      </c>
    </row>
    <row r="1311" spans="1:6" s="295" customFormat="1" x14ac:dyDescent="0.15">
      <c r="A1311" s="374" t="s">
        <v>1311</v>
      </c>
      <c r="B1311" s="287" t="s">
        <v>1248</v>
      </c>
      <c r="C1311" s="287" t="s">
        <v>1249</v>
      </c>
      <c r="D1311" s="287">
        <v>305.60000000000002</v>
      </c>
      <c r="E1311" s="380">
        <v>42038</v>
      </c>
      <c r="F1311" s="381">
        <v>384.1</v>
      </c>
    </row>
    <row r="1312" spans="1:6" s="295" customFormat="1" x14ac:dyDescent="0.15">
      <c r="A1312" s="374" t="s">
        <v>1311</v>
      </c>
      <c r="B1312" s="287" t="s">
        <v>1250</v>
      </c>
      <c r="C1312" s="287" t="s">
        <v>1251</v>
      </c>
      <c r="D1312" s="287">
        <v>85.4</v>
      </c>
      <c r="E1312" s="380">
        <v>42038</v>
      </c>
      <c r="F1312" s="381">
        <v>130.58000000000001</v>
      </c>
    </row>
    <row r="1313" spans="1:6" s="295" customFormat="1" x14ac:dyDescent="0.15">
      <c r="A1313" s="374" t="s">
        <v>1311</v>
      </c>
      <c r="B1313" s="287" t="s">
        <v>1252</v>
      </c>
      <c r="C1313" s="287" t="s">
        <v>1253</v>
      </c>
      <c r="D1313" s="287">
        <v>1283.5999999999999</v>
      </c>
      <c r="E1313" s="380">
        <v>42038</v>
      </c>
      <c r="F1313" s="381">
        <v>1469.35</v>
      </c>
    </row>
    <row r="1314" spans="1:6" s="295" customFormat="1" x14ac:dyDescent="0.15">
      <c r="A1314" s="374" t="s">
        <v>1311</v>
      </c>
      <c r="B1314" s="287" t="s">
        <v>1275</v>
      </c>
      <c r="C1314" s="287" t="s">
        <v>1276</v>
      </c>
      <c r="D1314" s="397">
        <v>1234.3</v>
      </c>
      <c r="E1314" s="380">
        <v>42038</v>
      </c>
      <c r="F1314" s="381">
        <v>1414.32</v>
      </c>
    </row>
    <row r="1315" spans="1:6" s="295" customFormat="1" x14ac:dyDescent="0.15">
      <c r="A1315" s="374" t="s">
        <v>1311</v>
      </c>
      <c r="B1315" s="287" t="s">
        <v>1279</v>
      </c>
      <c r="C1315" s="287" t="s">
        <v>1280</v>
      </c>
      <c r="D1315" s="397">
        <v>914.4</v>
      </c>
      <c r="E1315" s="380">
        <v>42038</v>
      </c>
      <c r="F1315" s="381">
        <v>1057.22</v>
      </c>
    </row>
    <row r="1316" spans="1:6" s="295" customFormat="1" x14ac:dyDescent="0.15">
      <c r="A1316" s="374" t="s">
        <v>1311</v>
      </c>
      <c r="B1316" s="287" t="s">
        <v>1284</v>
      </c>
      <c r="C1316" s="287" t="s">
        <v>1285</v>
      </c>
      <c r="D1316" s="397">
        <v>345.6</v>
      </c>
      <c r="E1316" s="380">
        <v>42038</v>
      </c>
      <c r="F1316" s="381">
        <v>430.6</v>
      </c>
    </row>
    <row r="1317" spans="1:6" s="295" customFormat="1" x14ac:dyDescent="0.15">
      <c r="A1317" s="374" t="s">
        <v>1311</v>
      </c>
      <c r="B1317" s="287" t="s">
        <v>1288</v>
      </c>
      <c r="C1317" s="287" t="s">
        <v>1289</v>
      </c>
      <c r="D1317" s="397">
        <v>836.5</v>
      </c>
      <c r="E1317" s="403">
        <v>42038</v>
      </c>
      <c r="F1317" s="381">
        <v>970.26</v>
      </c>
    </row>
    <row r="1318" spans="1:6" s="275" customFormat="1" ht="14" thickBot="1" x14ac:dyDescent="0.2">
      <c r="A1318" s="376"/>
      <c r="B1318" s="359"/>
      <c r="C1318" s="291" t="s">
        <v>115</v>
      </c>
      <c r="D1318" s="383">
        <f>SUM(D1300:D1317)</f>
        <v>19323.600000000002</v>
      </c>
      <c r="E1318" s="404"/>
      <c r="F1318" s="389">
        <v>22135.659999999996</v>
      </c>
    </row>
    <row r="1319" spans="1:6" s="275" customFormat="1" ht="14" thickTop="1" x14ac:dyDescent="0.15">
      <c r="A1319" s="376"/>
      <c r="B1319" s="359"/>
      <c r="C1319" s="359"/>
      <c r="D1319" s="287"/>
      <c r="E1319" s="380"/>
      <c r="F1319" s="381"/>
    </row>
    <row r="1320" spans="1:6" s="275" customFormat="1" x14ac:dyDescent="0.15">
      <c r="A1320" s="376"/>
      <c r="B1320" s="359"/>
      <c r="C1320" s="378" t="s">
        <v>1212</v>
      </c>
      <c r="D1320" s="287"/>
      <c r="E1320" s="380"/>
      <c r="F1320" s="381"/>
    </row>
    <row r="1321" spans="1:6" s="275" customFormat="1" x14ac:dyDescent="0.15">
      <c r="A1321" s="376"/>
      <c r="B1321" s="359"/>
      <c r="C1321" s="378" t="s">
        <v>1139</v>
      </c>
      <c r="D1321" s="287"/>
      <c r="E1321" s="380"/>
      <c r="F1321" s="381"/>
    </row>
    <row r="1322" spans="1:6" s="275" customFormat="1" x14ac:dyDescent="0.15">
      <c r="A1322" s="376"/>
      <c r="B1322" s="359"/>
      <c r="C1322" s="386">
        <v>42035</v>
      </c>
      <c r="D1322" s="287"/>
      <c r="E1322" s="380"/>
      <c r="F1322" s="381"/>
    </row>
    <row r="1323" spans="1:6" s="275" customFormat="1" x14ac:dyDescent="0.15">
      <c r="A1323" s="399"/>
      <c r="B1323" s="400"/>
      <c r="C1323" s="400"/>
      <c r="D1323" s="400"/>
      <c r="E1323" s="401"/>
      <c r="F1323" s="402"/>
    </row>
    <row r="1324" spans="1:6" s="275" customFormat="1" ht="14" thickBot="1" x14ac:dyDescent="0.2">
      <c r="A1324" s="387"/>
      <c r="B1324" s="388"/>
      <c r="C1324" s="291" t="s">
        <v>1168</v>
      </c>
      <c r="D1324" s="383">
        <f>SUM(D1294,D1318)</f>
        <v>31255.4</v>
      </c>
      <c r="E1324" s="367"/>
      <c r="F1324" s="389">
        <v>36278.92</v>
      </c>
    </row>
    <row r="1325" spans="1:6" s="275" customFormat="1" ht="14" thickTop="1" x14ac:dyDescent="0.15">
      <c r="D1325" s="295"/>
      <c r="E1325" s="408"/>
      <c r="F1325" s="278"/>
    </row>
    <row r="1326" spans="1:6" s="295" customFormat="1" x14ac:dyDescent="0.15">
      <c r="A1326" s="370" t="s">
        <v>1299</v>
      </c>
      <c r="B1326" s="371" t="s">
        <v>1269</v>
      </c>
      <c r="C1326" s="371" t="s">
        <v>1270</v>
      </c>
      <c r="D1326" s="371">
        <v>896.2</v>
      </c>
      <c r="E1326" s="390">
        <v>42053</v>
      </c>
      <c r="F1326" s="391">
        <v>1036.9000000000001</v>
      </c>
    </row>
    <row r="1327" spans="1:6" s="295" customFormat="1" x14ac:dyDescent="0.15">
      <c r="A1327" s="374" t="s">
        <v>1293</v>
      </c>
      <c r="B1327" s="287" t="s">
        <v>1257</v>
      </c>
      <c r="C1327" s="287" t="s">
        <v>1258</v>
      </c>
      <c r="D1327" s="287">
        <v>1379.9</v>
      </c>
      <c r="E1327" s="380">
        <v>42053</v>
      </c>
      <c r="F1327" s="381">
        <v>1576.85</v>
      </c>
    </row>
    <row r="1328" spans="1:6" s="295" customFormat="1" x14ac:dyDescent="0.15">
      <c r="A1328" s="374" t="s">
        <v>1294</v>
      </c>
      <c r="B1328" s="287" t="s">
        <v>1259</v>
      </c>
      <c r="C1328" s="287" t="s">
        <v>1260</v>
      </c>
      <c r="D1328" s="287">
        <v>479.6</v>
      </c>
      <c r="E1328" s="380">
        <v>42053</v>
      </c>
      <c r="F1328" s="381">
        <v>586.38</v>
      </c>
    </row>
    <row r="1329" spans="1:6" s="295" customFormat="1" x14ac:dyDescent="0.15">
      <c r="A1329" s="374" t="s">
        <v>1296</v>
      </c>
      <c r="B1329" s="287" t="s">
        <v>1278</v>
      </c>
      <c r="C1329" s="287" t="s">
        <v>1264</v>
      </c>
      <c r="D1329" s="287">
        <v>852.9</v>
      </c>
      <c r="E1329" s="380">
        <v>42053</v>
      </c>
      <c r="F1329" s="381">
        <v>988.56</v>
      </c>
    </row>
    <row r="1330" spans="1:6" s="295" customFormat="1" x14ac:dyDescent="0.15">
      <c r="A1330" s="374" t="s">
        <v>1295</v>
      </c>
      <c r="B1330" s="287" t="s">
        <v>1261</v>
      </c>
      <c r="C1330" s="287" t="s">
        <v>1262</v>
      </c>
      <c r="D1330" s="287">
        <v>681.7</v>
      </c>
      <c r="E1330" s="380">
        <v>42053</v>
      </c>
      <c r="F1330" s="381">
        <v>821.32</v>
      </c>
    </row>
    <row r="1331" spans="1:6" s="295" customFormat="1" x14ac:dyDescent="0.15">
      <c r="A1331" s="374" t="s">
        <v>1301</v>
      </c>
      <c r="B1331" s="287" t="s">
        <v>1286</v>
      </c>
      <c r="C1331" s="287" t="s">
        <v>1287</v>
      </c>
      <c r="D1331" s="287">
        <v>487.8</v>
      </c>
      <c r="E1331" s="380">
        <v>42053</v>
      </c>
      <c r="F1331" s="381">
        <v>581</v>
      </c>
    </row>
    <row r="1332" spans="1:6" s="295" customFormat="1" x14ac:dyDescent="0.15">
      <c r="A1332" s="374" t="s">
        <v>1297</v>
      </c>
      <c r="B1332" s="287" t="s">
        <v>1265</v>
      </c>
      <c r="C1332" s="287" t="s">
        <v>1266</v>
      </c>
      <c r="D1332" s="287">
        <v>489.9</v>
      </c>
      <c r="E1332" s="380">
        <v>42053</v>
      </c>
      <c r="F1332" s="381">
        <v>598.34</v>
      </c>
    </row>
    <row r="1333" spans="1:6" s="295" customFormat="1" x14ac:dyDescent="0.15">
      <c r="A1333" s="374" t="s">
        <v>1298</v>
      </c>
      <c r="B1333" s="287" t="s">
        <v>1267</v>
      </c>
      <c r="C1333" s="287" t="s">
        <v>1268</v>
      </c>
      <c r="D1333" s="287">
        <v>1057.0999999999999</v>
      </c>
      <c r="E1333" s="380">
        <v>42053</v>
      </c>
      <c r="F1333" s="381">
        <v>1257.72</v>
      </c>
    </row>
    <row r="1334" spans="1:6" s="295" customFormat="1" x14ac:dyDescent="0.15">
      <c r="A1334" s="374" t="s">
        <v>1300</v>
      </c>
      <c r="B1334" s="287" t="s">
        <v>1271</v>
      </c>
      <c r="C1334" s="287" t="s">
        <v>1272</v>
      </c>
      <c r="D1334" s="287">
        <v>994.2</v>
      </c>
      <c r="E1334" s="380">
        <v>42053</v>
      </c>
      <c r="F1334" s="381">
        <v>1146.3</v>
      </c>
    </row>
    <row r="1335" spans="1:6" s="295" customFormat="1" x14ac:dyDescent="0.15">
      <c r="A1335" s="374" t="s">
        <v>1290</v>
      </c>
      <c r="B1335" s="287" t="s">
        <v>1291</v>
      </c>
      <c r="C1335" s="287" t="s">
        <v>1277</v>
      </c>
      <c r="D1335" s="287">
        <v>1484.2</v>
      </c>
      <c r="E1335" s="380">
        <v>42053</v>
      </c>
      <c r="F1335" s="381">
        <v>1693.29</v>
      </c>
    </row>
    <row r="1336" spans="1:6" s="295" customFormat="1" x14ac:dyDescent="0.15">
      <c r="A1336" s="374" t="s">
        <v>1292</v>
      </c>
      <c r="B1336" s="287" t="s">
        <v>1255</v>
      </c>
      <c r="C1336" s="287" t="s">
        <v>1256</v>
      </c>
      <c r="D1336" s="287">
        <v>3027.3</v>
      </c>
      <c r="E1336" s="380">
        <v>42053</v>
      </c>
      <c r="F1336" s="381">
        <v>3413.53</v>
      </c>
    </row>
    <row r="1337" spans="1:6" s="295" customFormat="1" x14ac:dyDescent="0.15">
      <c r="A1337" s="374" t="s">
        <v>1312</v>
      </c>
      <c r="B1337" s="287" t="s">
        <v>1313</v>
      </c>
      <c r="C1337" s="287" t="s">
        <v>1313</v>
      </c>
      <c r="D1337" s="287">
        <v>1869.8</v>
      </c>
      <c r="E1337" s="380">
        <v>42053</v>
      </c>
      <c r="F1337" s="381">
        <v>2123.73</v>
      </c>
    </row>
    <row r="1338" spans="1:6" s="295" customFormat="1" x14ac:dyDescent="0.15">
      <c r="A1338" s="374" t="s">
        <v>1314</v>
      </c>
      <c r="B1338" s="287" t="s">
        <v>1315</v>
      </c>
      <c r="C1338" s="287" t="s">
        <v>1316</v>
      </c>
      <c r="D1338" s="287">
        <v>368.2</v>
      </c>
      <c r="E1338" s="380">
        <v>42053</v>
      </c>
      <c r="F1338" s="381">
        <v>402.58</v>
      </c>
    </row>
    <row r="1339" spans="1:6" s="275" customFormat="1" ht="14" thickBot="1" x14ac:dyDescent="0.2">
      <c r="A1339" s="374"/>
      <c r="B1339" s="287"/>
      <c r="C1339" s="291" t="s">
        <v>115</v>
      </c>
      <c r="D1339" s="394">
        <f>SUM(D1326:D1338)</f>
        <v>14068.8</v>
      </c>
      <c r="E1339" s="384"/>
      <c r="F1339" s="389">
        <v>16226.5</v>
      </c>
    </row>
    <row r="1340" spans="1:6" s="275" customFormat="1" ht="14" thickTop="1" x14ac:dyDescent="0.15">
      <c r="A1340" s="374"/>
      <c r="B1340" s="287"/>
      <c r="C1340" s="287"/>
      <c r="D1340" s="287"/>
      <c r="E1340" s="380"/>
      <c r="F1340" s="381"/>
    </row>
    <row r="1341" spans="1:6" s="275" customFormat="1" x14ac:dyDescent="0.15">
      <c r="A1341" s="374"/>
      <c r="B1341" s="287"/>
      <c r="C1341" s="378" t="s">
        <v>1212</v>
      </c>
      <c r="D1341" s="287"/>
      <c r="E1341" s="380"/>
      <c r="F1341" s="381"/>
    </row>
    <row r="1342" spans="1:6" s="275" customFormat="1" x14ac:dyDescent="0.15">
      <c r="A1342" s="374"/>
      <c r="B1342" s="287"/>
      <c r="C1342" s="378" t="s">
        <v>1139</v>
      </c>
      <c r="D1342" s="287"/>
      <c r="E1342" s="380"/>
      <c r="F1342" s="381"/>
    </row>
    <row r="1343" spans="1:6" s="275" customFormat="1" x14ac:dyDescent="0.15">
      <c r="A1343" s="374"/>
      <c r="B1343" s="287"/>
      <c r="C1343" s="386">
        <v>42063</v>
      </c>
      <c r="D1343" s="287"/>
      <c r="E1343" s="380"/>
      <c r="F1343" s="381"/>
    </row>
    <row r="1344" spans="1:6" s="275" customFormat="1" x14ac:dyDescent="0.15">
      <c r="A1344" s="399"/>
      <c r="B1344" s="400"/>
      <c r="C1344" s="400"/>
      <c r="D1344" s="400"/>
      <c r="E1344" s="401"/>
      <c r="F1344" s="402"/>
    </row>
    <row r="1345" spans="1:6" s="295" customFormat="1" x14ac:dyDescent="0.15">
      <c r="A1345" s="370" t="s">
        <v>1302</v>
      </c>
      <c r="B1345" s="371" t="s">
        <v>1226</v>
      </c>
      <c r="C1345" s="371" t="s">
        <v>1227</v>
      </c>
      <c r="D1345" s="371">
        <v>2084.4</v>
      </c>
      <c r="E1345" s="390">
        <v>42065</v>
      </c>
      <c r="F1345" s="391">
        <v>2363.29</v>
      </c>
    </row>
    <row r="1346" spans="1:6" s="295" customFormat="1" x14ac:dyDescent="0.15">
      <c r="A1346" s="374" t="s">
        <v>1303</v>
      </c>
      <c r="B1346" s="287" t="s">
        <v>1228</v>
      </c>
      <c r="C1346" s="287" t="s">
        <v>1229</v>
      </c>
      <c r="D1346" s="287">
        <v>1989.4</v>
      </c>
      <c r="E1346" s="380">
        <v>42065</v>
      </c>
      <c r="F1346" s="381">
        <v>2254.41</v>
      </c>
    </row>
    <row r="1347" spans="1:6" s="295" customFormat="1" x14ac:dyDescent="0.15">
      <c r="A1347" s="374" t="s">
        <v>1304</v>
      </c>
      <c r="B1347" s="287" t="s">
        <v>1230</v>
      </c>
      <c r="C1347" s="287" t="s">
        <v>1231</v>
      </c>
      <c r="D1347" s="287">
        <v>1178.4000000000001</v>
      </c>
      <c r="E1347" s="380">
        <v>42065</v>
      </c>
      <c r="F1347" s="381">
        <v>1351.92</v>
      </c>
    </row>
    <row r="1348" spans="1:6" s="295" customFormat="1" x14ac:dyDescent="0.15">
      <c r="A1348" s="374" t="s">
        <v>1305</v>
      </c>
      <c r="B1348" s="287" t="s">
        <v>1306</v>
      </c>
      <c r="C1348" s="287" t="s">
        <v>1233</v>
      </c>
      <c r="D1348" s="287">
        <v>1407.5</v>
      </c>
      <c r="E1348" s="380">
        <v>42065</v>
      </c>
      <c r="F1348" s="381">
        <v>1435.09</v>
      </c>
    </row>
    <row r="1349" spans="1:6" s="295" customFormat="1" x14ac:dyDescent="0.15">
      <c r="A1349" s="374" t="s">
        <v>1307</v>
      </c>
      <c r="B1349" s="287" t="s">
        <v>1234</v>
      </c>
      <c r="C1349" s="287" t="s">
        <v>500</v>
      </c>
      <c r="D1349" s="287">
        <v>2290.8000000000002</v>
      </c>
      <c r="E1349" s="380">
        <v>42065</v>
      </c>
      <c r="F1349" s="381">
        <v>2593.69</v>
      </c>
    </row>
    <row r="1350" spans="1:6" s="295" customFormat="1" x14ac:dyDescent="0.15">
      <c r="A1350" s="374" t="s">
        <v>1308</v>
      </c>
      <c r="B1350" s="287" t="s">
        <v>1235</v>
      </c>
      <c r="C1350" s="287" t="s">
        <v>1236</v>
      </c>
      <c r="D1350" s="287">
        <v>1975</v>
      </c>
      <c r="E1350" s="380">
        <v>42065</v>
      </c>
      <c r="F1350" s="381">
        <v>2241.1799999999998</v>
      </c>
    </row>
    <row r="1351" spans="1:6" s="295" customFormat="1" x14ac:dyDescent="0.15">
      <c r="A1351" s="374" t="s">
        <v>1308</v>
      </c>
      <c r="B1351" s="287" t="s">
        <v>1238</v>
      </c>
      <c r="C1351" s="287" t="s">
        <v>1239</v>
      </c>
      <c r="D1351" s="287">
        <v>1551.9</v>
      </c>
      <c r="E1351" s="380">
        <v>42065</v>
      </c>
      <c r="F1351" s="381">
        <v>1768.85</v>
      </c>
    </row>
    <row r="1352" spans="1:6" s="295" customFormat="1" x14ac:dyDescent="0.15">
      <c r="A1352" s="374" t="s">
        <v>1309</v>
      </c>
      <c r="B1352" s="287" t="s">
        <v>1240</v>
      </c>
      <c r="C1352" s="287" t="s">
        <v>1241</v>
      </c>
      <c r="D1352" s="287">
        <v>1402.3</v>
      </c>
      <c r="E1352" s="380">
        <v>42065</v>
      </c>
      <c r="F1352" s="381">
        <v>1601.87</v>
      </c>
    </row>
    <row r="1353" spans="1:6" s="295" customFormat="1" x14ac:dyDescent="0.15">
      <c r="A1353" s="374" t="s">
        <v>1310</v>
      </c>
      <c r="B1353" s="287" t="s">
        <v>1282</v>
      </c>
      <c r="C1353" s="287" t="s">
        <v>1283</v>
      </c>
      <c r="D1353" s="287">
        <v>1432.4</v>
      </c>
      <c r="E1353" s="380">
        <v>42065</v>
      </c>
      <c r="F1353" s="381">
        <v>1635.46</v>
      </c>
    </row>
    <row r="1354" spans="1:6" s="295" customFormat="1" x14ac:dyDescent="0.15">
      <c r="A1354" s="374" t="s">
        <v>1311</v>
      </c>
      <c r="B1354" s="287" t="s">
        <v>1244</v>
      </c>
      <c r="C1354" s="287" t="s">
        <v>1245</v>
      </c>
      <c r="D1354" s="287">
        <v>1549</v>
      </c>
      <c r="E1354" s="380">
        <v>42063</v>
      </c>
      <c r="F1354" s="381">
        <v>1765.62</v>
      </c>
    </row>
    <row r="1355" spans="1:6" s="295" customFormat="1" x14ac:dyDescent="0.15">
      <c r="A1355" s="374" t="s">
        <v>1311</v>
      </c>
      <c r="B1355" s="287" t="s">
        <v>1246</v>
      </c>
      <c r="C1355" s="287" t="s">
        <v>1247</v>
      </c>
      <c r="D1355" s="287">
        <v>1547.8</v>
      </c>
      <c r="E1355" s="380">
        <v>42063</v>
      </c>
      <c r="F1355" s="381">
        <v>1764.28</v>
      </c>
    </row>
    <row r="1356" spans="1:6" s="295" customFormat="1" x14ac:dyDescent="0.15">
      <c r="A1356" s="374" t="s">
        <v>1311</v>
      </c>
      <c r="B1356" s="287" t="s">
        <v>1248</v>
      </c>
      <c r="C1356" s="287" t="s">
        <v>1249</v>
      </c>
      <c r="D1356" s="287">
        <v>347.7</v>
      </c>
      <c r="E1356" s="380">
        <v>42063</v>
      </c>
      <c r="F1356" s="381">
        <v>433.03</v>
      </c>
    </row>
    <row r="1357" spans="1:6" s="295" customFormat="1" x14ac:dyDescent="0.15">
      <c r="A1357" s="374" t="s">
        <v>1311</v>
      </c>
      <c r="B1357" s="287" t="s">
        <v>1250</v>
      </c>
      <c r="C1357" s="287" t="s">
        <v>1251</v>
      </c>
      <c r="D1357" s="287">
        <v>95.9</v>
      </c>
      <c r="E1357" s="380">
        <v>42063</v>
      </c>
      <c r="F1357" s="381">
        <v>143.53</v>
      </c>
    </row>
    <row r="1358" spans="1:6" s="295" customFormat="1" x14ac:dyDescent="0.15">
      <c r="A1358" s="374" t="s">
        <v>1311</v>
      </c>
      <c r="B1358" s="287" t="s">
        <v>1252</v>
      </c>
      <c r="C1358" s="287" t="s">
        <v>1253</v>
      </c>
      <c r="D1358" s="287">
        <v>1449</v>
      </c>
      <c r="E1358" s="380">
        <v>42063</v>
      </c>
      <c r="F1358" s="381">
        <v>1653.99</v>
      </c>
    </row>
    <row r="1359" spans="1:6" s="295" customFormat="1" x14ac:dyDescent="0.15">
      <c r="A1359" s="374" t="s">
        <v>1311</v>
      </c>
      <c r="B1359" s="287" t="s">
        <v>1275</v>
      </c>
      <c r="C1359" s="287" t="s">
        <v>1276</v>
      </c>
      <c r="D1359" s="397">
        <v>1392.3</v>
      </c>
      <c r="E1359" s="380">
        <v>42063</v>
      </c>
      <c r="F1359" s="381">
        <v>1590.71</v>
      </c>
    </row>
    <row r="1360" spans="1:6" s="295" customFormat="1" x14ac:dyDescent="0.15">
      <c r="A1360" s="374" t="s">
        <v>1311</v>
      </c>
      <c r="B1360" s="287" t="s">
        <v>1279</v>
      </c>
      <c r="C1360" s="287" t="s">
        <v>1280</v>
      </c>
      <c r="D1360" s="397">
        <v>1106.5999999999999</v>
      </c>
      <c r="E1360" s="380">
        <v>42063</v>
      </c>
      <c r="F1360" s="381">
        <v>1271.77</v>
      </c>
    </row>
    <row r="1361" spans="1:6" s="295" customFormat="1" x14ac:dyDescent="0.15">
      <c r="A1361" s="374" t="s">
        <v>1311</v>
      </c>
      <c r="B1361" s="287" t="s">
        <v>1284</v>
      </c>
      <c r="C1361" s="287" t="s">
        <v>1285</v>
      </c>
      <c r="D1361" s="397">
        <v>440.4</v>
      </c>
      <c r="E1361" s="380">
        <v>42063</v>
      </c>
      <c r="F1361" s="381">
        <v>540.79999999999995</v>
      </c>
    </row>
    <row r="1362" spans="1:6" s="295" customFormat="1" x14ac:dyDescent="0.15">
      <c r="A1362" s="374" t="s">
        <v>1311</v>
      </c>
      <c r="B1362" s="287" t="s">
        <v>1288</v>
      </c>
      <c r="C1362" s="287" t="s">
        <v>1289</v>
      </c>
      <c r="D1362" s="397">
        <v>1041.2</v>
      </c>
      <c r="E1362" s="403">
        <v>42063</v>
      </c>
      <c r="F1362" s="381">
        <v>1198.77</v>
      </c>
    </row>
    <row r="1363" spans="1:6" s="275" customFormat="1" ht="14" thickBot="1" x14ac:dyDescent="0.2">
      <c r="A1363" s="376"/>
      <c r="B1363" s="359"/>
      <c r="C1363" s="291" t="s">
        <v>115</v>
      </c>
      <c r="D1363" s="383">
        <f>SUM(D1345:D1362)</f>
        <v>24282</v>
      </c>
      <c r="E1363" s="404"/>
      <c r="F1363" s="389">
        <v>27608.260000000002</v>
      </c>
    </row>
    <row r="1364" spans="1:6" s="275" customFormat="1" ht="14" thickTop="1" x14ac:dyDescent="0.15">
      <c r="A1364" s="376"/>
      <c r="B1364" s="359"/>
      <c r="C1364" s="359"/>
      <c r="D1364" s="287"/>
      <c r="E1364" s="380"/>
      <c r="F1364" s="381"/>
    </row>
    <row r="1365" spans="1:6" s="275" customFormat="1" x14ac:dyDescent="0.15">
      <c r="A1365" s="376"/>
      <c r="B1365" s="359"/>
      <c r="C1365" s="378" t="s">
        <v>1212</v>
      </c>
      <c r="D1365" s="287"/>
      <c r="E1365" s="380"/>
      <c r="F1365" s="381"/>
    </row>
    <row r="1366" spans="1:6" s="275" customFormat="1" x14ac:dyDescent="0.15">
      <c r="A1366" s="376"/>
      <c r="B1366" s="359"/>
      <c r="C1366" s="378" t="s">
        <v>1139</v>
      </c>
      <c r="D1366" s="287"/>
      <c r="E1366" s="380"/>
      <c r="F1366" s="381"/>
    </row>
    <row r="1367" spans="1:6" s="275" customFormat="1" x14ac:dyDescent="0.15">
      <c r="A1367" s="376"/>
      <c r="B1367" s="359"/>
      <c r="C1367" s="386">
        <v>42063</v>
      </c>
      <c r="D1367" s="287"/>
      <c r="E1367" s="380"/>
      <c r="F1367" s="381"/>
    </row>
    <row r="1368" spans="1:6" s="275" customFormat="1" x14ac:dyDescent="0.15">
      <c r="A1368" s="399"/>
      <c r="B1368" s="400"/>
      <c r="C1368" s="400"/>
      <c r="D1368" s="400"/>
      <c r="E1368" s="401"/>
      <c r="F1368" s="402"/>
    </row>
    <row r="1369" spans="1:6" s="275" customFormat="1" ht="14" thickBot="1" x14ac:dyDescent="0.2">
      <c r="A1369" s="387"/>
      <c r="B1369" s="388"/>
      <c r="C1369" s="291" t="s">
        <v>1169</v>
      </c>
      <c r="D1369" s="383">
        <f>SUM(D1339,D1363)</f>
        <v>38350.800000000003</v>
      </c>
      <c r="E1369" s="367"/>
      <c r="F1369" s="389">
        <v>43834.76</v>
      </c>
    </row>
    <row r="1370" spans="1:6" s="275" customFormat="1" ht="14" thickTop="1" x14ac:dyDescent="0.15">
      <c r="E1370" s="369"/>
      <c r="F1370" s="278"/>
    </row>
    <row r="1371" spans="1:6" s="295" customFormat="1" x14ac:dyDescent="0.15">
      <c r="A1371" s="370" t="s">
        <v>1299</v>
      </c>
      <c r="B1371" s="371" t="s">
        <v>1269</v>
      </c>
      <c r="C1371" s="371" t="s">
        <v>1270</v>
      </c>
      <c r="D1371" s="371">
        <v>827.4</v>
      </c>
      <c r="E1371" s="390">
        <v>42080</v>
      </c>
      <c r="F1371" s="391">
        <v>960.1</v>
      </c>
    </row>
    <row r="1372" spans="1:6" s="295" customFormat="1" x14ac:dyDescent="0.15">
      <c r="A1372" s="374" t="s">
        <v>1293</v>
      </c>
      <c r="B1372" s="287" t="s">
        <v>1257</v>
      </c>
      <c r="C1372" s="287" t="s">
        <v>1258</v>
      </c>
      <c r="D1372" s="287">
        <v>1272.5999999999999</v>
      </c>
      <c r="E1372" s="380">
        <v>42080</v>
      </c>
      <c r="F1372" s="381">
        <v>1457.07</v>
      </c>
    </row>
    <row r="1373" spans="1:6" s="295" customFormat="1" x14ac:dyDescent="0.15">
      <c r="A1373" s="374" t="s">
        <v>1294</v>
      </c>
      <c r="B1373" s="287" t="s">
        <v>1259</v>
      </c>
      <c r="C1373" s="287" t="s">
        <v>1260</v>
      </c>
      <c r="D1373" s="287">
        <v>453.4</v>
      </c>
      <c r="E1373" s="380">
        <v>42080</v>
      </c>
      <c r="F1373" s="381">
        <v>555.91999999999996</v>
      </c>
    </row>
    <row r="1374" spans="1:6" s="295" customFormat="1" x14ac:dyDescent="0.15">
      <c r="A1374" s="374" t="s">
        <v>1296</v>
      </c>
      <c r="B1374" s="287" t="s">
        <v>1278</v>
      </c>
      <c r="C1374" s="287" t="s">
        <v>1264</v>
      </c>
      <c r="D1374" s="287">
        <v>829.5</v>
      </c>
      <c r="E1374" s="380">
        <v>42080</v>
      </c>
      <c r="F1374" s="381">
        <v>962.44</v>
      </c>
    </row>
    <row r="1375" spans="1:6" s="295" customFormat="1" x14ac:dyDescent="0.15">
      <c r="A1375" s="374" t="s">
        <v>1295</v>
      </c>
      <c r="B1375" s="287" t="s">
        <v>1261</v>
      </c>
      <c r="C1375" s="287" t="s">
        <v>1262</v>
      </c>
      <c r="D1375" s="287">
        <v>640.9</v>
      </c>
      <c r="E1375" s="380">
        <v>42080</v>
      </c>
      <c r="F1375" s="381">
        <v>773.88</v>
      </c>
    </row>
    <row r="1376" spans="1:6" s="295" customFormat="1" x14ac:dyDescent="0.15">
      <c r="A1376" s="374" t="s">
        <v>1301</v>
      </c>
      <c r="B1376" s="287" t="s">
        <v>1286</v>
      </c>
      <c r="C1376" s="287" t="s">
        <v>1287</v>
      </c>
      <c r="D1376" s="287">
        <v>430.7</v>
      </c>
      <c r="E1376" s="380">
        <v>42080</v>
      </c>
      <c r="F1376" s="381">
        <v>517.27</v>
      </c>
    </row>
    <row r="1377" spans="1:6" s="295" customFormat="1" x14ac:dyDescent="0.15">
      <c r="A1377" s="374" t="s">
        <v>1297</v>
      </c>
      <c r="B1377" s="287" t="s">
        <v>1265</v>
      </c>
      <c r="C1377" s="287" t="s">
        <v>1266</v>
      </c>
      <c r="D1377" s="287">
        <v>469.9</v>
      </c>
      <c r="E1377" s="380">
        <v>42080</v>
      </c>
      <c r="F1377" s="381">
        <v>575.09</v>
      </c>
    </row>
    <row r="1378" spans="1:6" s="295" customFormat="1" x14ac:dyDescent="0.15">
      <c r="A1378" s="374" t="s">
        <v>1298</v>
      </c>
      <c r="B1378" s="287" t="s">
        <v>1267</v>
      </c>
      <c r="C1378" s="287" t="s">
        <v>1268</v>
      </c>
      <c r="D1378" s="287">
        <v>1044.9000000000001</v>
      </c>
      <c r="E1378" s="380">
        <v>42080</v>
      </c>
      <c r="F1378" s="381">
        <v>1243.54</v>
      </c>
    </row>
    <row r="1379" spans="1:6" s="295" customFormat="1" x14ac:dyDescent="0.15">
      <c r="A1379" s="374" t="s">
        <v>1300</v>
      </c>
      <c r="B1379" s="287" t="s">
        <v>1271</v>
      </c>
      <c r="C1379" s="287" t="s">
        <v>1272</v>
      </c>
      <c r="D1379" s="287">
        <v>934.6</v>
      </c>
      <c r="E1379" s="380">
        <v>42080</v>
      </c>
      <c r="F1379" s="381">
        <v>1079.76</v>
      </c>
    </row>
    <row r="1380" spans="1:6" s="295" customFormat="1" x14ac:dyDescent="0.15">
      <c r="A1380" s="374" t="s">
        <v>1290</v>
      </c>
      <c r="B1380" s="287" t="s">
        <v>1291</v>
      </c>
      <c r="C1380" s="287" t="s">
        <v>1277</v>
      </c>
      <c r="D1380" s="287">
        <v>1491.1</v>
      </c>
      <c r="E1380" s="380">
        <v>42080</v>
      </c>
      <c r="F1380" s="381">
        <v>1700.98</v>
      </c>
    </row>
    <row r="1381" spans="1:6" s="295" customFormat="1" x14ac:dyDescent="0.15">
      <c r="A1381" s="374" t="s">
        <v>1292</v>
      </c>
      <c r="B1381" s="287" t="s">
        <v>1255</v>
      </c>
      <c r="C1381" s="287" t="s">
        <v>1256</v>
      </c>
      <c r="D1381" s="287">
        <v>2758.4</v>
      </c>
      <c r="E1381" s="380">
        <v>42080</v>
      </c>
      <c r="F1381" s="381">
        <v>3113.24</v>
      </c>
    </row>
    <row r="1382" spans="1:6" s="295" customFormat="1" x14ac:dyDescent="0.15">
      <c r="A1382" s="374" t="s">
        <v>1312</v>
      </c>
      <c r="B1382" s="287" t="s">
        <v>1313</v>
      </c>
      <c r="C1382" s="287" t="s">
        <v>1313</v>
      </c>
      <c r="D1382" s="287">
        <v>1729.1</v>
      </c>
      <c r="E1382" s="380">
        <v>42080</v>
      </c>
      <c r="F1382" s="381">
        <v>1966.67</v>
      </c>
    </row>
    <row r="1383" spans="1:6" s="295" customFormat="1" x14ac:dyDescent="0.15">
      <c r="A1383" s="374" t="s">
        <v>1314</v>
      </c>
      <c r="B1383" s="287" t="s">
        <v>1315</v>
      </c>
      <c r="C1383" s="287" t="s">
        <v>1316</v>
      </c>
      <c r="D1383" s="287">
        <v>322.5</v>
      </c>
      <c r="E1383" s="380">
        <v>42080</v>
      </c>
      <c r="F1383" s="381">
        <v>396.6</v>
      </c>
    </row>
    <row r="1384" spans="1:6" s="275" customFormat="1" ht="14" thickBot="1" x14ac:dyDescent="0.2">
      <c r="A1384" s="374"/>
      <c r="B1384" s="287"/>
      <c r="C1384" s="291" t="s">
        <v>115</v>
      </c>
      <c r="D1384" s="394">
        <f>SUM(D1371:D1383)</f>
        <v>13205</v>
      </c>
      <c r="E1384" s="384"/>
      <c r="F1384" s="389">
        <v>15302.560000000001</v>
      </c>
    </row>
    <row r="1385" spans="1:6" s="275" customFormat="1" ht="14" thickTop="1" x14ac:dyDescent="0.15">
      <c r="A1385" s="374"/>
      <c r="B1385" s="287"/>
      <c r="C1385" s="287"/>
      <c r="D1385" s="287"/>
      <c r="E1385" s="380"/>
      <c r="F1385" s="381"/>
    </row>
    <row r="1386" spans="1:6" s="275" customFormat="1" x14ac:dyDescent="0.15">
      <c r="A1386" s="374"/>
      <c r="B1386" s="287"/>
      <c r="C1386" s="378" t="s">
        <v>1212</v>
      </c>
      <c r="D1386" s="287"/>
      <c r="E1386" s="380"/>
      <c r="F1386" s="381"/>
    </row>
    <row r="1387" spans="1:6" s="275" customFormat="1" x14ac:dyDescent="0.15">
      <c r="A1387" s="374"/>
      <c r="B1387" s="287"/>
      <c r="C1387" s="378" t="s">
        <v>1139</v>
      </c>
      <c r="D1387" s="287"/>
      <c r="E1387" s="380"/>
      <c r="F1387" s="381"/>
    </row>
    <row r="1388" spans="1:6" s="275" customFormat="1" x14ac:dyDescent="0.15">
      <c r="A1388" s="374"/>
      <c r="B1388" s="287"/>
      <c r="C1388" s="386">
        <v>42093</v>
      </c>
      <c r="D1388" s="287"/>
      <c r="E1388" s="380"/>
      <c r="F1388" s="381"/>
    </row>
    <row r="1389" spans="1:6" s="275" customFormat="1" x14ac:dyDescent="0.15">
      <c r="A1389" s="399"/>
      <c r="B1389" s="400"/>
      <c r="C1389" s="400"/>
      <c r="D1389" s="400"/>
      <c r="E1389" s="401"/>
      <c r="F1389" s="402"/>
    </row>
    <row r="1390" spans="1:6" s="295" customFormat="1" x14ac:dyDescent="0.15">
      <c r="A1390" s="370" t="s">
        <v>1302</v>
      </c>
      <c r="B1390" s="371" t="s">
        <v>1226</v>
      </c>
      <c r="C1390" s="371" t="s">
        <v>1227</v>
      </c>
      <c r="D1390" s="371">
        <v>1484.6</v>
      </c>
      <c r="E1390" s="390">
        <v>42095</v>
      </c>
      <c r="F1390" s="391">
        <v>1693.73</v>
      </c>
    </row>
    <row r="1391" spans="1:6" s="295" customFormat="1" x14ac:dyDescent="0.15">
      <c r="A1391" s="374" t="s">
        <v>1303</v>
      </c>
      <c r="B1391" s="287" t="s">
        <v>1228</v>
      </c>
      <c r="C1391" s="287" t="s">
        <v>1229</v>
      </c>
      <c r="D1391" s="287">
        <v>1508.3</v>
      </c>
      <c r="E1391" s="380">
        <v>42095</v>
      </c>
      <c r="F1391" s="381">
        <v>1717.12</v>
      </c>
    </row>
    <row r="1392" spans="1:6" s="295" customFormat="1" x14ac:dyDescent="0.15">
      <c r="A1392" s="374" t="s">
        <v>1304</v>
      </c>
      <c r="B1392" s="287" t="s">
        <v>1230</v>
      </c>
      <c r="C1392" s="287" t="s">
        <v>1231</v>
      </c>
      <c r="D1392" s="287">
        <v>895.7</v>
      </c>
      <c r="E1392" s="380">
        <v>42095</v>
      </c>
      <c r="F1392" s="381">
        <v>1036.3399999999999</v>
      </c>
    </row>
    <row r="1393" spans="1:6" s="295" customFormat="1" x14ac:dyDescent="0.15">
      <c r="A1393" s="374" t="s">
        <v>1305</v>
      </c>
      <c r="B1393" s="287" t="s">
        <v>1306</v>
      </c>
      <c r="C1393" s="287" t="s">
        <v>1233</v>
      </c>
      <c r="D1393" s="287">
        <v>1233.4000000000001</v>
      </c>
      <c r="E1393" s="380">
        <v>42095</v>
      </c>
      <c r="F1393" s="381">
        <v>1261.6099999999999</v>
      </c>
    </row>
    <row r="1394" spans="1:6" s="295" customFormat="1" x14ac:dyDescent="0.15">
      <c r="A1394" s="374" t="s">
        <v>1307</v>
      </c>
      <c r="B1394" s="287" t="s">
        <v>1234</v>
      </c>
      <c r="C1394" s="287" t="s">
        <v>500</v>
      </c>
      <c r="D1394" s="287">
        <v>1813</v>
      </c>
      <c r="E1394" s="380">
        <v>42095</v>
      </c>
      <c r="F1394" s="381">
        <v>2060.3200000000002</v>
      </c>
    </row>
    <row r="1395" spans="1:6" s="295" customFormat="1" x14ac:dyDescent="0.15">
      <c r="A1395" s="374" t="s">
        <v>1308</v>
      </c>
      <c r="B1395" s="287" t="s">
        <v>1235</v>
      </c>
      <c r="C1395" s="287" t="s">
        <v>1236</v>
      </c>
      <c r="D1395" s="287">
        <v>1559.8</v>
      </c>
      <c r="E1395" s="380">
        <v>42095</v>
      </c>
      <c r="F1395" s="381">
        <v>1777.68</v>
      </c>
    </row>
    <row r="1396" spans="1:6" s="295" customFormat="1" x14ac:dyDescent="0.15">
      <c r="A1396" s="374" t="s">
        <v>1308</v>
      </c>
      <c r="B1396" s="287" t="s">
        <v>1238</v>
      </c>
      <c r="C1396" s="287" t="s">
        <v>1239</v>
      </c>
      <c r="D1396" s="287">
        <v>1262.2</v>
      </c>
      <c r="E1396" s="380">
        <v>42095</v>
      </c>
      <c r="F1396" s="381">
        <v>1445.47</v>
      </c>
    </row>
    <row r="1397" spans="1:6" s="295" customFormat="1" x14ac:dyDescent="0.15">
      <c r="A1397" s="374" t="s">
        <v>1309</v>
      </c>
      <c r="B1397" s="287" t="s">
        <v>1240</v>
      </c>
      <c r="C1397" s="287" t="s">
        <v>1241</v>
      </c>
      <c r="D1397" s="287">
        <v>1095.4000000000001</v>
      </c>
      <c r="E1397" s="380">
        <v>42095</v>
      </c>
      <c r="F1397" s="381">
        <v>1259.27</v>
      </c>
    </row>
    <row r="1398" spans="1:6" s="295" customFormat="1" x14ac:dyDescent="0.15">
      <c r="A1398" s="374" t="s">
        <v>1310</v>
      </c>
      <c r="B1398" s="287" t="s">
        <v>1282</v>
      </c>
      <c r="C1398" s="287" t="s">
        <v>1283</v>
      </c>
      <c r="D1398" s="287">
        <v>1200.5999999999999</v>
      </c>
      <c r="E1398" s="380">
        <v>42095</v>
      </c>
      <c r="F1398" s="381">
        <v>1376.71</v>
      </c>
    </row>
    <row r="1399" spans="1:6" s="295" customFormat="1" x14ac:dyDescent="0.15">
      <c r="A1399" s="374" t="s">
        <v>1311</v>
      </c>
      <c r="B1399" s="287" t="s">
        <v>1244</v>
      </c>
      <c r="C1399" s="287" t="s">
        <v>1245</v>
      </c>
      <c r="D1399" s="287">
        <v>1507.5</v>
      </c>
      <c r="E1399" s="380">
        <v>42095</v>
      </c>
      <c r="F1399" s="381">
        <v>1719.3</v>
      </c>
    </row>
    <row r="1400" spans="1:6" s="295" customFormat="1" x14ac:dyDescent="0.15">
      <c r="A1400" s="374" t="s">
        <v>1311</v>
      </c>
      <c r="B1400" s="287" t="s">
        <v>1246</v>
      </c>
      <c r="C1400" s="287" t="s">
        <v>1247</v>
      </c>
      <c r="D1400" s="287">
        <v>1292.0999999999999</v>
      </c>
      <c r="E1400" s="380">
        <v>42095</v>
      </c>
      <c r="F1400" s="381">
        <v>1478.84</v>
      </c>
    </row>
    <row r="1401" spans="1:6" s="295" customFormat="1" x14ac:dyDescent="0.15">
      <c r="A1401" s="374" t="s">
        <v>1311</v>
      </c>
      <c r="B1401" s="287" t="s">
        <v>1248</v>
      </c>
      <c r="C1401" s="287" t="s">
        <v>1249</v>
      </c>
      <c r="D1401" s="287">
        <v>287.2</v>
      </c>
      <c r="E1401" s="380">
        <v>42095</v>
      </c>
      <c r="F1401" s="381">
        <v>362.7</v>
      </c>
    </row>
    <row r="1402" spans="1:6" s="295" customFormat="1" x14ac:dyDescent="0.15">
      <c r="A1402" s="374" t="s">
        <v>1311</v>
      </c>
      <c r="B1402" s="287" t="s">
        <v>1250</v>
      </c>
      <c r="C1402" s="287" t="s">
        <v>1251</v>
      </c>
      <c r="D1402" s="287">
        <v>83.5</v>
      </c>
      <c r="E1402" s="380">
        <v>42095</v>
      </c>
      <c r="F1402" s="381">
        <v>127.95</v>
      </c>
    </row>
    <row r="1403" spans="1:6" s="295" customFormat="1" x14ac:dyDescent="0.15">
      <c r="A1403" s="374" t="s">
        <v>1311</v>
      </c>
      <c r="B1403" s="287" t="s">
        <v>1252</v>
      </c>
      <c r="C1403" s="287" t="s">
        <v>1253</v>
      </c>
      <c r="D1403" s="287">
        <v>1364.3</v>
      </c>
      <c r="E1403" s="380">
        <v>42095</v>
      </c>
      <c r="F1403" s="381">
        <v>1559.44</v>
      </c>
    </row>
    <row r="1404" spans="1:6" s="295" customFormat="1" x14ac:dyDescent="0.15">
      <c r="A1404" s="374" t="s">
        <v>1311</v>
      </c>
      <c r="B1404" s="287" t="s">
        <v>1275</v>
      </c>
      <c r="C1404" s="287" t="s">
        <v>1276</v>
      </c>
      <c r="D1404" s="397">
        <v>1315.9</v>
      </c>
      <c r="E1404" s="380">
        <v>42095</v>
      </c>
      <c r="F1404" s="381">
        <v>1505.42</v>
      </c>
    </row>
    <row r="1405" spans="1:6" s="295" customFormat="1" x14ac:dyDescent="0.15">
      <c r="A1405" s="374" t="s">
        <v>1311</v>
      </c>
      <c r="B1405" s="287" t="s">
        <v>1279</v>
      </c>
      <c r="C1405" s="287" t="s">
        <v>1280</v>
      </c>
      <c r="D1405" s="397">
        <v>1060.3</v>
      </c>
      <c r="E1405" s="380">
        <v>42095</v>
      </c>
      <c r="F1405" s="381">
        <v>1220.08</v>
      </c>
    </row>
    <row r="1406" spans="1:6" s="295" customFormat="1" x14ac:dyDescent="0.15">
      <c r="A1406" s="374" t="s">
        <v>1311</v>
      </c>
      <c r="B1406" s="287" t="s">
        <v>1284</v>
      </c>
      <c r="C1406" s="287" t="s">
        <v>1285</v>
      </c>
      <c r="D1406" s="397">
        <v>415.3</v>
      </c>
      <c r="E1406" s="380">
        <v>42095</v>
      </c>
      <c r="F1406" s="381">
        <v>511.63</v>
      </c>
    </row>
    <row r="1407" spans="1:6" s="295" customFormat="1" x14ac:dyDescent="0.15">
      <c r="A1407" s="374" t="s">
        <v>1311</v>
      </c>
      <c r="B1407" s="287" t="s">
        <v>1288</v>
      </c>
      <c r="C1407" s="287" t="s">
        <v>1289</v>
      </c>
      <c r="D1407" s="397">
        <v>804.1</v>
      </c>
      <c r="E1407" s="403">
        <v>42095</v>
      </c>
      <c r="F1407" s="381">
        <v>934.09</v>
      </c>
    </row>
    <row r="1408" spans="1:6" s="275" customFormat="1" ht="14" thickBot="1" x14ac:dyDescent="0.2">
      <c r="A1408" s="376"/>
      <c r="B1408" s="359"/>
      <c r="C1408" s="291" t="s">
        <v>115</v>
      </c>
      <c r="D1408" s="383">
        <f>SUM(D1390:D1407)</f>
        <v>20183.2</v>
      </c>
      <c r="E1408" s="404"/>
      <c r="F1408" s="389">
        <v>23047.7</v>
      </c>
    </row>
    <row r="1409" spans="1:6" s="275" customFormat="1" ht="14" thickTop="1" x14ac:dyDescent="0.15">
      <c r="A1409" s="376"/>
      <c r="B1409" s="359"/>
      <c r="C1409" s="359"/>
      <c r="D1409" s="287"/>
      <c r="E1409" s="380"/>
      <c r="F1409" s="381"/>
    </row>
    <row r="1410" spans="1:6" s="275" customFormat="1" x14ac:dyDescent="0.15">
      <c r="A1410" s="376"/>
      <c r="B1410" s="359"/>
      <c r="C1410" s="378" t="s">
        <v>1212</v>
      </c>
      <c r="D1410" s="287"/>
      <c r="E1410" s="380"/>
      <c r="F1410" s="381"/>
    </row>
    <row r="1411" spans="1:6" s="275" customFormat="1" x14ac:dyDescent="0.15">
      <c r="A1411" s="376"/>
      <c r="B1411" s="359"/>
      <c r="C1411" s="378" t="s">
        <v>1139</v>
      </c>
      <c r="D1411" s="287"/>
      <c r="E1411" s="380"/>
      <c r="F1411" s="381"/>
    </row>
    <row r="1412" spans="1:6" s="275" customFormat="1" x14ac:dyDescent="0.15">
      <c r="A1412" s="376"/>
      <c r="B1412" s="359"/>
      <c r="C1412" s="386">
        <v>42094</v>
      </c>
      <c r="D1412" s="287"/>
      <c r="E1412" s="380"/>
      <c r="F1412" s="381"/>
    </row>
    <row r="1413" spans="1:6" s="275" customFormat="1" x14ac:dyDescent="0.15">
      <c r="A1413" s="399"/>
      <c r="B1413" s="400"/>
      <c r="C1413" s="400"/>
      <c r="D1413" s="400"/>
      <c r="E1413" s="401"/>
      <c r="F1413" s="402"/>
    </row>
    <row r="1414" spans="1:6" s="275" customFormat="1" ht="14" thickBot="1" x14ac:dyDescent="0.2">
      <c r="A1414" s="387"/>
      <c r="B1414" s="388"/>
      <c r="C1414" s="291" t="s">
        <v>1171</v>
      </c>
      <c r="D1414" s="383">
        <f>SUM(D1384,D1408)</f>
        <v>33388.199999999997</v>
      </c>
      <c r="E1414" s="367"/>
      <c r="F1414" s="389">
        <v>38350.26</v>
      </c>
    </row>
    <row r="1415" spans="1:6" s="275" customFormat="1" ht="14" thickTop="1" x14ac:dyDescent="0.15">
      <c r="E1415" s="369"/>
      <c r="F1415" s="278"/>
    </row>
    <row r="1416" spans="1:6" s="295" customFormat="1" x14ac:dyDescent="0.15">
      <c r="A1416" s="370" t="s">
        <v>1299</v>
      </c>
      <c r="B1416" s="371" t="s">
        <v>1269</v>
      </c>
      <c r="C1416" s="371" t="s">
        <v>1270</v>
      </c>
      <c r="D1416" s="371">
        <v>613.5</v>
      </c>
      <c r="E1416" s="390">
        <v>42110</v>
      </c>
      <c r="F1416" s="391">
        <v>721.32</v>
      </c>
    </row>
    <row r="1417" spans="1:6" s="295" customFormat="1" x14ac:dyDescent="0.15">
      <c r="A1417" s="374" t="s">
        <v>1293</v>
      </c>
      <c r="B1417" s="287" t="s">
        <v>1257</v>
      </c>
      <c r="C1417" s="287" t="s">
        <v>1258</v>
      </c>
      <c r="D1417" s="287">
        <v>933.7</v>
      </c>
      <c r="E1417" s="380">
        <v>42110</v>
      </c>
      <c r="F1417" s="381">
        <v>1078.76</v>
      </c>
    </row>
    <row r="1418" spans="1:6" s="295" customFormat="1" x14ac:dyDescent="0.15">
      <c r="A1418" s="374" t="s">
        <v>1294</v>
      </c>
      <c r="B1418" s="287" t="s">
        <v>1259</v>
      </c>
      <c r="C1418" s="287" t="s">
        <v>1260</v>
      </c>
      <c r="D1418" s="287">
        <v>291.3</v>
      </c>
      <c r="E1418" s="380">
        <v>42110</v>
      </c>
      <c r="F1418" s="381">
        <v>367.48</v>
      </c>
    </row>
    <row r="1419" spans="1:6" s="295" customFormat="1" x14ac:dyDescent="0.15">
      <c r="A1419" s="374" t="s">
        <v>1296</v>
      </c>
      <c r="B1419" s="287" t="s">
        <v>1278</v>
      </c>
      <c r="C1419" s="287" t="s">
        <v>1264</v>
      </c>
      <c r="D1419" s="287">
        <v>634.1</v>
      </c>
      <c r="E1419" s="380">
        <v>42110</v>
      </c>
      <c r="F1419" s="381">
        <v>744.31</v>
      </c>
    </row>
    <row r="1420" spans="1:6" s="295" customFormat="1" x14ac:dyDescent="0.15">
      <c r="A1420" s="374" t="s">
        <v>1295</v>
      </c>
      <c r="B1420" s="287" t="s">
        <v>1261</v>
      </c>
      <c r="C1420" s="287" t="s">
        <v>1262</v>
      </c>
      <c r="D1420" s="287">
        <v>415.9</v>
      </c>
      <c r="E1420" s="380">
        <v>42110</v>
      </c>
      <c r="F1420" s="381">
        <v>512.32000000000005</v>
      </c>
    </row>
    <row r="1421" spans="1:6" s="295" customFormat="1" x14ac:dyDescent="0.15">
      <c r="A1421" s="374" t="s">
        <v>1301</v>
      </c>
      <c r="B1421" s="287" t="s">
        <v>1286</v>
      </c>
      <c r="C1421" s="287" t="s">
        <v>1287</v>
      </c>
      <c r="D1421" s="287">
        <v>242.9</v>
      </c>
      <c r="E1421" s="380">
        <v>42110</v>
      </c>
      <c r="F1421" s="381">
        <v>307.62</v>
      </c>
    </row>
    <row r="1422" spans="1:6" s="295" customFormat="1" x14ac:dyDescent="0.15">
      <c r="A1422" s="374" t="s">
        <v>1297</v>
      </c>
      <c r="B1422" s="287" t="s">
        <v>1265</v>
      </c>
      <c r="C1422" s="287" t="s">
        <v>1266</v>
      </c>
      <c r="D1422" s="287">
        <v>341.8</v>
      </c>
      <c r="E1422" s="380">
        <v>42110</v>
      </c>
      <c r="F1422" s="381">
        <v>426.19</v>
      </c>
    </row>
    <row r="1423" spans="1:6" s="295" customFormat="1" x14ac:dyDescent="0.15">
      <c r="A1423" s="374" t="s">
        <v>1298</v>
      </c>
      <c r="B1423" s="287" t="s">
        <v>1267</v>
      </c>
      <c r="C1423" s="287" t="s">
        <v>1268</v>
      </c>
      <c r="D1423" s="287">
        <v>734</v>
      </c>
      <c r="E1423" s="380">
        <v>42110</v>
      </c>
      <c r="F1423" s="381">
        <v>882.12</v>
      </c>
    </row>
    <row r="1424" spans="1:6" s="295" customFormat="1" x14ac:dyDescent="0.15">
      <c r="A1424" s="374" t="s">
        <v>1300</v>
      </c>
      <c r="B1424" s="287" t="s">
        <v>1271</v>
      </c>
      <c r="C1424" s="287" t="s">
        <v>1272</v>
      </c>
      <c r="D1424" s="287">
        <v>545.6</v>
      </c>
      <c r="E1424" s="380">
        <v>42110</v>
      </c>
      <c r="F1424" s="381">
        <v>645.52</v>
      </c>
    </row>
    <row r="1425" spans="1:6" s="295" customFormat="1" x14ac:dyDescent="0.15">
      <c r="A1425" s="374" t="s">
        <v>1290</v>
      </c>
      <c r="B1425" s="287" t="s">
        <v>1291</v>
      </c>
      <c r="C1425" s="287" t="s">
        <v>1277</v>
      </c>
      <c r="D1425" s="287">
        <v>1054</v>
      </c>
      <c r="E1425" s="380">
        <v>42110</v>
      </c>
      <c r="F1425" s="381">
        <v>1213.05</v>
      </c>
    </row>
    <row r="1426" spans="1:6" s="295" customFormat="1" x14ac:dyDescent="0.15">
      <c r="A1426" s="374" t="s">
        <v>1292</v>
      </c>
      <c r="B1426" s="287" t="s">
        <v>1255</v>
      </c>
      <c r="C1426" s="287" t="s">
        <v>1256</v>
      </c>
      <c r="D1426" s="287">
        <v>2192.9</v>
      </c>
      <c r="E1426" s="380">
        <v>42110</v>
      </c>
      <c r="F1426" s="381">
        <v>2481.6799999999998</v>
      </c>
    </row>
    <row r="1427" spans="1:6" s="295" customFormat="1" x14ac:dyDescent="0.15">
      <c r="A1427" s="374" t="s">
        <v>1312</v>
      </c>
      <c r="B1427" s="287" t="s">
        <v>1313</v>
      </c>
      <c r="C1427" s="287" t="s">
        <v>1313</v>
      </c>
      <c r="D1427" s="287">
        <v>1201.3</v>
      </c>
      <c r="E1427" s="380">
        <v>42110</v>
      </c>
      <c r="F1427" s="381">
        <v>1377.49</v>
      </c>
    </row>
    <row r="1428" spans="1:6" s="295" customFormat="1" x14ac:dyDescent="0.15">
      <c r="A1428" s="374" t="s">
        <v>1314</v>
      </c>
      <c r="B1428" s="287" t="s">
        <v>1315</v>
      </c>
      <c r="C1428" s="287" t="s">
        <v>1316</v>
      </c>
      <c r="D1428" s="287">
        <v>147.19999999999999</v>
      </c>
      <c r="E1428" s="380">
        <v>42110</v>
      </c>
      <c r="F1428" s="381">
        <v>202.04</v>
      </c>
    </row>
    <row r="1429" spans="1:6" s="275" customFormat="1" ht="14" thickBot="1" x14ac:dyDescent="0.2">
      <c r="A1429" s="374"/>
      <c r="B1429" s="287"/>
      <c r="C1429" s="291" t="s">
        <v>115</v>
      </c>
      <c r="D1429" s="394">
        <f>SUM(D1416:D1428)</f>
        <v>9348.2000000000007</v>
      </c>
      <c r="E1429" s="384"/>
      <c r="F1429" s="389">
        <v>10959.899999999998</v>
      </c>
    </row>
    <row r="1430" spans="1:6" s="275" customFormat="1" ht="14" thickTop="1" x14ac:dyDescent="0.15">
      <c r="A1430" s="374"/>
      <c r="B1430" s="287"/>
      <c r="C1430" s="287"/>
      <c r="D1430" s="287"/>
      <c r="E1430" s="380"/>
      <c r="F1430" s="381"/>
    </row>
    <row r="1431" spans="1:6" s="275" customFormat="1" x14ac:dyDescent="0.15">
      <c r="A1431" s="374"/>
      <c r="B1431" s="287"/>
      <c r="C1431" s="378" t="s">
        <v>1212</v>
      </c>
      <c r="D1431" s="287"/>
      <c r="E1431" s="380"/>
      <c r="F1431" s="381"/>
    </row>
    <row r="1432" spans="1:6" s="275" customFormat="1" x14ac:dyDescent="0.15">
      <c r="A1432" s="374"/>
      <c r="B1432" s="287"/>
      <c r="C1432" s="378" t="s">
        <v>1139</v>
      </c>
      <c r="D1432" s="287"/>
      <c r="E1432" s="380"/>
      <c r="F1432" s="381"/>
    </row>
    <row r="1433" spans="1:6" s="275" customFormat="1" x14ac:dyDescent="0.15">
      <c r="A1433" s="374"/>
      <c r="B1433" s="287"/>
      <c r="C1433" s="386">
        <v>42121</v>
      </c>
      <c r="D1433" s="287"/>
      <c r="E1433" s="380"/>
      <c r="F1433" s="381"/>
    </row>
    <row r="1434" spans="1:6" s="275" customFormat="1" x14ac:dyDescent="0.15">
      <c r="A1434" s="399"/>
      <c r="B1434" s="400"/>
      <c r="C1434" s="400"/>
      <c r="D1434" s="400"/>
      <c r="E1434" s="401"/>
      <c r="F1434" s="402"/>
    </row>
    <row r="1435" spans="1:6" s="295" customFormat="1" x14ac:dyDescent="0.15">
      <c r="A1435" s="370" t="s">
        <v>1302</v>
      </c>
      <c r="B1435" s="371" t="s">
        <v>1226</v>
      </c>
      <c r="C1435" s="371" t="s">
        <v>1227</v>
      </c>
      <c r="D1435" s="371">
        <v>855.6</v>
      </c>
      <c r="E1435" s="390">
        <v>42125</v>
      </c>
      <c r="F1435" s="391">
        <v>991.58</v>
      </c>
    </row>
    <row r="1436" spans="1:6" s="295" customFormat="1" x14ac:dyDescent="0.15">
      <c r="A1436" s="374" t="s">
        <v>1303</v>
      </c>
      <c r="B1436" s="287" t="s">
        <v>1228</v>
      </c>
      <c r="C1436" s="287" t="s">
        <v>1229</v>
      </c>
      <c r="D1436" s="287">
        <v>854.6</v>
      </c>
      <c r="E1436" s="380">
        <v>42125</v>
      </c>
      <c r="F1436" s="381">
        <v>987.07</v>
      </c>
    </row>
    <row r="1437" spans="1:6" s="295" customFormat="1" x14ac:dyDescent="0.15">
      <c r="A1437" s="374" t="s">
        <v>1304</v>
      </c>
      <c r="B1437" s="287" t="s">
        <v>1230</v>
      </c>
      <c r="C1437" s="287" t="s">
        <v>1231</v>
      </c>
      <c r="D1437" s="287">
        <f>268.7+305.8</f>
        <v>574.5</v>
      </c>
      <c r="E1437" s="380">
        <v>42125</v>
      </c>
      <c r="F1437" s="381">
        <v>677.79</v>
      </c>
    </row>
    <row r="1438" spans="1:6" s="295" customFormat="1" x14ac:dyDescent="0.15">
      <c r="A1438" s="374" t="s">
        <v>1305</v>
      </c>
      <c r="B1438" s="287" t="s">
        <v>1306</v>
      </c>
      <c r="C1438" s="287" t="s">
        <v>1233</v>
      </c>
      <c r="D1438" s="287">
        <v>1551.6</v>
      </c>
      <c r="E1438" s="380">
        <v>42125</v>
      </c>
      <c r="F1438" s="381">
        <v>1578.67</v>
      </c>
    </row>
    <row r="1439" spans="1:6" s="295" customFormat="1" x14ac:dyDescent="0.15">
      <c r="A1439" s="374" t="s">
        <v>1307</v>
      </c>
      <c r="B1439" s="287" t="s">
        <v>1234</v>
      </c>
      <c r="C1439" s="287" t="s">
        <v>500</v>
      </c>
      <c r="D1439" s="287">
        <v>1120.2</v>
      </c>
      <c r="E1439" s="380">
        <v>42125</v>
      </c>
      <c r="F1439" s="381">
        <v>1286.95</v>
      </c>
    </row>
    <row r="1440" spans="1:6" s="295" customFormat="1" x14ac:dyDescent="0.15">
      <c r="A1440" s="374" t="s">
        <v>1308</v>
      </c>
      <c r="B1440" s="287" t="s">
        <v>1235</v>
      </c>
      <c r="C1440" s="287" t="s">
        <v>1236</v>
      </c>
      <c r="D1440" s="287">
        <v>1063.5999999999999</v>
      </c>
      <c r="E1440" s="380">
        <v>42125</v>
      </c>
      <c r="F1440" s="381">
        <v>1223.77</v>
      </c>
    </row>
    <row r="1441" spans="1:6" s="295" customFormat="1" x14ac:dyDescent="0.15">
      <c r="A1441" s="374" t="s">
        <v>1308</v>
      </c>
      <c r="B1441" s="287" t="s">
        <v>1238</v>
      </c>
      <c r="C1441" s="287" t="s">
        <v>1239</v>
      </c>
      <c r="D1441" s="287">
        <f>406.6+453.1</f>
        <v>859.7</v>
      </c>
      <c r="E1441" s="380">
        <v>42125</v>
      </c>
      <c r="F1441" s="381">
        <v>996.16</v>
      </c>
    </row>
    <row r="1442" spans="1:6" s="295" customFormat="1" x14ac:dyDescent="0.15">
      <c r="A1442" s="374" t="s">
        <v>1309</v>
      </c>
      <c r="B1442" s="287" t="s">
        <v>1240</v>
      </c>
      <c r="C1442" s="287" t="s">
        <v>1241</v>
      </c>
      <c r="D1442" s="287">
        <v>695</v>
      </c>
      <c r="E1442" s="380">
        <v>42125</v>
      </c>
      <c r="F1442" s="381">
        <v>812.31</v>
      </c>
    </row>
    <row r="1443" spans="1:6" s="295" customFormat="1" x14ac:dyDescent="0.15">
      <c r="A1443" s="374" t="s">
        <v>1310</v>
      </c>
      <c r="B1443" s="287" t="s">
        <v>1282</v>
      </c>
      <c r="C1443" s="287" t="s">
        <v>1283</v>
      </c>
      <c r="D1443" s="287">
        <v>788</v>
      </c>
      <c r="E1443" s="380">
        <v>42125</v>
      </c>
      <c r="F1443" s="381">
        <v>916.12</v>
      </c>
    </row>
    <row r="1444" spans="1:6" s="295" customFormat="1" x14ac:dyDescent="0.15">
      <c r="A1444" s="374" t="s">
        <v>1311</v>
      </c>
      <c r="B1444" s="287" t="s">
        <v>1244</v>
      </c>
      <c r="C1444" s="287" t="s">
        <v>1245</v>
      </c>
      <c r="D1444" s="287">
        <v>1259</v>
      </c>
      <c r="E1444" s="380">
        <v>42125</v>
      </c>
      <c r="F1444" s="381">
        <v>1441.89</v>
      </c>
    </row>
    <row r="1445" spans="1:6" s="295" customFormat="1" x14ac:dyDescent="0.15">
      <c r="A1445" s="374" t="s">
        <v>1311</v>
      </c>
      <c r="B1445" s="287" t="s">
        <v>1246</v>
      </c>
      <c r="C1445" s="287" t="s">
        <v>1247</v>
      </c>
      <c r="D1445" s="287">
        <v>894.7</v>
      </c>
      <c r="E1445" s="380">
        <v>42125</v>
      </c>
      <c r="F1445" s="381">
        <v>1035.23</v>
      </c>
    </row>
    <row r="1446" spans="1:6" s="295" customFormat="1" x14ac:dyDescent="0.15">
      <c r="A1446" s="374" t="s">
        <v>1311</v>
      </c>
      <c r="B1446" s="287" t="s">
        <v>1248</v>
      </c>
      <c r="C1446" s="287" t="s">
        <v>1249</v>
      </c>
      <c r="D1446" s="287">
        <v>176.1</v>
      </c>
      <c r="E1446" s="380">
        <v>42125</v>
      </c>
      <c r="F1446" s="381">
        <v>233.56</v>
      </c>
    </row>
    <row r="1447" spans="1:6" s="295" customFormat="1" x14ac:dyDescent="0.15">
      <c r="A1447" s="374" t="s">
        <v>1311</v>
      </c>
      <c r="B1447" s="287" t="s">
        <v>1250</v>
      </c>
      <c r="C1447" s="287" t="s">
        <v>1251</v>
      </c>
      <c r="D1447" s="287">
        <v>55.6</v>
      </c>
      <c r="E1447" s="380">
        <v>42125</v>
      </c>
      <c r="F1447" s="381">
        <v>89.37</v>
      </c>
    </row>
    <row r="1448" spans="1:6" s="295" customFormat="1" x14ac:dyDescent="0.15">
      <c r="A1448" s="374" t="s">
        <v>1311</v>
      </c>
      <c r="B1448" s="287" t="s">
        <v>1252</v>
      </c>
      <c r="C1448" s="287" t="s">
        <v>1253</v>
      </c>
      <c r="D1448" s="287">
        <v>1049</v>
      </c>
      <c r="E1448" s="380">
        <v>42125</v>
      </c>
      <c r="F1448" s="381">
        <v>1207.47</v>
      </c>
    </row>
    <row r="1449" spans="1:6" s="295" customFormat="1" x14ac:dyDescent="0.15">
      <c r="A1449" s="374" t="s">
        <v>1311</v>
      </c>
      <c r="B1449" s="287" t="s">
        <v>1275</v>
      </c>
      <c r="C1449" s="287" t="s">
        <v>1276</v>
      </c>
      <c r="D1449" s="397">
        <v>1039.7</v>
      </c>
      <c r="E1449" s="380">
        <v>42125</v>
      </c>
      <c r="F1449" s="381">
        <v>1197.0899999999999</v>
      </c>
    </row>
    <row r="1450" spans="1:6" s="295" customFormat="1" x14ac:dyDescent="0.15">
      <c r="A1450" s="374" t="s">
        <v>1311</v>
      </c>
      <c r="B1450" s="287" t="s">
        <v>1279</v>
      </c>
      <c r="C1450" s="287" t="s">
        <v>1280</v>
      </c>
      <c r="D1450" s="397">
        <v>782.4</v>
      </c>
      <c r="E1450" s="380">
        <v>42125</v>
      </c>
      <c r="F1450" s="381">
        <v>909.86</v>
      </c>
    </row>
    <row r="1451" spans="1:6" s="295" customFormat="1" x14ac:dyDescent="0.15">
      <c r="A1451" s="374" t="s">
        <v>1311</v>
      </c>
      <c r="B1451" s="287" t="s">
        <v>1284</v>
      </c>
      <c r="C1451" s="287" t="s">
        <v>1285</v>
      </c>
      <c r="D1451" s="397">
        <v>287.2</v>
      </c>
      <c r="E1451" s="380">
        <v>42125</v>
      </c>
      <c r="F1451" s="381">
        <v>362.7</v>
      </c>
    </row>
    <row r="1452" spans="1:6" s="295" customFormat="1" x14ac:dyDescent="0.15">
      <c r="A1452" s="374" t="s">
        <v>1311</v>
      </c>
      <c r="B1452" s="287" t="s">
        <v>1288</v>
      </c>
      <c r="C1452" s="287" t="s">
        <v>1289</v>
      </c>
      <c r="D1452" s="397">
        <v>378.9</v>
      </c>
      <c r="E1452" s="403">
        <v>42125</v>
      </c>
      <c r="F1452" s="381">
        <v>459.44</v>
      </c>
    </row>
    <row r="1453" spans="1:6" s="275" customFormat="1" ht="14" thickBot="1" x14ac:dyDescent="0.2">
      <c r="A1453" s="376"/>
      <c r="B1453" s="359"/>
      <c r="C1453" s="291" t="s">
        <v>115</v>
      </c>
      <c r="D1453" s="383">
        <f>SUM(D1435:D1452)</f>
        <v>14285.400000000001</v>
      </c>
      <c r="E1453" s="404"/>
      <c r="F1453" s="389">
        <v>16407.030000000002</v>
      </c>
    </row>
    <row r="1454" spans="1:6" s="275" customFormat="1" ht="14" thickTop="1" x14ac:dyDescent="0.15">
      <c r="A1454" s="376"/>
      <c r="B1454" s="359"/>
      <c r="C1454" s="359"/>
      <c r="D1454" s="287"/>
      <c r="E1454" s="380"/>
      <c r="F1454" s="381"/>
    </row>
    <row r="1455" spans="1:6" s="275" customFormat="1" x14ac:dyDescent="0.15">
      <c r="A1455" s="376"/>
      <c r="B1455" s="359"/>
      <c r="C1455" s="378" t="s">
        <v>1212</v>
      </c>
      <c r="D1455" s="287"/>
      <c r="E1455" s="380"/>
      <c r="F1455" s="381"/>
    </row>
    <row r="1456" spans="1:6" s="275" customFormat="1" x14ac:dyDescent="0.15">
      <c r="A1456" s="376"/>
      <c r="B1456" s="359"/>
      <c r="C1456" s="378" t="s">
        <v>1139</v>
      </c>
      <c r="D1456" s="287"/>
      <c r="E1456" s="380"/>
      <c r="F1456" s="381"/>
    </row>
    <row r="1457" spans="1:6" s="275" customFormat="1" x14ac:dyDescent="0.15">
      <c r="A1457" s="376"/>
      <c r="B1457" s="359"/>
      <c r="C1457" s="386">
        <v>42124</v>
      </c>
      <c r="D1457" s="287"/>
      <c r="E1457" s="380"/>
      <c r="F1457" s="381"/>
    </row>
    <row r="1458" spans="1:6" s="275" customFormat="1" x14ac:dyDescent="0.15">
      <c r="A1458" s="399"/>
      <c r="B1458" s="400"/>
      <c r="C1458" s="400"/>
      <c r="D1458" s="400"/>
      <c r="E1458" s="401"/>
      <c r="F1458" s="402"/>
    </row>
    <row r="1459" spans="1:6" s="275" customFormat="1" ht="14" thickBot="1" x14ac:dyDescent="0.2">
      <c r="A1459" s="387"/>
      <c r="B1459" s="388"/>
      <c r="C1459" s="291" t="s">
        <v>1172</v>
      </c>
      <c r="D1459" s="383">
        <f>SUM(D1429,D1453)</f>
        <v>23633.600000000002</v>
      </c>
      <c r="E1459" s="367"/>
      <c r="F1459" s="389">
        <v>27366.93</v>
      </c>
    </row>
    <row r="1460" spans="1:6" s="275" customFormat="1" ht="14" thickTop="1" x14ac:dyDescent="0.15">
      <c r="E1460" s="369"/>
      <c r="F1460" s="278"/>
    </row>
    <row r="1461" spans="1:6" s="295" customFormat="1" x14ac:dyDescent="0.15">
      <c r="A1461" s="370" t="s">
        <v>1299</v>
      </c>
      <c r="B1461" s="371" t="s">
        <v>1269</v>
      </c>
      <c r="C1461" s="371" t="s">
        <v>1270</v>
      </c>
      <c r="D1461" s="371">
        <v>197.7</v>
      </c>
      <c r="E1461" s="390">
        <v>42138</v>
      </c>
      <c r="F1461" s="391">
        <v>223.03</v>
      </c>
    </row>
    <row r="1462" spans="1:6" s="295" customFormat="1" x14ac:dyDescent="0.15">
      <c r="A1462" s="374" t="s">
        <v>1293</v>
      </c>
      <c r="B1462" s="287" t="s">
        <v>1257</v>
      </c>
      <c r="C1462" s="287" t="s">
        <v>1258</v>
      </c>
      <c r="D1462" s="287">
        <v>384.1</v>
      </c>
      <c r="E1462" s="380">
        <v>42138</v>
      </c>
      <c r="F1462" s="381">
        <v>396.17</v>
      </c>
    </row>
    <row r="1463" spans="1:6" s="295" customFormat="1" x14ac:dyDescent="0.15">
      <c r="A1463" s="374" t="s">
        <v>1294</v>
      </c>
      <c r="B1463" s="287" t="s">
        <v>1259</v>
      </c>
      <c r="C1463" s="287" t="s">
        <v>1260</v>
      </c>
      <c r="D1463" s="287">
        <v>65.900000000000006</v>
      </c>
      <c r="E1463" s="380">
        <v>42138</v>
      </c>
      <c r="F1463" s="381">
        <v>92.23</v>
      </c>
    </row>
    <row r="1464" spans="1:6" s="295" customFormat="1" x14ac:dyDescent="0.15">
      <c r="A1464" s="374" t="s">
        <v>1296</v>
      </c>
      <c r="B1464" s="287" t="s">
        <v>1278</v>
      </c>
      <c r="C1464" s="287" t="s">
        <v>1264</v>
      </c>
      <c r="D1464" s="287">
        <v>237.9</v>
      </c>
      <c r="E1464" s="380">
        <v>42138</v>
      </c>
      <c r="F1464" s="381">
        <v>260.07</v>
      </c>
    </row>
    <row r="1465" spans="1:6" s="295" customFormat="1" x14ac:dyDescent="0.15">
      <c r="A1465" s="374" t="s">
        <v>1295</v>
      </c>
      <c r="B1465" s="287" t="s">
        <v>1261</v>
      </c>
      <c r="C1465" s="287" t="s">
        <v>1262</v>
      </c>
      <c r="D1465" s="287">
        <v>127.7</v>
      </c>
      <c r="E1465" s="380">
        <v>42138</v>
      </c>
      <c r="F1465" s="381">
        <v>151.74</v>
      </c>
    </row>
    <row r="1466" spans="1:6" s="295" customFormat="1" x14ac:dyDescent="0.15">
      <c r="A1466" s="374" t="s">
        <v>1301</v>
      </c>
      <c r="B1466" s="287" t="s">
        <v>1286</v>
      </c>
      <c r="C1466" s="287" t="s">
        <v>1287</v>
      </c>
      <c r="D1466" s="287">
        <v>74.2</v>
      </c>
      <c r="E1466" s="380">
        <v>42138</v>
      </c>
      <c r="F1466" s="381">
        <v>102.49</v>
      </c>
    </row>
    <row r="1467" spans="1:6" s="295" customFormat="1" x14ac:dyDescent="0.15">
      <c r="A1467" s="374" t="s">
        <v>1297</v>
      </c>
      <c r="B1467" s="287" t="s">
        <v>1265</v>
      </c>
      <c r="C1467" s="287" t="s">
        <v>1266</v>
      </c>
      <c r="D1467" s="287">
        <v>105</v>
      </c>
      <c r="E1467" s="380">
        <v>42138</v>
      </c>
      <c r="F1467" s="381">
        <v>129.75</v>
      </c>
    </row>
    <row r="1468" spans="1:6" s="295" customFormat="1" x14ac:dyDescent="0.15">
      <c r="A1468" s="374" t="s">
        <v>1298</v>
      </c>
      <c r="B1468" s="287" t="s">
        <v>1267</v>
      </c>
      <c r="C1468" s="287" t="s">
        <v>1268</v>
      </c>
      <c r="D1468" s="287">
        <v>226.6</v>
      </c>
      <c r="E1468" s="380">
        <v>42138</v>
      </c>
      <c r="F1468" s="381">
        <v>246.85</v>
      </c>
    </row>
    <row r="1469" spans="1:6" s="295" customFormat="1" x14ac:dyDescent="0.15">
      <c r="A1469" s="374" t="s">
        <v>1300</v>
      </c>
      <c r="B1469" s="287" t="s">
        <v>1271</v>
      </c>
      <c r="C1469" s="287" t="s">
        <v>1272</v>
      </c>
      <c r="D1469" s="287">
        <v>159.6</v>
      </c>
      <c r="E1469" s="380">
        <v>42138</v>
      </c>
      <c r="F1469" s="381">
        <v>187.43</v>
      </c>
    </row>
    <row r="1470" spans="1:6" s="295" customFormat="1" x14ac:dyDescent="0.15">
      <c r="A1470" s="374" t="s">
        <v>1290</v>
      </c>
      <c r="B1470" s="287" t="s">
        <v>1291</v>
      </c>
      <c r="C1470" s="287" t="s">
        <v>1277</v>
      </c>
      <c r="D1470" s="287">
        <v>273.39999999999998</v>
      </c>
      <c r="E1470" s="380">
        <v>42138</v>
      </c>
      <c r="F1470" s="381">
        <v>295.66000000000003</v>
      </c>
    </row>
    <row r="1471" spans="1:6" s="295" customFormat="1" x14ac:dyDescent="0.15">
      <c r="A1471" s="374" t="s">
        <v>1292</v>
      </c>
      <c r="B1471" s="287" t="s">
        <v>1255</v>
      </c>
      <c r="C1471" s="287" t="s">
        <v>1256</v>
      </c>
      <c r="D1471" s="287">
        <v>975.8</v>
      </c>
      <c r="E1471" s="380">
        <v>42138</v>
      </c>
      <c r="F1471" s="381">
        <v>835.29</v>
      </c>
    </row>
    <row r="1472" spans="1:6" s="295" customFormat="1" x14ac:dyDescent="0.15">
      <c r="A1472" s="374" t="s">
        <v>1312</v>
      </c>
      <c r="B1472" s="287" t="s">
        <v>1313</v>
      </c>
      <c r="C1472" s="287" t="s">
        <v>1313</v>
      </c>
      <c r="D1472" s="287">
        <v>260.60000000000002</v>
      </c>
      <c r="E1472" s="380">
        <v>42138</v>
      </c>
      <c r="F1472" s="381">
        <v>285.73</v>
      </c>
    </row>
    <row r="1473" spans="1:6" s="295" customFormat="1" x14ac:dyDescent="0.15">
      <c r="A1473" s="374" t="s">
        <v>1314</v>
      </c>
      <c r="B1473" s="287" t="s">
        <v>1315</v>
      </c>
      <c r="C1473" s="287" t="s">
        <v>1316</v>
      </c>
      <c r="D1473" s="287">
        <v>16.5</v>
      </c>
      <c r="E1473" s="380">
        <v>42138</v>
      </c>
      <c r="F1473" s="381">
        <v>33.4</v>
      </c>
    </row>
    <row r="1474" spans="1:6" s="275" customFormat="1" ht="14" thickBot="1" x14ac:dyDescent="0.2">
      <c r="A1474" s="374"/>
      <c r="B1474" s="287"/>
      <c r="C1474" s="291" t="s">
        <v>115</v>
      </c>
      <c r="D1474" s="394">
        <f>SUM(D1461:D1473)</f>
        <v>3104.9999999999995</v>
      </c>
      <c r="E1474" s="384"/>
      <c r="F1474" s="389">
        <v>3239.84</v>
      </c>
    </row>
    <row r="1475" spans="1:6" s="275" customFormat="1" ht="14" thickTop="1" x14ac:dyDescent="0.15">
      <c r="A1475" s="374"/>
      <c r="B1475" s="287"/>
      <c r="C1475" s="287"/>
      <c r="D1475" s="287"/>
      <c r="E1475" s="380"/>
      <c r="F1475" s="381"/>
    </row>
    <row r="1476" spans="1:6" s="275" customFormat="1" x14ac:dyDescent="0.15">
      <c r="A1476" s="374"/>
      <c r="B1476" s="287"/>
      <c r="C1476" s="378" t="s">
        <v>1212</v>
      </c>
      <c r="D1476" s="287"/>
      <c r="E1476" s="380"/>
      <c r="F1476" s="381"/>
    </row>
    <row r="1477" spans="1:6" s="275" customFormat="1" x14ac:dyDescent="0.15">
      <c r="A1477" s="374"/>
      <c r="B1477" s="287"/>
      <c r="C1477" s="378" t="s">
        <v>1139</v>
      </c>
      <c r="D1477" s="287"/>
      <c r="E1477" s="380"/>
      <c r="F1477" s="381"/>
    </row>
    <row r="1478" spans="1:6" s="275" customFormat="1" x14ac:dyDescent="0.15">
      <c r="A1478" s="374"/>
      <c r="B1478" s="287"/>
      <c r="C1478" s="386">
        <v>42146</v>
      </c>
      <c r="D1478" s="287"/>
      <c r="E1478" s="380"/>
      <c r="F1478" s="381"/>
    </row>
    <row r="1479" spans="1:6" s="275" customFormat="1" x14ac:dyDescent="0.15">
      <c r="A1479" s="399"/>
      <c r="B1479" s="400"/>
      <c r="C1479" s="400"/>
      <c r="D1479" s="400"/>
      <c r="E1479" s="401"/>
      <c r="F1479" s="402"/>
    </row>
    <row r="1480" spans="1:6" s="295" customFormat="1" x14ac:dyDescent="0.15">
      <c r="A1480" s="370" t="s">
        <v>1302</v>
      </c>
      <c r="B1480" s="371" t="s">
        <v>1226</v>
      </c>
      <c r="C1480" s="371" t="s">
        <v>1227</v>
      </c>
      <c r="D1480" s="371">
        <v>217.3</v>
      </c>
      <c r="E1480" s="390">
        <v>42156</v>
      </c>
      <c r="F1480" s="391">
        <v>191.63</v>
      </c>
    </row>
    <row r="1481" spans="1:6" s="295" customFormat="1" x14ac:dyDescent="0.15">
      <c r="A1481" s="374" t="s">
        <v>1303</v>
      </c>
      <c r="B1481" s="287" t="s">
        <v>1228</v>
      </c>
      <c r="C1481" s="287" t="s">
        <v>1229</v>
      </c>
      <c r="D1481" s="287">
        <v>171</v>
      </c>
      <c r="E1481" s="380">
        <v>42156</v>
      </c>
      <c r="F1481" s="381">
        <v>115.74</v>
      </c>
    </row>
    <row r="1482" spans="1:6" s="295" customFormat="1" x14ac:dyDescent="0.15">
      <c r="A1482" s="374" t="s">
        <v>1304</v>
      </c>
      <c r="B1482" s="287" t="s">
        <v>1230</v>
      </c>
      <c r="C1482" s="287" t="s">
        <v>1231</v>
      </c>
      <c r="D1482" s="287">
        <v>128.69999999999999</v>
      </c>
      <c r="E1482" s="380">
        <v>42156</v>
      </c>
      <c r="F1482" s="381">
        <v>127.96</v>
      </c>
    </row>
    <row r="1483" spans="1:6" s="295" customFormat="1" x14ac:dyDescent="0.15">
      <c r="A1483" s="374" t="s">
        <v>1305</v>
      </c>
      <c r="B1483" s="287" t="s">
        <v>1306</v>
      </c>
      <c r="C1483" s="287" t="s">
        <v>1233</v>
      </c>
      <c r="D1483" s="287">
        <v>1170</v>
      </c>
      <c r="E1483" s="380">
        <v>42156</v>
      </c>
      <c r="F1483" s="381">
        <v>610.91</v>
      </c>
    </row>
    <row r="1484" spans="1:6" s="295" customFormat="1" x14ac:dyDescent="0.15">
      <c r="A1484" s="374" t="s">
        <v>1307</v>
      </c>
      <c r="B1484" s="287" t="s">
        <v>1234</v>
      </c>
      <c r="C1484" s="287" t="s">
        <v>500</v>
      </c>
      <c r="D1484" s="287">
        <v>283.2</v>
      </c>
      <c r="E1484" s="380">
        <v>42156</v>
      </c>
      <c r="F1484" s="381">
        <v>238.47</v>
      </c>
    </row>
    <row r="1485" spans="1:6" s="295" customFormat="1" x14ac:dyDescent="0.15">
      <c r="A1485" s="374" t="s">
        <v>1308</v>
      </c>
      <c r="B1485" s="287" t="s">
        <v>1235</v>
      </c>
      <c r="C1485" s="287" t="s">
        <v>1236</v>
      </c>
      <c r="D1485" s="287">
        <v>260.60000000000002</v>
      </c>
      <c r="E1485" s="380">
        <v>42156</v>
      </c>
      <c r="F1485" s="381">
        <v>222.56</v>
      </c>
    </row>
    <row r="1486" spans="1:6" s="295" customFormat="1" x14ac:dyDescent="0.15">
      <c r="A1486" s="374" t="s">
        <v>1308</v>
      </c>
      <c r="B1486" s="287" t="s">
        <v>1238</v>
      </c>
      <c r="C1486" s="287" t="s">
        <v>1239</v>
      </c>
      <c r="D1486" s="287">
        <v>207</v>
      </c>
      <c r="E1486" s="380">
        <v>42156</v>
      </c>
      <c r="F1486" s="381">
        <v>184.16</v>
      </c>
    </row>
    <row r="1487" spans="1:6" s="295" customFormat="1" x14ac:dyDescent="0.15">
      <c r="A1487" s="374" t="s">
        <v>1309</v>
      </c>
      <c r="B1487" s="287" t="s">
        <v>1240</v>
      </c>
      <c r="C1487" s="287" t="s">
        <v>1241</v>
      </c>
      <c r="D1487" s="287">
        <v>145.19999999999999</v>
      </c>
      <c r="E1487" s="380">
        <v>42156</v>
      </c>
      <c r="F1487" s="381">
        <v>140.15</v>
      </c>
    </row>
    <row r="1488" spans="1:6" s="295" customFormat="1" x14ac:dyDescent="0.15">
      <c r="A1488" s="374" t="s">
        <v>1310</v>
      </c>
      <c r="B1488" s="287" t="s">
        <v>1282</v>
      </c>
      <c r="C1488" s="287" t="s">
        <v>1283</v>
      </c>
      <c r="D1488" s="287">
        <v>192.8</v>
      </c>
      <c r="E1488" s="380">
        <v>42156</v>
      </c>
      <c r="F1488" s="381">
        <v>174.1</v>
      </c>
    </row>
    <row r="1489" spans="1:6" s="295" customFormat="1" x14ac:dyDescent="0.15">
      <c r="A1489" s="374" t="s">
        <v>1311</v>
      </c>
      <c r="B1489" s="287" t="s">
        <v>1244</v>
      </c>
      <c r="C1489" s="287" t="s">
        <v>1245</v>
      </c>
      <c r="D1489" s="287">
        <v>539.70000000000005</v>
      </c>
      <c r="E1489" s="380">
        <v>42156</v>
      </c>
      <c r="F1489" s="381">
        <v>529.69000000000005</v>
      </c>
    </row>
    <row r="1490" spans="1:6" s="295" customFormat="1" x14ac:dyDescent="0.15">
      <c r="A1490" s="374" t="s">
        <v>1311</v>
      </c>
      <c r="B1490" s="287" t="s">
        <v>1246</v>
      </c>
      <c r="C1490" s="287" t="s">
        <v>1247</v>
      </c>
      <c r="D1490" s="287">
        <v>267.8</v>
      </c>
      <c r="E1490" s="380">
        <v>42156</v>
      </c>
      <c r="F1490" s="381">
        <v>227.47</v>
      </c>
    </row>
    <row r="1491" spans="1:6" s="295" customFormat="1" x14ac:dyDescent="0.15">
      <c r="A1491" s="374" t="s">
        <v>1311</v>
      </c>
      <c r="B1491" s="287" t="s">
        <v>1248</v>
      </c>
      <c r="C1491" s="287" t="s">
        <v>1249</v>
      </c>
      <c r="D1491" s="287">
        <v>22.7</v>
      </c>
      <c r="E1491" s="380">
        <v>42156</v>
      </c>
      <c r="F1491" s="381">
        <v>35.11</v>
      </c>
    </row>
    <row r="1492" spans="1:6" s="295" customFormat="1" x14ac:dyDescent="0.15">
      <c r="A1492" s="374" t="s">
        <v>1311</v>
      </c>
      <c r="B1492" s="287" t="s">
        <v>1250</v>
      </c>
      <c r="C1492" s="287" t="s">
        <v>1251</v>
      </c>
      <c r="D1492" s="287">
        <v>10.3</v>
      </c>
      <c r="E1492" s="380">
        <v>42156</v>
      </c>
      <c r="F1492" s="381">
        <v>24.49</v>
      </c>
    </row>
    <row r="1493" spans="1:6" s="295" customFormat="1" x14ac:dyDescent="0.15">
      <c r="A1493" s="374" t="s">
        <v>1311</v>
      </c>
      <c r="B1493" s="287" t="s">
        <v>1252</v>
      </c>
      <c r="C1493" s="287" t="s">
        <v>1253</v>
      </c>
      <c r="D1493" s="287">
        <v>423.3</v>
      </c>
      <c r="E1493" s="380">
        <v>42156</v>
      </c>
      <c r="F1493" s="381">
        <v>423.4</v>
      </c>
    </row>
    <row r="1494" spans="1:6" s="295" customFormat="1" x14ac:dyDescent="0.15">
      <c r="A1494" s="374" t="s">
        <v>1311</v>
      </c>
      <c r="B1494" s="287" t="s">
        <v>1275</v>
      </c>
      <c r="C1494" s="287" t="s">
        <v>1276</v>
      </c>
      <c r="D1494" s="397">
        <v>458.3</v>
      </c>
      <c r="E1494" s="380">
        <v>42156</v>
      </c>
      <c r="F1494" s="381">
        <v>455.32</v>
      </c>
    </row>
    <row r="1495" spans="1:6" s="295" customFormat="1" x14ac:dyDescent="0.15">
      <c r="A1495" s="374" t="s">
        <v>1311</v>
      </c>
      <c r="B1495" s="287" t="s">
        <v>1279</v>
      </c>
      <c r="C1495" s="287" t="s">
        <v>1280</v>
      </c>
      <c r="D1495" s="397">
        <v>332.6</v>
      </c>
      <c r="E1495" s="380">
        <v>42156</v>
      </c>
      <c r="F1495" s="381">
        <v>340.43</v>
      </c>
    </row>
    <row r="1496" spans="1:6" s="295" customFormat="1" x14ac:dyDescent="0.15">
      <c r="A1496" s="374" t="s">
        <v>1311</v>
      </c>
      <c r="B1496" s="287" t="s">
        <v>1284</v>
      </c>
      <c r="C1496" s="287" t="s">
        <v>1285</v>
      </c>
      <c r="D1496" s="397">
        <v>72.099999999999994</v>
      </c>
      <c r="E1496" s="380">
        <v>42156</v>
      </c>
      <c r="F1496" s="381">
        <v>98.11</v>
      </c>
    </row>
    <row r="1497" spans="1:6" s="295" customFormat="1" x14ac:dyDescent="0.15">
      <c r="A1497" s="374" t="s">
        <v>1311</v>
      </c>
      <c r="B1497" s="287" t="s">
        <v>1288</v>
      </c>
      <c r="C1497" s="287" t="s">
        <v>1289</v>
      </c>
      <c r="D1497" s="397">
        <v>29.9</v>
      </c>
      <c r="E1497" s="403">
        <v>42156</v>
      </c>
      <c r="F1497" s="381">
        <v>41.81</v>
      </c>
    </row>
    <row r="1498" spans="1:6" s="275" customFormat="1" ht="14" thickBot="1" x14ac:dyDescent="0.2">
      <c r="A1498" s="376"/>
      <c r="B1498" s="359"/>
      <c r="C1498" s="291" t="s">
        <v>115</v>
      </c>
      <c r="D1498" s="383">
        <f>SUM(D1480:D1497)</f>
        <v>4932.5000000000009</v>
      </c>
      <c r="E1498" s="404"/>
      <c r="F1498" s="389">
        <v>4181.5099999999993</v>
      </c>
    </row>
    <row r="1499" spans="1:6" s="275" customFormat="1" ht="14" thickTop="1" x14ac:dyDescent="0.15">
      <c r="A1499" s="376"/>
      <c r="B1499" s="359"/>
      <c r="C1499" s="359"/>
      <c r="D1499" s="287"/>
      <c r="E1499" s="380"/>
      <c r="F1499" s="381"/>
    </row>
    <row r="1500" spans="1:6" s="275" customFormat="1" x14ac:dyDescent="0.15">
      <c r="A1500" s="376"/>
      <c r="B1500" s="359"/>
      <c r="C1500" s="378" t="s">
        <v>1212</v>
      </c>
      <c r="D1500" s="287"/>
      <c r="E1500" s="380"/>
      <c r="F1500" s="381"/>
    </row>
    <row r="1501" spans="1:6" s="275" customFormat="1" x14ac:dyDescent="0.15">
      <c r="A1501" s="376"/>
      <c r="B1501" s="359"/>
      <c r="C1501" s="378" t="s">
        <v>1139</v>
      </c>
      <c r="D1501" s="287"/>
      <c r="E1501" s="380"/>
      <c r="F1501" s="381"/>
    </row>
    <row r="1502" spans="1:6" s="275" customFormat="1" x14ac:dyDescent="0.15">
      <c r="A1502" s="376"/>
      <c r="B1502" s="359"/>
      <c r="C1502" s="386">
        <v>42155</v>
      </c>
      <c r="D1502" s="287"/>
      <c r="E1502" s="380"/>
      <c r="F1502" s="381"/>
    </row>
    <row r="1503" spans="1:6" s="275" customFormat="1" x14ac:dyDescent="0.15">
      <c r="A1503" s="399"/>
      <c r="B1503" s="400"/>
      <c r="C1503" s="400"/>
      <c r="D1503" s="400"/>
      <c r="E1503" s="401"/>
      <c r="F1503" s="402"/>
    </row>
    <row r="1504" spans="1:6" s="275" customFormat="1" ht="14" thickBot="1" x14ac:dyDescent="0.2">
      <c r="A1504" s="387"/>
      <c r="B1504" s="388"/>
      <c r="C1504" s="291" t="s">
        <v>1173</v>
      </c>
      <c r="D1504" s="383">
        <f>SUM(D1474,D1498)</f>
        <v>8037.5</v>
      </c>
      <c r="E1504" s="367"/>
      <c r="F1504" s="389">
        <v>7421.3499999999995</v>
      </c>
    </row>
    <row r="1505" spans="1:6" s="275" customFormat="1" ht="14" thickTop="1" x14ac:dyDescent="0.15">
      <c r="E1505" s="369"/>
      <c r="F1505" s="278"/>
    </row>
    <row r="1506" spans="1:6" s="295" customFormat="1" x14ac:dyDescent="0.15">
      <c r="A1506" s="370" t="s">
        <v>1299</v>
      </c>
      <c r="B1506" s="371" t="s">
        <v>1269</v>
      </c>
      <c r="C1506" s="371" t="s">
        <v>1270</v>
      </c>
      <c r="D1506" s="371">
        <v>50.5</v>
      </c>
      <c r="E1506" s="390">
        <v>42171</v>
      </c>
      <c r="F1506" s="391">
        <v>60.47</v>
      </c>
    </row>
    <row r="1507" spans="1:6" s="295" customFormat="1" x14ac:dyDescent="0.15">
      <c r="A1507" s="374" t="s">
        <v>1293</v>
      </c>
      <c r="B1507" s="287" t="s">
        <v>1257</v>
      </c>
      <c r="C1507" s="287" t="s">
        <v>1258</v>
      </c>
      <c r="D1507" s="287">
        <v>114.3</v>
      </c>
      <c r="E1507" s="380">
        <v>42171</v>
      </c>
      <c r="F1507" s="381">
        <v>114.57</v>
      </c>
    </row>
    <row r="1508" spans="1:6" s="295" customFormat="1" x14ac:dyDescent="0.15">
      <c r="A1508" s="374" t="s">
        <v>1294</v>
      </c>
      <c r="B1508" s="287" t="s">
        <v>1259</v>
      </c>
      <c r="C1508" s="287" t="s">
        <v>1260</v>
      </c>
      <c r="D1508" s="287">
        <v>9.3000000000000007</v>
      </c>
      <c r="E1508" s="380">
        <v>42171</v>
      </c>
      <c r="F1508" s="381">
        <v>20.95</v>
      </c>
    </row>
    <row r="1509" spans="1:6" s="295" customFormat="1" x14ac:dyDescent="0.15">
      <c r="A1509" s="374" t="s">
        <v>1296</v>
      </c>
      <c r="B1509" s="287" t="s">
        <v>1278</v>
      </c>
      <c r="C1509" s="287" t="s">
        <v>1264</v>
      </c>
      <c r="D1509" s="287">
        <v>102</v>
      </c>
      <c r="E1509" s="380">
        <v>42171</v>
      </c>
      <c r="F1509" s="381">
        <v>106.18</v>
      </c>
    </row>
    <row r="1510" spans="1:6" s="295" customFormat="1" x14ac:dyDescent="0.15">
      <c r="A1510" s="374" t="s">
        <v>1295</v>
      </c>
      <c r="B1510" s="287" t="s">
        <v>1261</v>
      </c>
      <c r="C1510" s="287" t="s">
        <v>1262</v>
      </c>
      <c r="D1510" s="287">
        <v>60.8</v>
      </c>
      <c r="E1510" s="380">
        <v>42171</v>
      </c>
      <c r="F1510" s="381">
        <v>73.5</v>
      </c>
    </row>
    <row r="1511" spans="1:6" s="295" customFormat="1" x14ac:dyDescent="0.15">
      <c r="A1511" s="374" t="s">
        <v>1301</v>
      </c>
      <c r="B1511" s="287" t="s">
        <v>1286</v>
      </c>
      <c r="C1511" s="287" t="s">
        <v>1287</v>
      </c>
      <c r="D1511" s="287">
        <v>46.4</v>
      </c>
      <c r="E1511" s="380">
        <v>42171</v>
      </c>
      <c r="F1511" s="381">
        <v>56.57</v>
      </c>
    </row>
    <row r="1512" spans="1:6" s="295" customFormat="1" x14ac:dyDescent="0.15">
      <c r="A1512" s="374" t="s">
        <v>1297</v>
      </c>
      <c r="B1512" s="287" t="s">
        <v>1265</v>
      </c>
      <c r="C1512" s="287" t="s">
        <v>1266</v>
      </c>
      <c r="D1512" s="287">
        <v>42.2</v>
      </c>
      <c r="E1512" s="380">
        <v>42171</v>
      </c>
      <c r="F1512" s="381">
        <v>54.67</v>
      </c>
    </row>
    <row r="1513" spans="1:6" s="295" customFormat="1" x14ac:dyDescent="0.15">
      <c r="A1513" s="374" t="s">
        <v>1298</v>
      </c>
      <c r="B1513" s="287" t="s">
        <v>1267</v>
      </c>
      <c r="C1513" s="287" t="s">
        <v>1268</v>
      </c>
      <c r="D1513" s="287">
        <v>92.7</v>
      </c>
      <c r="E1513" s="380">
        <v>42171</v>
      </c>
      <c r="F1513" s="381">
        <v>96.93</v>
      </c>
    </row>
    <row r="1514" spans="1:6" s="295" customFormat="1" x14ac:dyDescent="0.15">
      <c r="A1514" s="374" t="s">
        <v>1300</v>
      </c>
      <c r="B1514" s="287" t="s">
        <v>1271</v>
      </c>
      <c r="C1514" s="287" t="s">
        <v>1272</v>
      </c>
      <c r="D1514" s="287">
        <v>49.4</v>
      </c>
      <c r="E1514" s="380">
        <v>42171</v>
      </c>
      <c r="F1514" s="381">
        <v>59.41</v>
      </c>
    </row>
    <row r="1515" spans="1:6" s="295" customFormat="1" x14ac:dyDescent="0.15">
      <c r="A1515" s="374" t="s">
        <v>1290</v>
      </c>
      <c r="B1515" s="287" t="s">
        <v>1291</v>
      </c>
      <c r="C1515" s="287" t="s">
        <v>1277</v>
      </c>
      <c r="D1515" s="287">
        <v>92.6</v>
      </c>
      <c r="E1515" s="380">
        <v>42171</v>
      </c>
      <c r="F1515" s="381">
        <v>99.75</v>
      </c>
    </row>
    <row r="1516" spans="1:6" s="295" customFormat="1" x14ac:dyDescent="0.15">
      <c r="A1516" s="374" t="s">
        <v>1292</v>
      </c>
      <c r="B1516" s="287" t="s">
        <v>1255</v>
      </c>
      <c r="C1516" s="287" t="s">
        <v>1256</v>
      </c>
      <c r="D1516" s="287">
        <v>435.2</v>
      </c>
      <c r="E1516" s="380">
        <v>42171</v>
      </c>
      <c r="F1516" s="381">
        <v>224.66</v>
      </c>
    </row>
    <row r="1517" spans="1:6" s="295" customFormat="1" x14ac:dyDescent="0.15">
      <c r="A1517" s="374" t="s">
        <v>1312</v>
      </c>
      <c r="B1517" s="287" t="s">
        <v>1313</v>
      </c>
      <c r="C1517" s="287" t="s">
        <v>1313</v>
      </c>
      <c r="D1517" s="287">
        <v>29.9</v>
      </c>
      <c r="E1517" s="380">
        <v>42171</v>
      </c>
      <c r="F1517" s="381">
        <v>40.9</v>
      </c>
    </row>
    <row r="1518" spans="1:6" s="295" customFormat="1" x14ac:dyDescent="0.15">
      <c r="A1518" s="374" t="s">
        <v>1314</v>
      </c>
      <c r="B1518" s="287" t="s">
        <v>1315</v>
      </c>
      <c r="C1518" s="287" t="s">
        <v>1316</v>
      </c>
      <c r="D1518" s="287">
        <v>6.2</v>
      </c>
      <c r="E1518" s="380">
        <v>42171</v>
      </c>
      <c r="F1518" s="381">
        <v>39.880000000000003</v>
      </c>
    </row>
    <row r="1519" spans="1:6" s="275" customFormat="1" ht="14" thickBot="1" x14ac:dyDescent="0.2">
      <c r="A1519" s="374"/>
      <c r="B1519" s="287"/>
      <c r="C1519" s="291" t="s">
        <v>115</v>
      </c>
      <c r="D1519" s="394">
        <f>SUM(D1506:D1518)</f>
        <v>1131.5000000000002</v>
      </c>
      <c r="E1519" s="384"/>
      <c r="F1519" s="389">
        <v>1048.44</v>
      </c>
    </row>
    <row r="1520" spans="1:6" s="275" customFormat="1" ht="14" thickTop="1" x14ac:dyDescent="0.15">
      <c r="A1520" s="374"/>
      <c r="B1520" s="287"/>
      <c r="C1520" s="287"/>
      <c r="D1520" s="287"/>
      <c r="E1520" s="380"/>
      <c r="F1520" s="381"/>
    </row>
    <row r="1521" spans="1:6" s="275" customFormat="1" x14ac:dyDescent="0.15">
      <c r="A1521" s="374"/>
      <c r="B1521" s="287"/>
      <c r="C1521" s="378" t="s">
        <v>1212</v>
      </c>
      <c r="D1521" s="287"/>
      <c r="E1521" s="380"/>
      <c r="F1521" s="381"/>
    </row>
    <row r="1522" spans="1:6" s="275" customFormat="1" x14ac:dyDescent="0.15">
      <c r="A1522" s="374"/>
      <c r="B1522" s="287"/>
      <c r="C1522" s="378" t="s">
        <v>1139</v>
      </c>
      <c r="D1522" s="287"/>
      <c r="E1522" s="380"/>
      <c r="F1522" s="381"/>
    </row>
    <row r="1523" spans="1:6" s="275" customFormat="1" x14ac:dyDescent="0.15">
      <c r="A1523" s="374"/>
      <c r="B1523" s="287"/>
      <c r="C1523" s="386">
        <v>42181</v>
      </c>
      <c r="D1523" s="287"/>
      <c r="E1523" s="380"/>
      <c r="F1523" s="381"/>
    </row>
    <row r="1524" spans="1:6" s="275" customFormat="1" x14ac:dyDescent="0.15">
      <c r="A1524" s="399"/>
      <c r="B1524" s="400"/>
      <c r="C1524" s="400"/>
      <c r="D1524" s="400"/>
      <c r="E1524" s="401"/>
      <c r="F1524" s="402"/>
    </row>
    <row r="1525" spans="1:6" s="295" customFormat="1" x14ac:dyDescent="0.15">
      <c r="A1525" s="370" t="s">
        <v>1302</v>
      </c>
      <c r="B1525" s="371" t="s">
        <v>1226</v>
      </c>
      <c r="C1525" s="371" t="s">
        <v>1227</v>
      </c>
      <c r="D1525" s="371">
        <v>126.7</v>
      </c>
      <c r="E1525" s="390">
        <v>42186</v>
      </c>
      <c r="F1525" s="391">
        <v>123.04</v>
      </c>
    </row>
    <row r="1526" spans="1:6" s="295" customFormat="1" x14ac:dyDescent="0.15">
      <c r="A1526" s="374" t="s">
        <v>1303</v>
      </c>
      <c r="B1526" s="287" t="s">
        <v>1228</v>
      </c>
      <c r="C1526" s="287" t="s">
        <v>1229</v>
      </c>
      <c r="D1526" s="287">
        <v>53.6</v>
      </c>
      <c r="E1526" s="380">
        <v>42186</v>
      </c>
      <c r="F1526" s="381">
        <v>56.3</v>
      </c>
    </row>
    <row r="1527" spans="1:6" s="295" customFormat="1" x14ac:dyDescent="0.15">
      <c r="A1527" s="374" t="s">
        <v>1304</v>
      </c>
      <c r="B1527" s="287" t="s">
        <v>1230</v>
      </c>
      <c r="C1527" s="287" t="s">
        <v>1231</v>
      </c>
      <c r="D1527" s="287">
        <v>68</v>
      </c>
      <c r="E1527" s="380">
        <v>42186</v>
      </c>
      <c r="F1527" s="381">
        <v>77.069999999999993</v>
      </c>
    </row>
    <row r="1528" spans="1:6" s="295" customFormat="1" x14ac:dyDescent="0.15">
      <c r="A1528" s="374" t="s">
        <v>1305</v>
      </c>
      <c r="B1528" s="287" t="s">
        <v>1306</v>
      </c>
      <c r="C1528" s="287" t="s">
        <v>1233</v>
      </c>
      <c r="D1528" s="287">
        <v>549</v>
      </c>
      <c r="E1528" s="380">
        <v>42186</v>
      </c>
      <c r="F1528" s="381">
        <v>282.83</v>
      </c>
    </row>
    <row r="1529" spans="1:6" s="295" customFormat="1" x14ac:dyDescent="0.15">
      <c r="A1529" s="374" t="s">
        <v>1307</v>
      </c>
      <c r="B1529" s="287" t="s">
        <v>1234</v>
      </c>
      <c r="C1529" s="287" t="s">
        <v>500</v>
      </c>
      <c r="D1529" s="287">
        <v>199.8</v>
      </c>
      <c r="E1529" s="380">
        <v>42186</v>
      </c>
      <c r="F1529" s="381">
        <v>173</v>
      </c>
    </row>
    <row r="1530" spans="1:6" s="295" customFormat="1" x14ac:dyDescent="0.15">
      <c r="A1530" s="374" t="s">
        <v>1308</v>
      </c>
      <c r="B1530" s="287" t="s">
        <v>1235</v>
      </c>
      <c r="C1530" s="287" t="s">
        <v>1236</v>
      </c>
      <c r="D1530" s="287">
        <v>113.3</v>
      </c>
      <c r="E1530" s="380">
        <v>42186</v>
      </c>
      <c r="F1530" s="381">
        <v>113.9</v>
      </c>
    </row>
    <row r="1531" spans="1:6" s="295" customFormat="1" x14ac:dyDescent="0.15">
      <c r="A1531" s="374" t="s">
        <v>1308</v>
      </c>
      <c r="B1531" s="287" t="s">
        <v>1238</v>
      </c>
      <c r="C1531" s="287" t="s">
        <v>1239</v>
      </c>
      <c r="D1531" s="287">
        <v>130.80000000000001</v>
      </c>
      <c r="E1531" s="380">
        <v>42186</v>
      </c>
      <c r="F1531" s="381">
        <v>125.84</v>
      </c>
    </row>
    <row r="1532" spans="1:6" s="295" customFormat="1" x14ac:dyDescent="0.15">
      <c r="A1532" s="374" t="s">
        <v>1309</v>
      </c>
      <c r="B1532" s="287" t="s">
        <v>1240</v>
      </c>
      <c r="C1532" s="287" t="s">
        <v>1241</v>
      </c>
      <c r="D1532" s="287">
        <v>82.4</v>
      </c>
      <c r="E1532" s="380">
        <v>42186</v>
      </c>
      <c r="F1532" s="381">
        <v>90.74</v>
      </c>
    </row>
    <row r="1533" spans="1:6" s="295" customFormat="1" x14ac:dyDescent="0.15">
      <c r="A1533" s="374" t="s">
        <v>1310</v>
      </c>
      <c r="B1533" s="287" t="s">
        <v>1282</v>
      </c>
      <c r="C1533" s="287" t="s">
        <v>1283</v>
      </c>
      <c r="D1533" s="287">
        <v>93.9</v>
      </c>
      <c r="E1533" s="380">
        <v>42186</v>
      </c>
      <c r="F1533" s="381">
        <v>100.63</v>
      </c>
    </row>
    <row r="1534" spans="1:6" s="295" customFormat="1" x14ac:dyDescent="0.15">
      <c r="A1534" s="374" t="s">
        <v>1311</v>
      </c>
      <c r="B1534" s="287" t="s">
        <v>1244</v>
      </c>
      <c r="C1534" s="287" t="s">
        <v>1245</v>
      </c>
      <c r="D1534" s="287">
        <v>195.7</v>
      </c>
      <c r="E1534" s="380">
        <v>42186</v>
      </c>
      <c r="F1534" s="381">
        <v>170.19</v>
      </c>
    </row>
    <row r="1535" spans="1:6" s="295" customFormat="1" x14ac:dyDescent="0.15">
      <c r="A1535" s="374" t="s">
        <v>1311</v>
      </c>
      <c r="B1535" s="287" t="s">
        <v>1246</v>
      </c>
      <c r="C1535" s="287" t="s">
        <v>1247</v>
      </c>
      <c r="D1535" s="287">
        <v>97.9</v>
      </c>
      <c r="E1535" s="380">
        <v>42186</v>
      </c>
      <c r="F1535" s="381">
        <v>103.36</v>
      </c>
    </row>
    <row r="1536" spans="1:6" s="295" customFormat="1" x14ac:dyDescent="0.15">
      <c r="A1536" s="374" t="s">
        <v>1311</v>
      </c>
      <c r="B1536" s="287" t="s">
        <v>1248</v>
      </c>
      <c r="C1536" s="287" t="s">
        <v>1249</v>
      </c>
      <c r="D1536" s="287">
        <v>11.3</v>
      </c>
      <c r="E1536" s="380">
        <v>42186</v>
      </c>
      <c r="F1536" s="381">
        <v>23</v>
      </c>
    </row>
    <row r="1537" spans="1:6" s="295" customFormat="1" x14ac:dyDescent="0.15">
      <c r="A1537" s="374" t="s">
        <v>1311</v>
      </c>
      <c r="B1537" s="287" t="s">
        <v>1250</v>
      </c>
      <c r="C1537" s="287" t="s">
        <v>1251</v>
      </c>
      <c r="D1537" s="287">
        <v>2.1</v>
      </c>
      <c r="E1537" s="380">
        <v>42186</v>
      </c>
      <c r="F1537" s="381">
        <v>14.51</v>
      </c>
    </row>
    <row r="1538" spans="1:6" s="295" customFormat="1" x14ac:dyDescent="0.15">
      <c r="A1538" s="374" t="s">
        <v>1311</v>
      </c>
      <c r="B1538" s="287" t="s">
        <v>1252</v>
      </c>
      <c r="C1538" s="287" t="s">
        <v>1253</v>
      </c>
      <c r="D1538" s="287">
        <v>227.6</v>
      </c>
      <c r="E1538" s="380">
        <v>42186</v>
      </c>
      <c r="F1538" s="381">
        <v>192</v>
      </c>
    </row>
    <row r="1539" spans="1:6" s="295" customFormat="1" x14ac:dyDescent="0.15">
      <c r="A1539" s="374" t="s">
        <v>1311</v>
      </c>
      <c r="B1539" s="287" t="s">
        <v>1275</v>
      </c>
      <c r="C1539" s="287" t="s">
        <v>1276</v>
      </c>
      <c r="D1539" s="397">
        <v>211.2</v>
      </c>
      <c r="E1539" s="380">
        <v>42186</v>
      </c>
      <c r="F1539" s="381">
        <v>180.79</v>
      </c>
    </row>
    <row r="1540" spans="1:6" s="295" customFormat="1" x14ac:dyDescent="0.15">
      <c r="A1540" s="374" t="s">
        <v>1311</v>
      </c>
      <c r="B1540" s="287" t="s">
        <v>1279</v>
      </c>
      <c r="C1540" s="287" t="s">
        <v>1280</v>
      </c>
      <c r="D1540" s="397">
        <v>144.19999999999999</v>
      </c>
      <c r="E1540" s="380">
        <v>42186</v>
      </c>
      <c r="F1540" s="381">
        <v>135.01</v>
      </c>
    </row>
    <row r="1541" spans="1:6" s="295" customFormat="1" x14ac:dyDescent="0.15">
      <c r="A1541" s="374" t="s">
        <v>1311</v>
      </c>
      <c r="B1541" s="287" t="s">
        <v>1284</v>
      </c>
      <c r="C1541" s="287" t="s">
        <v>1285</v>
      </c>
      <c r="D1541" s="397">
        <v>15.5</v>
      </c>
      <c r="E1541" s="380">
        <v>42186</v>
      </c>
      <c r="F1541" s="381">
        <v>27.31</v>
      </c>
    </row>
    <row r="1542" spans="1:6" s="295" customFormat="1" x14ac:dyDescent="0.15">
      <c r="A1542" s="374" t="s">
        <v>1311</v>
      </c>
      <c r="B1542" s="287" t="s">
        <v>1288</v>
      </c>
      <c r="C1542" s="287" t="s">
        <v>1289</v>
      </c>
      <c r="D1542" s="397">
        <v>10.3</v>
      </c>
      <c r="E1542" s="403">
        <v>42186</v>
      </c>
      <c r="F1542" s="381">
        <v>22.29</v>
      </c>
    </row>
    <row r="1543" spans="1:6" s="275" customFormat="1" ht="14" thickBot="1" x14ac:dyDescent="0.2">
      <c r="A1543" s="376"/>
      <c r="B1543" s="359"/>
      <c r="C1543" s="291" t="s">
        <v>115</v>
      </c>
      <c r="D1543" s="383">
        <f>SUM(D1525:D1542)</f>
        <v>2333.2999999999997</v>
      </c>
      <c r="E1543" s="404"/>
      <c r="F1543" s="389">
        <v>2011.8099999999997</v>
      </c>
    </row>
    <row r="1544" spans="1:6" s="275" customFormat="1" ht="14" thickTop="1" x14ac:dyDescent="0.15">
      <c r="A1544" s="376"/>
      <c r="B1544" s="359"/>
      <c r="C1544" s="359"/>
      <c r="D1544" s="287"/>
      <c r="E1544" s="380"/>
      <c r="F1544" s="381"/>
    </row>
    <row r="1545" spans="1:6" s="275" customFormat="1" x14ac:dyDescent="0.15">
      <c r="A1545" s="376"/>
      <c r="B1545" s="359"/>
      <c r="C1545" s="378" t="s">
        <v>1212</v>
      </c>
      <c r="D1545" s="287"/>
      <c r="E1545" s="380"/>
      <c r="F1545" s="381"/>
    </row>
    <row r="1546" spans="1:6" s="275" customFormat="1" x14ac:dyDescent="0.15">
      <c r="A1546" s="376"/>
      <c r="B1546" s="359"/>
      <c r="C1546" s="378" t="s">
        <v>1139</v>
      </c>
      <c r="D1546" s="287"/>
      <c r="E1546" s="380"/>
      <c r="F1546" s="381"/>
    </row>
    <row r="1547" spans="1:6" s="275" customFormat="1" x14ac:dyDescent="0.15">
      <c r="A1547" s="376"/>
      <c r="B1547" s="359"/>
      <c r="C1547" s="386">
        <v>42185</v>
      </c>
      <c r="D1547" s="287"/>
      <c r="E1547" s="380"/>
      <c r="F1547" s="381"/>
    </row>
    <row r="1548" spans="1:6" s="275" customFormat="1" x14ac:dyDescent="0.15">
      <c r="A1548" s="399"/>
      <c r="B1548" s="400"/>
      <c r="C1548" s="400"/>
      <c r="D1548" s="400"/>
      <c r="E1548" s="401"/>
      <c r="F1548" s="402"/>
    </row>
    <row r="1549" spans="1:6" s="275" customFormat="1" ht="14" thickBot="1" x14ac:dyDescent="0.2">
      <c r="A1549" s="387"/>
      <c r="B1549" s="388"/>
      <c r="C1549" s="291" t="s">
        <v>1174</v>
      </c>
      <c r="D1549" s="383">
        <f>SUM(D1519,D1543)</f>
        <v>3464.8</v>
      </c>
      <c r="E1549" s="367"/>
      <c r="F1549" s="389">
        <v>3060.25</v>
      </c>
    </row>
    <row r="1550" spans="1:6" ht="15" thickTop="1" thickBot="1" x14ac:dyDescent="0.2"/>
    <row r="1551" spans="1:6" s="275" customFormat="1" ht="31" thickBot="1" x14ac:dyDescent="0.35">
      <c r="A1551" s="767" t="s">
        <v>1106</v>
      </c>
      <c r="B1551" s="768"/>
      <c r="C1551" s="768"/>
      <c r="D1551" s="768"/>
      <c r="E1551" s="768"/>
      <c r="F1551" s="769"/>
    </row>
    <row r="1552" spans="1:6" s="275" customFormat="1" x14ac:dyDescent="0.15">
      <c r="E1552" s="369"/>
      <c r="F1552" s="278"/>
    </row>
    <row r="1553" spans="1:6" s="295" customFormat="1" x14ac:dyDescent="0.15">
      <c r="A1553" s="370" t="s">
        <v>1299</v>
      </c>
      <c r="B1553" s="371" t="s">
        <v>1269</v>
      </c>
      <c r="C1553" s="371" t="s">
        <v>1270</v>
      </c>
      <c r="D1553" s="371">
        <v>19.600000000000001</v>
      </c>
      <c r="E1553" s="390">
        <v>42202</v>
      </c>
      <c r="F1553" s="391">
        <v>29.92</v>
      </c>
    </row>
    <row r="1554" spans="1:6" s="295" customFormat="1" x14ac:dyDescent="0.15">
      <c r="A1554" s="374" t="s">
        <v>1293</v>
      </c>
      <c r="B1554" s="287" t="s">
        <v>1257</v>
      </c>
      <c r="C1554" s="287" t="s">
        <v>1258</v>
      </c>
      <c r="D1554" s="287">
        <v>58.7</v>
      </c>
      <c r="E1554" s="380">
        <v>42202</v>
      </c>
      <c r="F1554" s="381">
        <v>64.81</v>
      </c>
    </row>
    <row r="1555" spans="1:6" s="295" customFormat="1" x14ac:dyDescent="0.15">
      <c r="A1555" s="374" t="s">
        <v>1294</v>
      </c>
      <c r="B1555" s="287" t="s">
        <v>1259</v>
      </c>
      <c r="C1555" s="287" t="s">
        <v>1260</v>
      </c>
      <c r="D1555" s="287">
        <v>0</v>
      </c>
      <c r="E1555" s="380">
        <v>42202</v>
      </c>
      <c r="F1555" s="381">
        <v>11.42</v>
      </c>
    </row>
    <row r="1556" spans="1:6" s="295" customFormat="1" x14ac:dyDescent="0.15">
      <c r="A1556" s="374" t="s">
        <v>1296</v>
      </c>
      <c r="B1556" s="287" t="s">
        <v>1278</v>
      </c>
      <c r="C1556" s="287" t="s">
        <v>1264</v>
      </c>
      <c r="D1556" s="287">
        <v>2.1</v>
      </c>
      <c r="E1556" s="380">
        <v>42202</v>
      </c>
      <c r="F1556" s="381">
        <v>14.36</v>
      </c>
    </row>
    <row r="1557" spans="1:6" s="295" customFormat="1" x14ac:dyDescent="0.15">
      <c r="A1557" s="374" t="s">
        <v>1295</v>
      </c>
      <c r="B1557" s="287" t="s">
        <v>1261</v>
      </c>
      <c r="C1557" s="287" t="s">
        <v>1262</v>
      </c>
      <c r="D1557" s="287">
        <v>46.3</v>
      </c>
      <c r="E1557" s="380">
        <v>42202</v>
      </c>
      <c r="F1557" s="381">
        <v>56.11</v>
      </c>
    </row>
    <row r="1558" spans="1:6" s="295" customFormat="1" x14ac:dyDescent="0.15">
      <c r="A1558" s="374" t="s">
        <v>1301</v>
      </c>
      <c r="B1558" s="287" t="s">
        <v>1286</v>
      </c>
      <c r="C1558" s="287" t="s">
        <v>1287</v>
      </c>
      <c r="D1558" s="287">
        <v>40.200000000000003</v>
      </c>
      <c r="E1558" s="380">
        <v>42202</v>
      </c>
      <c r="F1558" s="381">
        <v>48.31</v>
      </c>
    </row>
    <row r="1559" spans="1:6" s="295" customFormat="1" x14ac:dyDescent="0.15">
      <c r="A1559" s="374" t="s">
        <v>1297</v>
      </c>
      <c r="B1559" s="287" t="s">
        <v>1265</v>
      </c>
      <c r="C1559" s="287" t="s">
        <v>1266</v>
      </c>
      <c r="D1559" s="287">
        <v>18.5</v>
      </c>
      <c r="E1559" s="380">
        <v>42202</v>
      </c>
      <c r="F1559" s="381">
        <v>29.2</v>
      </c>
    </row>
    <row r="1560" spans="1:6" s="295" customFormat="1" x14ac:dyDescent="0.15">
      <c r="A1560" s="374" t="s">
        <v>1298</v>
      </c>
      <c r="B1560" s="287" t="s">
        <v>1267</v>
      </c>
      <c r="C1560" s="287" t="s">
        <v>1268</v>
      </c>
      <c r="D1560" s="287">
        <v>39.1</v>
      </c>
      <c r="E1560" s="380">
        <v>42202</v>
      </c>
      <c r="F1560" s="381">
        <v>49.13</v>
      </c>
    </row>
    <row r="1561" spans="1:6" s="295" customFormat="1" x14ac:dyDescent="0.15">
      <c r="A1561" s="374" t="s">
        <v>1300</v>
      </c>
      <c r="B1561" s="287" t="s">
        <v>1271</v>
      </c>
      <c r="C1561" s="287" t="s">
        <v>1272</v>
      </c>
      <c r="D1561" s="287">
        <v>49.4</v>
      </c>
      <c r="E1561" s="380">
        <v>42202</v>
      </c>
      <c r="F1561" s="381">
        <v>56.5</v>
      </c>
    </row>
    <row r="1562" spans="1:6" s="295" customFormat="1" x14ac:dyDescent="0.15">
      <c r="A1562" s="374" t="s">
        <v>1290</v>
      </c>
      <c r="B1562" s="287" t="s">
        <v>1291</v>
      </c>
      <c r="C1562" s="287" t="s">
        <v>1277</v>
      </c>
      <c r="D1562" s="287">
        <v>16.399999999999999</v>
      </c>
      <c r="E1562" s="380">
        <v>42202</v>
      </c>
      <c r="F1562" s="381">
        <v>27.04</v>
      </c>
    </row>
    <row r="1563" spans="1:6" s="295" customFormat="1" x14ac:dyDescent="0.15">
      <c r="A1563" s="374" t="s">
        <v>1292</v>
      </c>
      <c r="B1563" s="287" t="s">
        <v>1255</v>
      </c>
      <c r="C1563" s="287" t="s">
        <v>1256</v>
      </c>
      <c r="D1563" s="287">
        <v>273</v>
      </c>
      <c r="E1563" s="380">
        <v>42202</v>
      </c>
      <c r="F1563" s="381">
        <v>137.16</v>
      </c>
    </row>
    <row r="1564" spans="1:6" s="295" customFormat="1" x14ac:dyDescent="0.15">
      <c r="A1564" s="374" t="s">
        <v>1312</v>
      </c>
      <c r="B1564" s="287" t="s">
        <v>1313</v>
      </c>
      <c r="C1564" s="287" t="s">
        <v>1313</v>
      </c>
      <c r="D1564" s="287">
        <v>1</v>
      </c>
      <c r="E1564" s="380">
        <v>42202</v>
      </c>
      <c r="F1564" s="381">
        <v>13.33</v>
      </c>
    </row>
    <row r="1565" spans="1:6" s="295" customFormat="1" x14ac:dyDescent="0.15">
      <c r="A1565" s="374" t="s">
        <v>1314</v>
      </c>
      <c r="B1565" s="287" t="s">
        <v>1315</v>
      </c>
      <c r="C1565" s="287" t="s">
        <v>1316</v>
      </c>
      <c r="D1565" s="287">
        <v>6.2</v>
      </c>
      <c r="E1565" s="380">
        <v>42202</v>
      </c>
      <c r="F1565" s="381">
        <v>17.940000000000001</v>
      </c>
    </row>
    <row r="1566" spans="1:6" s="275" customFormat="1" ht="14" thickBot="1" x14ac:dyDescent="0.2">
      <c r="A1566" s="374"/>
      <c r="B1566" s="287"/>
      <c r="C1566" s="291" t="s">
        <v>115</v>
      </c>
      <c r="D1566" s="394">
        <f>SUM(D1553:D1565)</f>
        <v>570.5</v>
      </c>
      <c r="E1566" s="384"/>
      <c r="F1566" s="389">
        <v>555.23</v>
      </c>
    </row>
    <row r="1567" spans="1:6" s="275" customFormat="1" ht="14" thickTop="1" x14ac:dyDescent="0.15">
      <c r="A1567" s="374"/>
      <c r="B1567" s="287"/>
      <c r="C1567" s="287"/>
      <c r="D1567" s="287"/>
      <c r="E1567" s="380"/>
      <c r="F1567" s="381"/>
    </row>
    <row r="1568" spans="1:6" s="275" customFormat="1" x14ac:dyDescent="0.15">
      <c r="A1568" s="374"/>
      <c r="B1568" s="287"/>
      <c r="C1568" s="378" t="s">
        <v>1212</v>
      </c>
      <c r="D1568" s="287"/>
      <c r="E1568" s="380"/>
      <c r="F1568" s="381"/>
    </row>
    <row r="1569" spans="1:6" s="275" customFormat="1" x14ac:dyDescent="0.15">
      <c r="A1569" s="374"/>
      <c r="B1569" s="287"/>
      <c r="C1569" s="378" t="s">
        <v>1139</v>
      </c>
      <c r="D1569" s="287"/>
      <c r="E1569" s="380"/>
      <c r="F1569" s="381"/>
    </row>
    <row r="1570" spans="1:6" s="275" customFormat="1" x14ac:dyDescent="0.15">
      <c r="A1570" s="374"/>
      <c r="B1570" s="287"/>
      <c r="C1570" s="386">
        <v>42208</v>
      </c>
      <c r="D1570" s="287"/>
      <c r="E1570" s="380"/>
      <c r="F1570" s="381"/>
    </row>
    <row r="1571" spans="1:6" s="275" customFormat="1" x14ac:dyDescent="0.15">
      <c r="A1571" s="409"/>
      <c r="B1571" s="410"/>
      <c r="C1571" s="410"/>
      <c r="D1571" s="410"/>
      <c r="E1571" s="403"/>
      <c r="F1571" s="411"/>
    </row>
    <row r="1572" spans="1:6" s="295" customFormat="1" x14ac:dyDescent="0.15">
      <c r="A1572" s="370" t="s">
        <v>1302</v>
      </c>
      <c r="B1572" s="371" t="s">
        <v>1226</v>
      </c>
      <c r="C1572" s="371" t="s">
        <v>1227</v>
      </c>
      <c r="D1572" s="371">
        <v>98.8</v>
      </c>
      <c r="E1572" s="390">
        <v>42219</v>
      </c>
      <c r="F1572" s="391">
        <v>92.79</v>
      </c>
    </row>
    <row r="1573" spans="1:6" s="295" customFormat="1" x14ac:dyDescent="0.15">
      <c r="A1573" s="374" t="s">
        <v>1303</v>
      </c>
      <c r="B1573" s="287" t="s">
        <v>1228</v>
      </c>
      <c r="C1573" s="287" t="s">
        <v>1229</v>
      </c>
      <c r="D1573" s="287">
        <v>21.6</v>
      </c>
      <c r="E1573" s="380">
        <v>42219</v>
      </c>
      <c r="F1573" s="381">
        <v>39.69</v>
      </c>
    </row>
    <row r="1574" spans="1:6" s="295" customFormat="1" x14ac:dyDescent="0.15">
      <c r="A1574" s="374" t="s">
        <v>1304</v>
      </c>
      <c r="B1574" s="287" t="s">
        <v>1230</v>
      </c>
      <c r="C1574" s="287" t="s">
        <v>1231</v>
      </c>
      <c r="D1574" s="287">
        <v>64.900000000000006</v>
      </c>
      <c r="E1574" s="380">
        <v>42219</v>
      </c>
      <c r="F1574" s="381">
        <v>66.75</v>
      </c>
    </row>
    <row r="1575" spans="1:6" s="295" customFormat="1" x14ac:dyDescent="0.15">
      <c r="A1575" s="374" t="s">
        <v>1305</v>
      </c>
      <c r="B1575" s="287" t="s">
        <v>1306</v>
      </c>
      <c r="C1575" s="287" t="s">
        <v>1233</v>
      </c>
      <c r="D1575" s="287">
        <v>780.4</v>
      </c>
      <c r="E1575" s="380">
        <v>42219</v>
      </c>
      <c r="F1575" s="381">
        <v>292.14</v>
      </c>
    </row>
    <row r="1576" spans="1:6" s="295" customFormat="1" x14ac:dyDescent="0.15">
      <c r="A1576" s="374" t="s">
        <v>1307</v>
      </c>
      <c r="B1576" s="287" t="s">
        <v>1234</v>
      </c>
      <c r="C1576" s="287" t="s">
        <v>500</v>
      </c>
      <c r="D1576" s="287">
        <v>156.5</v>
      </c>
      <c r="E1576" s="380">
        <v>42219</v>
      </c>
      <c r="F1576" s="381">
        <v>125.74</v>
      </c>
    </row>
    <row r="1577" spans="1:6" s="295" customFormat="1" x14ac:dyDescent="0.15">
      <c r="A1577" s="374" t="s">
        <v>1308</v>
      </c>
      <c r="B1577" s="287" t="s">
        <v>1235</v>
      </c>
      <c r="C1577" s="287" t="s">
        <v>1236</v>
      </c>
      <c r="D1577" s="287">
        <v>103</v>
      </c>
      <c r="E1577" s="380">
        <v>42219</v>
      </c>
      <c r="F1577" s="381">
        <v>95.25</v>
      </c>
    </row>
    <row r="1578" spans="1:6" s="295" customFormat="1" x14ac:dyDescent="0.15">
      <c r="A1578" s="374" t="s">
        <v>1308</v>
      </c>
      <c r="B1578" s="287" t="s">
        <v>1238</v>
      </c>
      <c r="C1578" s="287" t="s">
        <v>1239</v>
      </c>
      <c r="D1578" s="287">
        <v>116.3</v>
      </c>
      <c r="E1578" s="380">
        <v>42219</v>
      </c>
      <c r="F1578" s="381">
        <v>102.78</v>
      </c>
    </row>
    <row r="1579" spans="1:6" s="295" customFormat="1" x14ac:dyDescent="0.15">
      <c r="A1579" s="374" t="s">
        <v>1309</v>
      </c>
      <c r="B1579" s="287" t="s">
        <v>1240</v>
      </c>
      <c r="C1579" s="287" t="s">
        <v>1241</v>
      </c>
      <c r="D1579" s="287">
        <v>74.099999999999994</v>
      </c>
      <c r="E1579" s="380">
        <v>42219</v>
      </c>
      <c r="F1579" s="381">
        <v>74.430000000000007</v>
      </c>
    </row>
    <row r="1580" spans="1:6" s="295" customFormat="1" x14ac:dyDescent="0.15">
      <c r="A1580" s="374" t="s">
        <v>1310</v>
      </c>
      <c r="B1580" s="287" t="s">
        <v>1282</v>
      </c>
      <c r="C1580" s="287" t="s">
        <v>1283</v>
      </c>
      <c r="D1580" s="287">
        <v>97.2</v>
      </c>
      <c r="E1580" s="380">
        <v>42219</v>
      </c>
      <c r="F1580" s="381">
        <v>91.76</v>
      </c>
    </row>
    <row r="1581" spans="1:6" s="295" customFormat="1" x14ac:dyDescent="0.15">
      <c r="A1581" s="374" t="s">
        <v>1311</v>
      </c>
      <c r="B1581" s="287" t="s">
        <v>1244</v>
      </c>
      <c r="C1581" s="287" t="s">
        <v>1245</v>
      </c>
      <c r="D1581" s="287">
        <v>100.9</v>
      </c>
      <c r="E1581" s="380">
        <v>42219</v>
      </c>
      <c r="F1581" s="381">
        <v>99.48</v>
      </c>
    </row>
    <row r="1582" spans="1:6" s="295" customFormat="1" x14ac:dyDescent="0.15">
      <c r="A1582" s="374" t="s">
        <v>1311</v>
      </c>
      <c r="B1582" s="287" t="s">
        <v>1246</v>
      </c>
      <c r="C1582" s="287" t="s">
        <v>1247</v>
      </c>
      <c r="D1582" s="287">
        <v>95.8</v>
      </c>
      <c r="E1582" s="380">
        <v>42219</v>
      </c>
      <c r="F1582" s="381">
        <v>91.12</v>
      </c>
    </row>
    <row r="1583" spans="1:6" s="295" customFormat="1" x14ac:dyDescent="0.15">
      <c r="A1583" s="374" t="s">
        <v>1311</v>
      </c>
      <c r="B1583" s="287" t="s">
        <v>1248</v>
      </c>
      <c r="C1583" s="287" t="s">
        <v>1249</v>
      </c>
      <c r="D1583" s="287">
        <v>3.1</v>
      </c>
      <c r="E1583" s="380">
        <v>42219</v>
      </c>
      <c r="F1583" s="381">
        <v>14.2</v>
      </c>
    </row>
    <row r="1584" spans="1:6" s="295" customFormat="1" x14ac:dyDescent="0.15">
      <c r="A1584" s="374" t="s">
        <v>1311</v>
      </c>
      <c r="B1584" s="287" t="s">
        <v>1250</v>
      </c>
      <c r="C1584" s="287" t="s">
        <v>1251</v>
      </c>
      <c r="D1584" s="287">
        <v>0</v>
      </c>
      <c r="E1584" s="380">
        <v>42219</v>
      </c>
      <c r="F1584" s="381">
        <v>12.51</v>
      </c>
    </row>
    <row r="1585" spans="1:6" s="295" customFormat="1" x14ac:dyDescent="0.15">
      <c r="A1585" s="374" t="s">
        <v>1311</v>
      </c>
      <c r="B1585" s="287" t="s">
        <v>1252</v>
      </c>
      <c r="C1585" s="287" t="s">
        <v>1253</v>
      </c>
      <c r="D1585" s="287">
        <v>76.2</v>
      </c>
      <c r="E1585" s="380">
        <v>42219</v>
      </c>
      <c r="F1585" s="381">
        <v>80.39</v>
      </c>
    </row>
    <row r="1586" spans="1:6" s="295" customFormat="1" x14ac:dyDescent="0.15">
      <c r="A1586" s="374" t="s">
        <v>1311</v>
      </c>
      <c r="B1586" s="287" t="s">
        <v>1275</v>
      </c>
      <c r="C1586" s="287" t="s">
        <v>1276</v>
      </c>
      <c r="D1586" s="397">
        <v>115.3</v>
      </c>
      <c r="E1586" s="380">
        <v>42219</v>
      </c>
      <c r="F1586" s="381">
        <v>108.54</v>
      </c>
    </row>
    <row r="1587" spans="1:6" s="295" customFormat="1" x14ac:dyDescent="0.15">
      <c r="A1587" s="374" t="s">
        <v>1311</v>
      </c>
      <c r="B1587" s="287" t="s">
        <v>1279</v>
      </c>
      <c r="C1587" s="287" t="s">
        <v>1280</v>
      </c>
      <c r="D1587" s="397">
        <v>99.9</v>
      </c>
      <c r="E1587" s="380">
        <v>42219</v>
      </c>
      <c r="F1587" s="381">
        <v>98.81</v>
      </c>
    </row>
    <row r="1588" spans="1:6" s="295" customFormat="1" x14ac:dyDescent="0.15">
      <c r="A1588" s="374" t="s">
        <v>1311</v>
      </c>
      <c r="B1588" s="287" t="s">
        <v>1284</v>
      </c>
      <c r="C1588" s="287" t="s">
        <v>1285</v>
      </c>
      <c r="D1588" s="397">
        <v>10.3</v>
      </c>
      <c r="E1588" s="380">
        <v>42219</v>
      </c>
      <c r="F1588" s="381">
        <v>21.31</v>
      </c>
    </row>
    <row r="1589" spans="1:6" s="295" customFormat="1" x14ac:dyDescent="0.15">
      <c r="A1589" s="374" t="s">
        <v>1311</v>
      </c>
      <c r="B1589" s="287" t="s">
        <v>1288</v>
      </c>
      <c r="C1589" s="287" t="s">
        <v>1289</v>
      </c>
      <c r="D1589" s="397">
        <v>6.2</v>
      </c>
      <c r="E1589" s="403">
        <v>42219</v>
      </c>
      <c r="F1589" s="381">
        <v>17.600000000000001</v>
      </c>
    </row>
    <row r="1590" spans="1:6" s="295" customFormat="1" ht="14" thickBot="1" x14ac:dyDescent="0.2">
      <c r="A1590" s="374"/>
      <c r="B1590" s="287"/>
      <c r="C1590" s="291" t="s">
        <v>115</v>
      </c>
      <c r="D1590" s="383">
        <f>SUM(D1572:D1589)</f>
        <v>2020.5</v>
      </c>
      <c r="E1590" s="404"/>
      <c r="F1590" s="389">
        <v>1525.29</v>
      </c>
    </row>
    <row r="1591" spans="1:6" s="295" customFormat="1" ht="14" thickTop="1" x14ac:dyDescent="0.15">
      <c r="A1591" s="374"/>
      <c r="B1591" s="287"/>
      <c r="C1591" s="287"/>
      <c r="D1591" s="287"/>
      <c r="E1591" s="380"/>
      <c r="F1591" s="381"/>
    </row>
    <row r="1592" spans="1:6" s="295" customFormat="1" x14ac:dyDescent="0.15">
      <c r="A1592" s="374"/>
      <c r="B1592" s="287"/>
      <c r="C1592" s="378" t="s">
        <v>1212</v>
      </c>
      <c r="D1592" s="287"/>
      <c r="E1592" s="380"/>
      <c r="F1592" s="381"/>
    </row>
    <row r="1593" spans="1:6" s="295" customFormat="1" x14ac:dyDescent="0.15">
      <c r="A1593" s="374"/>
      <c r="B1593" s="287"/>
      <c r="C1593" s="378" t="s">
        <v>1139</v>
      </c>
      <c r="D1593" s="287"/>
      <c r="E1593" s="380"/>
      <c r="F1593" s="381"/>
    </row>
    <row r="1594" spans="1:6" s="295" customFormat="1" x14ac:dyDescent="0.15">
      <c r="A1594" s="374"/>
      <c r="B1594" s="287"/>
      <c r="C1594" s="386">
        <v>42216</v>
      </c>
      <c r="D1594" s="287"/>
      <c r="E1594" s="380"/>
      <c r="F1594" s="381"/>
    </row>
    <row r="1595" spans="1:6" s="295" customFormat="1" x14ac:dyDescent="0.15">
      <c r="A1595" s="409"/>
      <c r="B1595" s="410"/>
      <c r="C1595" s="410"/>
      <c r="D1595" s="410"/>
      <c r="E1595" s="403"/>
      <c r="F1595" s="411"/>
    </row>
    <row r="1596" spans="1:6" s="295" customFormat="1" ht="14" thickBot="1" x14ac:dyDescent="0.2">
      <c r="A1596" s="412"/>
      <c r="B1596" s="281"/>
      <c r="C1596" s="291" t="s">
        <v>1177</v>
      </c>
      <c r="D1596" s="383">
        <f>SUM(D1566,D1590)</f>
        <v>2591</v>
      </c>
      <c r="E1596" s="384"/>
      <c r="F1596" s="389">
        <v>2080.52</v>
      </c>
    </row>
    <row r="1597" spans="1:6" s="295" customFormat="1" ht="14" thickTop="1" x14ac:dyDescent="0.15">
      <c r="E1597" s="408"/>
      <c r="F1597" s="298"/>
    </row>
    <row r="1598" spans="1:6" s="295" customFormat="1" x14ac:dyDescent="0.15">
      <c r="A1598" s="370" t="s">
        <v>1299</v>
      </c>
      <c r="B1598" s="371" t="s">
        <v>1269</v>
      </c>
      <c r="C1598" s="371" t="s">
        <v>1270</v>
      </c>
      <c r="D1598" s="371">
        <v>16.5</v>
      </c>
      <c r="E1598" s="390">
        <v>42234</v>
      </c>
      <c r="F1598" s="391">
        <v>26.06</v>
      </c>
    </row>
    <row r="1599" spans="1:6" s="295" customFormat="1" x14ac:dyDescent="0.15">
      <c r="A1599" s="374" t="s">
        <v>1293</v>
      </c>
      <c r="B1599" s="287" t="s">
        <v>1257</v>
      </c>
      <c r="C1599" s="287" t="s">
        <v>1258</v>
      </c>
      <c r="D1599" s="287">
        <v>54.6</v>
      </c>
      <c r="E1599" s="380">
        <v>42234</v>
      </c>
      <c r="F1599" s="381">
        <v>57.37</v>
      </c>
    </row>
    <row r="1600" spans="1:6" s="295" customFormat="1" x14ac:dyDescent="0.15">
      <c r="A1600" s="374" t="s">
        <v>1294</v>
      </c>
      <c r="B1600" s="287" t="s">
        <v>1259</v>
      </c>
      <c r="C1600" s="287" t="s">
        <v>1260</v>
      </c>
      <c r="D1600" s="287">
        <v>0</v>
      </c>
      <c r="E1600" s="380">
        <v>42234</v>
      </c>
      <c r="F1600" s="381">
        <v>11.42</v>
      </c>
    </row>
    <row r="1601" spans="1:6" s="295" customFormat="1" x14ac:dyDescent="0.15">
      <c r="A1601" s="374" t="s">
        <v>1296</v>
      </c>
      <c r="B1601" s="287" t="s">
        <v>1278</v>
      </c>
      <c r="C1601" s="287" t="s">
        <v>1264</v>
      </c>
      <c r="D1601" s="287">
        <v>0</v>
      </c>
      <c r="E1601" s="380">
        <v>42234</v>
      </c>
      <c r="F1601" s="381">
        <v>12.51</v>
      </c>
    </row>
    <row r="1602" spans="1:6" s="295" customFormat="1" x14ac:dyDescent="0.15">
      <c r="A1602" s="374" t="s">
        <v>1295</v>
      </c>
      <c r="B1602" s="287" t="s">
        <v>1261</v>
      </c>
      <c r="C1602" s="287" t="s">
        <v>1262</v>
      </c>
      <c r="D1602" s="287">
        <v>35</v>
      </c>
      <c r="E1602" s="380">
        <v>42234</v>
      </c>
      <c r="F1602" s="381">
        <v>42.81</v>
      </c>
    </row>
    <row r="1603" spans="1:6" s="295" customFormat="1" x14ac:dyDescent="0.15">
      <c r="A1603" s="374" t="s">
        <v>1301</v>
      </c>
      <c r="B1603" s="287" t="s">
        <v>1286</v>
      </c>
      <c r="C1603" s="287" t="s">
        <v>1287</v>
      </c>
      <c r="D1603" s="287">
        <v>4.0999999999999996</v>
      </c>
      <c r="E1603" s="380">
        <v>42234</v>
      </c>
      <c r="F1603" s="381">
        <v>15.87</v>
      </c>
    </row>
    <row r="1604" spans="1:6" s="295" customFormat="1" x14ac:dyDescent="0.15">
      <c r="A1604" s="374" t="s">
        <v>1297</v>
      </c>
      <c r="B1604" s="287" t="s">
        <v>1265</v>
      </c>
      <c r="C1604" s="287" t="s">
        <v>1266</v>
      </c>
      <c r="D1604" s="287">
        <v>15.4</v>
      </c>
      <c r="E1604" s="380">
        <v>42234</v>
      </c>
      <c r="F1604" s="381">
        <v>25.23</v>
      </c>
    </row>
    <row r="1605" spans="1:6" s="295" customFormat="1" x14ac:dyDescent="0.15">
      <c r="A1605" s="374" t="s">
        <v>1298</v>
      </c>
      <c r="B1605" s="287" t="s">
        <v>1267</v>
      </c>
      <c r="C1605" s="287" t="s">
        <v>1268</v>
      </c>
      <c r="D1605" s="287">
        <v>39.1</v>
      </c>
      <c r="E1605" s="380">
        <v>42234</v>
      </c>
      <c r="F1605" s="381">
        <v>46.49</v>
      </c>
    </row>
    <row r="1606" spans="1:6" s="295" customFormat="1" x14ac:dyDescent="0.15">
      <c r="A1606" s="374" t="s">
        <v>1300</v>
      </c>
      <c r="B1606" s="287" t="s">
        <v>1271</v>
      </c>
      <c r="C1606" s="287" t="s">
        <v>1272</v>
      </c>
      <c r="D1606" s="287">
        <v>43.2</v>
      </c>
      <c r="E1606" s="380">
        <v>42234</v>
      </c>
      <c r="F1606" s="381">
        <v>48.01</v>
      </c>
    </row>
    <row r="1607" spans="1:6" s="295" customFormat="1" x14ac:dyDescent="0.15">
      <c r="A1607" s="374" t="s">
        <v>1290</v>
      </c>
      <c r="B1607" s="287" t="s">
        <v>1291</v>
      </c>
      <c r="C1607" s="287" t="s">
        <v>1277</v>
      </c>
      <c r="D1607" s="287">
        <v>8.1999999999999993</v>
      </c>
      <c r="E1607" s="380">
        <v>42234</v>
      </c>
      <c r="F1607" s="381">
        <v>19.25</v>
      </c>
    </row>
    <row r="1608" spans="1:6" s="295" customFormat="1" x14ac:dyDescent="0.15">
      <c r="A1608" s="374" t="s">
        <v>1292</v>
      </c>
      <c r="B1608" s="287" t="s">
        <v>1255</v>
      </c>
      <c r="C1608" s="287" t="s">
        <v>1256</v>
      </c>
      <c r="D1608" s="287">
        <v>201.3</v>
      </c>
      <c r="E1608" s="380">
        <v>42234</v>
      </c>
      <c r="F1608" s="381">
        <v>95.69</v>
      </c>
    </row>
    <row r="1609" spans="1:6" s="295" customFormat="1" x14ac:dyDescent="0.15">
      <c r="A1609" s="374" t="s">
        <v>1312</v>
      </c>
      <c r="B1609" s="287" t="s">
        <v>1313</v>
      </c>
      <c r="C1609" s="287" t="s">
        <v>1313</v>
      </c>
      <c r="D1609" s="287">
        <v>0</v>
      </c>
      <c r="E1609" s="380">
        <v>42234</v>
      </c>
      <c r="F1609" s="381">
        <v>12.51</v>
      </c>
    </row>
    <row r="1610" spans="1:6" s="295" customFormat="1" x14ac:dyDescent="0.15">
      <c r="A1610" s="374" t="s">
        <v>1314</v>
      </c>
      <c r="B1610" s="287" t="s">
        <v>1315</v>
      </c>
      <c r="C1610" s="287" t="s">
        <v>1316</v>
      </c>
      <c r="D1610" s="287">
        <v>6.2</v>
      </c>
      <c r="E1610" s="380">
        <v>42234</v>
      </c>
      <c r="F1610" s="381">
        <v>17.54</v>
      </c>
    </row>
    <row r="1611" spans="1:6" s="295" customFormat="1" ht="14" thickBot="1" x14ac:dyDescent="0.2">
      <c r="A1611" s="374"/>
      <c r="B1611" s="287"/>
      <c r="C1611" s="291" t="s">
        <v>115</v>
      </c>
      <c r="D1611" s="394">
        <f>SUM(D1598:D1610)</f>
        <v>423.59999999999997</v>
      </c>
      <c r="E1611" s="384"/>
      <c r="F1611" s="389">
        <v>430.76</v>
      </c>
    </row>
    <row r="1612" spans="1:6" s="295" customFormat="1" ht="14" thickTop="1" x14ac:dyDescent="0.15">
      <c r="A1612" s="374"/>
      <c r="B1612" s="287"/>
      <c r="C1612" s="287"/>
      <c r="D1612" s="287"/>
      <c r="E1612" s="380"/>
      <c r="F1612" s="381"/>
    </row>
    <row r="1613" spans="1:6" s="295" customFormat="1" x14ac:dyDescent="0.15">
      <c r="A1613" s="374"/>
      <c r="B1613" s="287"/>
      <c r="C1613" s="378" t="s">
        <v>1212</v>
      </c>
      <c r="D1613" s="287"/>
      <c r="E1613" s="380"/>
      <c r="F1613" s="381"/>
    </row>
    <row r="1614" spans="1:6" s="295" customFormat="1" x14ac:dyDescent="0.15">
      <c r="A1614" s="374"/>
      <c r="B1614" s="287"/>
      <c r="C1614" s="378" t="s">
        <v>1139</v>
      </c>
      <c r="D1614" s="287"/>
      <c r="E1614" s="380"/>
      <c r="F1614" s="381"/>
    </row>
    <row r="1615" spans="1:6" s="295" customFormat="1" x14ac:dyDescent="0.15">
      <c r="A1615" s="374"/>
      <c r="B1615" s="287"/>
      <c r="C1615" s="386">
        <v>42241</v>
      </c>
      <c r="D1615" s="287"/>
      <c r="E1615" s="380"/>
      <c r="F1615" s="381"/>
    </row>
    <row r="1616" spans="1:6" s="295" customFormat="1" x14ac:dyDescent="0.15">
      <c r="A1616" s="409"/>
      <c r="B1616" s="410"/>
      <c r="C1616" s="410"/>
      <c r="D1616" s="410"/>
      <c r="E1616" s="403"/>
      <c r="F1616" s="411"/>
    </row>
    <row r="1617" spans="1:6" s="295" customFormat="1" x14ac:dyDescent="0.15">
      <c r="A1617" s="370" t="s">
        <v>1302</v>
      </c>
      <c r="B1617" s="371" t="s">
        <v>1226</v>
      </c>
      <c r="C1617" s="371" t="s">
        <v>1227</v>
      </c>
      <c r="D1617" s="371">
        <v>63.8</v>
      </c>
      <c r="E1617" s="390">
        <v>42248</v>
      </c>
      <c r="F1617" s="391">
        <v>64.92</v>
      </c>
    </row>
    <row r="1618" spans="1:6" s="295" customFormat="1" x14ac:dyDescent="0.15">
      <c r="A1618" s="374" t="s">
        <v>1303</v>
      </c>
      <c r="B1618" s="287" t="s">
        <v>1228</v>
      </c>
      <c r="C1618" s="287" t="s">
        <v>1229</v>
      </c>
      <c r="D1618" s="287">
        <v>3.1</v>
      </c>
      <c r="E1618" s="380">
        <v>42248</v>
      </c>
      <c r="F1618" s="381">
        <v>33.630000000000003</v>
      </c>
    </row>
    <row r="1619" spans="1:6" s="295" customFormat="1" x14ac:dyDescent="0.15">
      <c r="A1619" s="374" t="s">
        <v>1304</v>
      </c>
      <c r="B1619" s="287" t="s">
        <v>1230</v>
      </c>
      <c r="C1619" s="287" t="s">
        <v>1231</v>
      </c>
      <c r="D1619" s="287">
        <v>39.1</v>
      </c>
      <c r="E1619" s="380">
        <v>42248</v>
      </c>
      <c r="F1619" s="381">
        <v>44.63</v>
      </c>
    </row>
    <row r="1620" spans="1:6" s="295" customFormat="1" x14ac:dyDescent="0.15">
      <c r="A1620" s="374" t="s">
        <v>1305</v>
      </c>
      <c r="B1620" s="287" t="s">
        <v>1306</v>
      </c>
      <c r="C1620" s="287" t="s">
        <v>1233</v>
      </c>
      <c r="D1620" s="287">
        <v>624</v>
      </c>
      <c r="E1620" s="380">
        <v>42248</v>
      </c>
      <c r="F1620" s="381">
        <v>229.65</v>
      </c>
    </row>
    <row r="1621" spans="1:6" s="295" customFormat="1" x14ac:dyDescent="0.15">
      <c r="A1621" s="374" t="s">
        <v>1307</v>
      </c>
      <c r="B1621" s="287" t="s">
        <v>1234</v>
      </c>
      <c r="C1621" s="287" t="s">
        <v>500</v>
      </c>
      <c r="D1621" s="287">
        <v>69</v>
      </c>
      <c r="E1621" s="380">
        <v>42248</v>
      </c>
      <c r="F1621" s="381">
        <v>69.19</v>
      </c>
    </row>
    <row r="1622" spans="1:6" s="295" customFormat="1" x14ac:dyDescent="0.15">
      <c r="A1622" s="374" t="s">
        <v>1308</v>
      </c>
      <c r="B1622" s="287" t="s">
        <v>1235</v>
      </c>
      <c r="C1622" s="287" t="s">
        <v>1236</v>
      </c>
      <c r="D1622" s="287">
        <v>69</v>
      </c>
      <c r="E1622" s="380">
        <v>42248</v>
      </c>
      <c r="F1622" s="381">
        <v>69.19</v>
      </c>
    </row>
    <row r="1623" spans="1:6" s="295" customFormat="1" x14ac:dyDescent="0.15">
      <c r="A1623" s="374" t="s">
        <v>1308</v>
      </c>
      <c r="B1623" s="287" t="s">
        <v>1238</v>
      </c>
      <c r="C1623" s="287" t="s">
        <v>1239</v>
      </c>
      <c r="D1623" s="287">
        <v>48.4</v>
      </c>
      <c r="E1623" s="380">
        <v>42248</v>
      </c>
      <c r="F1623" s="381">
        <v>52.27</v>
      </c>
    </row>
    <row r="1624" spans="1:6" s="295" customFormat="1" x14ac:dyDescent="0.15">
      <c r="A1624" s="374" t="s">
        <v>1309</v>
      </c>
      <c r="B1624" s="287" t="s">
        <v>1240</v>
      </c>
      <c r="C1624" s="287" t="s">
        <v>1241</v>
      </c>
      <c r="D1624" s="287">
        <v>45.3</v>
      </c>
      <c r="E1624" s="380">
        <v>42248</v>
      </c>
      <c r="F1624" s="381">
        <v>49.73</v>
      </c>
    </row>
    <row r="1625" spans="1:6" s="295" customFormat="1" x14ac:dyDescent="0.15">
      <c r="A1625" s="374" t="s">
        <v>1310</v>
      </c>
      <c r="B1625" s="287" t="s">
        <v>1282</v>
      </c>
      <c r="C1625" s="287" t="s">
        <v>1283</v>
      </c>
      <c r="D1625" s="287">
        <v>87</v>
      </c>
      <c r="E1625" s="380">
        <v>42248</v>
      </c>
      <c r="F1625" s="381">
        <v>83.98</v>
      </c>
    </row>
    <row r="1626" spans="1:6" s="295" customFormat="1" x14ac:dyDescent="0.15">
      <c r="A1626" s="374" t="s">
        <v>1311</v>
      </c>
      <c r="B1626" s="287" t="s">
        <v>1244</v>
      </c>
      <c r="C1626" s="287" t="s">
        <v>1245</v>
      </c>
      <c r="D1626" s="287">
        <v>94.7</v>
      </c>
      <c r="E1626" s="380">
        <v>42248</v>
      </c>
      <c r="F1626" s="381">
        <v>89.06</v>
      </c>
    </row>
    <row r="1627" spans="1:6" s="295" customFormat="1" x14ac:dyDescent="0.15">
      <c r="A1627" s="374" t="s">
        <v>1311</v>
      </c>
      <c r="B1627" s="287" t="s">
        <v>1246</v>
      </c>
      <c r="C1627" s="287" t="s">
        <v>1247</v>
      </c>
      <c r="D1627" s="287">
        <v>65.900000000000006</v>
      </c>
      <c r="E1627" s="380">
        <v>42248</v>
      </c>
      <c r="F1627" s="381">
        <v>66.650000000000006</v>
      </c>
    </row>
    <row r="1628" spans="1:6" s="295" customFormat="1" x14ac:dyDescent="0.15">
      <c r="A1628" s="374" t="s">
        <v>1311</v>
      </c>
      <c r="B1628" s="287" t="s">
        <v>1248</v>
      </c>
      <c r="C1628" s="287" t="s">
        <v>1249</v>
      </c>
      <c r="D1628" s="287">
        <v>0</v>
      </c>
      <c r="E1628" s="380">
        <v>42248</v>
      </c>
      <c r="F1628" s="381">
        <v>11.42</v>
      </c>
    </row>
    <row r="1629" spans="1:6" s="295" customFormat="1" x14ac:dyDescent="0.15">
      <c r="A1629" s="374" t="s">
        <v>1311</v>
      </c>
      <c r="B1629" s="287" t="s">
        <v>1250</v>
      </c>
      <c r="C1629" s="287" t="s">
        <v>1251</v>
      </c>
      <c r="D1629" s="287">
        <v>0</v>
      </c>
      <c r="E1629" s="380">
        <v>42248</v>
      </c>
      <c r="F1629" s="381">
        <v>12.51</v>
      </c>
    </row>
    <row r="1630" spans="1:6" s="295" customFormat="1" x14ac:dyDescent="0.15">
      <c r="A1630" s="374" t="s">
        <v>1311</v>
      </c>
      <c r="B1630" s="287" t="s">
        <v>1252</v>
      </c>
      <c r="C1630" s="287" t="s">
        <v>1253</v>
      </c>
      <c r="D1630" s="287">
        <v>40.200000000000003</v>
      </c>
      <c r="E1630" s="380">
        <v>42248</v>
      </c>
      <c r="F1630" s="381">
        <v>45.54</v>
      </c>
    </row>
    <row r="1631" spans="1:6" s="295" customFormat="1" x14ac:dyDescent="0.15">
      <c r="A1631" s="374" t="s">
        <v>1311</v>
      </c>
      <c r="B1631" s="287" t="s">
        <v>1275</v>
      </c>
      <c r="C1631" s="287" t="s">
        <v>1276</v>
      </c>
      <c r="D1631" s="397">
        <v>82.4</v>
      </c>
      <c r="E1631" s="380">
        <v>42248</v>
      </c>
      <c r="F1631" s="381">
        <v>80.2</v>
      </c>
    </row>
    <row r="1632" spans="1:6" s="295" customFormat="1" x14ac:dyDescent="0.15">
      <c r="A1632" s="374" t="s">
        <v>1311</v>
      </c>
      <c r="B1632" s="287" t="s">
        <v>1279</v>
      </c>
      <c r="C1632" s="287" t="s">
        <v>1280</v>
      </c>
      <c r="D1632" s="397">
        <v>85.5</v>
      </c>
      <c r="E1632" s="380">
        <v>42248</v>
      </c>
      <c r="F1632" s="381">
        <v>82.74</v>
      </c>
    </row>
    <row r="1633" spans="1:6" s="295" customFormat="1" x14ac:dyDescent="0.15">
      <c r="A1633" s="374" t="s">
        <v>1311</v>
      </c>
      <c r="B1633" s="287" t="s">
        <v>1284</v>
      </c>
      <c r="C1633" s="287" t="s">
        <v>1285</v>
      </c>
      <c r="D1633" s="397">
        <v>10.3</v>
      </c>
      <c r="E1633" s="380">
        <v>42248</v>
      </c>
      <c r="F1633" s="381">
        <v>20.66</v>
      </c>
    </row>
    <row r="1634" spans="1:6" s="295" customFormat="1" x14ac:dyDescent="0.15">
      <c r="A1634" s="374" t="s">
        <v>1311</v>
      </c>
      <c r="B1634" s="287" t="s">
        <v>1288</v>
      </c>
      <c r="C1634" s="287" t="s">
        <v>1289</v>
      </c>
      <c r="D1634" s="397">
        <v>0</v>
      </c>
      <c r="E1634" s="403">
        <v>42248</v>
      </c>
      <c r="F1634" s="381">
        <v>12.51</v>
      </c>
    </row>
    <row r="1635" spans="1:6" s="295" customFormat="1" ht="14" thickBot="1" x14ac:dyDescent="0.2">
      <c r="A1635" s="374"/>
      <c r="B1635" s="287"/>
      <c r="C1635" s="291" t="s">
        <v>115</v>
      </c>
      <c r="D1635" s="383">
        <f>SUM(D1617:D1634)</f>
        <v>1427.7</v>
      </c>
      <c r="E1635" s="404"/>
      <c r="F1635" s="389">
        <v>1118.48</v>
      </c>
    </row>
    <row r="1636" spans="1:6" s="295" customFormat="1" ht="14" thickTop="1" x14ac:dyDescent="0.15">
      <c r="A1636" s="374"/>
      <c r="B1636" s="287"/>
      <c r="C1636" s="287"/>
      <c r="D1636" s="287"/>
      <c r="E1636" s="380"/>
      <c r="F1636" s="381"/>
    </row>
    <row r="1637" spans="1:6" s="295" customFormat="1" x14ac:dyDescent="0.15">
      <c r="A1637" s="374"/>
      <c r="B1637" s="287"/>
      <c r="C1637" s="378" t="s">
        <v>1212</v>
      </c>
      <c r="D1637" s="287"/>
      <c r="E1637" s="380"/>
      <c r="F1637" s="381"/>
    </row>
    <row r="1638" spans="1:6" s="295" customFormat="1" x14ac:dyDescent="0.15">
      <c r="A1638" s="374"/>
      <c r="B1638" s="287"/>
      <c r="C1638" s="378" t="s">
        <v>1139</v>
      </c>
      <c r="D1638" s="287"/>
      <c r="E1638" s="380"/>
      <c r="F1638" s="381"/>
    </row>
    <row r="1639" spans="1:6" s="295" customFormat="1" x14ac:dyDescent="0.15">
      <c r="A1639" s="374"/>
      <c r="B1639" s="287"/>
      <c r="C1639" s="386">
        <v>42247</v>
      </c>
      <c r="D1639" s="287"/>
      <c r="E1639" s="380"/>
      <c r="F1639" s="381"/>
    </row>
    <row r="1640" spans="1:6" s="295" customFormat="1" x14ac:dyDescent="0.15">
      <c r="A1640" s="409"/>
      <c r="B1640" s="410"/>
      <c r="C1640" s="410"/>
      <c r="D1640" s="410"/>
      <c r="E1640" s="403"/>
      <c r="F1640" s="411"/>
    </row>
    <row r="1641" spans="1:6" s="295" customFormat="1" ht="14" thickBot="1" x14ac:dyDescent="0.2">
      <c r="A1641" s="412"/>
      <c r="B1641" s="281"/>
      <c r="C1641" s="291" t="s">
        <v>1281</v>
      </c>
      <c r="D1641" s="383">
        <f>SUM(D1611,D1635)</f>
        <v>1851.3</v>
      </c>
      <c r="E1641" s="384"/>
      <c r="F1641" s="389">
        <v>1549.24</v>
      </c>
    </row>
    <row r="1642" spans="1:6" s="295" customFormat="1" ht="14" thickTop="1" x14ac:dyDescent="0.15">
      <c r="E1642" s="408"/>
      <c r="F1642" s="298"/>
    </row>
    <row r="1643" spans="1:6" s="295" customFormat="1" x14ac:dyDescent="0.15">
      <c r="A1643" s="370" t="s">
        <v>1299</v>
      </c>
      <c r="B1643" s="371" t="s">
        <v>1269</v>
      </c>
      <c r="C1643" s="371" t="s">
        <v>1270</v>
      </c>
      <c r="D1643" s="371">
        <v>35</v>
      </c>
      <c r="E1643" s="390">
        <v>42264</v>
      </c>
      <c r="F1643" s="391">
        <v>41.27</v>
      </c>
    </row>
    <row r="1644" spans="1:6" s="295" customFormat="1" x14ac:dyDescent="0.15">
      <c r="A1644" s="374" t="s">
        <v>1293</v>
      </c>
      <c r="B1644" s="287" t="s">
        <v>1257</v>
      </c>
      <c r="C1644" s="287" t="s">
        <v>1258</v>
      </c>
      <c r="D1644" s="287">
        <v>78.2</v>
      </c>
      <c r="E1644" s="380">
        <v>42264</v>
      </c>
      <c r="F1644" s="381">
        <v>76.75</v>
      </c>
    </row>
    <row r="1645" spans="1:6" s="295" customFormat="1" x14ac:dyDescent="0.15">
      <c r="A1645" s="374" t="s">
        <v>1294</v>
      </c>
      <c r="B1645" s="287" t="s">
        <v>1259</v>
      </c>
      <c r="C1645" s="287" t="s">
        <v>1260</v>
      </c>
      <c r="D1645" s="287">
        <v>0</v>
      </c>
      <c r="E1645" s="380">
        <v>42264</v>
      </c>
      <c r="F1645" s="381">
        <v>11.42</v>
      </c>
    </row>
    <row r="1646" spans="1:6" s="295" customFormat="1" x14ac:dyDescent="0.15">
      <c r="A1646" s="374" t="s">
        <v>1296</v>
      </c>
      <c r="B1646" s="287" t="s">
        <v>1278</v>
      </c>
      <c r="C1646" s="287" t="s">
        <v>1264</v>
      </c>
      <c r="D1646" s="287">
        <v>0</v>
      </c>
      <c r="E1646" s="380">
        <v>42264</v>
      </c>
      <c r="F1646" s="381">
        <v>12.51</v>
      </c>
    </row>
    <row r="1647" spans="1:6" s="295" customFormat="1" x14ac:dyDescent="0.15">
      <c r="A1647" s="374" t="s">
        <v>1295</v>
      </c>
      <c r="B1647" s="287" t="s">
        <v>1261</v>
      </c>
      <c r="C1647" s="287" t="s">
        <v>1262</v>
      </c>
      <c r="D1647" s="287">
        <v>39.1</v>
      </c>
      <c r="E1647" s="380">
        <v>42264</v>
      </c>
      <c r="F1647" s="381">
        <v>46.49</v>
      </c>
    </row>
    <row r="1648" spans="1:6" s="295" customFormat="1" x14ac:dyDescent="0.15">
      <c r="A1648" s="374" t="s">
        <v>1301</v>
      </c>
      <c r="B1648" s="287" t="s">
        <v>1286</v>
      </c>
      <c r="C1648" s="287" t="s">
        <v>1287</v>
      </c>
      <c r="D1648" s="287">
        <v>2.1</v>
      </c>
      <c r="E1648" s="380">
        <v>42264</v>
      </c>
      <c r="F1648" s="381">
        <v>14.24</v>
      </c>
    </row>
    <row r="1649" spans="1:6" s="295" customFormat="1" x14ac:dyDescent="0.15">
      <c r="A1649" s="374" t="s">
        <v>1297</v>
      </c>
      <c r="B1649" s="287" t="s">
        <v>1265</v>
      </c>
      <c r="C1649" s="287" t="s">
        <v>1266</v>
      </c>
      <c r="D1649" s="287">
        <v>12.3</v>
      </c>
      <c r="E1649" s="380">
        <v>42264</v>
      </c>
      <c r="F1649" s="381">
        <v>22.46</v>
      </c>
    </row>
    <row r="1650" spans="1:6" s="295" customFormat="1" x14ac:dyDescent="0.15">
      <c r="A1650" s="374" t="s">
        <v>1298</v>
      </c>
      <c r="B1650" s="287" t="s">
        <v>1267</v>
      </c>
      <c r="C1650" s="287" t="s">
        <v>1268</v>
      </c>
      <c r="D1650" s="287">
        <v>43.2</v>
      </c>
      <c r="E1650" s="380">
        <v>42264</v>
      </c>
      <c r="F1650" s="381">
        <v>50.17</v>
      </c>
    </row>
    <row r="1651" spans="1:6" s="295" customFormat="1" x14ac:dyDescent="0.15">
      <c r="A1651" s="374" t="s">
        <v>1300</v>
      </c>
      <c r="B1651" s="287" t="s">
        <v>1271</v>
      </c>
      <c r="C1651" s="287" t="s">
        <v>1272</v>
      </c>
      <c r="D1651" s="287">
        <v>46.3</v>
      </c>
      <c r="E1651" s="380">
        <v>42264</v>
      </c>
      <c r="F1651" s="381">
        <v>50.55</v>
      </c>
    </row>
    <row r="1652" spans="1:6" s="295" customFormat="1" x14ac:dyDescent="0.15">
      <c r="A1652" s="374" t="s">
        <v>1290</v>
      </c>
      <c r="B1652" s="287" t="s">
        <v>1291</v>
      </c>
      <c r="C1652" s="287" t="s">
        <v>1277</v>
      </c>
      <c r="D1652" s="287">
        <v>2</v>
      </c>
      <c r="E1652" s="380">
        <v>42264</v>
      </c>
      <c r="F1652" s="381">
        <v>14.16</v>
      </c>
    </row>
    <row r="1653" spans="1:6" s="295" customFormat="1" x14ac:dyDescent="0.15">
      <c r="A1653" s="374" t="s">
        <v>1292</v>
      </c>
      <c r="B1653" s="287" t="s">
        <v>1255</v>
      </c>
      <c r="C1653" s="287" t="s">
        <v>1256</v>
      </c>
      <c r="D1653" s="287">
        <v>160.19999999999999</v>
      </c>
      <c r="E1653" s="380">
        <v>42264</v>
      </c>
      <c r="F1653" s="381">
        <v>82.83</v>
      </c>
    </row>
    <row r="1654" spans="1:6" s="295" customFormat="1" x14ac:dyDescent="0.15">
      <c r="A1654" s="374" t="s">
        <v>1312</v>
      </c>
      <c r="B1654" s="287" t="s">
        <v>1313</v>
      </c>
      <c r="C1654" s="287" t="s">
        <v>1313</v>
      </c>
      <c r="D1654" s="287">
        <v>1</v>
      </c>
      <c r="E1654" s="380">
        <v>42264</v>
      </c>
      <c r="F1654" s="381">
        <v>13.33</v>
      </c>
    </row>
    <row r="1655" spans="1:6" s="295" customFormat="1" x14ac:dyDescent="0.15">
      <c r="A1655" s="374" t="s">
        <v>1314</v>
      </c>
      <c r="B1655" s="287" t="s">
        <v>1315</v>
      </c>
      <c r="C1655" s="287" t="s">
        <v>1316</v>
      </c>
      <c r="D1655" s="287">
        <v>6.2</v>
      </c>
      <c r="E1655" s="380">
        <v>42264</v>
      </c>
      <c r="F1655" s="381">
        <v>17.54</v>
      </c>
    </row>
    <row r="1656" spans="1:6" s="295" customFormat="1" ht="14" thickBot="1" x14ac:dyDescent="0.2">
      <c r="A1656" s="374"/>
      <c r="B1656" s="287"/>
      <c r="C1656" s="291" t="s">
        <v>115</v>
      </c>
      <c r="D1656" s="394">
        <f>SUM(D1643:D1655)</f>
        <v>425.6</v>
      </c>
      <c r="E1656" s="384"/>
      <c r="F1656" s="389">
        <v>453.72</v>
      </c>
    </row>
    <row r="1657" spans="1:6" s="295" customFormat="1" ht="14" thickTop="1" x14ac:dyDescent="0.15">
      <c r="A1657" s="374"/>
      <c r="B1657" s="287"/>
      <c r="C1657" s="287"/>
      <c r="D1657" s="287"/>
      <c r="E1657" s="380"/>
      <c r="F1657" s="381"/>
    </row>
    <row r="1658" spans="1:6" s="295" customFormat="1" x14ac:dyDescent="0.15">
      <c r="A1658" s="374"/>
      <c r="B1658" s="287"/>
      <c r="C1658" s="378" t="s">
        <v>1212</v>
      </c>
      <c r="D1658" s="287"/>
      <c r="E1658" s="380"/>
      <c r="F1658" s="381"/>
    </row>
    <row r="1659" spans="1:6" s="295" customFormat="1" x14ac:dyDescent="0.15">
      <c r="A1659" s="374"/>
      <c r="B1659" s="287"/>
      <c r="C1659" s="378" t="s">
        <v>1139</v>
      </c>
      <c r="D1659" s="287"/>
      <c r="E1659" s="380"/>
      <c r="F1659" s="381"/>
    </row>
    <row r="1660" spans="1:6" s="295" customFormat="1" x14ac:dyDescent="0.15">
      <c r="A1660" s="374"/>
      <c r="B1660" s="287"/>
      <c r="C1660" s="386">
        <v>42272</v>
      </c>
      <c r="D1660" s="287"/>
      <c r="E1660" s="380"/>
      <c r="F1660" s="381"/>
    </row>
    <row r="1661" spans="1:6" s="295" customFormat="1" x14ac:dyDescent="0.15">
      <c r="A1661" s="409"/>
      <c r="B1661" s="410"/>
      <c r="C1661" s="410"/>
      <c r="D1661" s="410"/>
      <c r="E1661" s="403"/>
      <c r="F1661" s="411"/>
    </row>
    <row r="1662" spans="1:6" s="295" customFormat="1" x14ac:dyDescent="0.15">
      <c r="A1662" s="370" t="s">
        <v>1302</v>
      </c>
      <c r="B1662" s="371" t="s">
        <v>1226</v>
      </c>
      <c r="C1662" s="371" t="s">
        <v>1227</v>
      </c>
      <c r="D1662" s="371">
        <v>160.6</v>
      </c>
      <c r="E1662" s="390">
        <v>42279</v>
      </c>
      <c r="F1662" s="391">
        <v>125.66</v>
      </c>
    </row>
    <row r="1663" spans="1:6" s="295" customFormat="1" x14ac:dyDescent="0.15">
      <c r="A1663" s="374" t="s">
        <v>1303</v>
      </c>
      <c r="B1663" s="287" t="s">
        <v>1228</v>
      </c>
      <c r="C1663" s="287" t="s">
        <v>1229</v>
      </c>
      <c r="D1663" s="287">
        <v>47.4</v>
      </c>
      <c r="E1663" s="380">
        <v>42279</v>
      </c>
      <c r="F1663" s="381">
        <v>47.5</v>
      </c>
    </row>
    <row r="1664" spans="1:6" s="295" customFormat="1" x14ac:dyDescent="0.15">
      <c r="A1664" s="374" t="s">
        <v>1304</v>
      </c>
      <c r="B1664" s="287" t="s">
        <v>1230</v>
      </c>
      <c r="C1664" s="287" t="s">
        <v>1231</v>
      </c>
      <c r="D1664" s="287">
        <v>101.9</v>
      </c>
      <c r="E1664" s="380">
        <v>42279</v>
      </c>
      <c r="F1664" s="381">
        <v>93.06</v>
      </c>
    </row>
    <row r="1665" spans="1:6" s="295" customFormat="1" x14ac:dyDescent="0.15">
      <c r="A1665" s="374" t="s">
        <v>1305</v>
      </c>
      <c r="B1665" s="287" t="s">
        <v>1306</v>
      </c>
      <c r="C1665" s="287" t="s">
        <v>1233</v>
      </c>
      <c r="D1665" s="287">
        <v>1403</v>
      </c>
      <c r="E1665" s="380">
        <v>42279</v>
      </c>
      <c r="F1665" s="381">
        <v>475.58</v>
      </c>
    </row>
    <row r="1666" spans="1:6" s="295" customFormat="1" x14ac:dyDescent="0.15">
      <c r="A1666" s="374" t="s">
        <v>1307</v>
      </c>
      <c r="B1666" s="287" t="s">
        <v>1234</v>
      </c>
      <c r="C1666" s="287" t="s">
        <v>500</v>
      </c>
      <c r="D1666" s="287">
        <v>202.8</v>
      </c>
      <c r="E1666" s="380">
        <v>42279</v>
      </c>
      <c r="F1666" s="381">
        <v>149.09</v>
      </c>
    </row>
    <row r="1667" spans="1:6" s="295" customFormat="1" x14ac:dyDescent="0.15">
      <c r="A1667" s="374" t="s">
        <v>1308</v>
      </c>
      <c r="B1667" s="287" t="s">
        <v>1235</v>
      </c>
      <c r="C1667" s="287" t="s">
        <v>1236</v>
      </c>
      <c r="D1667" s="287">
        <v>192.5</v>
      </c>
      <c r="E1667" s="380">
        <v>42279</v>
      </c>
      <c r="F1667" s="381">
        <v>143.37</v>
      </c>
    </row>
    <row r="1668" spans="1:6" s="295" customFormat="1" x14ac:dyDescent="0.15">
      <c r="A1668" s="374" t="s">
        <v>1308</v>
      </c>
      <c r="B1668" s="287" t="s">
        <v>1238</v>
      </c>
      <c r="C1668" s="287" t="s">
        <v>1239</v>
      </c>
      <c r="D1668" s="287">
        <v>131.80000000000001</v>
      </c>
      <c r="E1668" s="380">
        <v>42279</v>
      </c>
      <c r="F1668" s="381">
        <v>109.66</v>
      </c>
    </row>
    <row r="1669" spans="1:6" s="295" customFormat="1" x14ac:dyDescent="0.15">
      <c r="A1669" s="374" t="s">
        <v>1309</v>
      </c>
      <c r="B1669" s="287" t="s">
        <v>1240</v>
      </c>
      <c r="C1669" s="287" t="s">
        <v>1241</v>
      </c>
      <c r="D1669" s="287">
        <v>108.1</v>
      </c>
      <c r="E1669" s="380">
        <v>42279</v>
      </c>
      <c r="F1669" s="381">
        <v>96.5</v>
      </c>
    </row>
    <row r="1670" spans="1:6" s="295" customFormat="1" x14ac:dyDescent="0.15">
      <c r="A1670" s="374" t="s">
        <v>1310</v>
      </c>
      <c r="B1670" s="287" t="s">
        <v>1282</v>
      </c>
      <c r="C1670" s="287" t="s">
        <v>1283</v>
      </c>
      <c r="D1670" s="287">
        <v>295</v>
      </c>
      <c r="E1670" s="380">
        <v>42279</v>
      </c>
      <c r="F1670" s="381">
        <v>200.29</v>
      </c>
    </row>
    <row r="1671" spans="1:6" s="295" customFormat="1" x14ac:dyDescent="0.15">
      <c r="A1671" s="374" t="s">
        <v>1311</v>
      </c>
      <c r="B1671" s="287" t="s">
        <v>1244</v>
      </c>
      <c r="C1671" s="287" t="s">
        <v>1245</v>
      </c>
      <c r="D1671" s="287">
        <v>83.4</v>
      </c>
      <c r="E1671" s="380">
        <v>42278</v>
      </c>
      <c r="F1671" s="381">
        <v>81.02</v>
      </c>
    </row>
    <row r="1672" spans="1:6" s="295" customFormat="1" x14ac:dyDescent="0.15">
      <c r="A1672" s="374" t="s">
        <v>1311</v>
      </c>
      <c r="B1672" s="287" t="s">
        <v>1246</v>
      </c>
      <c r="C1672" s="287" t="s">
        <v>1247</v>
      </c>
      <c r="D1672" s="287">
        <v>154.5</v>
      </c>
      <c r="E1672" s="380">
        <v>42278</v>
      </c>
      <c r="F1672" s="381">
        <v>122.27</v>
      </c>
    </row>
    <row r="1673" spans="1:6" s="295" customFormat="1" x14ac:dyDescent="0.15">
      <c r="A1673" s="374" t="s">
        <v>1311</v>
      </c>
      <c r="B1673" s="287" t="s">
        <v>1248</v>
      </c>
      <c r="C1673" s="287" t="s">
        <v>1249</v>
      </c>
      <c r="D1673" s="287">
        <v>10.3</v>
      </c>
      <c r="E1673" s="380">
        <v>42278</v>
      </c>
      <c r="F1673" s="381">
        <v>20.66</v>
      </c>
    </row>
    <row r="1674" spans="1:6" s="295" customFormat="1" x14ac:dyDescent="0.15">
      <c r="A1674" s="374" t="s">
        <v>1311</v>
      </c>
      <c r="B1674" s="287" t="s">
        <v>1250</v>
      </c>
      <c r="C1674" s="287" t="s">
        <v>1251</v>
      </c>
      <c r="D1674" s="287">
        <v>0</v>
      </c>
      <c r="E1674" s="380">
        <v>42278</v>
      </c>
      <c r="F1674" s="381">
        <v>12.51</v>
      </c>
    </row>
    <row r="1675" spans="1:6" s="295" customFormat="1" x14ac:dyDescent="0.15">
      <c r="A1675" s="374" t="s">
        <v>1311</v>
      </c>
      <c r="B1675" s="287" t="s">
        <v>1252</v>
      </c>
      <c r="C1675" s="287" t="s">
        <v>1253</v>
      </c>
      <c r="D1675" s="287">
        <v>62.8</v>
      </c>
      <c r="E1675" s="380">
        <v>42278</v>
      </c>
      <c r="F1675" s="381">
        <v>64.099999999999994</v>
      </c>
    </row>
    <row r="1676" spans="1:6" s="295" customFormat="1" x14ac:dyDescent="0.15">
      <c r="A1676" s="374" t="s">
        <v>1311</v>
      </c>
      <c r="B1676" s="287" t="s">
        <v>1275</v>
      </c>
      <c r="C1676" s="287" t="s">
        <v>1276</v>
      </c>
      <c r="D1676" s="397">
        <v>72</v>
      </c>
      <c r="E1676" s="380">
        <v>42278</v>
      </c>
      <c r="F1676" s="381">
        <v>71.66</v>
      </c>
    </row>
    <row r="1677" spans="1:6" s="295" customFormat="1" x14ac:dyDescent="0.15">
      <c r="A1677" s="374" t="s">
        <v>1311</v>
      </c>
      <c r="B1677" s="287" t="s">
        <v>1279</v>
      </c>
      <c r="C1677" s="287" t="s">
        <v>1280</v>
      </c>
      <c r="D1677" s="397">
        <v>120.4</v>
      </c>
      <c r="E1677" s="380">
        <v>42278</v>
      </c>
      <c r="F1677" s="381">
        <v>103.33</v>
      </c>
    </row>
    <row r="1678" spans="1:6" s="295" customFormat="1" x14ac:dyDescent="0.15">
      <c r="A1678" s="374" t="s">
        <v>1311</v>
      </c>
      <c r="B1678" s="287" t="s">
        <v>1284</v>
      </c>
      <c r="C1678" s="287" t="s">
        <v>1285</v>
      </c>
      <c r="D1678" s="397">
        <v>12.3</v>
      </c>
      <c r="E1678" s="380">
        <v>42278</v>
      </c>
      <c r="F1678" s="381">
        <v>22.46</v>
      </c>
    </row>
    <row r="1679" spans="1:6" s="295" customFormat="1" x14ac:dyDescent="0.15">
      <c r="A1679" s="374" t="s">
        <v>1311</v>
      </c>
      <c r="B1679" s="287" t="s">
        <v>1288</v>
      </c>
      <c r="C1679" s="287" t="s">
        <v>1289</v>
      </c>
      <c r="D1679" s="397">
        <v>15.4</v>
      </c>
      <c r="E1679" s="403">
        <v>42278</v>
      </c>
      <c r="F1679" s="381">
        <v>25.15</v>
      </c>
    </row>
    <row r="1680" spans="1:6" s="295" customFormat="1" ht="14" thickBot="1" x14ac:dyDescent="0.2">
      <c r="A1680" s="374"/>
      <c r="B1680" s="287"/>
      <c r="C1680" s="291" t="s">
        <v>115</v>
      </c>
      <c r="D1680" s="383">
        <f>SUM(D1662:D1679)</f>
        <v>3174.2000000000007</v>
      </c>
      <c r="E1680" s="404"/>
      <c r="F1680" s="389">
        <v>1963.87</v>
      </c>
    </row>
    <row r="1681" spans="1:6" s="295" customFormat="1" ht="14" thickTop="1" x14ac:dyDescent="0.15">
      <c r="A1681" s="374"/>
      <c r="B1681" s="287"/>
      <c r="C1681" s="287"/>
      <c r="D1681" s="287"/>
      <c r="E1681" s="380"/>
      <c r="F1681" s="381"/>
    </row>
    <row r="1682" spans="1:6" s="295" customFormat="1" x14ac:dyDescent="0.15">
      <c r="A1682" s="374"/>
      <c r="B1682" s="287"/>
      <c r="C1682" s="378" t="s">
        <v>1212</v>
      </c>
      <c r="D1682" s="287"/>
      <c r="E1682" s="380"/>
      <c r="F1682" s="381"/>
    </row>
    <row r="1683" spans="1:6" s="295" customFormat="1" x14ac:dyDescent="0.15">
      <c r="A1683" s="374"/>
      <c r="B1683" s="287"/>
      <c r="C1683" s="378" t="s">
        <v>1139</v>
      </c>
      <c r="D1683" s="287"/>
      <c r="E1683" s="380"/>
      <c r="F1683" s="381"/>
    </row>
    <row r="1684" spans="1:6" s="295" customFormat="1" x14ac:dyDescent="0.15">
      <c r="A1684" s="374"/>
      <c r="B1684" s="287"/>
      <c r="C1684" s="386">
        <v>42277</v>
      </c>
      <c r="D1684" s="287"/>
      <c r="E1684" s="380"/>
      <c r="F1684" s="381"/>
    </row>
    <row r="1685" spans="1:6" s="295" customFormat="1" x14ac:dyDescent="0.15">
      <c r="A1685" s="409"/>
      <c r="B1685" s="410"/>
      <c r="C1685" s="410"/>
      <c r="D1685" s="410"/>
      <c r="E1685" s="403"/>
      <c r="F1685" s="411"/>
    </row>
    <row r="1686" spans="1:6" s="295" customFormat="1" ht="14" thickBot="1" x14ac:dyDescent="0.2">
      <c r="A1686" s="412"/>
      <c r="B1686" s="281"/>
      <c r="C1686" s="291" t="s">
        <v>1317</v>
      </c>
      <c r="D1686" s="383">
        <f>SUM(D1656,D1680)</f>
        <v>3599.8000000000006</v>
      </c>
      <c r="E1686" s="384"/>
      <c r="F1686" s="389">
        <v>2417.59</v>
      </c>
    </row>
    <row r="1687" spans="1:6" s="295" customFormat="1" ht="14" thickTop="1" x14ac:dyDescent="0.15">
      <c r="E1687" s="408"/>
      <c r="F1687" s="298"/>
    </row>
    <row r="1688" spans="1:6" s="295" customFormat="1" x14ac:dyDescent="0.15">
      <c r="A1688" s="370" t="s">
        <v>1299</v>
      </c>
      <c r="B1688" s="371" t="s">
        <v>1269</v>
      </c>
      <c r="C1688" s="371" t="s">
        <v>1270</v>
      </c>
      <c r="D1688" s="371">
        <v>133.9</v>
      </c>
      <c r="E1688" s="390">
        <v>42296</v>
      </c>
      <c r="F1688" s="391">
        <v>110.83</v>
      </c>
    </row>
    <row r="1689" spans="1:6" s="295" customFormat="1" x14ac:dyDescent="0.15">
      <c r="A1689" s="374" t="s">
        <v>1293</v>
      </c>
      <c r="B1689" s="287" t="s">
        <v>1257</v>
      </c>
      <c r="C1689" s="287" t="s">
        <v>1258</v>
      </c>
      <c r="D1689" s="287">
        <v>189.6</v>
      </c>
      <c r="E1689" s="380">
        <v>42296</v>
      </c>
      <c r="F1689" s="381">
        <v>141.76</v>
      </c>
    </row>
    <row r="1690" spans="1:6" s="295" customFormat="1" x14ac:dyDescent="0.15">
      <c r="A1690" s="374" t="s">
        <v>1294</v>
      </c>
      <c r="B1690" s="287" t="s">
        <v>1259</v>
      </c>
      <c r="C1690" s="287" t="s">
        <v>1260</v>
      </c>
      <c r="D1690" s="287">
        <v>26.8</v>
      </c>
      <c r="E1690" s="380">
        <v>42296</v>
      </c>
      <c r="F1690" s="381">
        <v>35.450000000000003</v>
      </c>
    </row>
    <row r="1691" spans="1:6" s="295" customFormat="1" x14ac:dyDescent="0.15">
      <c r="A1691" s="374" t="s">
        <v>1296</v>
      </c>
      <c r="B1691" s="287" t="s">
        <v>1278</v>
      </c>
      <c r="C1691" s="287" t="s">
        <v>1264</v>
      </c>
      <c r="D1691" s="287">
        <v>105.1</v>
      </c>
      <c r="E1691" s="380">
        <v>42296</v>
      </c>
      <c r="F1691" s="381">
        <v>94.83</v>
      </c>
    </row>
    <row r="1692" spans="1:6" s="295" customFormat="1" x14ac:dyDescent="0.15">
      <c r="A1692" s="374" t="s">
        <v>1295</v>
      </c>
      <c r="B1692" s="287" t="s">
        <v>1261</v>
      </c>
      <c r="C1692" s="287" t="s">
        <v>1262</v>
      </c>
      <c r="D1692" s="287">
        <v>113.3</v>
      </c>
      <c r="E1692" s="380">
        <v>42296</v>
      </c>
      <c r="F1692" s="381">
        <v>97.55</v>
      </c>
    </row>
    <row r="1693" spans="1:6" s="295" customFormat="1" x14ac:dyDescent="0.15">
      <c r="A1693" s="374" t="s">
        <v>1301</v>
      </c>
      <c r="B1693" s="287" t="s">
        <v>1286</v>
      </c>
      <c r="C1693" s="287" t="s">
        <v>1287</v>
      </c>
      <c r="D1693" s="287">
        <v>30.9</v>
      </c>
      <c r="E1693" s="380">
        <v>42296</v>
      </c>
      <c r="F1693" s="381">
        <v>37.89</v>
      </c>
    </row>
    <row r="1694" spans="1:6" s="295" customFormat="1" x14ac:dyDescent="0.15">
      <c r="A1694" s="374" t="s">
        <v>1297</v>
      </c>
      <c r="B1694" s="287" t="s">
        <v>1265</v>
      </c>
      <c r="C1694" s="287" t="s">
        <v>1266</v>
      </c>
      <c r="D1694" s="287">
        <v>56.7</v>
      </c>
      <c r="E1694" s="380">
        <v>42296</v>
      </c>
      <c r="F1694" s="381">
        <v>62.28</v>
      </c>
    </row>
    <row r="1695" spans="1:6" s="295" customFormat="1" x14ac:dyDescent="0.15">
      <c r="A1695" s="374" t="s">
        <v>1298</v>
      </c>
      <c r="B1695" s="287" t="s">
        <v>1267</v>
      </c>
      <c r="C1695" s="287" t="s">
        <v>1268</v>
      </c>
      <c r="D1695" s="287">
        <v>178.2</v>
      </c>
      <c r="E1695" s="380">
        <v>42296</v>
      </c>
      <c r="F1695" s="381">
        <v>136.91999999999999</v>
      </c>
    </row>
    <row r="1696" spans="1:6" s="295" customFormat="1" x14ac:dyDescent="0.15">
      <c r="A1696" s="374" t="s">
        <v>1300</v>
      </c>
      <c r="B1696" s="287" t="s">
        <v>1271</v>
      </c>
      <c r="C1696" s="287" t="s">
        <v>1272</v>
      </c>
      <c r="D1696" s="287">
        <v>93.8</v>
      </c>
      <c r="E1696" s="380">
        <v>42296</v>
      </c>
      <c r="F1696" s="381">
        <v>88.56</v>
      </c>
    </row>
    <row r="1697" spans="1:6" s="295" customFormat="1" x14ac:dyDescent="0.15">
      <c r="A1697" s="374" t="s">
        <v>1290</v>
      </c>
      <c r="B1697" s="287" t="s">
        <v>1291</v>
      </c>
      <c r="C1697" s="287" t="s">
        <v>1277</v>
      </c>
      <c r="D1697" s="287">
        <v>22.6</v>
      </c>
      <c r="E1697" s="380">
        <v>42296</v>
      </c>
      <c r="F1697" s="381">
        <v>31.07</v>
      </c>
    </row>
    <row r="1698" spans="1:6" s="295" customFormat="1" x14ac:dyDescent="0.15">
      <c r="A1698" s="374" t="s">
        <v>1292</v>
      </c>
      <c r="B1698" s="287" t="s">
        <v>1255</v>
      </c>
      <c r="C1698" s="287" t="s">
        <v>1256</v>
      </c>
      <c r="D1698" s="287">
        <v>500.1</v>
      </c>
      <c r="E1698" s="380">
        <v>42296</v>
      </c>
      <c r="F1698" s="381">
        <v>189.28</v>
      </c>
    </row>
    <row r="1699" spans="1:6" s="295" customFormat="1" x14ac:dyDescent="0.15">
      <c r="A1699" s="374" t="s">
        <v>1312</v>
      </c>
      <c r="B1699" s="287" t="s">
        <v>1313</v>
      </c>
      <c r="C1699" s="287" t="s">
        <v>1313</v>
      </c>
      <c r="D1699" s="287">
        <v>30.9</v>
      </c>
      <c r="E1699" s="380">
        <v>42296</v>
      </c>
      <c r="F1699" s="381">
        <v>37.89</v>
      </c>
    </row>
    <row r="1700" spans="1:6" s="295" customFormat="1" x14ac:dyDescent="0.15">
      <c r="A1700" s="374" t="s">
        <v>1314</v>
      </c>
      <c r="B1700" s="287" t="s">
        <v>1315</v>
      </c>
      <c r="C1700" s="287" t="s">
        <v>1316</v>
      </c>
      <c r="D1700" s="287">
        <v>7.2</v>
      </c>
      <c r="E1700" s="380">
        <v>42296</v>
      </c>
      <c r="F1700" s="381">
        <v>18.350000000000001</v>
      </c>
    </row>
    <row r="1701" spans="1:6" s="295" customFormat="1" ht="14" thickBot="1" x14ac:dyDescent="0.2">
      <c r="A1701" s="374"/>
      <c r="B1701" s="287"/>
      <c r="C1701" s="291" t="s">
        <v>115</v>
      </c>
      <c r="D1701" s="394">
        <f>SUM(D1688:D1700)</f>
        <v>1489.1000000000001</v>
      </c>
      <c r="E1701" s="384"/>
      <c r="F1701" s="389">
        <v>1082.6600000000001</v>
      </c>
    </row>
    <row r="1702" spans="1:6" s="295" customFormat="1" ht="14" thickTop="1" x14ac:dyDescent="0.15">
      <c r="A1702" s="374"/>
      <c r="B1702" s="287"/>
      <c r="C1702" s="287"/>
      <c r="D1702" s="287"/>
      <c r="E1702" s="380"/>
      <c r="F1702" s="381"/>
    </row>
    <row r="1703" spans="1:6" s="295" customFormat="1" x14ac:dyDescent="0.15">
      <c r="A1703" s="374"/>
      <c r="B1703" s="287"/>
      <c r="C1703" s="378" t="s">
        <v>1212</v>
      </c>
      <c r="D1703" s="287"/>
      <c r="E1703" s="380"/>
      <c r="F1703" s="381"/>
    </row>
    <row r="1704" spans="1:6" s="295" customFormat="1" x14ac:dyDescent="0.15">
      <c r="A1704" s="374"/>
      <c r="B1704" s="287"/>
      <c r="C1704" s="378" t="s">
        <v>1139</v>
      </c>
      <c r="D1704" s="287"/>
      <c r="E1704" s="380"/>
      <c r="F1704" s="381"/>
    </row>
    <row r="1705" spans="1:6" s="295" customFormat="1" x14ac:dyDescent="0.15">
      <c r="A1705" s="374"/>
      <c r="B1705" s="287"/>
      <c r="C1705" s="386">
        <v>42299</v>
      </c>
      <c r="D1705" s="287"/>
      <c r="E1705" s="380"/>
      <c r="F1705" s="381"/>
    </row>
    <row r="1706" spans="1:6" s="295" customFormat="1" x14ac:dyDescent="0.15">
      <c r="A1706" s="409"/>
      <c r="B1706" s="410"/>
      <c r="C1706" s="410"/>
      <c r="D1706" s="410"/>
      <c r="E1706" s="403"/>
      <c r="F1706" s="411"/>
    </row>
    <row r="1707" spans="1:6" s="295" customFormat="1" x14ac:dyDescent="0.15">
      <c r="A1707" s="370" t="s">
        <v>1302</v>
      </c>
      <c r="B1707" s="371" t="s">
        <v>1226</v>
      </c>
      <c r="C1707" s="371" t="s">
        <v>1227</v>
      </c>
      <c r="D1707" s="371">
        <v>469.8</v>
      </c>
      <c r="E1707" s="390">
        <v>42310</v>
      </c>
      <c r="F1707" s="391">
        <v>297.35000000000002</v>
      </c>
    </row>
    <row r="1708" spans="1:6" s="295" customFormat="1" x14ac:dyDescent="0.15">
      <c r="A1708" s="374" t="s">
        <v>1303</v>
      </c>
      <c r="B1708" s="287" t="s">
        <v>1228</v>
      </c>
      <c r="C1708" s="287" t="s">
        <v>1229</v>
      </c>
      <c r="D1708" s="287">
        <v>397.7</v>
      </c>
      <c r="E1708" s="380">
        <v>42310</v>
      </c>
      <c r="F1708" s="381">
        <v>157.21</v>
      </c>
    </row>
    <row r="1709" spans="1:6" s="295" customFormat="1" x14ac:dyDescent="0.15">
      <c r="A1709" s="374" t="s">
        <v>1304</v>
      </c>
      <c r="B1709" s="287" t="s">
        <v>1230</v>
      </c>
      <c r="C1709" s="287" t="s">
        <v>1231</v>
      </c>
      <c r="D1709" s="287">
        <v>348.2</v>
      </c>
      <c r="E1709" s="380">
        <v>42310</v>
      </c>
      <c r="F1709" s="381">
        <v>229.83</v>
      </c>
    </row>
    <row r="1710" spans="1:6" s="295" customFormat="1" x14ac:dyDescent="0.15">
      <c r="A1710" s="374" t="s">
        <v>1305</v>
      </c>
      <c r="B1710" s="287" t="s">
        <v>1306</v>
      </c>
      <c r="C1710" s="287" t="s">
        <v>1233</v>
      </c>
      <c r="D1710" s="287">
        <v>1495</v>
      </c>
      <c r="E1710" s="380">
        <v>42310</v>
      </c>
      <c r="F1710" s="381">
        <v>504.62</v>
      </c>
    </row>
    <row r="1711" spans="1:6" s="295" customFormat="1" x14ac:dyDescent="0.15">
      <c r="A1711" s="374" t="s">
        <v>1307</v>
      </c>
      <c r="B1711" s="287" t="s">
        <v>1234</v>
      </c>
      <c r="C1711" s="287" t="s">
        <v>500</v>
      </c>
      <c r="D1711" s="287">
        <v>622.29999999999995</v>
      </c>
      <c r="E1711" s="380">
        <v>42310</v>
      </c>
      <c r="F1711" s="381">
        <v>382.03</v>
      </c>
    </row>
    <row r="1712" spans="1:6" s="295" customFormat="1" x14ac:dyDescent="0.15">
      <c r="A1712" s="374" t="s">
        <v>1308</v>
      </c>
      <c r="B1712" s="287" t="s">
        <v>1235</v>
      </c>
      <c r="C1712" s="287" t="s">
        <v>1236</v>
      </c>
      <c r="D1712" s="287">
        <v>577</v>
      </c>
      <c r="E1712" s="380">
        <v>42310</v>
      </c>
      <c r="F1712" s="381">
        <v>356.88</v>
      </c>
    </row>
    <row r="1713" spans="1:6" s="295" customFormat="1" x14ac:dyDescent="0.15">
      <c r="A1713" s="374" t="s">
        <v>1308</v>
      </c>
      <c r="B1713" s="287" t="s">
        <v>1238</v>
      </c>
      <c r="C1713" s="287" t="s">
        <v>1239</v>
      </c>
      <c r="D1713" s="287">
        <v>523.4</v>
      </c>
      <c r="E1713" s="380">
        <v>42310</v>
      </c>
      <c r="F1713" s="381">
        <v>327.12</v>
      </c>
    </row>
    <row r="1714" spans="1:6" s="295" customFormat="1" x14ac:dyDescent="0.15">
      <c r="A1714" s="374" t="s">
        <v>1309</v>
      </c>
      <c r="B1714" s="287" t="s">
        <v>1240</v>
      </c>
      <c r="C1714" s="287" t="s">
        <v>1241</v>
      </c>
      <c r="D1714" s="287">
        <v>359.6</v>
      </c>
      <c r="E1714" s="380">
        <v>42310</v>
      </c>
      <c r="F1714" s="381">
        <v>236.16</v>
      </c>
    </row>
    <row r="1715" spans="1:6" s="295" customFormat="1" x14ac:dyDescent="0.15">
      <c r="A1715" s="374" t="s">
        <v>1310</v>
      </c>
      <c r="B1715" s="287" t="s">
        <v>1282</v>
      </c>
      <c r="C1715" s="287" t="s">
        <v>1283</v>
      </c>
      <c r="D1715" s="287">
        <v>312.3</v>
      </c>
      <c r="E1715" s="380">
        <v>42310</v>
      </c>
      <c r="F1715" s="381">
        <v>209.89</v>
      </c>
    </row>
    <row r="1716" spans="1:6" s="295" customFormat="1" x14ac:dyDescent="0.15">
      <c r="A1716" s="374" t="s">
        <v>1311</v>
      </c>
      <c r="B1716" s="287" t="s">
        <v>1244</v>
      </c>
      <c r="C1716" s="287" t="s">
        <v>1245</v>
      </c>
      <c r="D1716" s="287">
        <v>156.6</v>
      </c>
      <c r="E1716" s="380">
        <v>42310</v>
      </c>
      <c r="F1716" s="381">
        <v>123.43</v>
      </c>
    </row>
    <row r="1717" spans="1:6" s="295" customFormat="1" x14ac:dyDescent="0.15">
      <c r="A1717" s="374" t="s">
        <v>1311</v>
      </c>
      <c r="B1717" s="287" t="s">
        <v>1246</v>
      </c>
      <c r="C1717" s="287" t="s">
        <v>1247</v>
      </c>
      <c r="D1717" s="287">
        <v>439.9</v>
      </c>
      <c r="E1717" s="380">
        <v>42310</v>
      </c>
      <c r="F1717" s="381">
        <v>280.75</v>
      </c>
    </row>
    <row r="1718" spans="1:6" s="295" customFormat="1" x14ac:dyDescent="0.15">
      <c r="A1718" s="374" t="s">
        <v>1311</v>
      </c>
      <c r="B1718" s="287" t="s">
        <v>1248</v>
      </c>
      <c r="C1718" s="287" t="s">
        <v>1249</v>
      </c>
      <c r="D1718" s="287">
        <v>74.2</v>
      </c>
      <c r="E1718" s="380">
        <v>42310</v>
      </c>
      <c r="F1718" s="381">
        <v>73.84</v>
      </c>
    </row>
    <row r="1719" spans="1:6" s="295" customFormat="1" x14ac:dyDescent="0.15">
      <c r="A1719" s="374" t="s">
        <v>1311</v>
      </c>
      <c r="B1719" s="287" t="s">
        <v>1250</v>
      </c>
      <c r="C1719" s="287" t="s">
        <v>1251</v>
      </c>
      <c r="D1719" s="287">
        <v>6.2</v>
      </c>
      <c r="E1719" s="380">
        <v>42310</v>
      </c>
      <c r="F1719" s="381">
        <v>17.600000000000001</v>
      </c>
    </row>
    <row r="1720" spans="1:6" s="295" customFormat="1" x14ac:dyDescent="0.15">
      <c r="A1720" s="374" t="s">
        <v>1311</v>
      </c>
      <c r="B1720" s="287" t="s">
        <v>1252</v>
      </c>
      <c r="C1720" s="287" t="s">
        <v>1253</v>
      </c>
      <c r="D1720" s="287">
        <v>379.2</v>
      </c>
      <c r="E1720" s="380">
        <v>42310</v>
      </c>
      <c r="F1720" s="381">
        <v>247.05</v>
      </c>
    </row>
    <row r="1721" spans="1:6" s="295" customFormat="1" x14ac:dyDescent="0.15">
      <c r="A1721" s="374" t="s">
        <v>1311</v>
      </c>
      <c r="B1721" s="287" t="s">
        <v>1275</v>
      </c>
      <c r="C1721" s="287" t="s">
        <v>1276</v>
      </c>
      <c r="D1721" s="397">
        <v>301.89999999999998</v>
      </c>
      <c r="E1721" s="380">
        <v>42310</v>
      </c>
      <c r="F1721" s="381">
        <v>204.12</v>
      </c>
    </row>
    <row r="1722" spans="1:6" s="295" customFormat="1" x14ac:dyDescent="0.15">
      <c r="A1722" s="374" t="s">
        <v>1311</v>
      </c>
      <c r="B1722" s="287" t="s">
        <v>1279</v>
      </c>
      <c r="C1722" s="287" t="s">
        <v>1280</v>
      </c>
      <c r="D1722" s="397">
        <v>230.8</v>
      </c>
      <c r="E1722" s="380">
        <v>42310</v>
      </c>
      <c r="F1722" s="381">
        <v>164.63</v>
      </c>
    </row>
    <row r="1723" spans="1:6" s="295" customFormat="1" x14ac:dyDescent="0.15">
      <c r="A1723" s="374" t="s">
        <v>1311</v>
      </c>
      <c r="B1723" s="287" t="s">
        <v>1284</v>
      </c>
      <c r="C1723" s="287" t="s">
        <v>1285</v>
      </c>
      <c r="D1723" s="397">
        <v>41.2</v>
      </c>
      <c r="E1723" s="380">
        <v>42310</v>
      </c>
      <c r="F1723" s="381">
        <v>48.37</v>
      </c>
    </row>
    <row r="1724" spans="1:6" s="295" customFormat="1" x14ac:dyDescent="0.15">
      <c r="A1724" s="374" t="s">
        <v>1311</v>
      </c>
      <c r="B1724" s="287" t="s">
        <v>1288</v>
      </c>
      <c r="C1724" s="287" t="s">
        <v>1289</v>
      </c>
      <c r="D1724" s="397">
        <v>161.80000000000001</v>
      </c>
      <c r="E1724" s="403">
        <v>42310</v>
      </c>
      <c r="F1724" s="381">
        <v>126.32</v>
      </c>
    </row>
    <row r="1725" spans="1:6" s="295" customFormat="1" ht="14" thickBot="1" x14ac:dyDescent="0.2">
      <c r="A1725" s="374"/>
      <c r="B1725" s="287"/>
      <c r="C1725" s="291" t="s">
        <v>115</v>
      </c>
      <c r="D1725" s="383">
        <f>SUM(D1707:D1724)</f>
        <v>6897.0999999999995</v>
      </c>
      <c r="E1725" s="404"/>
      <c r="F1725" s="389">
        <v>3987.2</v>
      </c>
    </row>
    <row r="1726" spans="1:6" s="295" customFormat="1" ht="14" thickTop="1" x14ac:dyDescent="0.15">
      <c r="A1726" s="374"/>
      <c r="B1726" s="287"/>
      <c r="C1726" s="287"/>
      <c r="D1726" s="287"/>
      <c r="E1726" s="380"/>
      <c r="F1726" s="381"/>
    </row>
    <row r="1727" spans="1:6" s="295" customFormat="1" x14ac:dyDescent="0.15">
      <c r="A1727" s="374"/>
      <c r="B1727" s="287"/>
      <c r="C1727" s="378" t="s">
        <v>1212</v>
      </c>
      <c r="D1727" s="287"/>
      <c r="E1727" s="380"/>
      <c r="F1727" s="381"/>
    </row>
    <row r="1728" spans="1:6" s="295" customFormat="1" x14ac:dyDescent="0.15">
      <c r="A1728" s="374"/>
      <c r="B1728" s="287"/>
      <c r="C1728" s="378" t="s">
        <v>1139</v>
      </c>
      <c r="D1728" s="287"/>
      <c r="E1728" s="380"/>
      <c r="F1728" s="381"/>
    </row>
    <row r="1729" spans="1:6" s="295" customFormat="1" x14ac:dyDescent="0.15">
      <c r="A1729" s="374"/>
      <c r="B1729" s="287"/>
      <c r="C1729" s="386">
        <v>42308</v>
      </c>
      <c r="D1729" s="287"/>
      <c r="E1729" s="380"/>
      <c r="F1729" s="381"/>
    </row>
    <row r="1730" spans="1:6" s="295" customFormat="1" x14ac:dyDescent="0.15">
      <c r="A1730" s="409"/>
      <c r="B1730" s="410"/>
      <c r="C1730" s="410"/>
      <c r="D1730" s="410"/>
      <c r="E1730" s="403"/>
      <c r="F1730" s="411"/>
    </row>
    <row r="1731" spans="1:6" s="295" customFormat="1" ht="14" thickBot="1" x14ac:dyDescent="0.2">
      <c r="A1731" s="412"/>
      <c r="B1731" s="281"/>
      <c r="C1731" s="291" t="s">
        <v>1154</v>
      </c>
      <c r="D1731" s="383">
        <f>SUM(D1701,D1725)</f>
        <v>8386.1999999999989</v>
      </c>
      <c r="E1731" s="384"/>
      <c r="F1731" s="389">
        <v>5069.8599999999997</v>
      </c>
    </row>
    <row r="1732" spans="1:6" s="295" customFormat="1" ht="14" thickTop="1" x14ac:dyDescent="0.15">
      <c r="E1732" s="408"/>
      <c r="F1732" s="298"/>
    </row>
    <row r="1733" spans="1:6" s="295" customFormat="1" x14ac:dyDescent="0.15">
      <c r="A1733" s="370" t="s">
        <v>1299</v>
      </c>
      <c r="B1733" s="371" t="s">
        <v>1269</v>
      </c>
      <c r="C1733" s="371" t="s">
        <v>1270</v>
      </c>
      <c r="D1733" s="371">
        <v>340.9</v>
      </c>
      <c r="E1733" s="390">
        <v>42326</v>
      </c>
      <c r="F1733" s="391">
        <v>285.27999999999997</v>
      </c>
    </row>
    <row r="1734" spans="1:6" s="295" customFormat="1" x14ac:dyDescent="0.15">
      <c r="A1734" s="374" t="s">
        <v>1293</v>
      </c>
      <c r="B1734" s="287" t="s">
        <v>1257</v>
      </c>
      <c r="C1734" s="287" t="s">
        <v>1258</v>
      </c>
      <c r="D1734" s="287">
        <v>523.20000000000005</v>
      </c>
      <c r="E1734" s="380">
        <v>42326</v>
      </c>
      <c r="F1734" s="381">
        <v>418.04</v>
      </c>
    </row>
    <row r="1735" spans="1:6" s="295" customFormat="1" x14ac:dyDescent="0.15">
      <c r="A1735" s="374" t="s">
        <v>1294</v>
      </c>
      <c r="B1735" s="287" t="s">
        <v>1259</v>
      </c>
      <c r="C1735" s="287" t="s">
        <v>1260</v>
      </c>
      <c r="D1735" s="287">
        <v>132.9</v>
      </c>
      <c r="E1735" s="380">
        <v>42326</v>
      </c>
      <c r="F1735" s="381">
        <v>134.63</v>
      </c>
    </row>
    <row r="1736" spans="1:6" s="295" customFormat="1" x14ac:dyDescent="0.15">
      <c r="A1736" s="374" t="s">
        <v>1296</v>
      </c>
      <c r="B1736" s="287" t="s">
        <v>1278</v>
      </c>
      <c r="C1736" s="287" t="s">
        <v>1264</v>
      </c>
      <c r="D1736" s="287">
        <v>365.6</v>
      </c>
      <c r="E1736" s="380">
        <v>42326</v>
      </c>
      <c r="F1736" s="381">
        <v>303.27999999999997</v>
      </c>
    </row>
    <row r="1737" spans="1:6" s="295" customFormat="1" x14ac:dyDescent="0.15">
      <c r="A1737" s="374" t="s">
        <v>1295</v>
      </c>
      <c r="B1737" s="287" t="s">
        <v>1261</v>
      </c>
      <c r="C1737" s="287" t="s">
        <v>1262</v>
      </c>
      <c r="D1737" s="287">
        <v>284.2</v>
      </c>
      <c r="E1737" s="380">
        <v>42326</v>
      </c>
      <c r="F1737" s="381">
        <v>254.64</v>
      </c>
    </row>
    <row r="1738" spans="1:6" s="295" customFormat="1" x14ac:dyDescent="0.15">
      <c r="A1738" s="374" t="s">
        <v>1301</v>
      </c>
      <c r="B1738" s="287" t="s">
        <v>1286</v>
      </c>
      <c r="C1738" s="287" t="s">
        <v>1287</v>
      </c>
      <c r="D1738" s="287">
        <v>89.6</v>
      </c>
      <c r="E1738" s="380">
        <v>42326</v>
      </c>
      <c r="F1738" s="381">
        <v>101.88</v>
      </c>
    </row>
    <row r="1739" spans="1:6" s="295" customFormat="1" x14ac:dyDescent="0.15">
      <c r="A1739" s="374" t="s">
        <v>1297</v>
      </c>
      <c r="B1739" s="287" t="s">
        <v>1265</v>
      </c>
      <c r="C1739" s="287" t="s">
        <v>1266</v>
      </c>
      <c r="D1739" s="287">
        <v>195.7</v>
      </c>
      <c r="E1739" s="380">
        <v>42326</v>
      </c>
      <c r="F1739" s="381">
        <v>184.34</v>
      </c>
    </row>
    <row r="1740" spans="1:6" s="295" customFormat="1" x14ac:dyDescent="0.15">
      <c r="A1740" s="374" t="s">
        <v>1298</v>
      </c>
      <c r="B1740" s="287" t="s">
        <v>1267</v>
      </c>
      <c r="C1740" s="287" t="s">
        <v>1268</v>
      </c>
      <c r="D1740" s="287">
        <v>410.9</v>
      </c>
      <c r="E1740" s="380">
        <v>42326</v>
      </c>
      <c r="F1740" s="381">
        <v>355.5</v>
      </c>
    </row>
    <row r="1741" spans="1:6" s="295" customFormat="1" x14ac:dyDescent="0.15">
      <c r="A1741" s="374" t="s">
        <v>1300</v>
      </c>
      <c r="B1741" s="287" t="s">
        <v>1271</v>
      </c>
      <c r="C1741" s="287" t="s">
        <v>1272</v>
      </c>
      <c r="D1741" s="287">
        <v>302.8</v>
      </c>
      <c r="E1741" s="380">
        <v>42326</v>
      </c>
      <c r="F1741" s="381">
        <v>257.3</v>
      </c>
    </row>
    <row r="1742" spans="1:6" s="295" customFormat="1" x14ac:dyDescent="0.15">
      <c r="A1742" s="374" t="s">
        <v>1290</v>
      </c>
      <c r="B1742" s="287" t="s">
        <v>1291</v>
      </c>
      <c r="C1742" s="287" t="s">
        <v>1277</v>
      </c>
      <c r="D1742" s="287">
        <v>727.8</v>
      </c>
      <c r="E1742" s="380">
        <v>42326</v>
      </c>
      <c r="F1742" s="381">
        <v>567.16999999999996</v>
      </c>
    </row>
    <row r="1743" spans="1:6" s="295" customFormat="1" x14ac:dyDescent="0.15">
      <c r="A1743" s="374" t="s">
        <v>1292</v>
      </c>
      <c r="B1743" s="287" t="s">
        <v>1255</v>
      </c>
      <c r="C1743" s="287" t="s">
        <v>1256</v>
      </c>
      <c r="D1743" s="287">
        <v>1398.9</v>
      </c>
      <c r="E1743" s="380">
        <v>42326</v>
      </c>
      <c r="F1743" s="381">
        <v>883.91</v>
      </c>
    </row>
    <row r="1744" spans="1:6" s="295" customFormat="1" x14ac:dyDescent="0.15">
      <c r="A1744" s="374" t="s">
        <v>1312</v>
      </c>
      <c r="B1744" s="287" t="s">
        <v>1313</v>
      </c>
      <c r="C1744" s="287" t="s">
        <v>1313</v>
      </c>
      <c r="D1744" s="287">
        <v>270.89999999999998</v>
      </c>
      <c r="E1744" s="380">
        <v>42326</v>
      </c>
      <c r="F1744" s="381">
        <v>234.23</v>
      </c>
    </row>
    <row r="1745" spans="1:6" s="295" customFormat="1" x14ac:dyDescent="0.15">
      <c r="A1745" s="374" t="s">
        <v>1314</v>
      </c>
      <c r="B1745" s="287" t="s">
        <v>1315</v>
      </c>
      <c r="C1745" s="287" t="s">
        <v>1316</v>
      </c>
      <c r="D1745" s="287">
        <v>22.7</v>
      </c>
      <c r="E1745" s="380">
        <v>42326</v>
      </c>
      <c r="F1745" s="381">
        <v>34.869999999999997</v>
      </c>
    </row>
    <row r="1746" spans="1:6" s="295" customFormat="1" ht="14" thickBot="1" x14ac:dyDescent="0.2">
      <c r="A1746" s="374"/>
      <c r="B1746" s="287"/>
      <c r="C1746" s="291" t="s">
        <v>115</v>
      </c>
      <c r="D1746" s="394">
        <f>SUM(D1733:D1745)</f>
        <v>5066.0999999999995</v>
      </c>
      <c r="E1746" s="384"/>
      <c r="F1746" s="389">
        <v>4015.0699999999997</v>
      </c>
    </row>
    <row r="1747" spans="1:6" s="295" customFormat="1" ht="14" thickTop="1" x14ac:dyDescent="0.15">
      <c r="A1747" s="374"/>
      <c r="B1747" s="287"/>
      <c r="C1747" s="287"/>
      <c r="D1747" s="287"/>
      <c r="E1747" s="380"/>
      <c r="F1747" s="381"/>
    </row>
    <row r="1748" spans="1:6" s="295" customFormat="1" x14ac:dyDescent="0.15">
      <c r="A1748" s="374"/>
      <c r="B1748" s="287"/>
      <c r="C1748" s="378" t="s">
        <v>1212</v>
      </c>
      <c r="D1748" s="287"/>
      <c r="E1748" s="380"/>
      <c r="F1748" s="381"/>
    </row>
    <row r="1749" spans="1:6" s="295" customFormat="1" x14ac:dyDescent="0.15">
      <c r="A1749" s="374"/>
      <c r="B1749" s="287"/>
      <c r="C1749" s="378" t="s">
        <v>1139</v>
      </c>
      <c r="D1749" s="287"/>
      <c r="E1749" s="380"/>
      <c r="F1749" s="381"/>
    </row>
    <row r="1750" spans="1:6" s="295" customFormat="1" x14ac:dyDescent="0.15">
      <c r="A1750" s="374"/>
      <c r="B1750" s="287"/>
      <c r="C1750" s="386">
        <v>42331</v>
      </c>
      <c r="D1750" s="287"/>
      <c r="E1750" s="380"/>
      <c r="F1750" s="381"/>
    </row>
    <row r="1751" spans="1:6" s="295" customFormat="1" x14ac:dyDescent="0.15">
      <c r="A1751" s="409"/>
      <c r="B1751" s="410"/>
      <c r="C1751" s="410"/>
      <c r="D1751" s="410"/>
      <c r="E1751" s="403"/>
      <c r="F1751" s="411"/>
    </row>
    <row r="1752" spans="1:6" s="295" customFormat="1" x14ac:dyDescent="0.15">
      <c r="A1752" s="370" t="s">
        <v>1302</v>
      </c>
      <c r="B1752" s="371" t="s">
        <v>1226</v>
      </c>
      <c r="C1752" s="371" t="s">
        <v>1227</v>
      </c>
      <c r="D1752" s="371">
        <v>654.9</v>
      </c>
      <c r="E1752" s="390">
        <v>42339</v>
      </c>
      <c r="F1752" s="391">
        <v>595.78</v>
      </c>
    </row>
    <row r="1753" spans="1:6" s="295" customFormat="1" x14ac:dyDescent="0.15">
      <c r="A1753" s="374" t="s">
        <v>1303</v>
      </c>
      <c r="B1753" s="287" t="s">
        <v>1228</v>
      </c>
      <c r="C1753" s="287" t="s">
        <v>1229</v>
      </c>
      <c r="D1753" s="287">
        <v>587.9</v>
      </c>
      <c r="E1753" s="380">
        <v>42339</v>
      </c>
      <c r="F1753" s="381">
        <v>514.73</v>
      </c>
    </row>
    <row r="1754" spans="1:6" s="295" customFormat="1" x14ac:dyDescent="0.15">
      <c r="A1754" s="374" t="s">
        <v>1304</v>
      </c>
      <c r="B1754" s="287" t="s">
        <v>1230</v>
      </c>
      <c r="C1754" s="287" t="s">
        <v>1231</v>
      </c>
      <c r="D1754" s="287">
        <v>450</v>
      </c>
      <c r="E1754" s="380">
        <v>42339</v>
      </c>
      <c r="F1754" s="381">
        <v>420.76</v>
      </c>
    </row>
    <row r="1755" spans="1:6" s="295" customFormat="1" x14ac:dyDescent="0.15">
      <c r="A1755" s="374" t="s">
        <v>1305</v>
      </c>
      <c r="B1755" s="287" t="s">
        <v>1306</v>
      </c>
      <c r="C1755" s="287" t="s">
        <v>1233</v>
      </c>
      <c r="D1755" s="287">
        <v>1234.5999999999999</v>
      </c>
      <c r="E1755" s="380">
        <v>42339</v>
      </c>
      <c r="F1755" s="381">
        <v>960.87</v>
      </c>
    </row>
    <row r="1756" spans="1:6" s="295" customFormat="1" x14ac:dyDescent="0.15">
      <c r="A1756" s="374" t="s">
        <v>1307</v>
      </c>
      <c r="B1756" s="287" t="s">
        <v>1234</v>
      </c>
      <c r="C1756" s="287" t="s">
        <v>500</v>
      </c>
      <c r="D1756" s="287">
        <v>820.7</v>
      </c>
      <c r="E1756" s="380">
        <v>42339</v>
      </c>
      <c r="F1756" s="381">
        <v>737.31</v>
      </c>
    </row>
    <row r="1757" spans="1:6" s="295" customFormat="1" x14ac:dyDescent="0.15">
      <c r="A1757" s="374" t="s">
        <v>1308</v>
      </c>
      <c r="B1757" s="287" t="s">
        <v>1235</v>
      </c>
      <c r="C1757" s="287" t="s">
        <v>1236</v>
      </c>
      <c r="D1757" s="287">
        <v>703.3</v>
      </c>
      <c r="E1757" s="380">
        <v>42339</v>
      </c>
      <c r="F1757" s="381">
        <v>636.99</v>
      </c>
    </row>
    <row r="1758" spans="1:6" s="295" customFormat="1" x14ac:dyDescent="0.15">
      <c r="A1758" s="374" t="s">
        <v>1308</v>
      </c>
      <c r="B1758" s="287" t="s">
        <v>1238</v>
      </c>
      <c r="C1758" s="287" t="s">
        <v>1239</v>
      </c>
      <c r="D1758" s="287">
        <v>661.1</v>
      </c>
      <c r="E1758" s="380">
        <v>42339</v>
      </c>
      <c r="F1758" s="381">
        <v>601.03</v>
      </c>
    </row>
    <row r="1759" spans="1:6" s="295" customFormat="1" x14ac:dyDescent="0.15">
      <c r="A1759" s="374" t="s">
        <v>1309</v>
      </c>
      <c r="B1759" s="287" t="s">
        <v>1240</v>
      </c>
      <c r="C1759" s="287" t="s">
        <v>1241</v>
      </c>
      <c r="D1759" s="287">
        <v>458.2</v>
      </c>
      <c r="E1759" s="380">
        <v>42339</v>
      </c>
      <c r="F1759" s="381">
        <v>427.78</v>
      </c>
    </row>
    <row r="1760" spans="1:6" s="295" customFormat="1" x14ac:dyDescent="0.15">
      <c r="A1760" s="374" t="s">
        <v>1310</v>
      </c>
      <c r="B1760" s="287" t="s">
        <v>1282</v>
      </c>
      <c r="C1760" s="287" t="s">
        <v>1283</v>
      </c>
      <c r="D1760" s="287">
        <v>658.5</v>
      </c>
      <c r="E1760" s="380">
        <v>42339</v>
      </c>
      <c r="F1760" s="381">
        <v>598.66</v>
      </c>
    </row>
    <row r="1761" spans="1:6" s="295" customFormat="1" x14ac:dyDescent="0.15">
      <c r="A1761" s="374" t="s">
        <v>1311</v>
      </c>
      <c r="B1761" s="287" t="s">
        <v>1244</v>
      </c>
      <c r="C1761" s="287" t="s">
        <v>1245</v>
      </c>
      <c r="D1761" s="287">
        <v>647.79999999999995</v>
      </c>
      <c r="E1761" s="380">
        <v>42339</v>
      </c>
      <c r="F1761" s="381">
        <v>509.09</v>
      </c>
    </row>
    <row r="1762" spans="1:6" s="295" customFormat="1" x14ac:dyDescent="0.15">
      <c r="A1762" s="374" t="s">
        <v>1311</v>
      </c>
      <c r="B1762" s="287" t="s">
        <v>1246</v>
      </c>
      <c r="C1762" s="287" t="s">
        <v>1247</v>
      </c>
      <c r="D1762" s="287">
        <v>550.9</v>
      </c>
      <c r="E1762" s="380">
        <v>42339</v>
      </c>
      <c r="F1762" s="381">
        <v>506.85</v>
      </c>
    </row>
    <row r="1763" spans="1:6" s="295" customFormat="1" x14ac:dyDescent="0.15">
      <c r="A1763" s="374" t="s">
        <v>1311</v>
      </c>
      <c r="B1763" s="287" t="s">
        <v>1248</v>
      </c>
      <c r="C1763" s="287" t="s">
        <v>1249</v>
      </c>
      <c r="D1763" s="287">
        <v>100.9</v>
      </c>
      <c r="E1763" s="380">
        <v>42339</v>
      </c>
      <c r="F1763" s="381">
        <v>122.56</v>
      </c>
    </row>
    <row r="1764" spans="1:6" s="295" customFormat="1" x14ac:dyDescent="0.15">
      <c r="A1764" s="374" t="s">
        <v>1311</v>
      </c>
      <c r="B1764" s="287" t="s">
        <v>1250</v>
      </c>
      <c r="C1764" s="287" t="s">
        <v>1251</v>
      </c>
      <c r="D1764" s="287">
        <v>22.7</v>
      </c>
      <c r="E1764" s="380">
        <v>42339</v>
      </c>
      <c r="F1764" s="381">
        <v>35.11</v>
      </c>
    </row>
    <row r="1765" spans="1:6" s="295" customFormat="1" x14ac:dyDescent="0.15">
      <c r="A1765" s="374" t="s">
        <v>1311</v>
      </c>
      <c r="B1765" s="287" t="s">
        <v>1252</v>
      </c>
      <c r="C1765" s="287" t="s">
        <v>1253</v>
      </c>
      <c r="D1765" s="287">
        <v>745.6</v>
      </c>
      <c r="E1765" s="380">
        <v>42339</v>
      </c>
      <c r="F1765" s="381">
        <v>580.24</v>
      </c>
    </row>
    <row r="1766" spans="1:6" s="295" customFormat="1" x14ac:dyDescent="0.15">
      <c r="A1766" s="374" t="s">
        <v>1311</v>
      </c>
      <c r="B1766" s="287" t="s">
        <v>1275</v>
      </c>
      <c r="C1766" s="287" t="s">
        <v>1276</v>
      </c>
      <c r="D1766" s="397">
        <v>707.5</v>
      </c>
      <c r="E1766" s="380">
        <v>42339</v>
      </c>
      <c r="F1766" s="381">
        <v>552.66</v>
      </c>
    </row>
    <row r="1767" spans="1:6" s="295" customFormat="1" x14ac:dyDescent="0.15">
      <c r="A1767" s="374" t="s">
        <v>1311</v>
      </c>
      <c r="B1767" s="287" t="s">
        <v>1279</v>
      </c>
      <c r="C1767" s="287" t="s">
        <v>1280</v>
      </c>
      <c r="D1767" s="397">
        <v>419.1</v>
      </c>
      <c r="E1767" s="380">
        <v>42339</v>
      </c>
      <c r="F1767" s="381">
        <v>342.28</v>
      </c>
    </row>
    <row r="1768" spans="1:6" s="295" customFormat="1" x14ac:dyDescent="0.15">
      <c r="A1768" s="374" t="s">
        <v>1311</v>
      </c>
      <c r="B1768" s="287" t="s">
        <v>1284</v>
      </c>
      <c r="C1768" s="287" t="s">
        <v>1285</v>
      </c>
      <c r="D1768" s="397">
        <v>174</v>
      </c>
      <c r="E1768" s="380">
        <v>42339</v>
      </c>
      <c r="F1768" s="381">
        <v>167.27</v>
      </c>
    </row>
    <row r="1769" spans="1:6" s="295" customFormat="1" x14ac:dyDescent="0.15">
      <c r="A1769" s="374" t="s">
        <v>1311</v>
      </c>
      <c r="B1769" s="287" t="s">
        <v>1288</v>
      </c>
      <c r="C1769" s="287" t="s">
        <v>1289</v>
      </c>
      <c r="D1769" s="397">
        <v>256.39999999999998</v>
      </c>
      <c r="E1769" s="403">
        <v>42339</v>
      </c>
      <c r="F1769" s="381">
        <v>255.56</v>
      </c>
    </row>
    <row r="1770" spans="1:6" s="295" customFormat="1" ht="14" thickBot="1" x14ac:dyDescent="0.2">
      <c r="A1770" s="374"/>
      <c r="B1770" s="287"/>
      <c r="C1770" s="291" t="s">
        <v>115</v>
      </c>
      <c r="D1770" s="383">
        <f>SUM(D1752:D1769)</f>
        <v>9854.0999999999985</v>
      </c>
      <c r="E1770" s="404"/>
      <c r="F1770" s="389">
        <v>8565.5299999999988</v>
      </c>
    </row>
    <row r="1771" spans="1:6" s="295" customFormat="1" ht="14" thickTop="1" x14ac:dyDescent="0.15">
      <c r="A1771" s="374"/>
      <c r="B1771" s="287"/>
      <c r="C1771" s="287"/>
      <c r="D1771" s="287"/>
      <c r="E1771" s="380"/>
      <c r="F1771" s="381"/>
    </row>
    <row r="1772" spans="1:6" s="295" customFormat="1" x14ac:dyDescent="0.15">
      <c r="A1772" s="374"/>
      <c r="B1772" s="287"/>
      <c r="C1772" s="378" t="s">
        <v>1212</v>
      </c>
      <c r="D1772" s="287"/>
      <c r="E1772" s="380"/>
      <c r="F1772" s="381"/>
    </row>
    <row r="1773" spans="1:6" s="295" customFormat="1" x14ac:dyDescent="0.15">
      <c r="A1773" s="374"/>
      <c r="B1773" s="287"/>
      <c r="C1773" s="378" t="s">
        <v>1139</v>
      </c>
      <c r="D1773" s="287"/>
      <c r="E1773" s="380"/>
      <c r="F1773" s="381"/>
    </row>
    <row r="1774" spans="1:6" s="295" customFormat="1" x14ac:dyDescent="0.15">
      <c r="A1774" s="374"/>
      <c r="B1774" s="287"/>
      <c r="C1774" s="386">
        <v>42338</v>
      </c>
      <c r="D1774" s="287"/>
      <c r="E1774" s="380"/>
      <c r="F1774" s="381"/>
    </row>
    <row r="1775" spans="1:6" s="295" customFormat="1" x14ac:dyDescent="0.15">
      <c r="A1775" s="409"/>
      <c r="B1775" s="410"/>
      <c r="C1775" s="410"/>
      <c r="D1775" s="410"/>
      <c r="E1775" s="403"/>
      <c r="F1775" s="411"/>
    </row>
    <row r="1776" spans="1:6" s="295" customFormat="1" ht="14" thickBot="1" x14ac:dyDescent="0.2">
      <c r="A1776" s="412"/>
      <c r="B1776" s="281"/>
      <c r="C1776" s="291" t="s">
        <v>1164</v>
      </c>
      <c r="D1776" s="383">
        <f>SUM(D1746,D1770)</f>
        <v>14920.199999999997</v>
      </c>
      <c r="E1776" s="384"/>
      <c r="F1776" s="389">
        <v>12580.599999999999</v>
      </c>
    </row>
    <row r="1777" spans="1:6" s="295" customFormat="1" ht="14" thickTop="1" x14ac:dyDescent="0.15">
      <c r="E1777" s="408"/>
      <c r="F1777" s="298"/>
    </row>
    <row r="1778" spans="1:6" s="295" customFormat="1" x14ac:dyDescent="0.15">
      <c r="A1778" s="370" t="s">
        <v>1299</v>
      </c>
      <c r="B1778" s="371" t="s">
        <v>1269</v>
      </c>
      <c r="C1778" s="371" t="s">
        <v>1270</v>
      </c>
      <c r="D1778" s="371">
        <v>461.2</v>
      </c>
      <c r="E1778" s="390">
        <v>42354</v>
      </c>
      <c r="F1778" s="391">
        <v>453.07</v>
      </c>
    </row>
    <row r="1779" spans="1:6" s="295" customFormat="1" x14ac:dyDescent="0.15">
      <c r="A1779" s="374" t="s">
        <v>1293</v>
      </c>
      <c r="B1779" s="287" t="s">
        <v>1257</v>
      </c>
      <c r="C1779" s="287" t="s">
        <v>1258</v>
      </c>
      <c r="D1779" s="287">
        <v>590.9</v>
      </c>
      <c r="E1779" s="380">
        <v>42354</v>
      </c>
      <c r="F1779" s="381">
        <v>570.24</v>
      </c>
    </row>
    <row r="1780" spans="1:6" s="295" customFormat="1" x14ac:dyDescent="0.15">
      <c r="A1780" s="374" t="s">
        <v>1294</v>
      </c>
      <c r="B1780" s="287" t="s">
        <v>1259</v>
      </c>
      <c r="C1780" s="287" t="s">
        <v>1260</v>
      </c>
      <c r="D1780" s="287">
        <v>219.3</v>
      </c>
      <c r="E1780" s="380">
        <v>42354</v>
      </c>
      <c r="F1780" s="381">
        <v>244.3</v>
      </c>
    </row>
    <row r="1781" spans="1:6" s="295" customFormat="1" x14ac:dyDescent="0.15">
      <c r="A1781" s="374" t="s">
        <v>1296</v>
      </c>
      <c r="B1781" s="287" t="s">
        <v>1278</v>
      </c>
      <c r="C1781" s="287" t="s">
        <v>1264</v>
      </c>
      <c r="D1781" s="287">
        <v>471.4</v>
      </c>
      <c r="E1781" s="380">
        <v>42354</v>
      </c>
      <c r="F1781" s="381">
        <v>462.28</v>
      </c>
    </row>
    <row r="1782" spans="1:6" s="295" customFormat="1" x14ac:dyDescent="0.15">
      <c r="A1782" s="374" t="s">
        <v>1295</v>
      </c>
      <c r="B1782" s="287" t="s">
        <v>1261</v>
      </c>
      <c r="C1782" s="287" t="s">
        <v>1262</v>
      </c>
      <c r="D1782" s="287">
        <v>354.1</v>
      </c>
      <c r="E1782" s="380">
        <v>42354</v>
      </c>
      <c r="F1782" s="381">
        <v>376.74</v>
      </c>
    </row>
    <row r="1783" spans="1:6" s="295" customFormat="1" x14ac:dyDescent="0.15">
      <c r="A1783" s="374" t="s">
        <v>1301</v>
      </c>
      <c r="B1783" s="287" t="s">
        <v>1286</v>
      </c>
      <c r="C1783" s="287" t="s">
        <v>1287</v>
      </c>
      <c r="D1783" s="287">
        <v>166.8</v>
      </c>
      <c r="E1783" s="380">
        <v>42354</v>
      </c>
      <c r="F1783" s="381">
        <v>187.15</v>
      </c>
    </row>
    <row r="1784" spans="1:6" s="295" customFormat="1" x14ac:dyDescent="0.15">
      <c r="A1784" s="374" t="s">
        <v>1297</v>
      </c>
      <c r="B1784" s="287" t="s">
        <v>1265</v>
      </c>
      <c r="C1784" s="287" t="s">
        <v>1266</v>
      </c>
      <c r="D1784" s="287">
        <v>241.9</v>
      </c>
      <c r="E1784" s="380">
        <v>42354</v>
      </c>
      <c r="F1784" s="381">
        <v>266.51</v>
      </c>
    </row>
    <row r="1785" spans="1:6" s="295" customFormat="1" x14ac:dyDescent="0.15">
      <c r="A1785" s="374" t="s">
        <v>1298</v>
      </c>
      <c r="B1785" s="287" t="s">
        <v>1267</v>
      </c>
      <c r="C1785" s="287" t="s">
        <v>1268</v>
      </c>
      <c r="D1785" s="287">
        <v>497.2</v>
      </c>
      <c r="E1785" s="380">
        <v>42354</v>
      </c>
      <c r="F1785" s="381">
        <v>517.34</v>
      </c>
    </row>
    <row r="1786" spans="1:6" s="295" customFormat="1" x14ac:dyDescent="0.15">
      <c r="A1786" s="374" t="s">
        <v>1300</v>
      </c>
      <c r="B1786" s="287" t="s">
        <v>1271</v>
      </c>
      <c r="C1786" s="287" t="s">
        <v>1272</v>
      </c>
      <c r="D1786" s="287">
        <v>416.9</v>
      </c>
      <c r="E1786" s="380">
        <v>42354</v>
      </c>
      <c r="F1786" s="381">
        <v>413.06</v>
      </c>
    </row>
    <row r="1787" spans="1:6" s="295" customFormat="1" x14ac:dyDescent="0.15">
      <c r="A1787" s="374" t="s">
        <v>1290</v>
      </c>
      <c r="B1787" s="287" t="s">
        <v>1291</v>
      </c>
      <c r="C1787" s="287" t="s">
        <v>1277</v>
      </c>
      <c r="D1787" s="287">
        <v>805.3</v>
      </c>
      <c r="E1787" s="380">
        <v>42354</v>
      </c>
      <c r="F1787" s="381">
        <v>763.9</v>
      </c>
    </row>
    <row r="1788" spans="1:6" s="295" customFormat="1" x14ac:dyDescent="0.15">
      <c r="A1788" s="374" t="s">
        <v>1292</v>
      </c>
      <c r="B1788" s="287" t="s">
        <v>1255</v>
      </c>
      <c r="C1788" s="287" t="s">
        <v>1256</v>
      </c>
      <c r="D1788" s="287">
        <v>1616.4</v>
      </c>
      <c r="E1788" s="380">
        <v>42354</v>
      </c>
      <c r="F1788" s="381">
        <v>1493.55</v>
      </c>
    </row>
    <row r="1789" spans="1:6" s="295" customFormat="1" x14ac:dyDescent="0.15">
      <c r="A1789" s="374" t="s">
        <v>1312</v>
      </c>
      <c r="B1789" s="287" t="s">
        <v>1313</v>
      </c>
      <c r="C1789" s="287" t="s">
        <v>1313</v>
      </c>
      <c r="D1789" s="287">
        <v>625.9</v>
      </c>
      <c r="E1789" s="380">
        <v>42354</v>
      </c>
      <c r="F1789" s="381">
        <v>601.85</v>
      </c>
    </row>
    <row r="1790" spans="1:6" s="295" customFormat="1" x14ac:dyDescent="0.15">
      <c r="A1790" s="374" t="s">
        <v>1314</v>
      </c>
      <c r="B1790" s="287" t="s">
        <v>1315</v>
      </c>
      <c r="C1790" s="287" t="s">
        <v>1316</v>
      </c>
      <c r="D1790" s="287">
        <v>74.099999999999994</v>
      </c>
      <c r="E1790" s="380">
        <v>42354</v>
      </c>
      <c r="F1790" s="381">
        <v>98.36</v>
      </c>
    </row>
    <row r="1791" spans="1:6" s="295" customFormat="1" ht="14" thickBot="1" x14ac:dyDescent="0.2">
      <c r="A1791" s="374"/>
      <c r="B1791" s="287"/>
      <c r="C1791" s="291" t="s">
        <v>115</v>
      </c>
      <c r="D1791" s="394">
        <f>SUM(D1778:D1790)</f>
        <v>6541.4</v>
      </c>
      <c r="E1791" s="384"/>
      <c r="F1791" s="389">
        <v>6448.35</v>
      </c>
    </row>
    <row r="1792" spans="1:6" s="295" customFormat="1" ht="14" thickTop="1" x14ac:dyDescent="0.15">
      <c r="A1792" s="374"/>
      <c r="B1792" s="287"/>
      <c r="C1792" s="287"/>
      <c r="D1792" s="287"/>
      <c r="E1792" s="380"/>
      <c r="F1792" s="381"/>
    </row>
    <row r="1793" spans="1:6" s="295" customFormat="1" x14ac:dyDescent="0.15">
      <c r="A1793" s="374"/>
      <c r="B1793" s="287"/>
      <c r="C1793" s="378" t="s">
        <v>1212</v>
      </c>
      <c r="D1793" s="287"/>
      <c r="E1793" s="380"/>
      <c r="F1793" s="381"/>
    </row>
    <row r="1794" spans="1:6" s="295" customFormat="1" x14ac:dyDescent="0.15">
      <c r="A1794" s="374"/>
      <c r="B1794" s="287"/>
      <c r="C1794" s="378" t="s">
        <v>1139</v>
      </c>
      <c r="D1794" s="287"/>
      <c r="E1794" s="380"/>
      <c r="F1794" s="381"/>
    </row>
    <row r="1795" spans="1:6" s="295" customFormat="1" x14ac:dyDescent="0.15">
      <c r="A1795" s="374"/>
      <c r="B1795" s="287"/>
      <c r="C1795" s="386">
        <v>42366</v>
      </c>
      <c r="D1795" s="287"/>
      <c r="E1795" s="380"/>
      <c r="F1795" s="381"/>
    </row>
    <row r="1796" spans="1:6" s="295" customFormat="1" x14ac:dyDescent="0.15">
      <c r="A1796" s="409"/>
      <c r="B1796" s="410"/>
      <c r="C1796" s="410"/>
      <c r="D1796" s="410"/>
      <c r="E1796" s="403"/>
      <c r="F1796" s="411"/>
    </row>
    <row r="1797" spans="1:6" s="295" customFormat="1" x14ac:dyDescent="0.15">
      <c r="A1797" s="370" t="s">
        <v>1302</v>
      </c>
      <c r="B1797" s="371" t="s">
        <v>1226</v>
      </c>
      <c r="C1797" s="371" t="s">
        <v>1227</v>
      </c>
      <c r="D1797" s="371">
        <v>891.5</v>
      </c>
      <c r="E1797" s="390">
        <v>42369</v>
      </c>
      <c r="F1797" s="391">
        <v>841.76</v>
      </c>
    </row>
    <row r="1798" spans="1:6" s="295" customFormat="1" x14ac:dyDescent="0.15">
      <c r="A1798" s="374" t="s">
        <v>1303</v>
      </c>
      <c r="B1798" s="287" t="s">
        <v>1228</v>
      </c>
      <c r="C1798" s="287" t="s">
        <v>1229</v>
      </c>
      <c r="D1798" s="287">
        <v>920.3</v>
      </c>
      <c r="E1798" s="380">
        <v>42369</v>
      </c>
      <c r="F1798" s="381">
        <v>864.41</v>
      </c>
    </row>
    <row r="1799" spans="1:6" s="295" customFormat="1" x14ac:dyDescent="0.15">
      <c r="A1799" s="374" t="s">
        <v>1304</v>
      </c>
      <c r="B1799" s="287" t="s">
        <v>1230</v>
      </c>
      <c r="C1799" s="287" t="s">
        <v>1231</v>
      </c>
      <c r="D1799" s="287">
        <v>642.4</v>
      </c>
      <c r="E1799" s="380">
        <v>42369</v>
      </c>
      <c r="F1799" s="381">
        <v>616.76</v>
      </c>
    </row>
    <row r="1800" spans="1:6" s="295" customFormat="1" x14ac:dyDescent="0.15">
      <c r="A1800" s="374" t="s">
        <v>1305</v>
      </c>
      <c r="B1800" s="287" t="s">
        <v>1306</v>
      </c>
      <c r="C1800" s="287" t="s">
        <v>1233</v>
      </c>
      <c r="D1800" s="287">
        <v>1281.7</v>
      </c>
      <c r="E1800" s="380">
        <v>42369</v>
      </c>
      <c r="F1800" s="381">
        <v>1089.28</v>
      </c>
    </row>
    <row r="1801" spans="1:6" s="295" customFormat="1" x14ac:dyDescent="0.15">
      <c r="A1801" s="374" t="s">
        <v>1307</v>
      </c>
      <c r="B1801" s="287" t="s">
        <v>1234</v>
      </c>
      <c r="C1801" s="287" t="s">
        <v>500</v>
      </c>
      <c r="D1801" s="287">
        <v>1055.2</v>
      </c>
      <c r="E1801" s="380">
        <v>42369</v>
      </c>
      <c r="F1801" s="381">
        <v>989.63</v>
      </c>
    </row>
    <row r="1802" spans="1:6" s="295" customFormat="1" x14ac:dyDescent="0.15">
      <c r="A1802" s="374" t="s">
        <v>1308</v>
      </c>
      <c r="B1802" s="287" t="s">
        <v>1235</v>
      </c>
      <c r="C1802" s="287" t="s">
        <v>1236</v>
      </c>
      <c r="D1802" s="287">
        <v>995.5</v>
      </c>
      <c r="E1802" s="380">
        <v>42369</v>
      </c>
      <c r="F1802" s="381">
        <v>935.71</v>
      </c>
    </row>
    <row r="1803" spans="1:6" s="295" customFormat="1" x14ac:dyDescent="0.15">
      <c r="A1803" s="374" t="s">
        <v>1308</v>
      </c>
      <c r="B1803" s="287" t="s">
        <v>1238</v>
      </c>
      <c r="C1803" s="287" t="s">
        <v>1239</v>
      </c>
      <c r="D1803" s="287">
        <v>919.3</v>
      </c>
      <c r="E1803" s="380">
        <v>42369</v>
      </c>
      <c r="F1803" s="381">
        <v>866.88</v>
      </c>
    </row>
    <row r="1804" spans="1:6" s="295" customFormat="1" x14ac:dyDescent="0.15">
      <c r="A1804" s="374" t="s">
        <v>1309</v>
      </c>
      <c r="B1804" s="287" t="s">
        <v>1240</v>
      </c>
      <c r="C1804" s="287" t="s">
        <v>1241</v>
      </c>
      <c r="D1804" s="287">
        <v>664</v>
      </c>
      <c r="E1804" s="380">
        <v>42369</v>
      </c>
      <c r="F1804" s="381">
        <v>636.27</v>
      </c>
    </row>
    <row r="1805" spans="1:6" s="295" customFormat="1" x14ac:dyDescent="0.15">
      <c r="A1805" s="374" t="s">
        <v>1310</v>
      </c>
      <c r="B1805" s="287" t="s">
        <v>1282</v>
      </c>
      <c r="C1805" s="287" t="s">
        <v>1283</v>
      </c>
      <c r="D1805" s="287">
        <v>690.6</v>
      </c>
      <c r="E1805" s="380">
        <v>42369</v>
      </c>
      <c r="F1805" s="381">
        <v>660.3</v>
      </c>
    </row>
    <row r="1806" spans="1:6" s="295" customFormat="1" x14ac:dyDescent="0.15">
      <c r="A1806" s="374" t="s">
        <v>1311</v>
      </c>
      <c r="B1806" s="287" t="s">
        <v>1244</v>
      </c>
      <c r="C1806" s="287" t="s">
        <v>1245</v>
      </c>
      <c r="D1806" s="287">
        <v>782.3</v>
      </c>
      <c r="E1806" s="380">
        <v>42369</v>
      </c>
      <c r="F1806" s="381">
        <v>743.12</v>
      </c>
    </row>
    <row r="1807" spans="1:6" s="295" customFormat="1" x14ac:dyDescent="0.15">
      <c r="A1807" s="374" t="s">
        <v>1311</v>
      </c>
      <c r="B1807" s="287" t="s">
        <v>1246</v>
      </c>
      <c r="C1807" s="287" t="s">
        <v>1247</v>
      </c>
      <c r="D1807" s="287">
        <v>759.7</v>
      </c>
      <c r="E1807" s="380">
        <v>42369</v>
      </c>
      <c r="F1807" s="381">
        <v>722.71</v>
      </c>
    </row>
    <row r="1808" spans="1:6" s="295" customFormat="1" x14ac:dyDescent="0.15">
      <c r="A1808" s="374" t="s">
        <v>1311</v>
      </c>
      <c r="B1808" s="287" t="s">
        <v>1248</v>
      </c>
      <c r="C1808" s="287" t="s">
        <v>1249</v>
      </c>
      <c r="D1808" s="287">
        <v>175</v>
      </c>
      <c r="E1808" s="380">
        <v>42369</v>
      </c>
      <c r="F1808" s="381">
        <v>200.78</v>
      </c>
    </row>
    <row r="1809" spans="1:6" s="295" customFormat="1" x14ac:dyDescent="0.15">
      <c r="A1809" s="374" t="s">
        <v>1311</v>
      </c>
      <c r="B1809" s="287" t="s">
        <v>1250</v>
      </c>
      <c r="C1809" s="287" t="s">
        <v>1251</v>
      </c>
      <c r="D1809" s="287">
        <v>37.1</v>
      </c>
      <c r="E1809" s="380">
        <v>42369</v>
      </c>
      <c r="F1809" s="381">
        <v>55.9</v>
      </c>
    </row>
    <row r="1810" spans="1:6" s="295" customFormat="1" x14ac:dyDescent="0.15">
      <c r="A1810" s="374" t="s">
        <v>1311</v>
      </c>
      <c r="B1810" s="287" t="s">
        <v>1252</v>
      </c>
      <c r="C1810" s="287" t="s">
        <v>1253</v>
      </c>
      <c r="D1810" s="287">
        <v>853.3</v>
      </c>
      <c r="E1810" s="380">
        <v>42369</v>
      </c>
      <c r="F1810" s="381">
        <v>807.26</v>
      </c>
    </row>
    <row r="1811" spans="1:6" s="295" customFormat="1" x14ac:dyDescent="0.15">
      <c r="A1811" s="374" t="s">
        <v>1311</v>
      </c>
      <c r="B1811" s="287" t="s">
        <v>1275</v>
      </c>
      <c r="C1811" s="287" t="s">
        <v>1276</v>
      </c>
      <c r="D1811" s="397">
        <v>795.7</v>
      </c>
      <c r="E1811" s="380">
        <v>42369</v>
      </c>
      <c r="F1811" s="381">
        <v>755.22</v>
      </c>
    </row>
    <row r="1812" spans="1:6" s="295" customFormat="1" x14ac:dyDescent="0.15">
      <c r="A1812" s="374" t="s">
        <v>1311</v>
      </c>
      <c r="B1812" s="287" t="s">
        <v>1279</v>
      </c>
      <c r="C1812" s="287" t="s">
        <v>1280</v>
      </c>
      <c r="D1812" s="397">
        <v>552.79999999999995</v>
      </c>
      <c r="E1812" s="380">
        <v>42369</v>
      </c>
      <c r="F1812" s="381">
        <v>535.82000000000005</v>
      </c>
    </row>
    <row r="1813" spans="1:6" s="295" customFormat="1" x14ac:dyDescent="0.15">
      <c r="A1813" s="374" t="s">
        <v>1311</v>
      </c>
      <c r="B1813" s="287" t="s">
        <v>1284</v>
      </c>
      <c r="C1813" s="287" t="s">
        <v>1285</v>
      </c>
      <c r="D1813" s="397">
        <v>223.4</v>
      </c>
      <c r="E1813" s="380">
        <v>42369</v>
      </c>
      <c r="F1813" s="381">
        <v>248.33</v>
      </c>
    </row>
    <row r="1814" spans="1:6" s="295" customFormat="1" x14ac:dyDescent="0.15">
      <c r="A1814" s="374" t="s">
        <v>1311</v>
      </c>
      <c r="B1814" s="287" t="s">
        <v>1288</v>
      </c>
      <c r="C1814" s="287" t="s">
        <v>1289</v>
      </c>
      <c r="D1814" s="397">
        <v>438.5</v>
      </c>
      <c r="E1814" s="403">
        <v>42369</v>
      </c>
      <c r="F1814" s="381">
        <v>432.57</v>
      </c>
    </row>
    <row r="1815" spans="1:6" s="295" customFormat="1" ht="14" thickBot="1" x14ac:dyDescent="0.2">
      <c r="A1815" s="374"/>
      <c r="B1815" s="287"/>
      <c r="C1815" s="291" t="s">
        <v>115</v>
      </c>
      <c r="D1815" s="383">
        <f>SUM(D1797:D1814)</f>
        <v>12678.3</v>
      </c>
      <c r="E1815" s="404"/>
      <c r="F1815" s="389">
        <v>12002.710000000001</v>
      </c>
    </row>
    <row r="1816" spans="1:6" s="295" customFormat="1" ht="14" thickTop="1" x14ac:dyDescent="0.15">
      <c r="A1816" s="374"/>
      <c r="B1816" s="287"/>
      <c r="C1816" s="287"/>
      <c r="D1816" s="287"/>
      <c r="E1816" s="380"/>
      <c r="F1816" s="381"/>
    </row>
    <row r="1817" spans="1:6" s="295" customFormat="1" x14ac:dyDescent="0.15">
      <c r="A1817" s="374"/>
      <c r="B1817" s="287"/>
      <c r="C1817" s="378" t="s">
        <v>1212</v>
      </c>
      <c r="D1817" s="287"/>
      <c r="E1817" s="380"/>
      <c r="F1817" s="381"/>
    </row>
    <row r="1818" spans="1:6" s="295" customFormat="1" x14ac:dyDescent="0.15">
      <c r="A1818" s="374"/>
      <c r="B1818" s="287"/>
      <c r="C1818" s="378" t="s">
        <v>1139</v>
      </c>
      <c r="D1818" s="287"/>
      <c r="E1818" s="380"/>
      <c r="F1818" s="381"/>
    </row>
    <row r="1819" spans="1:6" s="295" customFormat="1" x14ac:dyDescent="0.15">
      <c r="A1819" s="374"/>
      <c r="B1819" s="287"/>
      <c r="C1819" s="386">
        <v>42369</v>
      </c>
      <c r="D1819" s="287"/>
      <c r="E1819" s="380"/>
      <c r="F1819" s="381"/>
    </row>
    <row r="1820" spans="1:6" s="295" customFormat="1" x14ac:dyDescent="0.15">
      <c r="A1820" s="409"/>
      <c r="B1820" s="410"/>
      <c r="C1820" s="410"/>
      <c r="D1820" s="410"/>
      <c r="E1820" s="403"/>
      <c r="F1820" s="411"/>
    </row>
    <row r="1821" spans="1:6" s="295" customFormat="1" ht="14" thickBot="1" x14ac:dyDescent="0.2">
      <c r="A1821" s="412"/>
      <c r="B1821" s="281"/>
      <c r="C1821" s="291" t="s">
        <v>1167</v>
      </c>
      <c r="D1821" s="383">
        <f>SUM(D1791,D1815)</f>
        <v>19219.699999999997</v>
      </c>
      <c r="E1821" s="384"/>
      <c r="F1821" s="389">
        <v>18451.060000000001</v>
      </c>
    </row>
    <row r="1822" spans="1:6" s="295" customFormat="1" ht="14" thickTop="1" x14ac:dyDescent="0.15">
      <c r="E1822" s="408"/>
      <c r="F1822" s="298"/>
    </row>
    <row r="1823" spans="1:6" s="295" customFormat="1" x14ac:dyDescent="0.15">
      <c r="A1823" s="370" t="s">
        <v>1299</v>
      </c>
      <c r="B1823" s="371" t="s">
        <v>1269</v>
      </c>
      <c r="C1823" s="371" t="s">
        <v>1270</v>
      </c>
      <c r="D1823" s="371">
        <v>614.4</v>
      </c>
      <c r="E1823" s="390">
        <v>42388</v>
      </c>
      <c r="F1823" s="391">
        <v>591.46</v>
      </c>
    </row>
    <row r="1824" spans="1:6" s="295" customFormat="1" x14ac:dyDescent="0.15">
      <c r="A1824" s="374" t="s">
        <v>1293</v>
      </c>
      <c r="B1824" s="287" t="s">
        <v>1257</v>
      </c>
      <c r="C1824" s="287" t="s">
        <v>1258</v>
      </c>
      <c r="D1824" s="287">
        <v>803.8</v>
      </c>
      <c r="E1824" s="380">
        <v>42388</v>
      </c>
      <c r="F1824" s="381">
        <v>762.54</v>
      </c>
    </row>
    <row r="1825" spans="1:6" s="295" customFormat="1" x14ac:dyDescent="0.15">
      <c r="A1825" s="374" t="s">
        <v>1294</v>
      </c>
      <c r="B1825" s="287" t="s">
        <v>1259</v>
      </c>
      <c r="C1825" s="287" t="s">
        <v>1260</v>
      </c>
      <c r="D1825" s="287">
        <v>328.3</v>
      </c>
      <c r="E1825" s="380">
        <v>42388</v>
      </c>
      <c r="F1825" s="381">
        <v>351.4</v>
      </c>
    </row>
    <row r="1826" spans="1:6" s="295" customFormat="1" x14ac:dyDescent="0.15">
      <c r="A1826" s="374" t="s">
        <v>1296</v>
      </c>
      <c r="B1826" s="287" t="s">
        <v>1278</v>
      </c>
      <c r="C1826" s="287" t="s">
        <v>1264</v>
      </c>
      <c r="D1826" s="287">
        <v>660.7</v>
      </c>
      <c r="E1826" s="380">
        <v>42388</v>
      </c>
      <c r="F1826" s="381">
        <v>633.28</v>
      </c>
    </row>
    <row r="1827" spans="1:6" s="295" customFormat="1" x14ac:dyDescent="0.15">
      <c r="A1827" s="374" t="s">
        <v>1295</v>
      </c>
      <c r="B1827" s="287" t="s">
        <v>1261</v>
      </c>
      <c r="C1827" s="287" t="s">
        <v>1262</v>
      </c>
      <c r="D1827" s="287">
        <v>513.6</v>
      </c>
      <c r="E1827" s="380">
        <v>42388</v>
      </c>
      <c r="F1827" s="381">
        <v>533.46</v>
      </c>
    </row>
    <row r="1828" spans="1:6" s="295" customFormat="1" x14ac:dyDescent="0.15">
      <c r="A1828" s="374" t="s">
        <v>1301</v>
      </c>
      <c r="B1828" s="287" t="s">
        <v>1286</v>
      </c>
      <c r="C1828" s="287" t="s">
        <v>1287</v>
      </c>
      <c r="D1828" s="287">
        <v>309.8</v>
      </c>
      <c r="E1828" s="380">
        <v>42388</v>
      </c>
      <c r="F1828" s="381">
        <v>316.31</v>
      </c>
    </row>
    <row r="1829" spans="1:6" s="295" customFormat="1" x14ac:dyDescent="0.15">
      <c r="A1829" s="374" t="s">
        <v>1297</v>
      </c>
      <c r="B1829" s="287" t="s">
        <v>1265</v>
      </c>
      <c r="C1829" s="287" t="s">
        <v>1266</v>
      </c>
      <c r="D1829" s="287">
        <v>330.4</v>
      </c>
      <c r="E1829" s="380">
        <v>42388</v>
      </c>
      <c r="F1829" s="381">
        <v>353.46</v>
      </c>
    </row>
    <row r="1830" spans="1:6" s="295" customFormat="1" x14ac:dyDescent="0.15">
      <c r="A1830" s="374" t="s">
        <v>1298</v>
      </c>
      <c r="B1830" s="287" t="s">
        <v>1267</v>
      </c>
      <c r="C1830" s="287" t="s">
        <v>1268</v>
      </c>
      <c r="D1830" s="287">
        <v>725.6</v>
      </c>
      <c r="E1830" s="380">
        <v>42388</v>
      </c>
      <c r="F1830" s="381">
        <v>741.74</v>
      </c>
    </row>
    <row r="1831" spans="1:6" s="295" customFormat="1" x14ac:dyDescent="0.15">
      <c r="A1831" s="374" t="s">
        <v>1300</v>
      </c>
      <c r="B1831" s="287" t="s">
        <v>1271</v>
      </c>
      <c r="C1831" s="287" t="s">
        <v>1272</v>
      </c>
      <c r="D1831" s="287">
        <v>617.5</v>
      </c>
      <c r="E1831" s="380">
        <v>42388</v>
      </c>
      <c r="F1831" s="381">
        <v>594.26</v>
      </c>
    </row>
    <row r="1832" spans="1:6" s="295" customFormat="1" x14ac:dyDescent="0.15">
      <c r="A1832" s="374" t="s">
        <v>1290</v>
      </c>
      <c r="B1832" s="287" t="s">
        <v>1291</v>
      </c>
      <c r="C1832" s="287" t="s">
        <v>1277</v>
      </c>
      <c r="D1832" s="287">
        <v>1185.2</v>
      </c>
      <c r="E1832" s="380">
        <v>42388</v>
      </c>
      <c r="F1832" s="381">
        <v>1107.06</v>
      </c>
    </row>
    <row r="1833" spans="1:6" s="295" customFormat="1" x14ac:dyDescent="0.15">
      <c r="A1833" s="374" t="s">
        <v>1292</v>
      </c>
      <c r="B1833" s="287" t="s">
        <v>1255</v>
      </c>
      <c r="C1833" s="287" t="s">
        <v>1256</v>
      </c>
      <c r="D1833" s="287">
        <v>2107.1</v>
      </c>
      <c r="E1833" s="380">
        <v>42388</v>
      </c>
      <c r="F1833" s="381">
        <v>1937.05</v>
      </c>
    </row>
    <row r="1834" spans="1:6" s="295" customFormat="1" x14ac:dyDescent="0.15">
      <c r="A1834" s="374" t="s">
        <v>1312</v>
      </c>
      <c r="B1834" s="287" t="s">
        <v>1313</v>
      </c>
      <c r="C1834" s="287" t="s">
        <v>1313</v>
      </c>
      <c r="D1834" s="287">
        <v>1066.2</v>
      </c>
      <c r="E1834" s="380">
        <v>42388</v>
      </c>
      <c r="F1834" s="381">
        <v>999.57</v>
      </c>
    </row>
    <row r="1835" spans="1:6" s="295" customFormat="1" x14ac:dyDescent="0.15">
      <c r="A1835" s="374" t="s">
        <v>1314</v>
      </c>
      <c r="B1835" s="287" t="s">
        <v>1315</v>
      </c>
      <c r="C1835" s="287" t="s">
        <v>1316</v>
      </c>
      <c r="D1835" s="287">
        <v>162.6</v>
      </c>
      <c r="E1835" s="380">
        <v>42388</v>
      </c>
      <c r="F1835" s="381">
        <v>184.51</v>
      </c>
    </row>
    <row r="1836" spans="1:6" s="295" customFormat="1" ht="14" thickBot="1" x14ac:dyDescent="0.2">
      <c r="A1836" s="374"/>
      <c r="B1836" s="287"/>
      <c r="C1836" s="291" t="s">
        <v>115</v>
      </c>
      <c r="D1836" s="394">
        <f>SUM(D1823:D1835)</f>
        <v>9425.2000000000007</v>
      </c>
      <c r="E1836" s="384"/>
      <c r="F1836" s="389">
        <v>9106.1</v>
      </c>
    </row>
    <row r="1837" spans="1:6" s="295" customFormat="1" ht="14" thickTop="1" x14ac:dyDescent="0.15">
      <c r="A1837" s="374"/>
      <c r="B1837" s="287"/>
      <c r="C1837" s="287"/>
      <c r="D1837" s="287"/>
      <c r="E1837" s="380"/>
      <c r="F1837" s="381"/>
    </row>
    <row r="1838" spans="1:6" s="295" customFormat="1" x14ac:dyDescent="0.15">
      <c r="A1838" s="374"/>
      <c r="B1838" s="287"/>
      <c r="C1838" s="378" t="s">
        <v>1212</v>
      </c>
      <c r="D1838" s="287"/>
      <c r="E1838" s="380"/>
      <c r="F1838" s="381"/>
    </row>
    <row r="1839" spans="1:6" s="295" customFormat="1" x14ac:dyDescent="0.15">
      <c r="A1839" s="374"/>
      <c r="B1839" s="287"/>
      <c r="C1839" s="378" t="s">
        <v>1139</v>
      </c>
      <c r="D1839" s="287"/>
      <c r="E1839" s="380"/>
      <c r="F1839" s="381"/>
    </row>
    <row r="1840" spans="1:6" s="295" customFormat="1" x14ac:dyDescent="0.15">
      <c r="A1840" s="374"/>
      <c r="B1840" s="287"/>
      <c r="C1840" s="386">
        <v>42400</v>
      </c>
      <c r="D1840" s="287"/>
      <c r="E1840" s="380"/>
      <c r="F1840" s="381"/>
    </row>
    <row r="1841" spans="1:6" s="295" customFormat="1" x14ac:dyDescent="0.15">
      <c r="A1841" s="409"/>
      <c r="B1841" s="410"/>
      <c r="C1841" s="410"/>
      <c r="D1841" s="410"/>
      <c r="E1841" s="403"/>
      <c r="F1841" s="411"/>
    </row>
    <row r="1842" spans="1:6" s="295" customFormat="1" x14ac:dyDescent="0.15">
      <c r="A1842" s="370" t="s">
        <v>1302</v>
      </c>
      <c r="B1842" s="371" t="s">
        <v>1226</v>
      </c>
      <c r="C1842" s="371" t="s">
        <v>1227</v>
      </c>
      <c r="D1842" s="371">
        <v>1435.4</v>
      </c>
      <c r="E1842" s="390">
        <v>42401</v>
      </c>
      <c r="F1842" s="391">
        <v>1333.06</v>
      </c>
    </row>
    <row r="1843" spans="1:6" s="295" customFormat="1" x14ac:dyDescent="0.15">
      <c r="A1843" s="374" t="s">
        <v>1303</v>
      </c>
      <c r="B1843" s="287" t="s">
        <v>1228</v>
      </c>
      <c r="C1843" s="287" t="s">
        <v>1229</v>
      </c>
      <c r="D1843" s="287">
        <v>1590.8</v>
      </c>
      <c r="E1843" s="380">
        <v>42401</v>
      </c>
      <c r="F1843" s="381">
        <v>1470.42</v>
      </c>
    </row>
    <row r="1844" spans="1:6" s="295" customFormat="1" x14ac:dyDescent="0.15">
      <c r="A1844" s="374" t="s">
        <v>1304</v>
      </c>
      <c r="B1844" s="287" t="s">
        <v>1230</v>
      </c>
      <c r="C1844" s="287" t="s">
        <v>1231</v>
      </c>
      <c r="D1844" s="287">
        <v>977.5</v>
      </c>
      <c r="E1844" s="380">
        <v>42401</v>
      </c>
      <c r="F1844" s="381">
        <v>919.45</v>
      </c>
    </row>
    <row r="1845" spans="1:6" s="295" customFormat="1" x14ac:dyDescent="0.15">
      <c r="A1845" s="374" t="s">
        <v>1305</v>
      </c>
      <c r="B1845" s="287" t="s">
        <v>1306</v>
      </c>
      <c r="C1845" s="287" t="s">
        <v>1233</v>
      </c>
      <c r="D1845" s="287">
        <v>907.5</v>
      </c>
      <c r="E1845" s="380">
        <v>42401</v>
      </c>
      <c r="F1845" s="381">
        <v>780.79</v>
      </c>
    </row>
    <row r="1846" spans="1:6" s="295" customFormat="1" x14ac:dyDescent="0.15">
      <c r="A1846" s="374" t="s">
        <v>1307</v>
      </c>
      <c r="B1846" s="287" t="s">
        <v>1234</v>
      </c>
      <c r="C1846" s="287" t="s">
        <v>500</v>
      </c>
      <c r="D1846" s="287">
        <v>1666.9</v>
      </c>
      <c r="E1846" s="380">
        <v>42401</v>
      </c>
      <c r="F1846" s="381">
        <v>1542.19</v>
      </c>
    </row>
    <row r="1847" spans="1:6" s="295" customFormat="1" x14ac:dyDescent="0.15">
      <c r="A1847" s="374" t="s">
        <v>1308</v>
      </c>
      <c r="B1847" s="287" t="s">
        <v>1235</v>
      </c>
      <c r="C1847" s="287" t="s">
        <v>1236</v>
      </c>
      <c r="D1847" s="287">
        <v>1358.2</v>
      </c>
      <c r="E1847" s="380">
        <v>42401</v>
      </c>
      <c r="F1847" s="381">
        <v>1263.33</v>
      </c>
    </row>
    <row r="1848" spans="1:6" s="295" customFormat="1" x14ac:dyDescent="0.15">
      <c r="A1848" s="374" t="s">
        <v>1308</v>
      </c>
      <c r="B1848" s="287" t="s">
        <v>1238</v>
      </c>
      <c r="C1848" s="287" t="s">
        <v>1239</v>
      </c>
      <c r="D1848" s="287">
        <v>1409.7</v>
      </c>
      <c r="E1848" s="380">
        <v>42401</v>
      </c>
      <c r="F1848" s="381">
        <v>1309.8499999999999</v>
      </c>
    </row>
    <row r="1849" spans="1:6" s="295" customFormat="1" x14ac:dyDescent="0.15">
      <c r="A1849" s="374" t="s">
        <v>1309</v>
      </c>
      <c r="B1849" s="287" t="s">
        <v>1240</v>
      </c>
      <c r="C1849" s="287" t="s">
        <v>1241</v>
      </c>
      <c r="D1849" s="287">
        <v>1033.0999999999999</v>
      </c>
      <c r="E1849" s="380">
        <v>42401</v>
      </c>
      <c r="F1849" s="381">
        <v>969.67</v>
      </c>
    </row>
    <row r="1850" spans="1:6" s="295" customFormat="1" x14ac:dyDescent="0.15">
      <c r="A1850" s="374" t="s">
        <v>1310</v>
      </c>
      <c r="B1850" s="287" t="s">
        <v>1282</v>
      </c>
      <c r="C1850" s="287" t="s">
        <v>1283</v>
      </c>
      <c r="D1850" s="287">
        <v>1165.8</v>
      </c>
      <c r="E1850" s="380">
        <v>42401</v>
      </c>
      <c r="F1850" s="381">
        <v>1089.54</v>
      </c>
    </row>
    <row r="1851" spans="1:6" s="295" customFormat="1" x14ac:dyDescent="0.15">
      <c r="A1851" s="374" t="s">
        <v>1311</v>
      </c>
      <c r="B1851" s="287" t="s">
        <v>1244</v>
      </c>
      <c r="C1851" s="287" t="s">
        <v>1245</v>
      </c>
      <c r="D1851" s="287">
        <v>1062.0999999999999</v>
      </c>
      <c r="E1851" s="380">
        <v>42401</v>
      </c>
      <c r="F1851" s="381">
        <v>995.87</v>
      </c>
    </row>
    <row r="1852" spans="1:6" s="295" customFormat="1" x14ac:dyDescent="0.15">
      <c r="A1852" s="374" t="s">
        <v>1311</v>
      </c>
      <c r="B1852" s="287" t="s">
        <v>1246</v>
      </c>
      <c r="C1852" s="287" t="s">
        <v>1247</v>
      </c>
      <c r="D1852" s="287">
        <v>1200.8</v>
      </c>
      <c r="E1852" s="380">
        <v>42401</v>
      </c>
      <c r="F1852" s="381">
        <v>1121.1600000000001</v>
      </c>
    </row>
    <row r="1853" spans="1:6" s="295" customFormat="1" x14ac:dyDescent="0.15">
      <c r="A1853" s="374" t="s">
        <v>1311</v>
      </c>
      <c r="B1853" s="287" t="s">
        <v>1248</v>
      </c>
      <c r="C1853" s="287" t="s">
        <v>1249</v>
      </c>
      <c r="D1853" s="287">
        <v>291.2</v>
      </c>
      <c r="E1853" s="380">
        <v>42401</v>
      </c>
      <c r="F1853" s="381">
        <v>315.18</v>
      </c>
    </row>
    <row r="1854" spans="1:6" s="295" customFormat="1" x14ac:dyDescent="0.15">
      <c r="A1854" s="374" t="s">
        <v>1311</v>
      </c>
      <c r="B1854" s="287" t="s">
        <v>1250</v>
      </c>
      <c r="C1854" s="287" t="s">
        <v>1251</v>
      </c>
      <c r="D1854" s="287">
        <v>67.900000000000006</v>
      </c>
      <c r="E1854" s="380">
        <v>42401</v>
      </c>
      <c r="F1854" s="381">
        <v>91.92</v>
      </c>
    </row>
    <row r="1855" spans="1:6" s="295" customFormat="1" x14ac:dyDescent="0.15">
      <c r="A1855" s="374" t="s">
        <v>1311</v>
      </c>
      <c r="B1855" s="287" t="s">
        <v>1252</v>
      </c>
      <c r="C1855" s="287" t="s">
        <v>1253</v>
      </c>
      <c r="D1855" s="287">
        <v>1093</v>
      </c>
      <c r="E1855" s="380">
        <v>42401</v>
      </c>
      <c r="F1855" s="381">
        <v>1023.79</v>
      </c>
    </row>
    <row r="1856" spans="1:6" s="295" customFormat="1" x14ac:dyDescent="0.15">
      <c r="A1856" s="374" t="s">
        <v>1311</v>
      </c>
      <c r="B1856" s="287" t="s">
        <v>1275</v>
      </c>
      <c r="C1856" s="287" t="s">
        <v>1276</v>
      </c>
      <c r="D1856" s="397">
        <v>1050.8</v>
      </c>
      <c r="E1856" s="380">
        <v>42401</v>
      </c>
      <c r="F1856" s="381">
        <v>985.67</v>
      </c>
    </row>
    <row r="1857" spans="1:6" s="295" customFormat="1" x14ac:dyDescent="0.15">
      <c r="A1857" s="374" t="s">
        <v>1311</v>
      </c>
      <c r="B1857" s="287" t="s">
        <v>1279</v>
      </c>
      <c r="C1857" s="287" t="s">
        <v>1280</v>
      </c>
      <c r="D1857" s="397">
        <v>733.8</v>
      </c>
      <c r="E1857" s="380">
        <v>42401</v>
      </c>
      <c r="F1857" s="381">
        <v>699.31</v>
      </c>
    </row>
    <row r="1858" spans="1:6" s="295" customFormat="1" x14ac:dyDescent="0.15">
      <c r="A1858" s="374" t="s">
        <v>1311</v>
      </c>
      <c r="B1858" s="287" t="s">
        <v>1284</v>
      </c>
      <c r="C1858" s="287" t="s">
        <v>1285</v>
      </c>
      <c r="D1858" s="397">
        <v>310.8</v>
      </c>
      <c r="E1858" s="380">
        <v>42401</v>
      </c>
      <c r="F1858" s="381">
        <v>334.21</v>
      </c>
    </row>
    <row r="1859" spans="1:6" s="295" customFormat="1" x14ac:dyDescent="0.15">
      <c r="A1859" s="374" t="s">
        <v>1311</v>
      </c>
      <c r="B1859" s="287" t="s">
        <v>1288</v>
      </c>
      <c r="C1859" s="287" t="s">
        <v>1289</v>
      </c>
      <c r="D1859" s="397">
        <v>889</v>
      </c>
      <c r="E1859" s="403">
        <v>42401</v>
      </c>
      <c r="F1859" s="381">
        <v>839.51</v>
      </c>
    </row>
    <row r="1860" spans="1:6" s="295" customFormat="1" ht="14" thickBot="1" x14ac:dyDescent="0.2">
      <c r="A1860" s="374"/>
      <c r="B1860" s="287"/>
      <c r="C1860" s="291" t="s">
        <v>115</v>
      </c>
      <c r="D1860" s="383">
        <f>SUM(D1842:D1859)</f>
        <v>18244.3</v>
      </c>
      <c r="E1860" s="404"/>
      <c r="F1860" s="389">
        <v>17084.919999999998</v>
      </c>
    </row>
    <row r="1861" spans="1:6" s="295" customFormat="1" ht="14" thickTop="1" x14ac:dyDescent="0.15">
      <c r="A1861" s="374"/>
      <c r="B1861" s="287"/>
      <c r="C1861" s="287"/>
      <c r="D1861" s="287"/>
      <c r="E1861" s="380"/>
      <c r="F1861" s="381"/>
    </row>
    <row r="1862" spans="1:6" s="295" customFormat="1" x14ac:dyDescent="0.15">
      <c r="A1862" s="374"/>
      <c r="B1862" s="287"/>
      <c r="C1862" s="378" t="s">
        <v>1212</v>
      </c>
      <c r="D1862" s="287"/>
      <c r="E1862" s="380"/>
      <c r="F1862" s="381"/>
    </row>
    <row r="1863" spans="1:6" s="295" customFormat="1" x14ac:dyDescent="0.15">
      <c r="A1863" s="374"/>
      <c r="B1863" s="287"/>
      <c r="C1863" s="378" t="s">
        <v>1139</v>
      </c>
      <c r="D1863" s="287"/>
      <c r="E1863" s="380"/>
      <c r="F1863" s="381"/>
    </row>
    <row r="1864" spans="1:6" s="295" customFormat="1" x14ac:dyDescent="0.15">
      <c r="A1864" s="374"/>
      <c r="B1864" s="287"/>
      <c r="C1864" s="386">
        <v>42400</v>
      </c>
      <c r="D1864" s="287"/>
      <c r="E1864" s="380"/>
      <c r="F1864" s="381"/>
    </row>
    <row r="1865" spans="1:6" s="295" customFormat="1" x14ac:dyDescent="0.15">
      <c r="A1865" s="409"/>
      <c r="B1865" s="410"/>
      <c r="C1865" s="410"/>
      <c r="D1865" s="410"/>
      <c r="E1865" s="403"/>
      <c r="F1865" s="411"/>
    </row>
    <row r="1866" spans="1:6" s="295" customFormat="1" ht="14" thickBot="1" x14ac:dyDescent="0.2">
      <c r="A1866" s="412"/>
      <c r="B1866" s="281"/>
      <c r="C1866" s="291" t="s">
        <v>1168</v>
      </c>
      <c r="D1866" s="383">
        <f>SUM(D1836,D1860)</f>
        <v>27669.5</v>
      </c>
      <c r="E1866" s="384"/>
      <c r="F1866" s="389">
        <v>26191.019999999997</v>
      </c>
    </row>
    <row r="1867" spans="1:6" s="295" customFormat="1" ht="14" thickTop="1" x14ac:dyDescent="0.15">
      <c r="E1867" s="408"/>
      <c r="F1867" s="298"/>
    </row>
    <row r="1868" spans="1:6" s="295" customFormat="1" x14ac:dyDescent="0.15">
      <c r="A1868" s="370" t="s">
        <v>1299</v>
      </c>
      <c r="B1868" s="371" t="s">
        <v>1269</v>
      </c>
      <c r="C1868" s="371" t="s">
        <v>1270</v>
      </c>
      <c r="D1868" s="371">
        <v>701.1</v>
      </c>
      <c r="E1868" s="390">
        <v>42417</v>
      </c>
      <c r="F1868" s="391">
        <v>669.78</v>
      </c>
    </row>
    <row r="1869" spans="1:6" s="295" customFormat="1" x14ac:dyDescent="0.15">
      <c r="A1869" s="374" t="s">
        <v>1293</v>
      </c>
      <c r="B1869" s="287" t="s">
        <v>1257</v>
      </c>
      <c r="C1869" s="287" t="s">
        <v>1258</v>
      </c>
      <c r="D1869" s="287">
        <v>843.2</v>
      </c>
      <c r="E1869" s="380">
        <v>42417</v>
      </c>
      <c r="F1869" s="381">
        <v>798.13</v>
      </c>
    </row>
    <row r="1870" spans="1:6" s="295" customFormat="1" x14ac:dyDescent="0.15">
      <c r="A1870" s="374" t="s">
        <v>1294</v>
      </c>
      <c r="B1870" s="287" t="s">
        <v>1259</v>
      </c>
      <c r="C1870" s="287" t="s">
        <v>1260</v>
      </c>
      <c r="D1870" s="287">
        <v>358.3</v>
      </c>
      <c r="E1870" s="380">
        <v>42417</v>
      </c>
      <c r="F1870" s="381">
        <v>380.87</v>
      </c>
    </row>
    <row r="1871" spans="1:6" s="295" customFormat="1" x14ac:dyDescent="0.15">
      <c r="A1871" s="374" t="s">
        <v>1296</v>
      </c>
      <c r="B1871" s="287" t="s">
        <v>1278</v>
      </c>
      <c r="C1871" s="287" t="s">
        <v>1264</v>
      </c>
      <c r="D1871" s="287">
        <v>656.8</v>
      </c>
      <c r="E1871" s="380">
        <v>42417</v>
      </c>
      <c r="F1871" s="381">
        <v>629.77</v>
      </c>
    </row>
    <row r="1872" spans="1:6" s="295" customFormat="1" x14ac:dyDescent="0.15">
      <c r="A1872" s="374" t="s">
        <v>1295</v>
      </c>
      <c r="B1872" s="287" t="s">
        <v>1261</v>
      </c>
      <c r="C1872" s="287" t="s">
        <v>1262</v>
      </c>
      <c r="D1872" s="287">
        <v>539.5</v>
      </c>
      <c r="E1872" s="380">
        <v>42417</v>
      </c>
      <c r="F1872" s="381">
        <v>558.9</v>
      </c>
    </row>
    <row r="1873" spans="1:6" s="295" customFormat="1" x14ac:dyDescent="0.15">
      <c r="A1873" s="374" t="s">
        <v>1301</v>
      </c>
      <c r="B1873" s="287" t="s">
        <v>1286</v>
      </c>
      <c r="C1873" s="287" t="s">
        <v>1287</v>
      </c>
      <c r="D1873" s="287">
        <v>323.3</v>
      </c>
      <c r="E1873" s="380">
        <v>42417</v>
      </c>
      <c r="F1873" s="381">
        <v>328.51</v>
      </c>
    </row>
    <row r="1874" spans="1:6" s="295" customFormat="1" x14ac:dyDescent="0.15">
      <c r="A1874" s="374" t="s">
        <v>1297</v>
      </c>
      <c r="B1874" s="287" t="s">
        <v>1265</v>
      </c>
      <c r="C1874" s="287" t="s">
        <v>1266</v>
      </c>
      <c r="D1874" s="287">
        <v>330.5</v>
      </c>
      <c r="E1874" s="380">
        <v>42417</v>
      </c>
      <c r="F1874" s="381">
        <v>353.56</v>
      </c>
    </row>
    <row r="1875" spans="1:6" s="295" customFormat="1" x14ac:dyDescent="0.15">
      <c r="A1875" s="374" t="s">
        <v>1298</v>
      </c>
      <c r="B1875" s="287" t="s">
        <v>1267</v>
      </c>
      <c r="C1875" s="287" t="s">
        <v>1268</v>
      </c>
      <c r="D1875" s="287">
        <v>774.2</v>
      </c>
      <c r="E1875" s="380">
        <v>42417</v>
      </c>
      <c r="F1875" s="381">
        <v>789.49</v>
      </c>
    </row>
    <row r="1876" spans="1:6" s="295" customFormat="1" x14ac:dyDescent="0.15">
      <c r="A1876" s="374" t="s">
        <v>1300</v>
      </c>
      <c r="B1876" s="287" t="s">
        <v>1271</v>
      </c>
      <c r="C1876" s="287" t="s">
        <v>1272</v>
      </c>
      <c r="D1876" s="287">
        <v>646.5</v>
      </c>
      <c r="E1876" s="380">
        <v>42417</v>
      </c>
      <c r="F1876" s="381">
        <v>620.46</v>
      </c>
    </row>
    <row r="1877" spans="1:6" s="295" customFormat="1" x14ac:dyDescent="0.15">
      <c r="A1877" s="374" t="s">
        <v>1290</v>
      </c>
      <c r="B1877" s="287" t="s">
        <v>1291</v>
      </c>
      <c r="C1877" s="287" t="s">
        <v>1277</v>
      </c>
      <c r="D1877" s="287">
        <v>1163</v>
      </c>
      <c r="E1877" s="380">
        <v>42417</v>
      </c>
      <c r="F1877" s="381">
        <v>1087.02</v>
      </c>
    </row>
    <row r="1878" spans="1:6" s="295" customFormat="1" x14ac:dyDescent="0.15">
      <c r="A1878" s="374" t="s">
        <v>1292</v>
      </c>
      <c r="B1878" s="287" t="s">
        <v>1255</v>
      </c>
      <c r="C1878" s="287" t="s">
        <v>1256</v>
      </c>
      <c r="D1878" s="287">
        <v>2239.1</v>
      </c>
      <c r="E1878" s="380">
        <v>42417</v>
      </c>
      <c r="F1878" s="381">
        <v>2056.35</v>
      </c>
    </row>
    <row r="1879" spans="1:6" s="295" customFormat="1" x14ac:dyDescent="0.15">
      <c r="A1879" s="374" t="s">
        <v>1312</v>
      </c>
      <c r="B1879" s="287" t="s">
        <v>1313</v>
      </c>
      <c r="C1879" s="287" t="s">
        <v>1313</v>
      </c>
      <c r="D1879" s="287">
        <v>1183.9000000000001</v>
      </c>
      <c r="E1879" s="380">
        <v>42417</v>
      </c>
      <c r="F1879" s="381">
        <v>1105.8800000000001</v>
      </c>
    </row>
    <row r="1880" spans="1:6" s="295" customFormat="1" x14ac:dyDescent="0.15">
      <c r="A1880" s="374" t="s">
        <v>1314</v>
      </c>
      <c r="B1880" s="287" t="s">
        <v>1315</v>
      </c>
      <c r="C1880" s="287" t="s">
        <v>1316</v>
      </c>
      <c r="D1880" s="287">
        <v>186.3</v>
      </c>
      <c r="E1880" s="380">
        <v>42417</v>
      </c>
      <c r="F1880" s="381">
        <v>205.76</v>
      </c>
    </row>
    <row r="1881" spans="1:6" s="295" customFormat="1" ht="14" thickBot="1" x14ac:dyDescent="0.2">
      <c r="A1881" s="374"/>
      <c r="B1881" s="287"/>
      <c r="C1881" s="291" t="s">
        <v>115</v>
      </c>
      <c r="D1881" s="394">
        <f>SUM(D1868:D1880)</f>
        <v>9945.6999999999989</v>
      </c>
      <c r="E1881" s="384"/>
      <c r="F1881" s="389">
        <v>9584.48</v>
      </c>
    </row>
    <row r="1882" spans="1:6" s="295" customFormat="1" ht="14" thickTop="1" x14ac:dyDescent="0.15">
      <c r="A1882" s="374"/>
      <c r="B1882" s="287"/>
      <c r="C1882" s="287"/>
      <c r="D1882" s="287"/>
      <c r="E1882" s="380"/>
      <c r="F1882" s="381"/>
    </row>
    <row r="1883" spans="1:6" s="295" customFormat="1" x14ac:dyDescent="0.15">
      <c r="A1883" s="374"/>
      <c r="B1883" s="287"/>
      <c r="C1883" s="378" t="s">
        <v>1212</v>
      </c>
      <c r="D1883" s="287"/>
      <c r="E1883" s="380"/>
      <c r="F1883" s="381"/>
    </row>
    <row r="1884" spans="1:6" s="295" customFormat="1" x14ac:dyDescent="0.15">
      <c r="A1884" s="374"/>
      <c r="B1884" s="287"/>
      <c r="C1884" s="378" t="s">
        <v>1139</v>
      </c>
      <c r="D1884" s="287"/>
      <c r="E1884" s="380"/>
      <c r="F1884" s="381"/>
    </row>
    <row r="1885" spans="1:6" s="295" customFormat="1" x14ac:dyDescent="0.15">
      <c r="A1885" s="374"/>
      <c r="B1885" s="287"/>
      <c r="C1885" s="386">
        <v>42429</v>
      </c>
      <c r="D1885" s="287"/>
      <c r="E1885" s="380"/>
      <c r="F1885" s="381"/>
    </row>
    <row r="1886" spans="1:6" s="295" customFormat="1" x14ac:dyDescent="0.15">
      <c r="A1886" s="409"/>
      <c r="B1886" s="410"/>
      <c r="C1886" s="410"/>
      <c r="D1886" s="410"/>
      <c r="E1886" s="403"/>
      <c r="F1886" s="411"/>
    </row>
    <row r="1887" spans="1:6" s="295" customFormat="1" x14ac:dyDescent="0.15">
      <c r="A1887" s="370" t="s">
        <v>1302</v>
      </c>
      <c r="B1887" s="371" t="s">
        <v>1226</v>
      </c>
      <c r="C1887" s="371" t="s">
        <v>1227</v>
      </c>
      <c r="D1887" s="371">
        <v>1227.7</v>
      </c>
      <c r="E1887" s="390">
        <v>42430</v>
      </c>
      <c r="F1887" s="391">
        <v>1145.46</v>
      </c>
    </row>
    <row r="1888" spans="1:6" s="295" customFormat="1" x14ac:dyDescent="0.15">
      <c r="A1888" s="374" t="s">
        <v>1303</v>
      </c>
      <c r="B1888" s="287" t="s">
        <v>1228</v>
      </c>
      <c r="C1888" s="287" t="s">
        <v>1229</v>
      </c>
      <c r="D1888" s="287">
        <v>1313.2</v>
      </c>
      <c r="E1888" s="380">
        <v>42430</v>
      </c>
      <c r="F1888" s="381">
        <v>1219.52</v>
      </c>
    </row>
    <row r="1889" spans="1:6" s="295" customFormat="1" x14ac:dyDescent="0.15">
      <c r="A1889" s="374" t="s">
        <v>1304</v>
      </c>
      <c r="B1889" s="287" t="s">
        <v>1230</v>
      </c>
      <c r="C1889" s="287" t="s">
        <v>1231</v>
      </c>
      <c r="D1889" s="287">
        <v>816.8</v>
      </c>
      <c r="E1889" s="380">
        <v>42430</v>
      </c>
      <c r="F1889" s="381">
        <v>774.29</v>
      </c>
    </row>
    <row r="1890" spans="1:6" s="295" customFormat="1" x14ac:dyDescent="0.15">
      <c r="A1890" s="374" t="s">
        <v>1305</v>
      </c>
      <c r="B1890" s="287" t="s">
        <v>1306</v>
      </c>
      <c r="C1890" s="287" t="s">
        <v>1233</v>
      </c>
      <c r="D1890" s="287">
        <v>1431.7</v>
      </c>
      <c r="E1890" s="380">
        <v>42430</v>
      </c>
      <c r="F1890" s="381">
        <v>1212.94</v>
      </c>
    </row>
    <row r="1891" spans="1:6" s="295" customFormat="1" x14ac:dyDescent="0.15">
      <c r="A1891" s="374" t="s">
        <v>1307</v>
      </c>
      <c r="B1891" s="287" t="s">
        <v>1234</v>
      </c>
      <c r="C1891" s="287" t="s">
        <v>500</v>
      </c>
      <c r="D1891" s="287">
        <v>1499.6</v>
      </c>
      <c r="E1891" s="380">
        <v>42430</v>
      </c>
      <c r="F1891" s="381">
        <v>1391.06</v>
      </c>
    </row>
    <row r="1892" spans="1:6" s="295" customFormat="1" x14ac:dyDescent="0.15">
      <c r="A1892" s="374" t="s">
        <v>1308</v>
      </c>
      <c r="B1892" s="287" t="s">
        <v>1235</v>
      </c>
      <c r="C1892" s="287" t="s">
        <v>1236</v>
      </c>
      <c r="D1892" s="287">
        <v>1380.2</v>
      </c>
      <c r="E1892" s="380">
        <v>42430</v>
      </c>
      <c r="F1892" s="381">
        <v>1283.21</v>
      </c>
    </row>
    <row r="1893" spans="1:6" s="295" customFormat="1" x14ac:dyDescent="0.15">
      <c r="A1893" s="374" t="s">
        <v>1318</v>
      </c>
      <c r="B1893" s="287" t="s">
        <v>1238</v>
      </c>
      <c r="C1893" s="287" t="s">
        <v>1239</v>
      </c>
      <c r="D1893" s="287">
        <v>1240.0999999999999</v>
      </c>
      <c r="E1893" s="380">
        <v>42430</v>
      </c>
      <c r="F1893" s="381">
        <v>1156.6500000000001</v>
      </c>
    </row>
    <row r="1894" spans="1:6" s="295" customFormat="1" x14ac:dyDescent="0.15">
      <c r="A1894" s="374" t="s">
        <v>1309</v>
      </c>
      <c r="B1894" s="287" t="s">
        <v>1240</v>
      </c>
      <c r="C1894" s="287" t="s">
        <v>1241</v>
      </c>
      <c r="D1894" s="287">
        <v>878.6</v>
      </c>
      <c r="E1894" s="380">
        <v>42430</v>
      </c>
      <c r="F1894" s="381">
        <v>830.12</v>
      </c>
    </row>
    <row r="1895" spans="1:6" s="295" customFormat="1" x14ac:dyDescent="0.15">
      <c r="A1895" s="374" t="s">
        <v>1310</v>
      </c>
      <c r="B1895" s="287" t="s">
        <v>1282</v>
      </c>
      <c r="C1895" s="287" t="s">
        <v>1283</v>
      </c>
      <c r="D1895" s="287">
        <v>1121</v>
      </c>
      <c r="E1895" s="380">
        <v>42430</v>
      </c>
      <c r="F1895" s="381">
        <v>1049.08</v>
      </c>
    </row>
    <row r="1896" spans="1:6" s="295" customFormat="1" x14ac:dyDescent="0.15">
      <c r="A1896" s="374" t="s">
        <v>1319</v>
      </c>
      <c r="B1896" s="287" t="s">
        <v>1246</v>
      </c>
      <c r="C1896" s="287" t="s">
        <v>1247</v>
      </c>
      <c r="D1896" s="287">
        <v>1051.5999999999999</v>
      </c>
      <c r="E1896" s="380">
        <v>42430</v>
      </c>
      <c r="F1896" s="381">
        <v>986.38</v>
      </c>
    </row>
    <row r="1897" spans="1:6" s="295" customFormat="1" x14ac:dyDescent="0.15">
      <c r="A1897" s="374" t="s">
        <v>1311</v>
      </c>
      <c r="B1897" s="287" t="s">
        <v>1248</v>
      </c>
      <c r="C1897" s="287" t="s">
        <v>1249</v>
      </c>
      <c r="D1897" s="287">
        <v>244.1</v>
      </c>
      <c r="E1897" s="380">
        <v>42430</v>
      </c>
      <c r="F1897" s="381">
        <v>268.67</v>
      </c>
    </row>
    <row r="1898" spans="1:6" s="295" customFormat="1" x14ac:dyDescent="0.15">
      <c r="A1898" s="374" t="s">
        <v>1320</v>
      </c>
      <c r="B1898" s="287" t="s">
        <v>1288</v>
      </c>
      <c r="C1898" s="287" t="s">
        <v>1289</v>
      </c>
      <c r="D1898" s="397">
        <v>700.4</v>
      </c>
      <c r="E1898" s="403">
        <v>42430</v>
      </c>
      <c r="F1898" s="381">
        <v>669.14</v>
      </c>
    </row>
    <row r="1899" spans="1:6" s="295" customFormat="1" ht="14" thickBot="1" x14ac:dyDescent="0.2">
      <c r="A1899" s="374"/>
      <c r="B1899" s="287"/>
      <c r="C1899" s="291" t="s">
        <v>115</v>
      </c>
      <c r="D1899" s="383">
        <f>SUM(D1887:D1898)</f>
        <v>12905</v>
      </c>
      <c r="E1899" s="404"/>
      <c r="F1899" s="389">
        <v>11986.52</v>
      </c>
    </row>
    <row r="1900" spans="1:6" s="295" customFormat="1" ht="14" thickTop="1" x14ac:dyDescent="0.15">
      <c r="A1900" s="374"/>
      <c r="B1900" s="287"/>
      <c r="C1900" s="287"/>
      <c r="D1900" s="287"/>
      <c r="E1900" s="380"/>
      <c r="F1900" s="381"/>
    </row>
    <row r="1901" spans="1:6" s="295" customFormat="1" x14ac:dyDescent="0.15">
      <c r="A1901" s="374"/>
      <c r="B1901" s="287"/>
      <c r="C1901" s="378" t="s">
        <v>1212</v>
      </c>
      <c r="D1901" s="287"/>
      <c r="E1901" s="380"/>
      <c r="F1901" s="381"/>
    </row>
    <row r="1902" spans="1:6" s="295" customFormat="1" x14ac:dyDescent="0.15">
      <c r="A1902" s="374"/>
      <c r="B1902" s="287"/>
      <c r="C1902" s="378" t="s">
        <v>1139</v>
      </c>
      <c r="D1902" s="287"/>
      <c r="E1902" s="380"/>
      <c r="F1902" s="381"/>
    </row>
    <row r="1903" spans="1:6" s="295" customFormat="1" x14ac:dyDescent="0.15">
      <c r="A1903" s="374"/>
      <c r="B1903" s="287"/>
      <c r="C1903" s="386">
        <v>42429</v>
      </c>
      <c r="D1903" s="287"/>
      <c r="E1903" s="380"/>
      <c r="F1903" s="381"/>
    </row>
    <row r="1904" spans="1:6" s="295" customFormat="1" x14ac:dyDescent="0.15">
      <c r="A1904" s="374"/>
      <c r="B1904" s="287"/>
      <c r="C1904" s="386"/>
      <c r="D1904" s="287"/>
      <c r="E1904" s="380"/>
      <c r="F1904" s="381"/>
    </row>
    <row r="1905" spans="1:6" s="295" customFormat="1" x14ac:dyDescent="0.15">
      <c r="A1905" s="374" t="s">
        <v>1321</v>
      </c>
      <c r="B1905" s="287" t="s">
        <v>1244</v>
      </c>
      <c r="C1905" s="287" t="s">
        <v>1245</v>
      </c>
      <c r="D1905" s="287">
        <v>1175.7</v>
      </c>
      <c r="E1905" s="380">
        <v>42417</v>
      </c>
      <c r="F1905" s="381">
        <v>1098.48</v>
      </c>
    </row>
    <row r="1906" spans="1:6" s="295" customFormat="1" x14ac:dyDescent="0.15">
      <c r="A1906" s="374" t="s">
        <v>1322</v>
      </c>
      <c r="B1906" s="287" t="s">
        <v>1250</v>
      </c>
      <c r="C1906" s="287" t="s">
        <v>1251</v>
      </c>
      <c r="D1906" s="287">
        <v>66.900000000000006</v>
      </c>
      <c r="E1906" s="380">
        <v>42418</v>
      </c>
      <c r="F1906" s="381">
        <v>90.75</v>
      </c>
    </row>
    <row r="1907" spans="1:6" s="295" customFormat="1" x14ac:dyDescent="0.15">
      <c r="A1907" s="374" t="s">
        <v>1323</v>
      </c>
      <c r="B1907" s="287" t="s">
        <v>1252</v>
      </c>
      <c r="C1907" s="287" t="s">
        <v>1253</v>
      </c>
      <c r="D1907" s="287">
        <v>1153</v>
      </c>
      <c r="E1907" s="380">
        <v>42417</v>
      </c>
      <c r="F1907" s="381">
        <v>1077.99</v>
      </c>
    </row>
    <row r="1908" spans="1:6" s="295" customFormat="1" x14ac:dyDescent="0.15">
      <c r="A1908" s="374" t="s">
        <v>1324</v>
      </c>
      <c r="B1908" s="287" t="s">
        <v>1275</v>
      </c>
      <c r="C1908" s="287" t="s">
        <v>1276</v>
      </c>
      <c r="D1908" s="397">
        <v>1100.5</v>
      </c>
      <c r="E1908" s="380">
        <v>42417</v>
      </c>
      <c r="F1908" s="381">
        <v>1030.56</v>
      </c>
    </row>
    <row r="1909" spans="1:6" s="295" customFormat="1" x14ac:dyDescent="0.15">
      <c r="A1909" s="374" t="s">
        <v>1325</v>
      </c>
      <c r="B1909" s="287" t="s">
        <v>1279</v>
      </c>
      <c r="C1909" s="287" t="s">
        <v>1280</v>
      </c>
      <c r="D1909" s="397">
        <v>822.6</v>
      </c>
      <c r="E1909" s="380">
        <v>42417</v>
      </c>
      <c r="F1909" s="381">
        <v>779.53</v>
      </c>
    </row>
    <row r="1910" spans="1:6" s="295" customFormat="1" x14ac:dyDescent="0.15">
      <c r="A1910" s="374" t="s">
        <v>1326</v>
      </c>
      <c r="B1910" s="287" t="s">
        <v>1284</v>
      </c>
      <c r="C1910" s="287" t="s">
        <v>1285</v>
      </c>
      <c r="D1910" s="397">
        <v>330.5</v>
      </c>
      <c r="E1910" s="403">
        <v>42417</v>
      </c>
      <c r="F1910" s="381">
        <v>353.56</v>
      </c>
    </row>
    <row r="1911" spans="1:6" s="295" customFormat="1" ht="14" thickBot="1" x14ac:dyDescent="0.2">
      <c r="A1911" s="374"/>
      <c r="B1911" s="287"/>
      <c r="C1911" s="291" t="s">
        <v>115</v>
      </c>
      <c r="D1911" s="383">
        <f>SUM(D1905:D1910)</f>
        <v>4649.2000000000007</v>
      </c>
      <c r="E1911" s="404"/>
      <c r="F1911" s="389">
        <v>4430.87</v>
      </c>
    </row>
    <row r="1912" spans="1:6" s="295" customFormat="1" ht="14" thickTop="1" x14ac:dyDescent="0.15">
      <c r="A1912" s="374"/>
      <c r="B1912" s="287"/>
      <c r="C1912" s="386"/>
      <c r="D1912" s="287"/>
      <c r="E1912" s="380"/>
      <c r="F1912" s="381"/>
    </row>
    <row r="1913" spans="1:6" s="295" customFormat="1" x14ac:dyDescent="0.15">
      <c r="A1913" s="374"/>
      <c r="B1913" s="287"/>
      <c r="C1913" s="378" t="s">
        <v>1212</v>
      </c>
      <c r="D1913" s="287"/>
      <c r="E1913" s="380"/>
      <c r="F1913" s="381"/>
    </row>
    <row r="1914" spans="1:6" s="295" customFormat="1" x14ac:dyDescent="0.15">
      <c r="A1914" s="374"/>
      <c r="B1914" s="287"/>
      <c r="C1914" s="378" t="s">
        <v>1139</v>
      </c>
      <c r="D1914" s="287"/>
      <c r="E1914" s="380"/>
      <c r="F1914" s="381"/>
    </row>
    <row r="1915" spans="1:6" s="295" customFormat="1" x14ac:dyDescent="0.15">
      <c r="A1915" s="374"/>
      <c r="B1915" s="287"/>
      <c r="C1915" s="386">
        <v>42429</v>
      </c>
      <c r="D1915" s="287"/>
      <c r="E1915" s="380"/>
      <c r="F1915" s="381"/>
    </row>
    <row r="1916" spans="1:6" s="295" customFormat="1" x14ac:dyDescent="0.15">
      <c r="A1916" s="409"/>
      <c r="B1916" s="410"/>
      <c r="C1916" s="410"/>
      <c r="D1916" s="410"/>
      <c r="E1916" s="403"/>
      <c r="F1916" s="411"/>
    </row>
    <row r="1917" spans="1:6" s="295" customFormat="1" ht="14" thickBot="1" x14ac:dyDescent="0.2">
      <c r="A1917" s="412"/>
      <c r="B1917" s="281"/>
      <c r="C1917" s="291" t="s">
        <v>1169</v>
      </c>
      <c r="D1917" s="383">
        <f>SUM(D1881,D1899,D1911)</f>
        <v>27499.899999999998</v>
      </c>
      <c r="E1917" s="384"/>
      <c r="F1917" s="389">
        <v>26001.87</v>
      </c>
    </row>
    <row r="1918" spans="1:6" s="295" customFormat="1" ht="14" thickTop="1" x14ac:dyDescent="0.15">
      <c r="E1918" s="408"/>
      <c r="F1918" s="298"/>
    </row>
    <row r="1919" spans="1:6" s="295" customFormat="1" x14ac:dyDescent="0.15">
      <c r="E1919" s="408"/>
      <c r="F1919" s="298"/>
    </row>
    <row r="1920" spans="1:6" s="295" customFormat="1" x14ac:dyDescent="0.15">
      <c r="A1920" s="370" t="s">
        <v>1299</v>
      </c>
      <c r="B1920" s="371" t="s">
        <v>1269</v>
      </c>
      <c r="C1920" s="371" t="s">
        <v>1270</v>
      </c>
      <c r="D1920" s="371">
        <v>704.8</v>
      </c>
      <c r="E1920" s="390">
        <v>42445</v>
      </c>
      <c r="F1920" s="391">
        <v>673.12</v>
      </c>
    </row>
    <row r="1921" spans="1:6" s="295" customFormat="1" x14ac:dyDescent="0.15">
      <c r="A1921" s="374" t="s">
        <v>1293</v>
      </c>
      <c r="B1921" s="287" t="s">
        <v>1257</v>
      </c>
      <c r="C1921" s="287" t="s">
        <v>1258</v>
      </c>
      <c r="D1921" s="287">
        <v>861.4</v>
      </c>
      <c r="E1921" s="380">
        <v>42445</v>
      </c>
      <c r="F1921" s="381">
        <v>814.57</v>
      </c>
    </row>
    <row r="1922" spans="1:6" s="295" customFormat="1" x14ac:dyDescent="0.15">
      <c r="A1922" s="374" t="s">
        <v>1294</v>
      </c>
      <c r="B1922" s="287" t="s">
        <v>1259</v>
      </c>
      <c r="C1922" s="287" t="s">
        <v>1260</v>
      </c>
      <c r="D1922" s="287">
        <v>326.60000000000002</v>
      </c>
      <c r="E1922" s="380">
        <v>42445</v>
      </c>
      <c r="F1922" s="381">
        <v>349.72</v>
      </c>
    </row>
    <row r="1923" spans="1:6" s="295" customFormat="1" x14ac:dyDescent="0.15">
      <c r="A1923" s="374" t="s">
        <v>1296</v>
      </c>
      <c r="B1923" s="287" t="s">
        <v>1278</v>
      </c>
      <c r="C1923" s="287" t="s">
        <v>1264</v>
      </c>
      <c r="D1923" s="287">
        <v>647.1</v>
      </c>
      <c r="E1923" s="380">
        <v>42445</v>
      </c>
      <c r="F1923" s="381">
        <v>621</v>
      </c>
    </row>
    <row r="1924" spans="1:6" s="295" customFormat="1" x14ac:dyDescent="0.15">
      <c r="A1924" s="374" t="s">
        <v>1295</v>
      </c>
      <c r="B1924" s="287" t="s">
        <v>1261</v>
      </c>
      <c r="C1924" s="287" t="s">
        <v>1262</v>
      </c>
      <c r="D1924" s="287">
        <v>509</v>
      </c>
      <c r="E1924" s="380">
        <v>42445</v>
      </c>
      <c r="F1924" s="381">
        <v>528.94000000000005</v>
      </c>
    </row>
    <row r="1925" spans="1:6" s="295" customFormat="1" x14ac:dyDescent="0.15">
      <c r="A1925" s="374" t="s">
        <v>1301</v>
      </c>
      <c r="B1925" s="287" t="s">
        <v>1286</v>
      </c>
      <c r="C1925" s="287" t="s">
        <v>1287</v>
      </c>
      <c r="D1925" s="287">
        <v>287.5</v>
      </c>
      <c r="E1925" s="380">
        <v>42445</v>
      </c>
      <c r="F1925" s="381">
        <v>296.17</v>
      </c>
    </row>
    <row r="1926" spans="1:6" s="295" customFormat="1" x14ac:dyDescent="0.15">
      <c r="A1926" s="374" t="s">
        <v>1297</v>
      </c>
      <c r="B1926" s="287" t="s">
        <v>1265</v>
      </c>
      <c r="C1926" s="287" t="s">
        <v>1266</v>
      </c>
      <c r="D1926" s="287">
        <v>334.9</v>
      </c>
      <c r="E1926" s="380">
        <v>42445</v>
      </c>
      <c r="F1926" s="381">
        <v>357.88</v>
      </c>
    </row>
    <row r="1927" spans="1:6" s="295" customFormat="1" x14ac:dyDescent="0.15">
      <c r="A1927" s="374" t="s">
        <v>1298</v>
      </c>
      <c r="B1927" s="287" t="s">
        <v>1267</v>
      </c>
      <c r="C1927" s="287" t="s">
        <v>1268</v>
      </c>
      <c r="D1927" s="287">
        <v>776.9</v>
      </c>
      <c r="E1927" s="380">
        <v>42445</v>
      </c>
      <c r="F1927" s="381">
        <v>792.15</v>
      </c>
    </row>
    <row r="1928" spans="1:6" s="295" customFormat="1" x14ac:dyDescent="0.15">
      <c r="A1928" s="374" t="s">
        <v>1300</v>
      </c>
      <c r="B1928" s="287" t="s">
        <v>1271</v>
      </c>
      <c r="C1928" s="287" t="s">
        <v>1272</v>
      </c>
      <c r="D1928" s="287">
        <v>601.70000000000005</v>
      </c>
      <c r="E1928" s="380">
        <v>42445</v>
      </c>
      <c r="F1928" s="381">
        <v>579.98</v>
      </c>
    </row>
    <row r="1929" spans="1:6" s="295" customFormat="1" x14ac:dyDescent="0.15">
      <c r="A1929" s="374" t="s">
        <v>1290</v>
      </c>
      <c r="B1929" s="287" t="s">
        <v>1291</v>
      </c>
      <c r="C1929" s="287" t="s">
        <v>1277</v>
      </c>
      <c r="D1929" s="287">
        <v>1124.9000000000001</v>
      </c>
      <c r="E1929" s="380">
        <v>42445</v>
      </c>
      <c r="F1929" s="381">
        <v>1052.5999999999999</v>
      </c>
    </row>
    <row r="1930" spans="1:6" s="295" customFormat="1" x14ac:dyDescent="0.15">
      <c r="A1930" s="374" t="s">
        <v>1292</v>
      </c>
      <c r="B1930" s="287" t="s">
        <v>1255</v>
      </c>
      <c r="C1930" s="287" t="s">
        <v>1256</v>
      </c>
      <c r="D1930" s="287">
        <v>2032.9</v>
      </c>
      <c r="E1930" s="380">
        <v>42445</v>
      </c>
      <c r="F1930" s="381">
        <v>1869.98</v>
      </c>
    </row>
    <row r="1931" spans="1:6" s="295" customFormat="1" x14ac:dyDescent="0.15">
      <c r="A1931" s="374" t="s">
        <v>1312</v>
      </c>
      <c r="B1931" s="287" t="s">
        <v>1313</v>
      </c>
      <c r="C1931" s="287" t="s">
        <v>1313</v>
      </c>
      <c r="D1931" s="287">
        <v>1076.8</v>
      </c>
      <c r="E1931" s="380">
        <v>42445</v>
      </c>
      <c r="F1931" s="381">
        <v>1009.15</v>
      </c>
    </row>
    <row r="1932" spans="1:6" s="295" customFormat="1" x14ac:dyDescent="0.15">
      <c r="A1932" s="374" t="s">
        <v>1314</v>
      </c>
      <c r="B1932" s="287" t="s">
        <v>1315</v>
      </c>
      <c r="C1932" s="287" t="s">
        <v>1316</v>
      </c>
      <c r="D1932" s="287">
        <v>207.1</v>
      </c>
      <c r="E1932" s="380">
        <v>42445</v>
      </c>
      <c r="F1932" s="381">
        <v>224.42</v>
      </c>
    </row>
    <row r="1933" spans="1:6" s="295" customFormat="1" x14ac:dyDescent="0.15">
      <c r="A1933" s="374" t="s">
        <v>1322</v>
      </c>
      <c r="B1933" s="287" t="s">
        <v>1250</v>
      </c>
      <c r="C1933" s="287" t="s">
        <v>1251</v>
      </c>
      <c r="D1933" s="287">
        <v>64.900000000000006</v>
      </c>
      <c r="E1933" s="380">
        <v>42445</v>
      </c>
      <c r="F1933" s="381">
        <v>88.42</v>
      </c>
    </row>
    <row r="1934" spans="1:6" s="295" customFormat="1" x14ac:dyDescent="0.15">
      <c r="A1934" s="374" t="s">
        <v>1326</v>
      </c>
      <c r="B1934" s="287" t="s">
        <v>1284</v>
      </c>
      <c r="C1934" s="287" t="s">
        <v>1285</v>
      </c>
      <c r="D1934" s="397">
        <v>311.2</v>
      </c>
      <c r="E1934" s="380">
        <v>42445</v>
      </c>
      <c r="F1934" s="381">
        <v>334.6</v>
      </c>
    </row>
    <row r="1935" spans="1:6" s="295" customFormat="1" x14ac:dyDescent="0.15">
      <c r="A1935" s="374" t="s">
        <v>1323</v>
      </c>
      <c r="B1935" s="287" t="s">
        <v>1252</v>
      </c>
      <c r="C1935" s="287" t="s">
        <v>1253</v>
      </c>
      <c r="D1935" s="287">
        <v>1157.0999999999999</v>
      </c>
      <c r="E1935" s="380">
        <v>42445</v>
      </c>
      <c r="F1935" s="381">
        <v>1081.68</v>
      </c>
    </row>
    <row r="1936" spans="1:6" s="295" customFormat="1" x14ac:dyDescent="0.15">
      <c r="A1936" s="374" t="s">
        <v>1325</v>
      </c>
      <c r="B1936" s="287" t="s">
        <v>1279</v>
      </c>
      <c r="C1936" s="287" t="s">
        <v>1280</v>
      </c>
      <c r="D1936" s="397">
        <v>824.3</v>
      </c>
      <c r="E1936" s="380">
        <v>42445</v>
      </c>
      <c r="F1936" s="381">
        <v>781.07</v>
      </c>
    </row>
    <row r="1937" spans="1:6" s="295" customFormat="1" x14ac:dyDescent="0.15">
      <c r="A1937" s="374" t="s">
        <v>1324</v>
      </c>
      <c r="B1937" s="287" t="s">
        <v>1275</v>
      </c>
      <c r="C1937" s="287" t="s">
        <v>1276</v>
      </c>
      <c r="D1937" s="397">
        <v>1096.3</v>
      </c>
      <c r="E1937" s="380">
        <v>42445</v>
      </c>
      <c r="F1937" s="381">
        <v>1026.76</v>
      </c>
    </row>
    <row r="1938" spans="1:6" s="295" customFormat="1" x14ac:dyDescent="0.15">
      <c r="A1938" s="374" t="s">
        <v>1321</v>
      </c>
      <c r="B1938" s="287" t="s">
        <v>1244</v>
      </c>
      <c r="C1938" s="287" t="s">
        <v>1245</v>
      </c>
      <c r="D1938" s="287">
        <v>1160.2</v>
      </c>
      <c r="E1938" s="380">
        <v>42445</v>
      </c>
      <c r="F1938" s="381">
        <v>1084.49</v>
      </c>
    </row>
    <row r="1939" spans="1:6" s="295" customFormat="1" ht="14" thickBot="1" x14ac:dyDescent="0.2">
      <c r="A1939" s="374"/>
      <c r="B1939" s="287"/>
      <c r="C1939" s="291" t="s">
        <v>115</v>
      </c>
      <c r="D1939" s="394">
        <f>SUM(D1920:D1938)</f>
        <v>14105.599999999999</v>
      </c>
      <c r="E1939" s="384"/>
      <c r="F1939" s="389">
        <v>13566.7</v>
      </c>
    </row>
    <row r="1940" spans="1:6" s="295" customFormat="1" ht="14" thickTop="1" x14ac:dyDescent="0.15">
      <c r="A1940" s="374"/>
      <c r="B1940" s="287"/>
      <c r="C1940" s="287"/>
      <c r="D1940" s="287"/>
      <c r="E1940" s="380"/>
      <c r="F1940" s="381"/>
    </row>
    <row r="1941" spans="1:6" s="295" customFormat="1" x14ac:dyDescent="0.15">
      <c r="A1941" s="374"/>
      <c r="B1941" s="287"/>
      <c r="C1941" s="378" t="s">
        <v>1212</v>
      </c>
      <c r="D1941" s="287"/>
      <c r="E1941" s="380"/>
      <c r="F1941" s="381"/>
    </row>
    <row r="1942" spans="1:6" s="295" customFormat="1" x14ac:dyDescent="0.15">
      <c r="A1942" s="374"/>
      <c r="B1942" s="287"/>
      <c r="C1942" s="378" t="s">
        <v>1139</v>
      </c>
      <c r="D1942" s="287"/>
      <c r="E1942" s="380"/>
      <c r="F1942" s="381"/>
    </row>
    <row r="1943" spans="1:6" s="295" customFormat="1" x14ac:dyDescent="0.15">
      <c r="A1943" s="374"/>
      <c r="B1943" s="287"/>
      <c r="C1943" s="386">
        <v>42452</v>
      </c>
      <c r="D1943" s="287"/>
      <c r="E1943" s="380"/>
      <c r="F1943" s="381"/>
    </row>
    <row r="1944" spans="1:6" s="295" customFormat="1" x14ac:dyDescent="0.15">
      <c r="A1944" s="409"/>
      <c r="B1944" s="410"/>
      <c r="C1944" s="410"/>
      <c r="D1944" s="410"/>
      <c r="E1944" s="403"/>
      <c r="F1944" s="411"/>
    </row>
    <row r="1945" spans="1:6" s="295" customFormat="1" x14ac:dyDescent="0.15">
      <c r="A1945" s="370" t="s">
        <v>1302</v>
      </c>
      <c r="B1945" s="371" t="s">
        <v>1226</v>
      </c>
      <c r="C1945" s="371" t="s">
        <v>1227</v>
      </c>
      <c r="D1945" s="371">
        <v>973.6</v>
      </c>
      <c r="E1945" s="390">
        <v>42461</v>
      </c>
      <c r="F1945" s="391">
        <v>915.93</v>
      </c>
    </row>
    <row r="1946" spans="1:6" s="295" customFormat="1" x14ac:dyDescent="0.15">
      <c r="A1946" s="374" t="s">
        <v>1303</v>
      </c>
      <c r="B1946" s="287" t="s">
        <v>1228</v>
      </c>
      <c r="C1946" s="287" t="s">
        <v>1229</v>
      </c>
      <c r="D1946" s="287">
        <v>1011.8</v>
      </c>
      <c r="E1946" s="380">
        <v>42461</v>
      </c>
      <c r="F1946" s="381">
        <v>950.43</v>
      </c>
    </row>
    <row r="1947" spans="1:6" s="295" customFormat="1" x14ac:dyDescent="0.15">
      <c r="A1947" s="374" t="s">
        <v>1304</v>
      </c>
      <c r="B1947" s="287" t="s">
        <v>1230</v>
      </c>
      <c r="C1947" s="287" t="s">
        <v>1231</v>
      </c>
      <c r="D1947" s="287">
        <v>646</v>
      </c>
      <c r="E1947" s="380">
        <v>42461</v>
      </c>
      <c r="F1947" s="381">
        <v>620</v>
      </c>
    </row>
    <row r="1948" spans="1:6" s="295" customFormat="1" x14ac:dyDescent="0.15">
      <c r="A1948" s="374" t="s">
        <v>1305</v>
      </c>
      <c r="B1948" s="287" t="s">
        <v>1306</v>
      </c>
      <c r="C1948" s="287" t="s">
        <v>1233</v>
      </c>
      <c r="D1948" s="287">
        <v>1391.9</v>
      </c>
      <c r="E1948" s="380">
        <v>42461</v>
      </c>
      <c r="F1948" s="381">
        <v>1180.1300000000001</v>
      </c>
    </row>
    <row r="1949" spans="1:6" s="295" customFormat="1" x14ac:dyDescent="0.15">
      <c r="A1949" s="374" t="s">
        <v>1307</v>
      </c>
      <c r="B1949" s="287" t="s">
        <v>1234</v>
      </c>
      <c r="C1949" s="287" t="s">
        <v>500</v>
      </c>
      <c r="D1949" s="287">
        <v>1218.9000000000001</v>
      </c>
      <c r="E1949" s="380">
        <v>42461</v>
      </c>
      <c r="F1949" s="381">
        <v>1134.29</v>
      </c>
    </row>
    <row r="1950" spans="1:6" s="295" customFormat="1" x14ac:dyDescent="0.15">
      <c r="A1950" s="374" t="s">
        <v>1308</v>
      </c>
      <c r="B1950" s="287" t="s">
        <v>1235</v>
      </c>
      <c r="C1950" s="287" t="s">
        <v>1236</v>
      </c>
      <c r="D1950" s="287">
        <v>1205.5</v>
      </c>
      <c r="E1950" s="380">
        <v>42461</v>
      </c>
      <c r="F1950" s="381">
        <v>1125.4000000000001</v>
      </c>
    </row>
    <row r="1951" spans="1:6" s="295" customFormat="1" x14ac:dyDescent="0.15">
      <c r="A1951" s="374" t="s">
        <v>1318</v>
      </c>
      <c r="B1951" s="287" t="s">
        <v>1238</v>
      </c>
      <c r="C1951" s="287" t="s">
        <v>1239</v>
      </c>
      <c r="D1951" s="287">
        <v>1025.2</v>
      </c>
      <c r="E1951" s="380">
        <v>42461</v>
      </c>
      <c r="F1951" s="381">
        <v>962.54</v>
      </c>
    </row>
    <row r="1952" spans="1:6" s="295" customFormat="1" x14ac:dyDescent="0.15">
      <c r="A1952" s="374" t="s">
        <v>1309</v>
      </c>
      <c r="B1952" s="287" t="s">
        <v>1240</v>
      </c>
      <c r="C1952" s="287" t="s">
        <v>1241</v>
      </c>
      <c r="D1952" s="287">
        <v>744.9</v>
      </c>
      <c r="E1952" s="380">
        <v>42461</v>
      </c>
      <c r="F1952" s="381">
        <v>709.35</v>
      </c>
    </row>
    <row r="1953" spans="1:6" s="295" customFormat="1" x14ac:dyDescent="0.15">
      <c r="A1953" s="374" t="s">
        <v>1310</v>
      </c>
      <c r="B1953" s="287" t="s">
        <v>1282</v>
      </c>
      <c r="C1953" s="287" t="s">
        <v>1283</v>
      </c>
      <c r="D1953" s="287">
        <v>909.7</v>
      </c>
      <c r="E1953" s="380">
        <v>42461</v>
      </c>
      <c r="F1953" s="381">
        <v>858.2</v>
      </c>
    </row>
    <row r="1954" spans="1:6" s="295" customFormat="1" x14ac:dyDescent="0.15">
      <c r="A1954" s="374" t="s">
        <v>1319</v>
      </c>
      <c r="B1954" s="287" t="s">
        <v>1246</v>
      </c>
      <c r="C1954" s="287" t="s">
        <v>1247</v>
      </c>
      <c r="D1954" s="287">
        <v>874.7</v>
      </c>
      <c r="E1954" s="380">
        <v>42461</v>
      </c>
      <c r="F1954" s="381">
        <v>826.59</v>
      </c>
    </row>
    <row r="1955" spans="1:6" s="295" customFormat="1" x14ac:dyDescent="0.15">
      <c r="A1955" s="374" t="s">
        <v>1311</v>
      </c>
      <c r="B1955" s="287" t="s">
        <v>1248</v>
      </c>
      <c r="C1955" s="287" t="s">
        <v>1249</v>
      </c>
      <c r="D1955" s="287">
        <v>195.8</v>
      </c>
      <c r="E1955" s="380">
        <v>42461</v>
      </c>
      <c r="F1955" s="381">
        <v>221.22</v>
      </c>
    </row>
    <row r="1956" spans="1:6" s="295" customFormat="1" x14ac:dyDescent="0.15">
      <c r="A1956" s="374" t="s">
        <v>1320</v>
      </c>
      <c r="B1956" s="287" t="s">
        <v>1288</v>
      </c>
      <c r="C1956" s="287" t="s">
        <v>1289</v>
      </c>
      <c r="D1956" s="397">
        <v>490.4</v>
      </c>
      <c r="E1956" s="403">
        <v>42461</v>
      </c>
      <c r="F1956" s="381">
        <v>479.45</v>
      </c>
    </row>
    <row r="1957" spans="1:6" s="295" customFormat="1" ht="14" thickBot="1" x14ac:dyDescent="0.2">
      <c r="A1957" s="374"/>
      <c r="B1957" s="287"/>
      <c r="C1957" s="291" t="s">
        <v>115</v>
      </c>
      <c r="D1957" s="383">
        <f>SUM(D1945:D1956)</f>
        <v>10688.400000000001</v>
      </c>
      <c r="E1957" s="404"/>
      <c r="F1957" s="389">
        <v>9983.5299999999988</v>
      </c>
    </row>
    <row r="1958" spans="1:6" s="295" customFormat="1" ht="14" thickTop="1" x14ac:dyDescent="0.15">
      <c r="A1958" s="374"/>
      <c r="B1958" s="287"/>
      <c r="C1958" s="287"/>
      <c r="D1958" s="287"/>
      <c r="E1958" s="380"/>
      <c r="F1958" s="381"/>
    </row>
    <row r="1959" spans="1:6" s="295" customFormat="1" x14ac:dyDescent="0.15">
      <c r="A1959" s="374"/>
      <c r="B1959" s="287"/>
      <c r="C1959" s="378" t="s">
        <v>1212</v>
      </c>
      <c r="D1959" s="287"/>
      <c r="E1959" s="380"/>
      <c r="F1959" s="381"/>
    </row>
    <row r="1960" spans="1:6" s="295" customFormat="1" x14ac:dyDescent="0.15">
      <c r="A1960" s="374"/>
      <c r="B1960" s="287"/>
      <c r="C1960" s="378" t="s">
        <v>1139</v>
      </c>
      <c r="D1960" s="287"/>
      <c r="E1960" s="380"/>
      <c r="F1960" s="381"/>
    </row>
    <row r="1961" spans="1:6" s="295" customFormat="1" x14ac:dyDescent="0.15">
      <c r="A1961" s="374"/>
      <c r="B1961" s="287"/>
      <c r="C1961" s="386">
        <v>42460</v>
      </c>
      <c r="D1961" s="287"/>
      <c r="E1961" s="380"/>
      <c r="F1961" s="381"/>
    </row>
    <row r="1962" spans="1:6" s="295" customFormat="1" x14ac:dyDescent="0.15">
      <c r="A1962" s="409"/>
      <c r="B1962" s="410"/>
      <c r="C1962" s="410"/>
      <c r="D1962" s="410"/>
      <c r="E1962" s="403"/>
      <c r="F1962" s="411"/>
    </row>
    <row r="1963" spans="1:6" s="295" customFormat="1" ht="14" thickBot="1" x14ac:dyDescent="0.2">
      <c r="A1963" s="412"/>
      <c r="B1963" s="281"/>
      <c r="C1963" s="291" t="s">
        <v>1171</v>
      </c>
      <c r="D1963" s="383">
        <f>SUM(D1939,D1957)</f>
        <v>24794</v>
      </c>
      <c r="E1963" s="384"/>
      <c r="F1963" s="389">
        <v>23550.23</v>
      </c>
    </row>
    <row r="1964" spans="1:6" s="295" customFormat="1" ht="14" thickTop="1" x14ac:dyDescent="0.15">
      <c r="E1964" s="408"/>
      <c r="F1964" s="298"/>
    </row>
    <row r="1965" spans="1:6" s="295" customFormat="1" x14ac:dyDescent="0.15">
      <c r="A1965" s="370" t="s">
        <v>1299</v>
      </c>
      <c r="B1965" s="371" t="s">
        <v>1269</v>
      </c>
      <c r="C1965" s="371" t="s">
        <v>1270</v>
      </c>
      <c r="D1965" s="371">
        <v>511.9</v>
      </c>
      <c r="E1965" s="390">
        <v>42479</v>
      </c>
      <c r="F1965" s="391">
        <v>498.87</v>
      </c>
    </row>
    <row r="1966" spans="1:6" s="295" customFormat="1" x14ac:dyDescent="0.15">
      <c r="A1966" s="374" t="s">
        <v>1293</v>
      </c>
      <c r="B1966" s="287" t="s">
        <v>1257</v>
      </c>
      <c r="C1966" s="287" t="s">
        <v>1258</v>
      </c>
      <c r="D1966" s="287">
        <v>701.4</v>
      </c>
      <c r="E1966" s="380">
        <v>42479</v>
      </c>
      <c r="F1966" s="381">
        <v>670.04</v>
      </c>
    </row>
    <row r="1967" spans="1:6" s="295" customFormat="1" x14ac:dyDescent="0.15">
      <c r="A1967" s="374" t="s">
        <v>1294</v>
      </c>
      <c r="B1967" s="287" t="s">
        <v>1259</v>
      </c>
      <c r="C1967" s="287" t="s">
        <v>1260</v>
      </c>
      <c r="D1967" s="287">
        <v>213.2</v>
      </c>
      <c r="E1967" s="380">
        <v>42479</v>
      </c>
      <c r="F1967" s="381">
        <v>238.31</v>
      </c>
    </row>
    <row r="1968" spans="1:6" s="295" customFormat="1" x14ac:dyDescent="0.15">
      <c r="A1968" s="374" t="s">
        <v>1296</v>
      </c>
      <c r="B1968" s="287" t="s">
        <v>1278</v>
      </c>
      <c r="C1968" s="287" t="s">
        <v>1264</v>
      </c>
      <c r="D1968" s="287">
        <v>488.2</v>
      </c>
      <c r="E1968" s="380">
        <v>42479</v>
      </c>
      <c r="F1968" s="381">
        <v>477.46</v>
      </c>
    </row>
    <row r="1969" spans="1:6" s="295" customFormat="1" x14ac:dyDescent="0.15">
      <c r="A1969" s="374" t="s">
        <v>1295</v>
      </c>
      <c r="B1969" s="287" t="s">
        <v>1261</v>
      </c>
      <c r="C1969" s="287" t="s">
        <v>1262</v>
      </c>
      <c r="D1969" s="287">
        <v>373.9</v>
      </c>
      <c r="E1969" s="380">
        <v>42479</v>
      </c>
      <c r="F1969" s="381">
        <v>396.19</v>
      </c>
    </row>
    <row r="1970" spans="1:6" s="295" customFormat="1" x14ac:dyDescent="0.15">
      <c r="A1970" s="374" t="s">
        <v>1301</v>
      </c>
      <c r="B1970" s="287" t="s">
        <v>1286</v>
      </c>
      <c r="C1970" s="287" t="s">
        <v>1287</v>
      </c>
      <c r="D1970" s="287">
        <v>176.1</v>
      </c>
      <c r="E1970" s="380">
        <v>42479</v>
      </c>
      <c r="F1970" s="381">
        <v>195.55</v>
      </c>
    </row>
    <row r="1971" spans="1:6" s="295" customFormat="1" x14ac:dyDescent="0.15">
      <c r="A1971" s="374" t="s">
        <v>1297</v>
      </c>
      <c r="B1971" s="287" t="s">
        <v>1265</v>
      </c>
      <c r="C1971" s="287" t="s">
        <v>1266</v>
      </c>
      <c r="D1971" s="287">
        <v>260.60000000000002</v>
      </c>
      <c r="E1971" s="380">
        <v>42479</v>
      </c>
      <c r="F1971" s="381">
        <v>284.88</v>
      </c>
    </row>
    <row r="1972" spans="1:6" s="295" customFormat="1" x14ac:dyDescent="0.15">
      <c r="A1972" s="374" t="s">
        <v>1298</v>
      </c>
      <c r="B1972" s="287" t="s">
        <v>1267</v>
      </c>
      <c r="C1972" s="287" t="s">
        <v>1268</v>
      </c>
      <c r="D1972" s="287">
        <v>511.9</v>
      </c>
      <c r="E1972" s="380">
        <v>42479</v>
      </c>
      <c r="F1972" s="381">
        <v>531.79</v>
      </c>
    </row>
    <row r="1973" spans="1:6" s="295" customFormat="1" x14ac:dyDescent="0.15">
      <c r="A1973" s="374" t="s">
        <v>1300</v>
      </c>
      <c r="B1973" s="287" t="s">
        <v>1271</v>
      </c>
      <c r="C1973" s="287" t="s">
        <v>1272</v>
      </c>
      <c r="D1973" s="287">
        <v>412</v>
      </c>
      <c r="E1973" s="380">
        <v>42479</v>
      </c>
      <c r="F1973" s="381">
        <v>408.63</v>
      </c>
    </row>
    <row r="1974" spans="1:6" s="295" customFormat="1" x14ac:dyDescent="0.15">
      <c r="A1974" s="374" t="s">
        <v>1290</v>
      </c>
      <c r="B1974" s="287" t="s">
        <v>1291</v>
      </c>
      <c r="C1974" s="287" t="s">
        <v>1277</v>
      </c>
      <c r="D1974" s="287">
        <v>859.2</v>
      </c>
      <c r="E1974" s="380">
        <v>42479</v>
      </c>
      <c r="F1974" s="381">
        <v>812.58</v>
      </c>
    </row>
    <row r="1975" spans="1:6" s="295" customFormat="1" x14ac:dyDescent="0.15">
      <c r="A1975" s="374" t="s">
        <v>1292</v>
      </c>
      <c r="B1975" s="287" t="s">
        <v>1255</v>
      </c>
      <c r="C1975" s="287" t="s">
        <v>1256</v>
      </c>
      <c r="D1975" s="287">
        <v>1721.4</v>
      </c>
      <c r="E1975" s="380">
        <v>42479</v>
      </c>
      <c r="F1975" s="381">
        <v>1588.45</v>
      </c>
    </row>
    <row r="1976" spans="1:6" s="295" customFormat="1" x14ac:dyDescent="0.15">
      <c r="A1976" s="374" t="s">
        <v>1312</v>
      </c>
      <c r="B1976" s="287" t="s">
        <v>1313</v>
      </c>
      <c r="C1976" s="287" t="s">
        <v>1313</v>
      </c>
      <c r="D1976" s="287">
        <v>638.6</v>
      </c>
      <c r="E1976" s="380">
        <v>42479</v>
      </c>
      <c r="F1976" s="381">
        <v>613.33000000000004</v>
      </c>
    </row>
    <row r="1977" spans="1:6" s="295" customFormat="1" x14ac:dyDescent="0.15">
      <c r="A1977" s="374" t="s">
        <v>1314</v>
      </c>
      <c r="B1977" s="287" t="s">
        <v>1315</v>
      </c>
      <c r="C1977" s="287" t="s">
        <v>1316</v>
      </c>
      <c r="D1977" s="287">
        <v>71.099999999999994</v>
      </c>
      <c r="E1977" s="380">
        <v>42479</v>
      </c>
      <c r="F1977" s="381">
        <v>95.66</v>
      </c>
    </row>
    <row r="1978" spans="1:6" s="295" customFormat="1" x14ac:dyDescent="0.15">
      <c r="A1978" s="374" t="s">
        <v>1322</v>
      </c>
      <c r="B1978" s="287" t="s">
        <v>1250</v>
      </c>
      <c r="C1978" s="287" t="s">
        <v>1251</v>
      </c>
      <c r="D1978" s="287">
        <v>36</v>
      </c>
      <c r="E1978" s="380">
        <v>42479</v>
      </c>
      <c r="F1978" s="381">
        <v>54.61</v>
      </c>
    </row>
    <row r="1979" spans="1:6" s="295" customFormat="1" x14ac:dyDescent="0.15">
      <c r="A1979" s="374" t="s">
        <v>1326</v>
      </c>
      <c r="B1979" s="287" t="s">
        <v>1284</v>
      </c>
      <c r="C1979" s="287" t="s">
        <v>1285</v>
      </c>
      <c r="D1979" s="397">
        <v>222.5</v>
      </c>
      <c r="E1979" s="380">
        <v>42479</v>
      </c>
      <c r="F1979" s="381">
        <v>247.45</v>
      </c>
    </row>
    <row r="1980" spans="1:6" s="295" customFormat="1" x14ac:dyDescent="0.15">
      <c r="A1980" s="374" t="s">
        <v>1323</v>
      </c>
      <c r="B1980" s="287" t="s">
        <v>1252</v>
      </c>
      <c r="C1980" s="287" t="s">
        <v>1253</v>
      </c>
      <c r="D1980" s="287">
        <v>941.4</v>
      </c>
      <c r="E1980" s="380">
        <v>42479</v>
      </c>
      <c r="F1980" s="381">
        <v>886.83</v>
      </c>
    </row>
    <row r="1981" spans="1:6" s="295" customFormat="1" x14ac:dyDescent="0.15">
      <c r="A1981" s="374" t="s">
        <v>1325</v>
      </c>
      <c r="B1981" s="287" t="s">
        <v>1279</v>
      </c>
      <c r="C1981" s="287" t="s">
        <v>1280</v>
      </c>
      <c r="D1981" s="397">
        <v>599.4</v>
      </c>
      <c r="E1981" s="380">
        <v>42479</v>
      </c>
      <c r="F1981" s="381">
        <v>577.91</v>
      </c>
    </row>
    <row r="1982" spans="1:6" s="295" customFormat="1" x14ac:dyDescent="0.15">
      <c r="A1982" s="374" t="s">
        <v>1324</v>
      </c>
      <c r="B1982" s="287" t="s">
        <v>1275</v>
      </c>
      <c r="C1982" s="287" t="s">
        <v>1276</v>
      </c>
      <c r="D1982" s="397">
        <v>886.8</v>
      </c>
      <c r="E1982" s="380">
        <v>42479</v>
      </c>
      <c r="F1982" s="381">
        <v>837.53</v>
      </c>
    </row>
    <row r="1983" spans="1:6" s="295" customFormat="1" x14ac:dyDescent="0.15">
      <c r="A1983" s="374" t="s">
        <v>1321</v>
      </c>
      <c r="B1983" s="287" t="s">
        <v>1244</v>
      </c>
      <c r="C1983" s="287" t="s">
        <v>1245</v>
      </c>
      <c r="D1983" s="287">
        <v>920.8</v>
      </c>
      <c r="E1983" s="380">
        <v>42479</v>
      </c>
      <c r="F1983" s="381">
        <v>868.24</v>
      </c>
    </row>
    <row r="1984" spans="1:6" s="295" customFormat="1" ht="14" thickBot="1" x14ac:dyDescent="0.2">
      <c r="A1984" s="374"/>
      <c r="B1984" s="287"/>
      <c r="C1984" s="291" t="s">
        <v>115</v>
      </c>
      <c r="D1984" s="394">
        <f>SUM(D1965:D1983)</f>
        <v>10546.399999999998</v>
      </c>
      <c r="E1984" s="384"/>
      <c r="F1984" s="389">
        <v>10284.310000000001</v>
      </c>
    </row>
    <row r="1985" spans="1:6" s="295" customFormat="1" ht="14" thickTop="1" x14ac:dyDescent="0.15">
      <c r="A1985" s="374"/>
      <c r="B1985" s="287"/>
      <c r="C1985" s="287"/>
      <c r="D1985" s="287"/>
      <c r="E1985" s="380"/>
      <c r="F1985" s="381"/>
    </row>
    <row r="1986" spans="1:6" s="295" customFormat="1" x14ac:dyDescent="0.15">
      <c r="A1986" s="374"/>
      <c r="B1986" s="287"/>
      <c r="C1986" s="378" t="s">
        <v>1212</v>
      </c>
      <c r="D1986" s="287"/>
      <c r="E1986" s="380"/>
      <c r="F1986" s="381"/>
    </row>
    <row r="1987" spans="1:6" s="295" customFormat="1" x14ac:dyDescent="0.15">
      <c r="A1987" s="374"/>
      <c r="B1987" s="287"/>
      <c r="C1987" s="378" t="s">
        <v>1139</v>
      </c>
      <c r="D1987" s="287"/>
      <c r="E1987" s="380"/>
      <c r="F1987" s="381"/>
    </row>
    <row r="1988" spans="1:6" s="295" customFormat="1" x14ac:dyDescent="0.15">
      <c r="A1988" s="374"/>
      <c r="B1988" s="287"/>
      <c r="C1988" s="386">
        <v>42487</v>
      </c>
      <c r="D1988" s="287"/>
      <c r="E1988" s="380"/>
      <c r="F1988" s="381"/>
    </row>
    <row r="1989" spans="1:6" s="295" customFormat="1" x14ac:dyDescent="0.15">
      <c r="A1989" s="409"/>
      <c r="B1989" s="410"/>
      <c r="C1989" s="410"/>
      <c r="D1989" s="410"/>
      <c r="E1989" s="403"/>
      <c r="F1989" s="411"/>
    </row>
    <row r="1990" spans="1:6" s="295" customFormat="1" x14ac:dyDescent="0.15">
      <c r="A1990" s="370" t="s">
        <v>1302</v>
      </c>
      <c r="B1990" s="371" t="s">
        <v>1226</v>
      </c>
      <c r="C1990" s="371" t="s">
        <v>1227</v>
      </c>
      <c r="D1990" s="371">
        <v>675.4</v>
      </c>
      <c r="E1990" s="390">
        <v>42492</v>
      </c>
      <c r="F1990" s="391">
        <v>646.55999999999995</v>
      </c>
    </row>
    <row r="1991" spans="1:6" s="295" customFormat="1" x14ac:dyDescent="0.15">
      <c r="A1991" s="374" t="s">
        <v>1303</v>
      </c>
      <c r="B1991" s="287" t="s">
        <v>1228</v>
      </c>
      <c r="C1991" s="287" t="s">
        <v>1229</v>
      </c>
      <c r="D1991" s="287">
        <v>635.29999999999995</v>
      </c>
      <c r="E1991" s="380">
        <v>42492</v>
      </c>
      <c r="F1991" s="381">
        <v>610.34</v>
      </c>
    </row>
    <row r="1992" spans="1:6" s="295" customFormat="1" x14ac:dyDescent="0.15">
      <c r="A1992" s="374" t="s">
        <v>1304</v>
      </c>
      <c r="B1992" s="287" t="s">
        <v>1230</v>
      </c>
      <c r="C1992" s="287" t="s">
        <v>1231</v>
      </c>
      <c r="D1992" s="287">
        <v>444.8</v>
      </c>
      <c r="E1992" s="380">
        <v>42492</v>
      </c>
      <c r="F1992" s="381">
        <v>438.26</v>
      </c>
    </row>
    <row r="1993" spans="1:6" s="295" customFormat="1" x14ac:dyDescent="0.15">
      <c r="A1993" s="374" t="s">
        <v>1305</v>
      </c>
      <c r="B1993" s="287" t="s">
        <v>1306</v>
      </c>
      <c r="C1993" s="287" t="s">
        <v>1233</v>
      </c>
      <c r="D1993" s="287">
        <v>1449.7</v>
      </c>
      <c r="E1993" s="380">
        <v>42492</v>
      </c>
      <c r="F1993" s="381">
        <v>1227.78</v>
      </c>
    </row>
    <row r="1994" spans="1:6" s="295" customFormat="1" x14ac:dyDescent="0.15">
      <c r="A1994" s="374" t="s">
        <v>1307</v>
      </c>
      <c r="B1994" s="287" t="s">
        <v>1234</v>
      </c>
      <c r="C1994" s="287" t="s">
        <v>500</v>
      </c>
      <c r="D1994" s="287">
        <v>850.5</v>
      </c>
      <c r="E1994" s="380">
        <v>42492</v>
      </c>
      <c r="F1994" s="381">
        <v>801.33</v>
      </c>
    </row>
    <row r="1995" spans="1:6" s="295" customFormat="1" x14ac:dyDescent="0.15">
      <c r="A1995" s="374" t="s">
        <v>1308</v>
      </c>
      <c r="B1995" s="287" t="s">
        <v>1235</v>
      </c>
      <c r="C1995" s="287" t="s">
        <v>1236</v>
      </c>
      <c r="D1995" s="287">
        <v>827.8</v>
      </c>
      <c r="E1995" s="380">
        <v>42492</v>
      </c>
      <c r="F1995" s="381">
        <v>784.22</v>
      </c>
    </row>
    <row r="1996" spans="1:6" s="295" customFormat="1" x14ac:dyDescent="0.15">
      <c r="A1996" s="374" t="s">
        <v>1318</v>
      </c>
      <c r="B1996" s="287" t="s">
        <v>1238</v>
      </c>
      <c r="C1996" s="287" t="s">
        <v>1239</v>
      </c>
      <c r="D1996" s="287">
        <v>717.7</v>
      </c>
      <c r="E1996" s="380">
        <v>42492</v>
      </c>
      <c r="F1996" s="381">
        <v>684.77</v>
      </c>
    </row>
    <row r="1997" spans="1:6" s="295" customFormat="1" x14ac:dyDescent="0.15">
      <c r="A1997" s="374" t="s">
        <v>1309</v>
      </c>
      <c r="B1997" s="287" t="s">
        <v>1240</v>
      </c>
      <c r="C1997" s="287" t="s">
        <v>1241</v>
      </c>
      <c r="D1997" s="287">
        <v>499.4</v>
      </c>
      <c r="E1997" s="380">
        <v>42492</v>
      </c>
      <c r="F1997" s="381">
        <v>487.58</v>
      </c>
    </row>
    <row r="1998" spans="1:6" s="295" customFormat="1" x14ac:dyDescent="0.15">
      <c r="A1998" s="374" t="s">
        <v>1310</v>
      </c>
      <c r="B1998" s="287" t="s">
        <v>1282</v>
      </c>
      <c r="C1998" s="287" t="s">
        <v>1283</v>
      </c>
      <c r="D1998" s="287">
        <v>668.6</v>
      </c>
      <c r="E1998" s="380">
        <v>42492</v>
      </c>
      <c r="F1998" s="381">
        <v>640.42999999999995</v>
      </c>
    </row>
    <row r="1999" spans="1:6" s="295" customFormat="1" x14ac:dyDescent="0.15">
      <c r="A1999" s="374" t="s">
        <v>1319</v>
      </c>
      <c r="B1999" s="287" t="s">
        <v>1246</v>
      </c>
      <c r="C1999" s="287" t="s">
        <v>1247</v>
      </c>
      <c r="D1999" s="287">
        <v>595.1</v>
      </c>
      <c r="E1999" s="380">
        <v>42492</v>
      </c>
      <c r="F1999" s="381">
        <v>574.02</v>
      </c>
    </row>
    <row r="2000" spans="1:6" s="295" customFormat="1" x14ac:dyDescent="0.15">
      <c r="A2000" s="374" t="s">
        <v>1311</v>
      </c>
      <c r="B2000" s="287" t="s">
        <v>1248</v>
      </c>
      <c r="C2000" s="287" t="s">
        <v>1249</v>
      </c>
      <c r="D2000" s="287">
        <v>120.5</v>
      </c>
      <c r="E2000" s="380">
        <v>42492</v>
      </c>
      <c r="F2000" s="381">
        <v>147.22999999999999</v>
      </c>
    </row>
    <row r="2001" spans="1:6" s="295" customFormat="1" x14ac:dyDescent="0.15">
      <c r="A2001" s="374" t="s">
        <v>1320</v>
      </c>
      <c r="B2001" s="287" t="s">
        <v>1288</v>
      </c>
      <c r="C2001" s="287" t="s">
        <v>1289</v>
      </c>
      <c r="D2001" s="397">
        <v>285.2</v>
      </c>
      <c r="E2001" s="403">
        <v>42492</v>
      </c>
      <c r="F2001" s="381">
        <v>294.08999999999997</v>
      </c>
    </row>
    <row r="2002" spans="1:6" s="295" customFormat="1" ht="14" thickBot="1" x14ac:dyDescent="0.2">
      <c r="A2002" s="374"/>
      <c r="B2002" s="287"/>
      <c r="C2002" s="291" t="s">
        <v>115</v>
      </c>
      <c r="D2002" s="383">
        <f>SUM(D1990:D2001)</f>
        <v>7770</v>
      </c>
      <c r="E2002" s="404"/>
      <c r="F2002" s="389">
        <v>7336.61</v>
      </c>
    </row>
    <row r="2003" spans="1:6" s="295" customFormat="1" ht="14" thickTop="1" x14ac:dyDescent="0.15">
      <c r="A2003" s="374"/>
      <c r="B2003" s="287"/>
      <c r="C2003" s="287"/>
      <c r="D2003" s="287"/>
      <c r="E2003" s="380"/>
      <c r="F2003" s="381"/>
    </row>
    <row r="2004" spans="1:6" s="295" customFormat="1" x14ac:dyDescent="0.15">
      <c r="A2004" s="374"/>
      <c r="B2004" s="287"/>
      <c r="C2004" s="378" t="s">
        <v>1212</v>
      </c>
      <c r="D2004" s="287"/>
      <c r="E2004" s="380"/>
      <c r="F2004" s="381"/>
    </row>
    <row r="2005" spans="1:6" s="295" customFormat="1" x14ac:dyDescent="0.15">
      <c r="A2005" s="374"/>
      <c r="B2005" s="287"/>
      <c r="C2005" s="378" t="s">
        <v>1139</v>
      </c>
      <c r="D2005" s="287"/>
      <c r="E2005" s="380"/>
      <c r="F2005" s="381"/>
    </row>
    <row r="2006" spans="1:6" s="295" customFormat="1" x14ac:dyDescent="0.15">
      <c r="A2006" s="374"/>
      <c r="B2006" s="287"/>
      <c r="C2006" s="386">
        <v>42490</v>
      </c>
      <c r="D2006" s="287"/>
      <c r="E2006" s="380"/>
      <c r="F2006" s="381"/>
    </row>
    <row r="2007" spans="1:6" s="295" customFormat="1" x14ac:dyDescent="0.15">
      <c r="A2007" s="409"/>
      <c r="B2007" s="410"/>
      <c r="C2007" s="410"/>
      <c r="D2007" s="410"/>
      <c r="E2007" s="403"/>
      <c r="F2007" s="411"/>
    </row>
    <row r="2008" spans="1:6" s="295" customFormat="1" ht="14" thickBot="1" x14ac:dyDescent="0.2">
      <c r="A2008" s="412"/>
      <c r="B2008" s="281"/>
      <c r="C2008" s="291" t="s">
        <v>1172</v>
      </c>
      <c r="D2008" s="383">
        <f>SUM(D1984,D2002)</f>
        <v>18316.399999999998</v>
      </c>
      <c r="E2008" s="384"/>
      <c r="F2008" s="389">
        <v>17620.920000000002</v>
      </c>
    </row>
    <row r="2009" spans="1:6" s="295" customFormat="1" ht="14" thickTop="1" x14ac:dyDescent="0.15">
      <c r="A2009" s="370"/>
      <c r="B2009" s="371"/>
      <c r="C2009" s="413"/>
      <c r="D2009" s="414"/>
      <c r="E2009" s="390"/>
      <c r="F2009" s="415"/>
    </row>
    <row r="2010" spans="1:6" s="295" customFormat="1" x14ac:dyDescent="0.15">
      <c r="A2010" s="370" t="s">
        <v>1299</v>
      </c>
      <c r="B2010" s="371" t="s">
        <v>1269</v>
      </c>
      <c r="C2010" s="371" t="s">
        <v>1270</v>
      </c>
      <c r="D2010" s="371">
        <v>239.7</v>
      </c>
      <c r="E2010" s="390">
        <v>42507</v>
      </c>
      <c r="F2010" s="391">
        <v>215.18</v>
      </c>
    </row>
    <row r="2011" spans="1:6" s="295" customFormat="1" x14ac:dyDescent="0.15">
      <c r="A2011" s="374" t="s">
        <v>1293</v>
      </c>
      <c r="B2011" s="287" t="s">
        <v>1257</v>
      </c>
      <c r="C2011" s="287" t="s">
        <v>1258</v>
      </c>
      <c r="D2011" s="287">
        <v>320.89999999999998</v>
      </c>
      <c r="E2011" s="380">
        <v>42507</v>
      </c>
      <c r="F2011" s="381">
        <v>275.95</v>
      </c>
    </row>
    <row r="2012" spans="1:6" s="295" customFormat="1" x14ac:dyDescent="0.15">
      <c r="A2012" s="374" t="s">
        <v>1294</v>
      </c>
      <c r="B2012" s="287" t="s">
        <v>1259</v>
      </c>
      <c r="C2012" s="287" t="s">
        <v>1260</v>
      </c>
      <c r="D2012" s="287">
        <v>67.900000000000006</v>
      </c>
      <c r="E2012" s="380">
        <v>42507</v>
      </c>
      <c r="F2012" s="381">
        <v>84.27</v>
      </c>
    </row>
    <row r="2013" spans="1:6" s="295" customFormat="1" x14ac:dyDescent="0.15">
      <c r="A2013" s="374" t="s">
        <v>1296</v>
      </c>
      <c r="B2013" s="287" t="s">
        <v>1278</v>
      </c>
      <c r="C2013" s="287" t="s">
        <v>1264</v>
      </c>
      <c r="D2013" s="287">
        <v>282.89999999999998</v>
      </c>
      <c r="E2013" s="380">
        <v>42507</v>
      </c>
      <c r="F2013" s="381">
        <v>247.36</v>
      </c>
    </row>
    <row r="2014" spans="1:6" s="295" customFormat="1" x14ac:dyDescent="0.15">
      <c r="A2014" s="374" t="s">
        <v>1295</v>
      </c>
      <c r="B2014" s="287" t="s">
        <v>1261</v>
      </c>
      <c r="C2014" s="287" t="s">
        <v>1262</v>
      </c>
      <c r="D2014" s="287">
        <v>171.8</v>
      </c>
      <c r="E2014" s="380">
        <v>42507</v>
      </c>
      <c r="F2014" s="381">
        <v>169.48</v>
      </c>
    </row>
    <row r="2015" spans="1:6" s="295" customFormat="1" x14ac:dyDescent="0.15">
      <c r="A2015" s="374" t="s">
        <v>1301</v>
      </c>
      <c r="B2015" s="287" t="s">
        <v>1286</v>
      </c>
      <c r="C2015" s="287" t="s">
        <v>1287</v>
      </c>
      <c r="D2015" s="287">
        <v>37</v>
      </c>
      <c r="E2015" s="380">
        <v>42507</v>
      </c>
      <c r="F2015" s="381">
        <v>49.65</v>
      </c>
    </row>
    <row r="2016" spans="1:6" s="295" customFormat="1" x14ac:dyDescent="0.15">
      <c r="A2016" s="374" t="s">
        <v>1297</v>
      </c>
      <c r="B2016" s="287" t="s">
        <v>1265</v>
      </c>
      <c r="C2016" s="287" t="s">
        <v>1266</v>
      </c>
      <c r="D2016" s="287">
        <v>131.69999999999999</v>
      </c>
      <c r="E2016" s="380">
        <v>42507</v>
      </c>
      <c r="F2016" s="381">
        <v>136.44</v>
      </c>
    </row>
    <row r="2017" spans="1:6" s="295" customFormat="1" ht="12" customHeight="1" x14ac:dyDescent="0.15">
      <c r="A2017" s="374" t="s">
        <v>1298</v>
      </c>
      <c r="B2017" s="287" t="s">
        <v>1267</v>
      </c>
      <c r="C2017" s="287" t="s">
        <v>1268</v>
      </c>
      <c r="D2017" s="287">
        <v>234.5</v>
      </c>
      <c r="E2017" s="380">
        <v>42507</v>
      </c>
      <c r="F2017" s="381">
        <v>220.53</v>
      </c>
    </row>
    <row r="2018" spans="1:6" s="295" customFormat="1" x14ac:dyDescent="0.15">
      <c r="A2018" s="374" t="s">
        <v>1300</v>
      </c>
      <c r="B2018" s="287" t="s">
        <v>1271</v>
      </c>
      <c r="C2018" s="287" t="s">
        <v>1272</v>
      </c>
      <c r="D2018" s="287">
        <v>183.1</v>
      </c>
      <c r="E2018" s="380">
        <v>42507</v>
      </c>
      <c r="F2018" s="381">
        <v>173.06</v>
      </c>
    </row>
    <row r="2019" spans="1:6" s="295" customFormat="1" x14ac:dyDescent="0.15">
      <c r="A2019" s="374" t="s">
        <v>1290</v>
      </c>
      <c r="B2019" s="287" t="s">
        <v>1291</v>
      </c>
      <c r="C2019" s="287" t="s">
        <v>1277</v>
      </c>
      <c r="D2019" s="287">
        <v>312.10000000000002</v>
      </c>
      <c r="E2019" s="380">
        <v>42507</v>
      </c>
      <c r="F2019" s="381">
        <v>268.89</v>
      </c>
    </row>
    <row r="2020" spans="1:6" s="295" customFormat="1" x14ac:dyDescent="0.15">
      <c r="A2020" s="374" t="s">
        <v>1292</v>
      </c>
      <c r="B2020" s="287" t="s">
        <v>1255</v>
      </c>
      <c r="C2020" s="287" t="s">
        <v>1256</v>
      </c>
      <c r="D2020" s="287">
        <v>851.9</v>
      </c>
      <c r="E2020" s="380">
        <v>42507</v>
      </c>
      <c r="F2020" s="381">
        <v>574.67999999999995</v>
      </c>
    </row>
    <row r="2021" spans="1:6" s="295" customFormat="1" x14ac:dyDescent="0.15">
      <c r="A2021" s="374" t="s">
        <v>1312</v>
      </c>
      <c r="B2021" s="287" t="s">
        <v>1313</v>
      </c>
      <c r="C2021" s="287" t="s">
        <v>1313</v>
      </c>
      <c r="D2021" s="287">
        <v>174.9</v>
      </c>
      <c r="E2021" s="380">
        <v>42507</v>
      </c>
      <c r="F2021" s="381">
        <v>166.74</v>
      </c>
    </row>
    <row r="2022" spans="1:6" s="295" customFormat="1" x14ac:dyDescent="0.15">
      <c r="A2022" s="374" t="s">
        <v>1314</v>
      </c>
      <c r="B2022" s="287" t="s">
        <v>1315</v>
      </c>
      <c r="C2022" s="287" t="s">
        <v>1316</v>
      </c>
      <c r="D2022" s="287">
        <v>10.3</v>
      </c>
      <c r="E2022" s="380">
        <v>42507</v>
      </c>
      <c r="F2022" s="381">
        <v>22.73</v>
      </c>
    </row>
    <row r="2023" spans="1:6" s="295" customFormat="1" x14ac:dyDescent="0.15">
      <c r="A2023" s="374" t="s">
        <v>1322</v>
      </c>
      <c r="B2023" s="287" t="s">
        <v>1250</v>
      </c>
      <c r="C2023" s="287" t="s">
        <v>1251</v>
      </c>
      <c r="D2023" s="287">
        <v>9.3000000000000007</v>
      </c>
      <c r="E2023" s="380">
        <v>42507</v>
      </c>
      <c r="F2023" s="381">
        <v>21.57</v>
      </c>
    </row>
    <row r="2024" spans="1:6" s="295" customFormat="1" x14ac:dyDescent="0.15">
      <c r="A2024" s="374" t="s">
        <v>1326</v>
      </c>
      <c r="B2024" s="287" t="s">
        <v>1284</v>
      </c>
      <c r="C2024" s="287" t="s">
        <v>1285</v>
      </c>
      <c r="D2024" s="397">
        <v>93.6</v>
      </c>
      <c r="E2024" s="380">
        <v>42507</v>
      </c>
      <c r="F2024" s="381">
        <v>105.39</v>
      </c>
    </row>
    <row r="2025" spans="1:6" s="295" customFormat="1" x14ac:dyDescent="0.15">
      <c r="A2025" s="374" t="s">
        <v>1323</v>
      </c>
      <c r="B2025" s="287" t="s">
        <v>1252</v>
      </c>
      <c r="C2025" s="287" t="s">
        <v>1253</v>
      </c>
      <c r="D2025" s="287">
        <v>603.79999999999995</v>
      </c>
      <c r="E2025" s="380">
        <v>42507</v>
      </c>
      <c r="F2025" s="381">
        <v>486.82</v>
      </c>
    </row>
    <row r="2026" spans="1:6" s="295" customFormat="1" x14ac:dyDescent="0.15">
      <c r="A2026" s="374" t="s">
        <v>1325</v>
      </c>
      <c r="B2026" s="287" t="s">
        <v>1279</v>
      </c>
      <c r="C2026" s="287" t="s">
        <v>1280</v>
      </c>
      <c r="D2026" s="397">
        <v>358</v>
      </c>
      <c r="E2026" s="380">
        <v>42507</v>
      </c>
      <c r="F2026" s="381">
        <v>303.67</v>
      </c>
    </row>
    <row r="2027" spans="1:6" s="295" customFormat="1" x14ac:dyDescent="0.15">
      <c r="A2027" s="374" t="s">
        <v>1324</v>
      </c>
      <c r="B2027" s="287" t="s">
        <v>1275</v>
      </c>
      <c r="C2027" s="287" t="s">
        <v>1276</v>
      </c>
      <c r="D2027" s="397">
        <v>557.5</v>
      </c>
      <c r="E2027" s="380">
        <v>42507</v>
      </c>
      <c r="F2027" s="381">
        <v>452.56</v>
      </c>
    </row>
    <row r="2028" spans="1:6" s="295" customFormat="1" x14ac:dyDescent="0.15">
      <c r="A2028" s="374" t="s">
        <v>1321</v>
      </c>
      <c r="B2028" s="287" t="s">
        <v>1244</v>
      </c>
      <c r="C2028" s="287" t="s">
        <v>1245</v>
      </c>
      <c r="D2028" s="287">
        <v>358</v>
      </c>
      <c r="E2028" s="380">
        <v>42507</v>
      </c>
      <c r="F2028" s="381">
        <v>303.67</v>
      </c>
    </row>
    <row r="2029" spans="1:6" s="295" customFormat="1" ht="14" thickBot="1" x14ac:dyDescent="0.2">
      <c r="A2029" s="374"/>
      <c r="B2029" s="287"/>
      <c r="C2029" s="291" t="s">
        <v>115</v>
      </c>
      <c r="D2029" s="394">
        <f>SUM(D2010:D2028)</f>
        <v>4998.9000000000005</v>
      </c>
      <c r="E2029" s="384"/>
      <c r="F2029" s="389">
        <v>4278.6400000000003</v>
      </c>
    </row>
    <row r="2030" spans="1:6" s="295" customFormat="1" ht="14" thickTop="1" x14ac:dyDescent="0.15">
      <c r="A2030" s="374"/>
      <c r="B2030" s="287"/>
      <c r="C2030" s="287"/>
      <c r="D2030" s="287"/>
      <c r="E2030" s="380"/>
      <c r="F2030" s="381"/>
    </row>
    <row r="2031" spans="1:6" s="295" customFormat="1" x14ac:dyDescent="0.15">
      <c r="A2031" s="370" t="s">
        <v>1302</v>
      </c>
      <c r="B2031" s="371" t="s">
        <v>1226</v>
      </c>
      <c r="C2031" s="371" t="s">
        <v>1227</v>
      </c>
      <c r="D2031" s="371">
        <v>376.5</v>
      </c>
      <c r="E2031" s="390">
        <v>42522</v>
      </c>
      <c r="F2031" s="391">
        <v>262.77</v>
      </c>
    </row>
    <row r="2032" spans="1:6" s="295" customFormat="1" x14ac:dyDescent="0.15">
      <c r="A2032" s="374" t="s">
        <v>1303</v>
      </c>
      <c r="B2032" s="287" t="s">
        <v>1228</v>
      </c>
      <c r="C2032" s="287" t="s">
        <v>1229</v>
      </c>
      <c r="D2032" s="287">
        <v>311.7</v>
      </c>
      <c r="E2032" s="380">
        <v>42522</v>
      </c>
      <c r="F2032" s="381">
        <v>223.72</v>
      </c>
    </row>
    <row r="2033" spans="1:6" s="295" customFormat="1" x14ac:dyDescent="0.15">
      <c r="A2033" s="374" t="s">
        <v>1304</v>
      </c>
      <c r="B2033" s="287" t="s">
        <v>1230</v>
      </c>
      <c r="C2033" s="287" t="s">
        <v>1231</v>
      </c>
      <c r="D2033" s="287">
        <v>254.1</v>
      </c>
      <c r="E2033" s="380">
        <v>42522</v>
      </c>
      <c r="F2033" s="381">
        <v>189.32</v>
      </c>
    </row>
    <row r="2034" spans="1:6" s="295" customFormat="1" x14ac:dyDescent="0.15">
      <c r="A2034" s="374" t="s">
        <v>1305</v>
      </c>
      <c r="B2034" s="287" t="s">
        <v>1306</v>
      </c>
      <c r="C2034" s="287" t="s">
        <v>1233</v>
      </c>
      <c r="D2034" s="287">
        <v>1335.2</v>
      </c>
      <c r="E2034" s="380">
        <v>42522</v>
      </c>
      <c r="F2034" s="381">
        <v>544.38</v>
      </c>
    </row>
    <row r="2035" spans="1:6" s="295" customFormat="1" x14ac:dyDescent="0.15">
      <c r="A2035" s="374" t="s">
        <v>1307</v>
      </c>
      <c r="B2035" s="287" t="s">
        <v>1234</v>
      </c>
      <c r="C2035" s="287" t="s">
        <v>500</v>
      </c>
      <c r="D2035" s="287">
        <v>506.1</v>
      </c>
      <c r="E2035" s="380">
        <v>42522</v>
      </c>
      <c r="F2035" s="381">
        <v>230.11</v>
      </c>
    </row>
    <row r="2036" spans="1:6" s="295" customFormat="1" x14ac:dyDescent="0.15">
      <c r="A2036" s="374" t="s">
        <v>1308</v>
      </c>
      <c r="B2036" s="287" t="s">
        <v>1235</v>
      </c>
      <c r="C2036" s="287" t="s">
        <v>1236</v>
      </c>
      <c r="D2036" s="287">
        <v>451.6</v>
      </c>
      <c r="E2036" s="380">
        <v>42522</v>
      </c>
      <c r="F2036" s="381">
        <v>307.93</v>
      </c>
    </row>
    <row r="2037" spans="1:6" s="295" customFormat="1" x14ac:dyDescent="0.15">
      <c r="A2037" s="374" t="s">
        <v>1318</v>
      </c>
      <c r="B2037" s="287" t="s">
        <v>1238</v>
      </c>
      <c r="C2037" s="287" t="s">
        <v>1239</v>
      </c>
      <c r="D2037" s="287">
        <v>421.8</v>
      </c>
      <c r="E2037" s="380">
        <v>42522</v>
      </c>
      <c r="F2037" s="381">
        <v>290.01</v>
      </c>
    </row>
    <row r="2038" spans="1:6" s="295" customFormat="1" x14ac:dyDescent="0.15">
      <c r="A2038" s="374" t="s">
        <v>1309</v>
      </c>
      <c r="B2038" s="287" t="s">
        <v>1240</v>
      </c>
      <c r="C2038" s="287" t="s">
        <v>1241</v>
      </c>
      <c r="D2038" s="287">
        <v>265.39999999999998</v>
      </c>
      <c r="E2038" s="380">
        <v>42522</v>
      </c>
      <c r="F2038" s="381">
        <v>195.92</v>
      </c>
    </row>
    <row r="2039" spans="1:6" s="295" customFormat="1" x14ac:dyDescent="0.15">
      <c r="A2039" s="374" t="s">
        <v>1310</v>
      </c>
      <c r="B2039" s="287" t="s">
        <v>1282</v>
      </c>
      <c r="C2039" s="287" t="s">
        <v>1283</v>
      </c>
      <c r="D2039" s="287">
        <v>388.4</v>
      </c>
      <c r="E2039" s="380">
        <v>42522</v>
      </c>
      <c r="F2039" s="381">
        <v>269.86</v>
      </c>
    </row>
    <row r="2040" spans="1:6" s="295" customFormat="1" x14ac:dyDescent="0.15">
      <c r="A2040" s="374" t="s">
        <v>1319</v>
      </c>
      <c r="B2040" s="287" t="s">
        <v>1246</v>
      </c>
      <c r="C2040" s="287" t="s">
        <v>1247</v>
      </c>
      <c r="D2040" s="287">
        <v>342.5</v>
      </c>
      <c r="E2040" s="380">
        <v>42522</v>
      </c>
      <c r="F2040" s="381">
        <v>242.19</v>
      </c>
    </row>
    <row r="2041" spans="1:6" s="295" customFormat="1" x14ac:dyDescent="0.15">
      <c r="A2041" s="374" t="s">
        <v>1311</v>
      </c>
      <c r="B2041" s="287" t="s">
        <v>1248</v>
      </c>
      <c r="C2041" s="287" t="s">
        <v>1249</v>
      </c>
      <c r="D2041" s="287">
        <v>56.6</v>
      </c>
      <c r="E2041" s="380">
        <v>42522</v>
      </c>
      <c r="F2041" s="381">
        <v>65.44</v>
      </c>
    </row>
    <row r="2042" spans="1:6" s="295" customFormat="1" x14ac:dyDescent="0.15">
      <c r="A2042" s="374" t="s">
        <v>1320</v>
      </c>
      <c r="B2042" s="287" t="s">
        <v>1288</v>
      </c>
      <c r="C2042" s="287" t="s">
        <v>1289</v>
      </c>
      <c r="D2042" s="397">
        <v>94.6</v>
      </c>
      <c r="E2042" s="380">
        <v>42522</v>
      </c>
      <c r="F2042" s="381">
        <v>93.11</v>
      </c>
    </row>
    <row r="2043" spans="1:6" s="295" customFormat="1" ht="14" thickBot="1" x14ac:dyDescent="0.2">
      <c r="A2043" s="374"/>
      <c r="B2043" s="287"/>
      <c r="C2043" s="291" t="s">
        <v>115</v>
      </c>
      <c r="D2043" s="383">
        <f>SUM(D2031:D2042)</f>
        <v>4804.5000000000009</v>
      </c>
      <c r="E2043" s="404"/>
      <c r="F2043" s="389">
        <v>2914.7599999999998</v>
      </c>
    </row>
    <row r="2044" spans="1:6" s="295" customFormat="1" ht="14" thickTop="1" x14ac:dyDescent="0.15">
      <c r="A2044" s="409"/>
      <c r="B2044" s="410"/>
      <c r="C2044" s="410"/>
      <c r="D2044" s="410"/>
      <c r="E2044" s="403"/>
      <c r="F2044" s="411"/>
    </row>
    <row r="2045" spans="1:6" s="295" customFormat="1" ht="14" thickBot="1" x14ac:dyDescent="0.2">
      <c r="A2045" s="412"/>
      <c r="B2045" s="281"/>
      <c r="C2045" s="291" t="s">
        <v>1173</v>
      </c>
      <c r="D2045" s="383">
        <f>SUM(D2029,D2043)</f>
        <v>9803.4000000000015</v>
      </c>
      <c r="E2045" s="384"/>
      <c r="F2045" s="389">
        <v>7193.4</v>
      </c>
    </row>
    <row r="2046" spans="1:6" s="295" customFormat="1" ht="14" thickTop="1" x14ac:dyDescent="0.15">
      <c r="A2046" s="370"/>
      <c r="B2046" s="371"/>
      <c r="C2046" s="413"/>
      <c r="D2046" s="414"/>
      <c r="E2046" s="390"/>
      <c r="F2046" s="415"/>
    </row>
    <row r="2047" spans="1:6" s="295" customFormat="1" x14ac:dyDescent="0.15">
      <c r="A2047" s="370" t="s">
        <v>1299</v>
      </c>
      <c r="B2047" s="371" t="s">
        <v>1269</v>
      </c>
      <c r="C2047" s="371" t="s">
        <v>1270</v>
      </c>
      <c r="D2047" s="371">
        <v>50.4</v>
      </c>
      <c r="E2047" s="390">
        <v>42537</v>
      </c>
      <c r="F2047" s="391">
        <v>53.82</v>
      </c>
    </row>
    <row r="2048" spans="1:6" s="295" customFormat="1" x14ac:dyDescent="0.15">
      <c r="A2048" s="374" t="s">
        <v>1293</v>
      </c>
      <c r="B2048" s="287" t="s">
        <v>1257</v>
      </c>
      <c r="C2048" s="287" t="s">
        <v>1258</v>
      </c>
      <c r="D2048" s="287">
        <v>84.4</v>
      </c>
      <c r="E2048" s="380">
        <v>42537</v>
      </c>
      <c r="F2048" s="381">
        <v>81.680000000000007</v>
      </c>
    </row>
    <row r="2049" spans="1:6" s="295" customFormat="1" x14ac:dyDescent="0.15">
      <c r="A2049" s="374" t="s">
        <v>1294</v>
      </c>
      <c r="B2049" s="287" t="s">
        <v>1259</v>
      </c>
      <c r="C2049" s="287" t="s">
        <v>1260</v>
      </c>
      <c r="D2049" s="287">
        <v>10.3</v>
      </c>
      <c r="E2049" s="380">
        <v>42537</v>
      </c>
      <c r="F2049" s="381">
        <v>20.77</v>
      </c>
    </row>
    <row r="2050" spans="1:6" s="295" customFormat="1" x14ac:dyDescent="0.15">
      <c r="A2050" s="374" t="s">
        <v>1296</v>
      </c>
      <c r="B2050" s="287" t="s">
        <v>1278</v>
      </c>
      <c r="C2050" s="287" t="s">
        <v>1264</v>
      </c>
      <c r="D2050" s="287">
        <v>135.9</v>
      </c>
      <c r="E2050" s="380">
        <v>42537</v>
      </c>
      <c r="F2050" s="381">
        <v>111.67</v>
      </c>
    </row>
    <row r="2051" spans="1:6" s="295" customFormat="1" x14ac:dyDescent="0.15">
      <c r="A2051" s="374" t="s">
        <v>1295</v>
      </c>
      <c r="B2051" s="287" t="s">
        <v>1261</v>
      </c>
      <c r="C2051" s="287" t="s">
        <v>1262</v>
      </c>
      <c r="D2051" s="287">
        <v>83.4</v>
      </c>
      <c r="E2051" s="380">
        <v>42537</v>
      </c>
      <c r="F2051" s="381">
        <v>80.34</v>
      </c>
    </row>
    <row r="2052" spans="1:6" s="295" customFormat="1" x14ac:dyDescent="0.15">
      <c r="A2052" s="374" t="s">
        <v>1301</v>
      </c>
      <c r="B2052" s="287" t="s">
        <v>1286</v>
      </c>
      <c r="C2052" s="287" t="s">
        <v>1287</v>
      </c>
      <c r="D2052" s="287">
        <v>27.8</v>
      </c>
      <c r="E2052" s="380">
        <v>42537</v>
      </c>
      <c r="F2052" s="381">
        <v>35.29</v>
      </c>
    </row>
    <row r="2053" spans="1:6" s="295" customFormat="1" x14ac:dyDescent="0.15">
      <c r="A2053" s="374" t="s">
        <v>1297</v>
      </c>
      <c r="B2053" s="287" t="s">
        <v>1265</v>
      </c>
      <c r="C2053" s="287" t="s">
        <v>1266</v>
      </c>
      <c r="D2053" s="287">
        <v>52.5</v>
      </c>
      <c r="E2053" s="380">
        <v>42537</v>
      </c>
      <c r="F2053" s="381">
        <v>59.09</v>
      </c>
    </row>
    <row r="2054" spans="1:6" s="295" customFormat="1" ht="12" customHeight="1" x14ac:dyDescent="0.15">
      <c r="A2054" s="374" t="s">
        <v>1298</v>
      </c>
      <c r="B2054" s="287" t="s">
        <v>1267</v>
      </c>
      <c r="C2054" s="287" t="s">
        <v>1268</v>
      </c>
      <c r="D2054" s="287">
        <v>86.5</v>
      </c>
      <c r="E2054" s="380">
        <v>42537</v>
      </c>
      <c r="F2054" s="381">
        <v>82.25</v>
      </c>
    </row>
    <row r="2055" spans="1:6" s="295" customFormat="1" x14ac:dyDescent="0.15">
      <c r="A2055" s="374" t="s">
        <v>1300</v>
      </c>
      <c r="B2055" s="287" t="s">
        <v>1271</v>
      </c>
      <c r="C2055" s="287" t="s">
        <v>1272</v>
      </c>
      <c r="D2055" s="287">
        <v>64.8</v>
      </c>
      <c r="E2055" s="380">
        <v>42537</v>
      </c>
      <c r="F2055" s="381">
        <v>65.61</v>
      </c>
    </row>
    <row r="2056" spans="1:6" s="295" customFormat="1" x14ac:dyDescent="0.15">
      <c r="A2056" s="374" t="s">
        <v>1290</v>
      </c>
      <c r="B2056" s="287" t="s">
        <v>1291</v>
      </c>
      <c r="C2056" s="287" t="s">
        <v>1277</v>
      </c>
      <c r="D2056" s="287">
        <v>96.6</v>
      </c>
      <c r="E2056" s="380">
        <v>42537</v>
      </c>
      <c r="F2056" s="381">
        <v>89.92</v>
      </c>
    </row>
    <row r="2057" spans="1:6" s="295" customFormat="1" x14ac:dyDescent="0.15">
      <c r="A2057" s="374" t="s">
        <v>1292</v>
      </c>
      <c r="B2057" s="287" t="s">
        <v>1255</v>
      </c>
      <c r="C2057" s="287" t="s">
        <v>1256</v>
      </c>
      <c r="D2057" s="287">
        <v>271</v>
      </c>
      <c r="E2057" s="380">
        <v>42537</v>
      </c>
      <c r="F2057" s="381">
        <v>116.44</v>
      </c>
    </row>
    <row r="2058" spans="1:6" s="295" customFormat="1" x14ac:dyDescent="0.15">
      <c r="A2058" s="374" t="s">
        <v>1312</v>
      </c>
      <c r="B2058" s="287" t="s">
        <v>1313</v>
      </c>
      <c r="C2058" s="287" t="s">
        <v>1313</v>
      </c>
      <c r="D2058" s="287">
        <v>26.8</v>
      </c>
      <c r="E2058" s="380">
        <v>42537</v>
      </c>
      <c r="F2058" s="381">
        <v>34.479999999999997</v>
      </c>
    </row>
    <row r="2059" spans="1:6" s="295" customFormat="1" x14ac:dyDescent="0.15">
      <c r="A2059" s="374" t="s">
        <v>1314</v>
      </c>
      <c r="B2059" s="287" t="s">
        <v>1315</v>
      </c>
      <c r="C2059" s="287" t="s">
        <v>1316</v>
      </c>
      <c r="D2059" s="287">
        <v>7.2</v>
      </c>
      <c r="E2059" s="380">
        <v>42537</v>
      </c>
      <c r="F2059" s="381">
        <v>18.41</v>
      </c>
    </row>
    <row r="2060" spans="1:6" s="295" customFormat="1" x14ac:dyDescent="0.15">
      <c r="A2060" s="374" t="s">
        <v>1322</v>
      </c>
      <c r="B2060" s="287" t="s">
        <v>1250</v>
      </c>
      <c r="C2060" s="287" t="s">
        <v>1251</v>
      </c>
      <c r="D2060" s="287">
        <v>2.1</v>
      </c>
      <c r="E2060" s="380">
        <v>42537</v>
      </c>
      <c r="F2060" s="381">
        <v>14.23</v>
      </c>
    </row>
    <row r="2061" spans="1:6" s="295" customFormat="1" x14ac:dyDescent="0.15">
      <c r="A2061" s="374" t="s">
        <v>1326</v>
      </c>
      <c r="B2061" s="287" t="s">
        <v>1284</v>
      </c>
      <c r="C2061" s="287" t="s">
        <v>1285</v>
      </c>
      <c r="D2061" s="397">
        <v>30.9</v>
      </c>
      <c r="E2061" s="380">
        <v>42537</v>
      </c>
      <c r="F2061" s="381">
        <v>39.47</v>
      </c>
    </row>
    <row r="2062" spans="1:6" s="295" customFormat="1" x14ac:dyDescent="0.15">
      <c r="A2062" s="374" t="s">
        <v>1323</v>
      </c>
      <c r="B2062" s="287" t="s">
        <v>1252</v>
      </c>
      <c r="C2062" s="287" t="s">
        <v>1253</v>
      </c>
      <c r="D2062" s="287">
        <v>441.5</v>
      </c>
      <c r="E2062" s="380">
        <v>42537</v>
      </c>
      <c r="F2062" s="381">
        <v>280.75</v>
      </c>
    </row>
    <row r="2063" spans="1:6" s="295" customFormat="1" x14ac:dyDescent="0.15">
      <c r="A2063" s="374" t="s">
        <v>1325</v>
      </c>
      <c r="B2063" s="287" t="s">
        <v>1279</v>
      </c>
      <c r="C2063" s="287" t="s">
        <v>1280</v>
      </c>
      <c r="D2063" s="397">
        <v>167.8</v>
      </c>
      <c r="E2063" s="380">
        <v>42537</v>
      </c>
      <c r="F2063" s="381">
        <v>129.32</v>
      </c>
    </row>
    <row r="2064" spans="1:6" s="295" customFormat="1" x14ac:dyDescent="0.15">
      <c r="A2064" s="374" t="s">
        <v>1324</v>
      </c>
      <c r="B2064" s="287" t="s">
        <v>1275</v>
      </c>
      <c r="C2064" s="287" t="s">
        <v>1276</v>
      </c>
      <c r="D2064" s="397">
        <v>189.4</v>
      </c>
      <c r="E2064" s="380">
        <v>42537</v>
      </c>
      <c r="F2064" s="381">
        <v>141.27000000000001</v>
      </c>
    </row>
    <row r="2065" spans="1:6" s="295" customFormat="1" x14ac:dyDescent="0.15">
      <c r="A2065" s="374" t="s">
        <v>1321</v>
      </c>
      <c r="B2065" s="287" t="s">
        <v>1244</v>
      </c>
      <c r="C2065" s="287" t="s">
        <v>1245</v>
      </c>
      <c r="D2065" s="287">
        <v>171.9</v>
      </c>
      <c r="E2065" s="380">
        <v>42537</v>
      </c>
      <c r="F2065" s="381">
        <v>131.59</v>
      </c>
    </row>
    <row r="2066" spans="1:6" s="295" customFormat="1" ht="14" thickBot="1" x14ac:dyDescent="0.2">
      <c r="A2066" s="374"/>
      <c r="B2066" s="287"/>
      <c r="C2066" s="291" t="s">
        <v>115</v>
      </c>
      <c r="D2066" s="394">
        <f>SUM(D2047:D2065)</f>
        <v>2001.2000000000003</v>
      </c>
      <c r="E2066" s="384"/>
      <c r="F2066" s="389">
        <v>1586.4000000000003</v>
      </c>
    </row>
    <row r="2067" spans="1:6" s="295" customFormat="1" ht="14" thickTop="1" x14ac:dyDescent="0.15">
      <c r="A2067" s="374"/>
      <c r="B2067" s="287"/>
      <c r="C2067" s="287"/>
      <c r="D2067" s="287"/>
      <c r="E2067" s="380"/>
      <c r="F2067" s="381"/>
    </row>
    <row r="2068" spans="1:6" s="295" customFormat="1" x14ac:dyDescent="0.15">
      <c r="A2068" s="370" t="s">
        <v>1302</v>
      </c>
      <c r="B2068" s="371" t="s">
        <v>1226</v>
      </c>
      <c r="C2068" s="371" t="s">
        <v>1227</v>
      </c>
      <c r="D2068" s="371">
        <v>100.9</v>
      </c>
      <c r="E2068" s="390">
        <v>42552</v>
      </c>
      <c r="F2068" s="391">
        <v>92.3</v>
      </c>
    </row>
    <row r="2069" spans="1:6" s="295" customFormat="1" x14ac:dyDescent="0.15">
      <c r="A2069" s="374" t="s">
        <v>1303</v>
      </c>
      <c r="B2069" s="287" t="s">
        <v>1228</v>
      </c>
      <c r="C2069" s="287" t="s">
        <v>1229</v>
      </c>
      <c r="D2069" s="287">
        <v>24.7</v>
      </c>
      <c r="E2069" s="380">
        <v>42552</v>
      </c>
      <c r="F2069" s="381">
        <v>32.75</v>
      </c>
    </row>
    <row r="2070" spans="1:6" s="295" customFormat="1" x14ac:dyDescent="0.15">
      <c r="A2070" s="374" t="s">
        <v>1304</v>
      </c>
      <c r="B2070" s="287" t="s">
        <v>1230</v>
      </c>
      <c r="C2070" s="287" t="s">
        <v>1231</v>
      </c>
      <c r="D2070" s="287">
        <v>54.6</v>
      </c>
      <c r="E2070" s="380">
        <v>42552</v>
      </c>
      <c r="F2070" s="381">
        <v>57.25</v>
      </c>
    </row>
    <row r="2071" spans="1:6" s="295" customFormat="1" x14ac:dyDescent="0.15">
      <c r="A2071" s="374" t="s">
        <v>1305</v>
      </c>
      <c r="B2071" s="287" t="s">
        <v>1306</v>
      </c>
      <c r="C2071" s="287" t="s">
        <v>1233</v>
      </c>
      <c r="D2071" s="287">
        <v>779.2</v>
      </c>
      <c r="E2071" s="380">
        <v>42552</v>
      </c>
      <c r="F2071" s="381">
        <v>276.3</v>
      </c>
    </row>
    <row r="2072" spans="1:6" s="295" customFormat="1" x14ac:dyDescent="0.15">
      <c r="A2072" s="374" t="s">
        <v>1307</v>
      </c>
      <c r="B2072" s="287" t="s">
        <v>1234</v>
      </c>
      <c r="C2072" s="287" t="s">
        <v>500</v>
      </c>
      <c r="D2072" s="287">
        <v>105</v>
      </c>
      <c r="E2072" s="380">
        <v>42552</v>
      </c>
      <c r="F2072" s="381">
        <v>65.13</v>
      </c>
    </row>
    <row r="2073" spans="1:6" s="295" customFormat="1" x14ac:dyDescent="0.15">
      <c r="A2073" s="374" t="s">
        <v>1308</v>
      </c>
      <c r="B2073" s="287" t="s">
        <v>1235</v>
      </c>
      <c r="C2073" s="287" t="s">
        <v>1236</v>
      </c>
      <c r="D2073" s="287">
        <v>105</v>
      </c>
      <c r="E2073" s="380">
        <v>42552</v>
      </c>
      <c r="F2073" s="381">
        <v>94.57</v>
      </c>
    </row>
    <row r="2074" spans="1:6" s="295" customFormat="1" x14ac:dyDescent="0.15">
      <c r="A2074" s="374" t="s">
        <v>1318</v>
      </c>
      <c r="B2074" s="287" t="s">
        <v>1238</v>
      </c>
      <c r="C2074" s="287" t="s">
        <v>1239</v>
      </c>
      <c r="D2074" s="287">
        <v>111.2</v>
      </c>
      <c r="E2074" s="380">
        <v>42552</v>
      </c>
      <c r="F2074" s="381">
        <v>98.01</v>
      </c>
    </row>
    <row r="2075" spans="1:6" s="295" customFormat="1" x14ac:dyDescent="0.15">
      <c r="A2075" s="374" t="s">
        <v>1309</v>
      </c>
      <c r="B2075" s="287" t="s">
        <v>1240</v>
      </c>
      <c r="C2075" s="287" t="s">
        <v>1241</v>
      </c>
      <c r="D2075" s="287">
        <v>60.7</v>
      </c>
      <c r="E2075" s="380">
        <v>42552</v>
      </c>
      <c r="F2075" s="381">
        <v>62.25</v>
      </c>
    </row>
    <row r="2076" spans="1:6" s="295" customFormat="1" x14ac:dyDescent="0.15">
      <c r="A2076" s="374" t="s">
        <v>1310</v>
      </c>
      <c r="B2076" s="287" t="s">
        <v>1282</v>
      </c>
      <c r="C2076" s="287" t="s">
        <v>1283</v>
      </c>
      <c r="D2076" s="287">
        <v>122.7</v>
      </c>
      <c r="E2076" s="380">
        <v>42552</v>
      </c>
      <c r="F2076" s="381">
        <v>104.37</v>
      </c>
    </row>
    <row r="2077" spans="1:6" s="295" customFormat="1" x14ac:dyDescent="0.15">
      <c r="A2077" s="374" t="s">
        <v>1319</v>
      </c>
      <c r="B2077" s="287" t="s">
        <v>1246</v>
      </c>
      <c r="C2077" s="287" t="s">
        <v>1247</v>
      </c>
      <c r="D2077" s="287">
        <v>60.7</v>
      </c>
      <c r="E2077" s="380">
        <v>42552</v>
      </c>
      <c r="F2077" s="381">
        <v>62.25</v>
      </c>
    </row>
    <row r="2078" spans="1:6" s="295" customFormat="1" x14ac:dyDescent="0.15">
      <c r="A2078" s="374" t="s">
        <v>1311</v>
      </c>
      <c r="B2078" s="287" t="s">
        <v>1248</v>
      </c>
      <c r="C2078" s="287" t="s">
        <v>1249</v>
      </c>
      <c r="D2078" s="287">
        <v>0</v>
      </c>
      <c r="E2078" s="380">
        <v>42552</v>
      </c>
      <c r="F2078" s="381">
        <v>11.42</v>
      </c>
    </row>
    <row r="2079" spans="1:6" s="295" customFormat="1" x14ac:dyDescent="0.15">
      <c r="A2079" s="374" t="s">
        <v>1320</v>
      </c>
      <c r="B2079" s="287" t="s">
        <v>1288</v>
      </c>
      <c r="C2079" s="287" t="s">
        <v>1289</v>
      </c>
      <c r="D2079" s="397">
        <v>0</v>
      </c>
      <c r="E2079" s="403">
        <v>42552</v>
      </c>
      <c r="F2079" s="381">
        <v>12.51</v>
      </c>
    </row>
    <row r="2080" spans="1:6" s="295" customFormat="1" ht="14" thickBot="1" x14ac:dyDescent="0.2">
      <c r="A2080" s="374"/>
      <c r="B2080" s="287"/>
      <c r="C2080" s="291" t="s">
        <v>115</v>
      </c>
      <c r="D2080" s="383">
        <f>SUM(D2068:D2079)</f>
        <v>1524.7000000000003</v>
      </c>
      <c r="E2080" s="404"/>
      <c r="F2080" s="389">
        <v>969.11</v>
      </c>
    </row>
    <row r="2081" spans="1:6" s="295" customFormat="1" ht="14" thickTop="1" x14ac:dyDescent="0.15">
      <c r="A2081" s="409"/>
      <c r="B2081" s="410"/>
      <c r="C2081" s="410"/>
      <c r="D2081" s="410"/>
      <c r="E2081" s="403"/>
      <c r="F2081" s="411"/>
    </row>
    <row r="2082" spans="1:6" s="295" customFormat="1" ht="14" thickBot="1" x14ac:dyDescent="0.2">
      <c r="A2082" s="412"/>
      <c r="B2082" s="281"/>
      <c r="C2082" s="291" t="s">
        <v>1174</v>
      </c>
      <c r="D2082" s="383">
        <f>SUM(D2066,D2080)</f>
        <v>3525.9000000000005</v>
      </c>
      <c r="E2082" s="384"/>
      <c r="F2082" s="389">
        <v>2555.5100000000002</v>
      </c>
    </row>
    <row r="2083" spans="1:6" ht="15" thickTop="1" thickBot="1" x14ac:dyDescent="0.2"/>
    <row r="2084" spans="1:6" s="295" customFormat="1" ht="31" thickBot="1" x14ac:dyDescent="0.35">
      <c r="A2084" s="773" t="s">
        <v>1110</v>
      </c>
      <c r="B2084" s="774"/>
      <c r="C2084" s="774"/>
      <c r="D2084" s="774"/>
      <c r="E2084" s="774"/>
      <c r="F2084" s="775"/>
    </row>
    <row r="2085" spans="1:6" s="295" customFormat="1" x14ac:dyDescent="0.15">
      <c r="E2085" s="408"/>
      <c r="F2085" s="298"/>
    </row>
    <row r="2086" spans="1:6" s="295" customFormat="1" x14ac:dyDescent="0.15">
      <c r="A2086" s="370" t="s">
        <v>1299</v>
      </c>
      <c r="B2086" s="371" t="s">
        <v>1269</v>
      </c>
      <c r="C2086" s="371" t="s">
        <v>1270</v>
      </c>
      <c r="D2086" s="371">
        <v>13.4</v>
      </c>
      <c r="E2086" s="390">
        <v>42540</v>
      </c>
      <c r="F2086" s="391">
        <v>23.49</v>
      </c>
    </row>
    <row r="2087" spans="1:6" s="295" customFormat="1" x14ac:dyDescent="0.15">
      <c r="A2087" s="374" t="s">
        <v>1293</v>
      </c>
      <c r="B2087" s="287" t="s">
        <v>1257</v>
      </c>
      <c r="C2087" s="287" t="s">
        <v>1258</v>
      </c>
      <c r="D2087" s="287">
        <v>55.6</v>
      </c>
      <c r="E2087" s="380">
        <v>42540</v>
      </c>
      <c r="F2087" s="381">
        <v>58.07</v>
      </c>
    </row>
    <row r="2088" spans="1:6" s="295" customFormat="1" x14ac:dyDescent="0.15">
      <c r="A2088" s="374" t="s">
        <v>1294</v>
      </c>
      <c r="B2088" s="287" t="s">
        <v>1259</v>
      </c>
      <c r="C2088" s="287" t="s">
        <v>1260</v>
      </c>
      <c r="D2088" s="287">
        <v>0</v>
      </c>
      <c r="E2088" s="380">
        <v>42540</v>
      </c>
      <c r="F2088" s="381">
        <v>11.42</v>
      </c>
    </row>
    <row r="2089" spans="1:6" s="295" customFormat="1" x14ac:dyDescent="0.15">
      <c r="A2089" s="374" t="s">
        <v>1296</v>
      </c>
      <c r="B2089" s="287" t="s">
        <v>1278</v>
      </c>
      <c r="C2089" s="287" t="s">
        <v>1264</v>
      </c>
      <c r="D2089" s="287">
        <v>28.8</v>
      </c>
      <c r="E2089" s="380">
        <v>42540</v>
      </c>
      <c r="F2089" s="381">
        <v>36.1</v>
      </c>
    </row>
    <row r="2090" spans="1:6" s="295" customFormat="1" x14ac:dyDescent="0.15">
      <c r="A2090" s="374" t="s">
        <v>1295</v>
      </c>
      <c r="B2090" s="287" t="s">
        <v>1261</v>
      </c>
      <c r="C2090" s="287" t="s">
        <v>1262</v>
      </c>
      <c r="D2090" s="287">
        <v>43.2</v>
      </c>
      <c r="E2090" s="380">
        <v>42540</v>
      </c>
      <c r="F2090" s="381">
        <v>50.64</v>
      </c>
    </row>
    <row r="2091" spans="1:6" s="295" customFormat="1" x14ac:dyDescent="0.15">
      <c r="A2091" s="374" t="s">
        <v>1301</v>
      </c>
      <c r="B2091" s="287" t="s">
        <v>1286</v>
      </c>
      <c r="C2091" s="287" t="s">
        <v>1287</v>
      </c>
      <c r="D2091" s="287">
        <v>5.0999999999999996</v>
      </c>
      <c r="E2091" s="380">
        <v>42540</v>
      </c>
      <c r="F2091" s="381">
        <v>16.690000000000001</v>
      </c>
    </row>
    <row r="2092" spans="1:6" s="295" customFormat="1" x14ac:dyDescent="0.15">
      <c r="A2092" s="374" t="s">
        <v>1297</v>
      </c>
      <c r="B2092" s="287" t="s">
        <v>1265</v>
      </c>
      <c r="C2092" s="287" t="s">
        <v>1266</v>
      </c>
      <c r="D2092" s="287">
        <v>19.600000000000001</v>
      </c>
      <c r="E2092" s="380">
        <v>42540</v>
      </c>
      <c r="F2092" s="381">
        <v>29.21</v>
      </c>
    </row>
    <row r="2093" spans="1:6" s="295" customFormat="1" ht="12" customHeight="1" x14ac:dyDescent="0.15">
      <c r="A2093" s="374" t="s">
        <v>1298</v>
      </c>
      <c r="B2093" s="287" t="s">
        <v>1267</v>
      </c>
      <c r="C2093" s="287" t="s">
        <v>1268</v>
      </c>
      <c r="D2093" s="287">
        <v>39.1</v>
      </c>
      <c r="E2093" s="380">
        <v>42540</v>
      </c>
      <c r="F2093" s="381">
        <v>46.92</v>
      </c>
    </row>
    <row r="2094" spans="1:6" s="295" customFormat="1" x14ac:dyDescent="0.15">
      <c r="A2094" s="374" t="s">
        <v>1300</v>
      </c>
      <c r="B2094" s="287" t="s">
        <v>1271</v>
      </c>
      <c r="C2094" s="287" t="s">
        <v>1272</v>
      </c>
      <c r="D2094" s="287">
        <v>45.3</v>
      </c>
      <c r="E2094" s="380">
        <v>42540</v>
      </c>
      <c r="F2094" s="381">
        <v>49.64</v>
      </c>
    </row>
    <row r="2095" spans="1:6" s="295" customFormat="1" x14ac:dyDescent="0.15">
      <c r="A2095" s="374" t="s">
        <v>1290</v>
      </c>
      <c r="B2095" s="287" t="s">
        <v>1291</v>
      </c>
      <c r="C2095" s="287" t="s">
        <v>1277</v>
      </c>
      <c r="D2095" s="287">
        <v>8.1999999999999993</v>
      </c>
      <c r="E2095" s="380">
        <v>42540</v>
      </c>
      <c r="F2095" s="381">
        <v>19.23</v>
      </c>
    </row>
    <row r="2096" spans="1:6" s="295" customFormat="1" x14ac:dyDescent="0.15">
      <c r="A2096" s="374" t="s">
        <v>1292</v>
      </c>
      <c r="B2096" s="287" t="s">
        <v>1255</v>
      </c>
      <c r="C2096" s="287" t="s">
        <v>1256</v>
      </c>
      <c r="D2096" s="287">
        <v>228.4</v>
      </c>
      <c r="E2096" s="380">
        <v>42540</v>
      </c>
      <c r="F2096" s="381">
        <v>103.27</v>
      </c>
    </row>
    <row r="2097" spans="1:6" s="295" customFormat="1" x14ac:dyDescent="0.15">
      <c r="A2097" s="374" t="s">
        <v>1312</v>
      </c>
      <c r="B2097" s="287" t="s">
        <v>1313</v>
      </c>
      <c r="C2097" s="287" t="s">
        <v>1313</v>
      </c>
      <c r="D2097" s="287">
        <v>0</v>
      </c>
      <c r="E2097" s="380">
        <v>42540</v>
      </c>
      <c r="F2097" s="381">
        <v>12.51</v>
      </c>
    </row>
    <row r="2098" spans="1:6" s="295" customFormat="1" x14ac:dyDescent="0.15">
      <c r="A2098" s="374" t="s">
        <v>1314</v>
      </c>
      <c r="B2098" s="287" t="s">
        <v>1315</v>
      </c>
      <c r="C2098" s="287" t="s">
        <v>1316</v>
      </c>
      <c r="D2098" s="287">
        <v>6.2</v>
      </c>
      <c r="E2098" s="380">
        <v>42540</v>
      </c>
      <c r="F2098" s="381">
        <v>17.59</v>
      </c>
    </row>
    <row r="2099" spans="1:6" s="295" customFormat="1" x14ac:dyDescent="0.15">
      <c r="A2099" s="374" t="s">
        <v>1322</v>
      </c>
      <c r="B2099" s="287" t="s">
        <v>1250</v>
      </c>
      <c r="C2099" s="287" t="s">
        <v>1251</v>
      </c>
      <c r="D2099" s="287">
        <v>0</v>
      </c>
      <c r="E2099" s="380">
        <v>42540</v>
      </c>
      <c r="F2099" s="381">
        <v>12.51</v>
      </c>
    </row>
    <row r="2100" spans="1:6" s="295" customFormat="1" x14ac:dyDescent="0.15">
      <c r="A2100" s="374" t="s">
        <v>1326</v>
      </c>
      <c r="B2100" s="287" t="s">
        <v>1284</v>
      </c>
      <c r="C2100" s="287" t="s">
        <v>1285</v>
      </c>
      <c r="D2100" s="397">
        <v>12.3</v>
      </c>
      <c r="E2100" s="380">
        <v>42540</v>
      </c>
      <c r="F2100" s="381">
        <v>22.58</v>
      </c>
    </row>
    <row r="2101" spans="1:6" s="295" customFormat="1" x14ac:dyDescent="0.15">
      <c r="A2101" s="374" t="s">
        <v>1323</v>
      </c>
      <c r="B2101" s="287" t="s">
        <v>1252</v>
      </c>
      <c r="C2101" s="287" t="s">
        <v>1253</v>
      </c>
      <c r="D2101" s="287">
        <v>82.3</v>
      </c>
      <c r="E2101" s="380">
        <v>42540</v>
      </c>
      <c r="F2101" s="381">
        <v>79.95</v>
      </c>
    </row>
    <row r="2102" spans="1:6" s="295" customFormat="1" x14ac:dyDescent="0.15">
      <c r="A2102" s="374" t="s">
        <v>1325</v>
      </c>
      <c r="B2102" s="287" t="s">
        <v>1279</v>
      </c>
      <c r="C2102" s="287" t="s">
        <v>1280</v>
      </c>
      <c r="D2102" s="397">
        <v>98.8</v>
      </c>
      <c r="E2102" s="380">
        <v>42540</v>
      </c>
      <c r="F2102" s="381">
        <v>91.13</v>
      </c>
    </row>
    <row r="2103" spans="1:6" s="295" customFormat="1" x14ac:dyDescent="0.15">
      <c r="A2103" s="374" t="s">
        <v>1324</v>
      </c>
      <c r="B2103" s="287" t="s">
        <v>1275</v>
      </c>
      <c r="C2103" s="287" t="s">
        <v>1276</v>
      </c>
      <c r="D2103" s="397">
        <v>87.5</v>
      </c>
      <c r="E2103" s="380">
        <v>42540</v>
      </c>
      <c r="F2103" s="381">
        <v>84.22</v>
      </c>
    </row>
    <row r="2104" spans="1:6" s="295" customFormat="1" x14ac:dyDescent="0.15">
      <c r="A2104" s="374" t="s">
        <v>1321</v>
      </c>
      <c r="B2104" s="287" t="s">
        <v>1244</v>
      </c>
      <c r="C2104" s="287" t="s">
        <v>1245</v>
      </c>
      <c r="D2104" s="287">
        <v>127.6</v>
      </c>
      <c r="E2104" s="380">
        <v>42540</v>
      </c>
      <c r="F2104" s="381">
        <v>107.08</v>
      </c>
    </row>
    <row r="2105" spans="1:6" s="295" customFormat="1" ht="14" thickBot="1" x14ac:dyDescent="0.2">
      <c r="A2105" s="374"/>
      <c r="B2105" s="287"/>
      <c r="C2105" s="291" t="s">
        <v>115</v>
      </c>
      <c r="D2105" s="394">
        <f>SUM(D2086:D2104)</f>
        <v>901.39999999999986</v>
      </c>
      <c r="E2105" s="384"/>
      <c r="F2105" s="389">
        <v>872.25</v>
      </c>
    </row>
    <row r="2106" spans="1:6" s="295" customFormat="1" ht="14" thickTop="1" x14ac:dyDescent="0.15">
      <c r="A2106" s="374"/>
      <c r="B2106" s="287"/>
      <c r="C2106" s="287"/>
      <c r="D2106" s="287"/>
      <c r="E2106" s="380"/>
      <c r="F2106" s="381"/>
    </row>
    <row r="2107" spans="1:6" s="295" customFormat="1" x14ac:dyDescent="0.15">
      <c r="A2107" s="374"/>
      <c r="B2107" s="287"/>
      <c r="C2107" s="378" t="s">
        <v>1212</v>
      </c>
      <c r="D2107" s="287"/>
      <c r="E2107" s="380"/>
      <c r="F2107" s="381"/>
    </row>
    <row r="2108" spans="1:6" s="295" customFormat="1" x14ac:dyDescent="0.15">
      <c r="A2108" s="374"/>
      <c r="B2108" s="287"/>
      <c r="C2108" s="378" t="s">
        <v>1139</v>
      </c>
      <c r="D2108" s="287"/>
      <c r="E2108" s="380"/>
      <c r="F2108" s="381"/>
    </row>
    <row r="2109" spans="1:6" s="295" customFormat="1" x14ac:dyDescent="0.15">
      <c r="A2109" s="374"/>
      <c r="B2109" s="287"/>
      <c r="C2109" s="386">
        <v>42576</v>
      </c>
      <c r="D2109" s="287"/>
      <c r="E2109" s="380"/>
      <c r="F2109" s="381"/>
    </row>
    <row r="2110" spans="1:6" s="295" customFormat="1" x14ac:dyDescent="0.15">
      <c r="A2110" s="374"/>
      <c r="B2110" s="287"/>
      <c r="C2110" s="287"/>
      <c r="D2110" s="287"/>
      <c r="E2110" s="380"/>
      <c r="F2110" s="381"/>
    </row>
    <row r="2111" spans="1:6" s="295" customFormat="1" x14ac:dyDescent="0.15">
      <c r="A2111" s="370" t="s">
        <v>1302</v>
      </c>
      <c r="B2111" s="371" t="s">
        <v>1226</v>
      </c>
      <c r="C2111" s="371" t="s">
        <v>1227</v>
      </c>
      <c r="D2111" s="371">
        <v>79.2</v>
      </c>
      <c r="E2111" s="390">
        <v>42583</v>
      </c>
      <c r="F2111" s="391">
        <v>77.42</v>
      </c>
    </row>
    <row r="2112" spans="1:6" s="295" customFormat="1" x14ac:dyDescent="0.15">
      <c r="A2112" s="374" t="s">
        <v>1303</v>
      </c>
      <c r="B2112" s="287" t="s">
        <v>1228</v>
      </c>
      <c r="C2112" s="287" t="s">
        <v>1229</v>
      </c>
      <c r="D2112" s="287">
        <v>0</v>
      </c>
      <c r="E2112" s="380">
        <v>42583</v>
      </c>
      <c r="F2112" s="381">
        <v>12.51</v>
      </c>
    </row>
    <row r="2113" spans="1:6" s="295" customFormat="1" x14ac:dyDescent="0.15">
      <c r="A2113" s="374" t="s">
        <v>1304</v>
      </c>
      <c r="B2113" s="287" t="s">
        <v>1230</v>
      </c>
      <c r="C2113" s="287" t="s">
        <v>1231</v>
      </c>
      <c r="D2113" s="287">
        <v>47.3</v>
      </c>
      <c r="E2113" s="380">
        <v>42583</v>
      </c>
      <c r="F2113" s="381">
        <v>51.27</v>
      </c>
    </row>
    <row r="2114" spans="1:6" s="295" customFormat="1" x14ac:dyDescent="0.15">
      <c r="A2114" s="374" t="s">
        <v>1305</v>
      </c>
      <c r="B2114" s="287" t="s">
        <v>1306</v>
      </c>
      <c r="C2114" s="287" t="s">
        <v>1233</v>
      </c>
      <c r="D2114" s="287">
        <v>837.3</v>
      </c>
      <c r="E2114" s="380">
        <v>42583</v>
      </c>
      <c r="F2114" s="381">
        <v>294.48</v>
      </c>
    </row>
    <row r="2115" spans="1:6" s="295" customFormat="1" x14ac:dyDescent="0.15">
      <c r="A2115" s="374" t="s">
        <v>1307</v>
      </c>
      <c r="B2115" s="287" t="s">
        <v>1234</v>
      </c>
      <c r="C2115" s="287" t="s">
        <v>500</v>
      </c>
      <c r="D2115" s="287">
        <v>93.6</v>
      </c>
      <c r="E2115" s="380">
        <v>42583</v>
      </c>
      <c r="F2115" s="381">
        <v>61.59</v>
      </c>
    </row>
    <row r="2116" spans="1:6" s="295" customFormat="1" x14ac:dyDescent="0.15">
      <c r="A2116" s="374" t="s">
        <v>1308</v>
      </c>
      <c r="B2116" s="287" t="s">
        <v>1235</v>
      </c>
      <c r="C2116" s="287" t="s">
        <v>1236</v>
      </c>
      <c r="D2116" s="287">
        <v>78.2</v>
      </c>
      <c r="E2116" s="380">
        <v>42583</v>
      </c>
      <c r="F2116" s="381">
        <v>76.59</v>
      </c>
    </row>
    <row r="2117" spans="1:6" s="295" customFormat="1" x14ac:dyDescent="0.15">
      <c r="A2117" s="374" t="s">
        <v>1318</v>
      </c>
      <c r="B2117" s="287" t="s">
        <v>1238</v>
      </c>
      <c r="C2117" s="287" t="s">
        <v>1239</v>
      </c>
      <c r="D2117" s="287">
        <v>82.3</v>
      </c>
      <c r="E2117" s="380">
        <v>42583</v>
      </c>
      <c r="F2117" s="381">
        <v>79.95</v>
      </c>
    </row>
    <row r="2118" spans="1:6" s="295" customFormat="1" x14ac:dyDescent="0.15">
      <c r="A2118" s="374" t="s">
        <v>1309</v>
      </c>
      <c r="B2118" s="287" t="s">
        <v>1240</v>
      </c>
      <c r="C2118" s="287" t="s">
        <v>1241</v>
      </c>
      <c r="D2118" s="287">
        <v>58.6</v>
      </c>
      <c r="E2118" s="380">
        <v>42583</v>
      </c>
      <c r="F2118" s="381">
        <v>60.54</v>
      </c>
    </row>
    <row r="2119" spans="1:6" s="295" customFormat="1" x14ac:dyDescent="0.15">
      <c r="A2119" s="374" t="s">
        <v>1310</v>
      </c>
      <c r="B2119" s="287" t="s">
        <v>1282</v>
      </c>
      <c r="C2119" s="287" t="s">
        <v>1283</v>
      </c>
      <c r="D2119" s="287">
        <v>100.5</v>
      </c>
      <c r="E2119" s="380">
        <v>42583</v>
      </c>
      <c r="F2119" s="381">
        <v>92.07</v>
      </c>
    </row>
    <row r="2120" spans="1:6" s="295" customFormat="1" x14ac:dyDescent="0.15">
      <c r="A2120" s="374" t="s">
        <v>1319</v>
      </c>
      <c r="B2120" s="287" t="s">
        <v>1246</v>
      </c>
      <c r="C2120" s="287" t="s">
        <v>1247</v>
      </c>
      <c r="D2120" s="287">
        <v>59.7</v>
      </c>
      <c r="E2120" s="380">
        <v>42583</v>
      </c>
      <c r="F2120" s="381">
        <v>61.43</v>
      </c>
    </row>
    <row r="2121" spans="1:6" s="295" customFormat="1" x14ac:dyDescent="0.15">
      <c r="A2121" s="374" t="s">
        <v>1311</v>
      </c>
      <c r="B2121" s="287" t="s">
        <v>1248</v>
      </c>
      <c r="C2121" s="287" t="s">
        <v>1249</v>
      </c>
      <c r="D2121" s="287">
        <v>0</v>
      </c>
      <c r="E2121" s="380">
        <v>42583</v>
      </c>
      <c r="F2121" s="381">
        <v>11.42</v>
      </c>
    </row>
    <row r="2122" spans="1:6" s="295" customFormat="1" x14ac:dyDescent="0.15">
      <c r="A2122" s="374" t="s">
        <v>1320</v>
      </c>
      <c r="B2122" s="287" t="s">
        <v>1288</v>
      </c>
      <c r="C2122" s="287" t="s">
        <v>1289</v>
      </c>
      <c r="D2122" s="397">
        <v>0</v>
      </c>
      <c r="E2122" s="403">
        <v>42583</v>
      </c>
      <c r="F2122" s="381">
        <v>12.51</v>
      </c>
    </row>
    <row r="2123" spans="1:6" s="295" customFormat="1" ht="14" thickBot="1" x14ac:dyDescent="0.2">
      <c r="A2123" s="374"/>
      <c r="B2123" s="287"/>
      <c r="C2123" s="291" t="s">
        <v>115</v>
      </c>
      <c r="D2123" s="383">
        <f>SUM(D2111:D2122)</f>
        <v>1436.6999999999998</v>
      </c>
      <c r="E2123" s="404"/>
      <c r="F2123" s="389">
        <v>891.78</v>
      </c>
    </row>
    <row r="2124" spans="1:6" s="295" customFormat="1" ht="14" thickTop="1" x14ac:dyDescent="0.15">
      <c r="A2124" s="374"/>
      <c r="B2124" s="287"/>
      <c r="C2124" s="287"/>
      <c r="D2124" s="287"/>
      <c r="E2124" s="380"/>
      <c r="F2124" s="381"/>
    </row>
    <row r="2125" spans="1:6" s="295" customFormat="1" x14ac:dyDescent="0.15">
      <c r="A2125" s="374"/>
      <c r="B2125" s="287"/>
      <c r="C2125" s="378" t="s">
        <v>1212</v>
      </c>
      <c r="D2125" s="287"/>
      <c r="E2125" s="380"/>
      <c r="F2125" s="381"/>
    </row>
    <row r="2126" spans="1:6" s="295" customFormat="1" x14ac:dyDescent="0.15">
      <c r="A2126" s="374"/>
      <c r="B2126" s="287"/>
      <c r="C2126" s="378" t="s">
        <v>1139</v>
      </c>
      <c r="D2126" s="287"/>
      <c r="E2126" s="380"/>
      <c r="F2126" s="381"/>
    </row>
    <row r="2127" spans="1:6" s="295" customFormat="1" x14ac:dyDescent="0.15">
      <c r="A2127" s="374"/>
      <c r="B2127" s="287"/>
      <c r="C2127" s="386">
        <v>42582</v>
      </c>
      <c r="D2127" s="287"/>
      <c r="E2127" s="380"/>
      <c r="F2127" s="381"/>
    </row>
    <row r="2128" spans="1:6" s="295" customFormat="1" x14ac:dyDescent="0.15">
      <c r="A2128" s="409"/>
      <c r="B2128" s="410"/>
      <c r="C2128" s="410"/>
      <c r="D2128" s="410"/>
      <c r="E2128" s="403"/>
      <c r="F2128" s="411"/>
    </row>
    <row r="2129" spans="1:6" s="295" customFormat="1" ht="14" thickBot="1" x14ac:dyDescent="0.2">
      <c r="A2129" s="412"/>
      <c r="B2129" s="281"/>
      <c r="C2129" s="291" t="s">
        <v>1177</v>
      </c>
      <c r="D2129" s="383">
        <f>SUM(D2105,D2123)</f>
        <v>2338.0999999999995</v>
      </c>
      <c r="E2129" s="384"/>
      <c r="F2129" s="389">
        <v>1764.03</v>
      </c>
    </row>
    <row r="2130" spans="1:6" s="295" customFormat="1" ht="14" thickTop="1" x14ac:dyDescent="0.15">
      <c r="E2130" s="408"/>
      <c r="F2130" s="298"/>
    </row>
    <row r="2131" spans="1:6" s="295" customFormat="1" x14ac:dyDescent="0.15">
      <c r="A2131" s="370" t="s">
        <v>1299</v>
      </c>
      <c r="B2131" s="371" t="s">
        <v>1269</v>
      </c>
      <c r="C2131" s="371" t="s">
        <v>1270</v>
      </c>
      <c r="D2131" s="371">
        <v>13.4</v>
      </c>
      <c r="E2131" s="390">
        <v>42598</v>
      </c>
      <c r="F2131" s="391">
        <v>23.49</v>
      </c>
    </row>
    <row r="2132" spans="1:6" s="295" customFormat="1" x14ac:dyDescent="0.15">
      <c r="A2132" s="374" t="s">
        <v>1293</v>
      </c>
      <c r="B2132" s="287" t="s">
        <v>1257</v>
      </c>
      <c r="C2132" s="287" t="s">
        <v>1258</v>
      </c>
      <c r="D2132" s="287">
        <v>41.2</v>
      </c>
      <c r="E2132" s="380">
        <v>42598</v>
      </c>
      <c r="F2132" s="381">
        <v>46.28</v>
      </c>
    </row>
    <row r="2133" spans="1:6" s="295" customFormat="1" x14ac:dyDescent="0.15">
      <c r="A2133" s="374" t="s">
        <v>1294</v>
      </c>
      <c r="B2133" s="287" t="s">
        <v>1259</v>
      </c>
      <c r="C2133" s="287" t="s">
        <v>1260</v>
      </c>
      <c r="D2133" s="287">
        <v>0</v>
      </c>
      <c r="E2133" s="380">
        <v>42598</v>
      </c>
      <c r="F2133" s="381">
        <v>11.42</v>
      </c>
    </row>
    <row r="2134" spans="1:6" s="295" customFormat="1" x14ac:dyDescent="0.15">
      <c r="A2134" s="374" t="s">
        <v>1296</v>
      </c>
      <c r="B2134" s="287" t="s">
        <v>1278</v>
      </c>
      <c r="C2134" s="287" t="s">
        <v>1264</v>
      </c>
      <c r="D2134" s="287">
        <v>19.5</v>
      </c>
      <c r="E2134" s="380">
        <v>42598</v>
      </c>
      <c r="F2134" s="381">
        <v>28.5</v>
      </c>
    </row>
    <row r="2135" spans="1:6" s="295" customFormat="1" x14ac:dyDescent="0.15">
      <c r="A2135" s="374" t="s">
        <v>1295</v>
      </c>
      <c r="B2135" s="287" t="s">
        <v>1261</v>
      </c>
      <c r="C2135" s="287" t="s">
        <v>1262</v>
      </c>
      <c r="D2135" s="287">
        <v>38.1</v>
      </c>
      <c r="E2135" s="380">
        <v>42598</v>
      </c>
      <c r="F2135" s="381">
        <v>46.01</v>
      </c>
    </row>
    <row r="2136" spans="1:6" s="295" customFormat="1" x14ac:dyDescent="0.15">
      <c r="A2136" s="374" t="s">
        <v>1301</v>
      </c>
      <c r="B2136" s="287" t="s">
        <v>1286</v>
      </c>
      <c r="C2136" s="287" t="s">
        <v>1287</v>
      </c>
      <c r="D2136" s="287">
        <v>1</v>
      </c>
      <c r="E2136" s="380">
        <v>42598</v>
      </c>
      <c r="F2136" s="381">
        <v>13.33</v>
      </c>
    </row>
    <row r="2137" spans="1:6" s="295" customFormat="1" x14ac:dyDescent="0.15">
      <c r="A2137" s="374" t="s">
        <v>1297</v>
      </c>
      <c r="B2137" s="287" t="s">
        <v>1265</v>
      </c>
      <c r="C2137" s="287" t="s">
        <v>1266</v>
      </c>
      <c r="D2137" s="287">
        <v>17.5</v>
      </c>
      <c r="E2137" s="380">
        <v>42598</v>
      </c>
      <c r="F2137" s="381">
        <v>27.32</v>
      </c>
    </row>
    <row r="2138" spans="1:6" s="295" customFormat="1" ht="12" customHeight="1" x14ac:dyDescent="0.15">
      <c r="A2138" s="374" t="s">
        <v>1298</v>
      </c>
      <c r="B2138" s="287" t="s">
        <v>1267</v>
      </c>
      <c r="C2138" s="287" t="s">
        <v>1268</v>
      </c>
      <c r="D2138" s="287">
        <v>35</v>
      </c>
      <c r="E2138" s="380">
        <v>42598</v>
      </c>
      <c r="F2138" s="381">
        <v>43.2</v>
      </c>
    </row>
    <row r="2139" spans="1:6" s="295" customFormat="1" x14ac:dyDescent="0.15">
      <c r="A2139" s="374" t="s">
        <v>1300</v>
      </c>
      <c r="B2139" s="287" t="s">
        <v>1271</v>
      </c>
      <c r="C2139" s="287" t="s">
        <v>1272</v>
      </c>
      <c r="D2139" s="287">
        <v>39.1</v>
      </c>
      <c r="E2139" s="380">
        <v>42598</v>
      </c>
      <c r="F2139" s="381">
        <v>44.55</v>
      </c>
    </row>
    <row r="2140" spans="1:6" s="295" customFormat="1" x14ac:dyDescent="0.15">
      <c r="A2140" s="374" t="s">
        <v>1290</v>
      </c>
      <c r="B2140" s="287" t="s">
        <v>1291</v>
      </c>
      <c r="C2140" s="287" t="s">
        <v>1277</v>
      </c>
      <c r="D2140" s="287">
        <v>2</v>
      </c>
      <c r="E2140" s="380">
        <v>42598</v>
      </c>
      <c r="F2140" s="381">
        <v>14.16</v>
      </c>
    </row>
    <row r="2141" spans="1:6" s="295" customFormat="1" x14ac:dyDescent="0.15">
      <c r="A2141" s="374" t="s">
        <v>1292</v>
      </c>
      <c r="B2141" s="287" t="s">
        <v>1255</v>
      </c>
      <c r="C2141" s="287" t="s">
        <v>1256</v>
      </c>
      <c r="D2141" s="287">
        <v>182.4</v>
      </c>
      <c r="E2141" s="380">
        <v>42598</v>
      </c>
      <c r="F2141" s="381">
        <v>89.05</v>
      </c>
    </row>
    <row r="2142" spans="1:6" s="295" customFormat="1" x14ac:dyDescent="0.15">
      <c r="A2142" s="374" t="s">
        <v>1312</v>
      </c>
      <c r="B2142" s="287" t="s">
        <v>1313</v>
      </c>
      <c r="C2142" s="287" t="s">
        <v>1313</v>
      </c>
      <c r="D2142" s="287">
        <v>0</v>
      </c>
      <c r="E2142" s="380">
        <v>42598</v>
      </c>
      <c r="F2142" s="381">
        <v>12.51</v>
      </c>
    </row>
    <row r="2143" spans="1:6" s="295" customFormat="1" x14ac:dyDescent="0.15">
      <c r="A2143" s="374" t="s">
        <v>1314</v>
      </c>
      <c r="B2143" s="287" t="s">
        <v>1315</v>
      </c>
      <c r="C2143" s="287" t="s">
        <v>1316</v>
      </c>
      <c r="D2143" s="287">
        <v>6.2</v>
      </c>
      <c r="E2143" s="380">
        <v>42598</v>
      </c>
      <c r="F2143" s="381">
        <v>17.59</v>
      </c>
    </row>
    <row r="2144" spans="1:6" s="295" customFormat="1" x14ac:dyDescent="0.15">
      <c r="A2144" s="374" t="s">
        <v>1322</v>
      </c>
      <c r="B2144" s="287" t="s">
        <v>1250</v>
      </c>
      <c r="C2144" s="287" t="s">
        <v>1251</v>
      </c>
      <c r="D2144" s="287">
        <v>0</v>
      </c>
      <c r="E2144" s="380">
        <v>42598</v>
      </c>
      <c r="F2144" s="381">
        <v>12.51</v>
      </c>
    </row>
    <row r="2145" spans="1:6" s="295" customFormat="1" x14ac:dyDescent="0.15">
      <c r="A2145" s="374" t="s">
        <v>1326</v>
      </c>
      <c r="B2145" s="287" t="s">
        <v>1284</v>
      </c>
      <c r="C2145" s="287" t="s">
        <v>1285</v>
      </c>
      <c r="D2145" s="397">
        <v>10.3</v>
      </c>
      <c r="E2145" s="380">
        <v>42598</v>
      </c>
      <c r="F2145" s="381">
        <v>20.77</v>
      </c>
    </row>
    <row r="2146" spans="1:6" s="295" customFormat="1" x14ac:dyDescent="0.15">
      <c r="A2146" s="374" t="s">
        <v>1323</v>
      </c>
      <c r="B2146" s="287" t="s">
        <v>1252</v>
      </c>
      <c r="C2146" s="287" t="s">
        <v>1253</v>
      </c>
      <c r="D2146" s="287">
        <v>35</v>
      </c>
      <c r="E2146" s="380">
        <v>42598</v>
      </c>
      <c r="F2146" s="381">
        <v>41.2</v>
      </c>
    </row>
    <row r="2147" spans="1:6" s="295" customFormat="1" x14ac:dyDescent="0.15">
      <c r="A2147" s="374" t="s">
        <v>1325</v>
      </c>
      <c r="B2147" s="287" t="s">
        <v>1279</v>
      </c>
      <c r="C2147" s="287" t="s">
        <v>1280</v>
      </c>
      <c r="D2147" s="397">
        <v>75.099999999999994</v>
      </c>
      <c r="E2147" s="380">
        <v>42598</v>
      </c>
      <c r="F2147" s="381">
        <v>74.05</v>
      </c>
    </row>
    <row r="2148" spans="1:6" s="295" customFormat="1" x14ac:dyDescent="0.15">
      <c r="A2148" s="374" t="s">
        <v>1324</v>
      </c>
      <c r="B2148" s="287" t="s">
        <v>1275</v>
      </c>
      <c r="C2148" s="287" t="s">
        <v>1276</v>
      </c>
      <c r="D2148" s="397">
        <v>67.900000000000006</v>
      </c>
      <c r="E2148" s="380">
        <v>42598</v>
      </c>
      <c r="F2148" s="381">
        <v>68.16</v>
      </c>
    </row>
    <row r="2149" spans="1:6" s="295" customFormat="1" x14ac:dyDescent="0.15">
      <c r="A2149" s="374" t="s">
        <v>1321</v>
      </c>
      <c r="B2149" s="287" t="s">
        <v>1244</v>
      </c>
      <c r="C2149" s="287" t="s">
        <v>1245</v>
      </c>
      <c r="D2149" s="287">
        <v>97.7</v>
      </c>
      <c r="E2149" s="380">
        <v>42598</v>
      </c>
      <c r="F2149" s="381">
        <v>90.54</v>
      </c>
    </row>
    <row r="2150" spans="1:6" s="295" customFormat="1" ht="14" thickBot="1" x14ac:dyDescent="0.2">
      <c r="A2150" s="374"/>
      <c r="B2150" s="287"/>
      <c r="C2150" s="291" t="s">
        <v>115</v>
      </c>
      <c r="D2150" s="394">
        <f>SUM(D2131:D2149)</f>
        <v>681.4</v>
      </c>
      <c r="E2150" s="384"/>
      <c r="F2150" s="389">
        <v>724.64</v>
      </c>
    </row>
    <row r="2151" spans="1:6" s="295" customFormat="1" ht="14" thickTop="1" x14ac:dyDescent="0.15">
      <c r="A2151" s="374"/>
      <c r="B2151" s="287"/>
      <c r="C2151" s="287"/>
      <c r="D2151" s="287"/>
      <c r="E2151" s="380"/>
      <c r="F2151" s="381"/>
    </row>
    <row r="2152" spans="1:6" s="295" customFormat="1" x14ac:dyDescent="0.15">
      <c r="A2152" s="374"/>
      <c r="B2152" s="287"/>
      <c r="C2152" s="378" t="s">
        <v>1212</v>
      </c>
      <c r="D2152" s="287"/>
      <c r="E2152" s="380"/>
      <c r="F2152" s="381"/>
    </row>
    <row r="2153" spans="1:6" s="295" customFormat="1" x14ac:dyDescent="0.15">
      <c r="A2153" s="374"/>
      <c r="B2153" s="287"/>
      <c r="C2153" s="378" t="s">
        <v>1139</v>
      </c>
      <c r="D2153" s="287"/>
      <c r="E2153" s="380"/>
      <c r="F2153" s="381"/>
    </row>
    <row r="2154" spans="1:6" s="295" customFormat="1" x14ac:dyDescent="0.15">
      <c r="A2154" s="374"/>
      <c r="B2154" s="287"/>
      <c r="C2154" s="386">
        <v>42605</v>
      </c>
      <c r="D2154" s="287"/>
      <c r="E2154" s="380"/>
      <c r="F2154" s="381"/>
    </row>
    <row r="2155" spans="1:6" s="295" customFormat="1" x14ac:dyDescent="0.15">
      <c r="A2155" s="374"/>
      <c r="B2155" s="287"/>
      <c r="C2155" s="287"/>
      <c r="D2155" s="287"/>
      <c r="E2155" s="380"/>
      <c r="F2155" s="381"/>
    </row>
    <row r="2156" spans="1:6" s="295" customFormat="1" x14ac:dyDescent="0.15">
      <c r="A2156" s="370" t="s">
        <v>1302</v>
      </c>
      <c r="B2156" s="371" t="s">
        <v>1226</v>
      </c>
      <c r="C2156" s="371" t="s">
        <v>1227</v>
      </c>
      <c r="D2156" s="371">
        <v>90.6</v>
      </c>
      <c r="E2156" s="390">
        <v>42614</v>
      </c>
      <c r="F2156" s="391">
        <v>86.6</v>
      </c>
    </row>
    <row r="2157" spans="1:6" s="295" customFormat="1" x14ac:dyDescent="0.15">
      <c r="A2157" s="374" t="s">
        <v>1303</v>
      </c>
      <c r="B2157" s="287" t="s">
        <v>1228</v>
      </c>
      <c r="C2157" s="287" t="s">
        <v>1229</v>
      </c>
      <c r="D2157" s="287">
        <v>10.3</v>
      </c>
      <c r="E2157" s="380">
        <v>42614</v>
      </c>
      <c r="F2157" s="381">
        <v>20.96</v>
      </c>
    </row>
    <row r="2158" spans="1:6" s="295" customFormat="1" x14ac:dyDescent="0.15">
      <c r="A2158" s="374" t="s">
        <v>1304</v>
      </c>
      <c r="B2158" s="287" t="s">
        <v>1230</v>
      </c>
      <c r="C2158" s="287" t="s">
        <v>1231</v>
      </c>
      <c r="D2158" s="287">
        <v>44.3</v>
      </c>
      <c r="E2158" s="380">
        <v>42614</v>
      </c>
      <c r="F2158" s="381">
        <v>48.81</v>
      </c>
    </row>
    <row r="2159" spans="1:6" s="295" customFormat="1" x14ac:dyDescent="0.15">
      <c r="A2159" s="374" t="s">
        <v>1305</v>
      </c>
      <c r="B2159" s="287" t="s">
        <v>1306</v>
      </c>
      <c r="C2159" s="287" t="s">
        <v>1233</v>
      </c>
      <c r="D2159" s="287">
        <v>745</v>
      </c>
      <c r="E2159" s="380">
        <v>42614</v>
      </c>
      <c r="F2159" s="381">
        <v>265.62</v>
      </c>
    </row>
    <row r="2160" spans="1:6" s="295" customFormat="1" x14ac:dyDescent="0.15">
      <c r="A2160" s="374" t="s">
        <v>1307</v>
      </c>
      <c r="B2160" s="287" t="s">
        <v>1234</v>
      </c>
      <c r="C2160" s="287" t="s">
        <v>500</v>
      </c>
      <c r="D2160" s="287">
        <v>86.4</v>
      </c>
      <c r="E2160" s="380">
        <v>42614</v>
      </c>
      <c r="F2160" s="381">
        <v>59.37</v>
      </c>
    </row>
    <row r="2161" spans="1:6" s="295" customFormat="1" x14ac:dyDescent="0.15">
      <c r="A2161" s="374" t="s">
        <v>1308</v>
      </c>
      <c r="B2161" s="287" t="s">
        <v>1235</v>
      </c>
      <c r="C2161" s="287" t="s">
        <v>1236</v>
      </c>
      <c r="D2161" s="287">
        <v>80.3</v>
      </c>
      <c r="E2161" s="380">
        <v>42614</v>
      </c>
      <c r="F2161" s="381">
        <v>78.319999999999993</v>
      </c>
    </row>
    <row r="2162" spans="1:6" s="295" customFormat="1" x14ac:dyDescent="0.15">
      <c r="A2162" s="374" t="s">
        <v>1318</v>
      </c>
      <c r="B2162" s="287" t="s">
        <v>1238</v>
      </c>
      <c r="C2162" s="287" t="s">
        <v>1239</v>
      </c>
      <c r="D2162" s="287">
        <v>51.5</v>
      </c>
      <c r="E2162" s="380">
        <v>42614</v>
      </c>
      <c r="F2162" s="381">
        <v>54.71</v>
      </c>
    </row>
    <row r="2163" spans="1:6" s="295" customFormat="1" x14ac:dyDescent="0.15">
      <c r="A2163" s="374" t="s">
        <v>1309</v>
      </c>
      <c r="B2163" s="287" t="s">
        <v>1240</v>
      </c>
      <c r="C2163" s="287" t="s">
        <v>1241</v>
      </c>
      <c r="D2163" s="287">
        <v>54.5</v>
      </c>
      <c r="E2163" s="380">
        <v>42614</v>
      </c>
      <c r="F2163" s="381">
        <v>57.18</v>
      </c>
    </row>
    <row r="2164" spans="1:6" s="295" customFormat="1" x14ac:dyDescent="0.15">
      <c r="A2164" s="374" t="s">
        <v>1310</v>
      </c>
      <c r="B2164" s="287" t="s">
        <v>1282</v>
      </c>
      <c r="C2164" s="287" t="s">
        <v>1283</v>
      </c>
      <c r="D2164" s="287">
        <v>110.8</v>
      </c>
      <c r="E2164" s="380">
        <v>42614</v>
      </c>
      <c r="F2164" s="381">
        <v>97.78</v>
      </c>
    </row>
    <row r="2165" spans="1:6" s="295" customFormat="1" x14ac:dyDescent="0.15">
      <c r="A2165" s="374" t="s">
        <v>1319</v>
      </c>
      <c r="B2165" s="287" t="s">
        <v>1246</v>
      </c>
      <c r="C2165" s="287" t="s">
        <v>1247</v>
      </c>
      <c r="D2165" s="287">
        <v>62.8</v>
      </c>
      <c r="E2165" s="380">
        <v>42614</v>
      </c>
      <c r="F2165" s="381">
        <v>63.98</v>
      </c>
    </row>
    <row r="2166" spans="1:6" s="295" customFormat="1" x14ac:dyDescent="0.15">
      <c r="A2166" s="374" t="s">
        <v>1311</v>
      </c>
      <c r="B2166" s="287" t="s">
        <v>1248</v>
      </c>
      <c r="C2166" s="287" t="s">
        <v>1249</v>
      </c>
      <c r="D2166" s="287">
        <v>0</v>
      </c>
      <c r="E2166" s="380">
        <v>42614</v>
      </c>
      <c r="F2166" s="381">
        <v>11.42</v>
      </c>
    </row>
    <row r="2167" spans="1:6" s="295" customFormat="1" x14ac:dyDescent="0.15">
      <c r="A2167" s="374" t="s">
        <v>1320</v>
      </c>
      <c r="B2167" s="287" t="s">
        <v>1288</v>
      </c>
      <c r="C2167" s="287" t="s">
        <v>1289</v>
      </c>
      <c r="D2167" s="397">
        <v>0</v>
      </c>
      <c r="E2167" s="403">
        <v>42614</v>
      </c>
      <c r="F2167" s="381">
        <v>12.51</v>
      </c>
    </row>
    <row r="2168" spans="1:6" s="295" customFormat="1" ht="14" thickBot="1" x14ac:dyDescent="0.2">
      <c r="A2168" s="374"/>
      <c r="B2168" s="287"/>
      <c r="C2168" s="291" t="s">
        <v>115</v>
      </c>
      <c r="D2168" s="383">
        <f>SUM(D2156:D2167)</f>
        <v>1336.5</v>
      </c>
      <c r="E2168" s="404"/>
      <c r="F2168" s="389">
        <v>857.26</v>
      </c>
    </row>
    <row r="2169" spans="1:6" s="295" customFormat="1" ht="14" thickTop="1" x14ac:dyDescent="0.15">
      <c r="A2169" s="374"/>
      <c r="B2169" s="287"/>
      <c r="C2169" s="287"/>
      <c r="D2169" s="287"/>
      <c r="E2169" s="380"/>
      <c r="F2169" s="381"/>
    </row>
    <row r="2170" spans="1:6" s="295" customFormat="1" x14ac:dyDescent="0.15">
      <c r="A2170" s="374"/>
      <c r="B2170" s="287"/>
      <c r="C2170" s="378" t="s">
        <v>1212</v>
      </c>
      <c r="D2170" s="287"/>
      <c r="E2170" s="380"/>
      <c r="F2170" s="381"/>
    </row>
    <row r="2171" spans="1:6" s="295" customFormat="1" x14ac:dyDescent="0.15">
      <c r="A2171" s="374"/>
      <c r="B2171" s="287"/>
      <c r="C2171" s="378" t="s">
        <v>1139</v>
      </c>
      <c r="D2171" s="287"/>
      <c r="E2171" s="380"/>
      <c r="F2171" s="381"/>
    </row>
    <row r="2172" spans="1:6" s="295" customFormat="1" x14ac:dyDescent="0.15">
      <c r="A2172" s="374"/>
      <c r="B2172" s="287"/>
      <c r="C2172" s="386">
        <v>42613</v>
      </c>
      <c r="D2172" s="287"/>
      <c r="E2172" s="380"/>
      <c r="F2172" s="381"/>
    </row>
    <row r="2173" spans="1:6" s="295" customFormat="1" x14ac:dyDescent="0.15">
      <c r="A2173" s="409"/>
      <c r="B2173" s="410"/>
      <c r="C2173" s="410"/>
      <c r="D2173" s="410"/>
      <c r="E2173" s="403"/>
      <c r="F2173" s="411"/>
    </row>
    <row r="2174" spans="1:6" s="295" customFormat="1" ht="14" thickBot="1" x14ac:dyDescent="0.2">
      <c r="A2174" s="412"/>
      <c r="B2174" s="281"/>
      <c r="C2174" s="291" t="s">
        <v>1145</v>
      </c>
      <c r="D2174" s="383">
        <f>SUM(D2150,D2168)</f>
        <v>2017.9</v>
      </c>
      <c r="E2174" s="384"/>
      <c r="F2174" s="389">
        <v>1581.9</v>
      </c>
    </row>
    <row r="2175" spans="1:6" s="295" customFormat="1" ht="14" thickTop="1" x14ac:dyDescent="0.15">
      <c r="E2175" s="408"/>
      <c r="F2175" s="298"/>
    </row>
    <row r="2176" spans="1:6" s="295" customFormat="1" x14ac:dyDescent="0.15">
      <c r="A2176" s="370" t="s">
        <v>1299</v>
      </c>
      <c r="B2176" s="371" t="s">
        <v>1269</v>
      </c>
      <c r="C2176" s="371" t="s">
        <v>1270</v>
      </c>
      <c r="D2176" s="371">
        <v>34</v>
      </c>
      <c r="E2176" s="390">
        <v>42632</v>
      </c>
      <c r="F2176" s="391">
        <v>40.380000000000003</v>
      </c>
    </row>
    <row r="2177" spans="1:6" s="295" customFormat="1" x14ac:dyDescent="0.15">
      <c r="A2177" s="374" t="s">
        <v>1293</v>
      </c>
      <c r="B2177" s="287" t="s">
        <v>1257</v>
      </c>
      <c r="C2177" s="287" t="s">
        <v>1258</v>
      </c>
      <c r="D2177" s="287">
        <v>76.2</v>
      </c>
      <c r="E2177" s="380">
        <v>42632</v>
      </c>
      <c r="F2177" s="381">
        <v>74.959999999999994</v>
      </c>
    </row>
    <row r="2178" spans="1:6" s="295" customFormat="1" x14ac:dyDescent="0.15">
      <c r="A2178" s="374" t="s">
        <v>1294</v>
      </c>
      <c r="B2178" s="287" t="s">
        <v>1259</v>
      </c>
      <c r="C2178" s="287" t="s">
        <v>1260</v>
      </c>
      <c r="D2178" s="287">
        <v>0</v>
      </c>
      <c r="E2178" s="380">
        <v>42632</v>
      </c>
      <c r="F2178" s="381">
        <v>11.42</v>
      </c>
    </row>
    <row r="2179" spans="1:6" s="295" customFormat="1" x14ac:dyDescent="0.15">
      <c r="A2179" s="374" t="s">
        <v>1296</v>
      </c>
      <c r="B2179" s="287" t="s">
        <v>1278</v>
      </c>
      <c r="C2179" s="287" t="s">
        <v>1264</v>
      </c>
      <c r="D2179" s="287">
        <v>49.4</v>
      </c>
      <c r="E2179" s="380">
        <v>42632</v>
      </c>
      <c r="F2179" s="381">
        <v>53</v>
      </c>
    </row>
    <row r="2180" spans="1:6" s="295" customFormat="1" x14ac:dyDescent="0.15">
      <c r="A2180" s="374" t="s">
        <v>1295</v>
      </c>
      <c r="B2180" s="287" t="s">
        <v>1261</v>
      </c>
      <c r="C2180" s="287" t="s">
        <v>1262</v>
      </c>
      <c r="D2180" s="287">
        <v>45.3</v>
      </c>
      <c r="E2180" s="380">
        <v>42632</v>
      </c>
      <c r="F2180" s="381">
        <v>52.55</v>
      </c>
    </row>
    <row r="2181" spans="1:6" s="295" customFormat="1" x14ac:dyDescent="0.15">
      <c r="A2181" s="374" t="s">
        <v>1301</v>
      </c>
      <c r="B2181" s="287" t="s">
        <v>1286</v>
      </c>
      <c r="C2181" s="287" t="s">
        <v>1287</v>
      </c>
      <c r="D2181" s="287">
        <v>9.3000000000000007</v>
      </c>
      <c r="E2181" s="380">
        <v>42632</v>
      </c>
      <c r="F2181" s="381">
        <v>20.14</v>
      </c>
    </row>
    <row r="2182" spans="1:6" s="295" customFormat="1" x14ac:dyDescent="0.15">
      <c r="A2182" s="374" t="s">
        <v>1297</v>
      </c>
      <c r="B2182" s="287" t="s">
        <v>1265</v>
      </c>
      <c r="C2182" s="287" t="s">
        <v>1266</v>
      </c>
      <c r="D2182" s="287">
        <v>26.8</v>
      </c>
      <c r="E2182" s="380">
        <v>42632</v>
      </c>
      <c r="F2182" s="381">
        <v>35.75</v>
      </c>
    </row>
    <row r="2183" spans="1:6" s="295" customFormat="1" ht="12" customHeight="1" x14ac:dyDescent="0.15">
      <c r="A2183" s="374" t="s">
        <v>1298</v>
      </c>
      <c r="B2183" s="287" t="s">
        <v>1267</v>
      </c>
      <c r="C2183" s="287" t="s">
        <v>1268</v>
      </c>
      <c r="D2183" s="287">
        <v>49.4</v>
      </c>
      <c r="E2183" s="380">
        <v>42632</v>
      </c>
      <c r="F2183" s="381">
        <v>56.27</v>
      </c>
    </row>
    <row r="2184" spans="1:6" s="295" customFormat="1" x14ac:dyDescent="0.15">
      <c r="A2184" s="374" t="s">
        <v>1300</v>
      </c>
      <c r="B2184" s="287" t="s">
        <v>1271</v>
      </c>
      <c r="C2184" s="287" t="s">
        <v>1272</v>
      </c>
      <c r="D2184" s="287">
        <v>48.4</v>
      </c>
      <c r="E2184" s="380">
        <v>42632</v>
      </c>
      <c r="F2184" s="381">
        <v>52.18</v>
      </c>
    </row>
    <row r="2185" spans="1:6" s="295" customFormat="1" x14ac:dyDescent="0.15">
      <c r="A2185" s="374" t="s">
        <v>1290</v>
      </c>
      <c r="B2185" s="287" t="s">
        <v>1291</v>
      </c>
      <c r="C2185" s="287" t="s">
        <v>1277</v>
      </c>
      <c r="D2185" s="287">
        <v>49.3</v>
      </c>
      <c r="E2185" s="380">
        <v>42632</v>
      </c>
      <c r="F2185" s="381">
        <v>52.92</v>
      </c>
    </row>
    <row r="2186" spans="1:6" s="295" customFormat="1" x14ac:dyDescent="0.15">
      <c r="A2186" s="374" t="s">
        <v>1327</v>
      </c>
      <c r="B2186" s="287" t="s">
        <v>1328</v>
      </c>
      <c r="C2186" s="287" t="s">
        <v>1329</v>
      </c>
      <c r="D2186" s="287">
        <v>13.4</v>
      </c>
      <c r="E2186" s="380">
        <v>42632</v>
      </c>
      <c r="F2186" s="381">
        <v>23.59</v>
      </c>
    </row>
    <row r="2187" spans="1:6" s="295" customFormat="1" x14ac:dyDescent="0.15">
      <c r="A2187" s="374" t="s">
        <v>1292</v>
      </c>
      <c r="B2187" s="287" t="s">
        <v>1255</v>
      </c>
      <c r="C2187" s="287" t="s">
        <v>1256</v>
      </c>
      <c r="D2187" s="287">
        <v>144.9</v>
      </c>
      <c r="E2187" s="380">
        <v>42632</v>
      </c>
      <c r="F2187" s="381">
        <v>77.459999999999994</v>
      </c>
    </row>
    <row r="2188" spans="1:6" s="295" customFormat="1" x14ac:dyDescent="0.15">
      <c r="A2188" s="374" t="s">
        <v>1312</v>
      </c>
      <c r="B2188" s="287" t="s">
        <v>1313</v>
      </c>
      <c r="C2188" s="287" t="s">
        <v>1313</v>
      </c>
      <c r="D2188" s="287">
        <v>0</v>
      </c>
      <c r="E2188" s="380">
        <v>42632</v>
      </c>
      <c r="F2188" s="381">
        <v>12.51</v>
      </c>
    </row>
    <row r="2189" spans="1:6" s="295" customFormat="1" x14ac:dyDescent="0.15">
      <c r="A2189" s="374" t="s">
        <v>1314</v>
      </c>
      <c r="B2189" s="287" t="s">
        <v>1315</v>
      </c>
      <c r="C2189" s="287" t="s">
        <v>1316</v>
      </c>
      <c r="D2189" s="287">
        <v>18.5</v>
      </c>
      <c r="E2189" s="380">
        <v>42632</v>
      </c>
      <c r="F2189" s="381">
        <v>27.68</v>
      </c>
    </row>
    <row r="2190" spans="1:6" s="295" customFormat="1" x14ac:dyDescent="0.15">
      <c r="A2190" s="374" t="s">
        <v>1322</v>
      </c>
      <c r="B2190" s="287" t="s">
        <v>1250</v>
      </c>
      <c r="C2190" s="287" t="s">
        <v>1251</v>
      </c>
      <c r="D2190" s="287">
        <v>0</v>
      </c>
      <c r="E2190" s="380">
        <v>42632</v>
      </c>
      <c r="F2190" s="381">
        <v>12.51</v>
      </c>
    </row>
    <row r="2191" spans="1:6" s="295" customFormat="1" x14ac:dyDescent="0.15">
      <c r="A2191" s="374" t="s">
        <v>1326</v>
      </c>
      <c r="B2191" s="287" t="s">
        <v>1284</v>
      </c>
      <c r="C2191" s="287" t="s">
        <v>1285</v>
      </c>
      <c r="D2191" s="397">
        <v>13.4</v>
      </c>
      <c r="E2191" s="380">
        <v>42632</v>
      </c>
      <c r="F2191" s="381">
        <v>23.59</v>
      </c>
    </row>
    <row r="2192" spans="1:6" s="295" customFormat="1" x14ac:dyDescent="0.15">
      <c r="A2192" s="374" t="s">
        <v>1323</v>
      </c>
      <c r="B2192" s="287" t="s">
        <v>1252</v>
      </c>
      <c r="C2192" s="287" t="s">
        <v>1253</v>
      </c>
      <c r="D2192" s="287">
        <v>57.6</v>
      </c>
      <c r="E2192" s="380">
        <v>42632</v>
      </c>
      <c r="F2192" s="381">
        <v>59.72</v>
      </c>
    </row>
    <row r="2193" spans="1:6" s="295" customFormat="1" x14ac:dyDescent="0.15">
      <c r="A2193" s="374" t="s">
        <v>1325</v>
      </c>
      <c r="B2193" s="287" t="s">
        <v>1279</v>
      </c>
      <c r="C2193" s="287" t="s">
        <v>1280</v>
      </c>
      <c r="D2193" s="397">
        <v>116.3</v>
      </c>
      <c r="E2193" s="380">
        <v>42632</v>
      </c>
      <c r="F2193" s="381">
        <v>100.82</v>
      </c>
    </row>
    <row r="2194" spans="1:6" s="295" customFormat="1" x14ac:dyDescent="0.15">
      <c r="A2194" s="374" t="s">
        <v>1324</v>
      </c>
      <c r="B2194" s="287" t="s">
        <v>1275</v>
      </c>
      <c r="C2194" s="287" t="s">
        <v>1276</v>
      </c>
      <c r="D2194" s="397">
        <v>76.2</v>
      </c>
      <c r="E2194" s="380">
        <v>42632</v>
      </c>
      <c r="F2194" s="381">
        <v>74.959999999999994</v>
      </c>
    </row>
    <row r="2195" spans="1:6" s="295" customFormat="1" x14ac:dyDescent="0.15">
      <c r="A2195" s="374" t="s">
        <v>1321</v>
      </c>
      <c r="B2195" s="287" t="s">
        <v>1244</v>
      </c>
      <c r="C2195" s="287" t="s">
        <v>1245</v>
      </c>
      <c r="D2195" s="287">
        <v>93.7</v>
      </c>
      <c r="E2195" s="380">
        <v>42632</v>
      </c>
      <c r="F2195" s="381">
        <v>88.32</v>
      </c>
    </row>
    <row r="2196" spans="1:6" s="295" customFormat="1" ht="14" thickBot="1" x14ac:dyDescent="0.2">
      <c r="A2196" s="374"/>
      <c r="B2196" s="287"/>
      <c r="C2196" s="291" t="s">
        <v>115</v>
      </c>
      <c r="D2196" s="394">
        <f>SUM(D2176:D2195)</f>
        <v>922.1</v>
      </c>
      <c r="E2196" s="384"/>
      <c r="F2196" s="389">
        <v>950.73</v>
      </c>
    </row>
    <row r="2197" spans="1:6" s="295" customFormat="1" ht="14" thickTop="1" x14ac:dyDescent="0.15">
      <c r="A2197" s="374"/>
      <c r="B2197" s="287"/>
      <c r="C2197" s="287"/>
      <c r="D2197" s="287"/>
      <c r="E2197" s="380"/>
      <c r="F2197" s="381"/>
    </row>
    <row r="2198" spans="1:6" s="295" customFormat="1" x14ac:dyDescent="0.15">
      <c r="A2198" s="374"/>
      <c r="B2198" s="287"/>
      <c r="C2198" s="378" t="s">
        <v>1212</v>
      </c>
      <c r="D2198" s="287"/>
      <c r="E2198" s="380"/>
      <c r="F2198" s="381"/>
    </row>
    <row r="2199" spans="1:6" s="295" customFormat="1" x14ac:dyDescent="0.15">
      <c r="A2199" s="374"/>
      <c r="B2199" s="287"/>
      <c r="C2199" s="378" t="s">
        <v>1139</v>
      </c>
      <c r="D2199" s="287"/>
      <c r="E2199" s="380"/>
      <c r="F2199" s="381"/>
    </row>
    <row r="2200" spans="1:6" s="295" customFormat="1" x14ac:dyDescent="0.15">
      <c r="A2200" s="374"/>
      <c r="B2200" s="287"/>
      <c r="C2200" s="386">
        <v>42639</v>
      </c>
      <c r="D2200" s="287"/>
      <c r="E2200" s="380"/>
      <c r="F2200" s="381"/>
    </row>
    <row r="2201" spans="1:6" s="295" customFormat="1" x14ac:dyDescent="0.15">
      <c r="A2201" s="374"/>
      <c r="B2201" s="287"/>
      <c r="C2201" s="287"/>
      <c r="D2201" s="287"/>
      <c r="E2201" s="380"/>
      <c r="F2201" s="381"/>
    </row>
    <row r="2202" spans="1:6" s="295" customFormat="1" x14ac:dyDescent="0.15">
      <c r="A2202" s="370" t="s">
        <v>1302</v>
      </c>
      <c r="B2202" s="371" t="s">
        <v>1226</v>
      </c>
      <c r="C2202" s="371" t="s">
        <v>1227</v>
      </c>
      <c r="D2202" s="371">
        <v>149.30000000000001</v>
      </c>
      <c r="E2202" s="390">
        <v>42646</v>
      </c>
      <c r="F2202" s="391">
        <v>119.08</v>
      </c>
    </row>
    <row r="2203" spans="1:6" s="295" customFormat="1" x14ac:dyDescent="0.15">
      <c r="A2203" s="374" t="s">
        <v>1303</v>
      </c>
      <c r="B2203" s="287" t="s">
        <v>1228</v>
      </c>
      <c r="C2203" s="287" t="s">
        <v>1229</v>
      </c>
      <c r="D2203" s="287">
        <v>51.5</v>
      </c>
      <c r="E2203" s="380">
        <v>42646</v>
      </c>
      <c r="F2203" s="381">
        <v>54.71</v>
      </c>
    </row>
    <row r="2204" spans="1:6" s="295" customFormat="1" x14ac:dyDescent="0.15">
      <c r="A2204" s="374" t="s">
        <v>1304</v>
      </c>
      <c r="B2204" s="287" t="s">
        <v>1230</v>
      </c>
      <c r="C2204" s="287" t="s">
        <v>1231</v>
      </c>
      <c r="D2204" s="287">
        <v>81.3</v>
      </c>
      <c r="E2204" s="380">
        <v>42646</v>
      </c>
      <c r="F2204" s="381">
        <v>79.14</v>
      </c>
    </row>
    <row r="2205" spans="1:6" s="295" customFormat="1" x14ac:dyDescent="0.15">
      <c r="A2205" s="374" t="s">
        <v>1305</v>
      </c>
      <c r="B2205" s="287" t="s">
        <v>1306</v>
      </c>
      <c r="C2205" s="287" t="s">
        <v>1233</v>
      </c>
      <c r="D2205" s="287">
        <v>1414.8</v>
      </c>
      <c r="E2205" s="380">
        <v>42646</v>
      </c>
      <c r="F2205" s="381">
        <v>475.06</v>
      </c>
    </row>
    <row r="2206" spans="1:6" s="295" customFormat="1" x14ac:dyDescent="0.15">
      <c r="A2206" s="374" t="s">
        <v>1307</v>
      </c>
      <c r="B2206" s="287" t="s">
        <v>1234</v>
      </c>
      <c r="C2206" s="287" t="s">
        <v>500</v>
      </c>
      <c r="D2206" s="287">
        <v>106.1</v>
      </c>
      <c r="E2206" s="380">
        <v>42646</v>
      </c>
      <c r="F2206" s="381">
        <v>65.459999999999994</v>
      </c>
    </row>
    <row r="2207" spans="1:6" s="295" customFormat="1" x14ac:dyDescent="0.15">
      <c r="A2207" s="374" t="s">
        <v>1308</v>
      </c>
      <c r="B2207" s="287" t="s">
        <v>1235</v>
      </c>
      <c r="C2207" s="287" t="s">
        <v>1236</v>
      </c>
      <c r="D2207" s="287">
        <v>133.9</v>
      </c>
      <c r="E2207" s="380">
        <v>42646</v>
      </c>
      <c r="F2207" s="381">
        <v>110.56</v>
      </c>
    </row>
    <row r="2208" spans="1:6" s="295" customFormat="1" x14ac:dyDescent="0.15">
      <c r="A2208" s="374" t="s">
        <v>1318</v>
      </c>
      <c r="B2208" s="287" t="s">
        <v>1238</v>
      </c>
      <c r="C2208" s="287" t="s">
        <v>1239</v>
      </c>
      <c r="D2208" s="287">
        <v>115.3</v>
      </c>
      <c r="E2208" s="380">
        <v>42646</v>
      </c>
      <c r="F2208" s="381">
        <v>100.27</v>
      </c>
    </row>
    <row r="2209" spans="1:6" s="295" customFormat="1" x14ac:dyDescent="0.15">
      <c r="A2209" s="374" t="s">
        <v>1309</v>
      </c>
      <c r="B2209" s="287" t="s">
        <v>1240</v>
      </c>
      <c r="C2209" s="287" t="s">
        <v>1241</v>
      </c>
      <c r="D2209" s="287">
        <v>94.7</v>
      </c>
      <c r="E2209" s="380">
        <v>42646</v>
      </c>
      <c r="F2209" s="381">
        <v>88.87</v>
      </c>
    </row>
    <row r="2210" spans="1:6" s="295" customFormat="1" x14ac:dyDescent="0.15">
      <c r="A2210" s="374" t="s">
        <v>1310</v>
      </c>
      <c r="B2210" s="287" t="s">
        <v>1282</v>
      </c>
      <c r="C2210" s="287" t="s">
        <v>1283</v>
      </c>
      <c r="D2210" s="287">
        <v>295</v>
      </c>
      <c r="E2210" s="380">
        <v>42646</v>
      </c>
      <c r="F2210" s="381">
        <v>199.7</v>
      </c>
    </row>
    <row r="2211" spans="1:6" s="295" customFormat="1" x14ac:dyDescent="0.15">
      <c r="A2211" s="374" t="s">
        <v>1319</v>
      </c>
      <c r="B2211" s="287" t="s">
        <v>1246</v>
      </c>
      <c r="C2211" s="287" t="s">
        <v>1247</v>
      </c>
      <c r="D2211" s="287">
        <v>138</v>
      </c>
      <c r="E2211" s="380">
        <v>42646</v>
      </c>
      <c r="F2211" s="381">
        <v>112.82</v>
      </c>
    </row>
    <row r="2212" spans="1:6" s="295" customFormat="1" x14ac:dyDescent="0.15">
      <c r="A2212" s="374" t="s">
        <v>1311</v>
      </c>
      <c r="B2212" s="287" t="s">
        <v>1248</v>
      </c>
      <c r="C2212" s="287" t="s">
        <v>1249</v>
      </c>
      <c r="D2212" s="287">
        <v>1</v>
      </c>
      <c r="E2212" s="380">
        <v>42646</v>
      </c>
      <c r="F2212" s="381">
        <v>12.33</v>
      </c>
    </row>
    <row r="2213" spans="1:6" s="295" customFormat="1" x14ac:dyDescent="0.15">
      <c r="A2213" s="374" t="s">
        <v>1320</v>
      </c>
      <c r="B2213" s="287" t="s">
        <v>1288</v>
      </c>
      <c r="C2213" s="287" t="s">
        <v>1289</v>
      </c>
      <c r="D2213" s="397">
        <v>2.1</v>
      </c>
      <c r="E2213" s="380">
        <v>42646</v>
      </c>
      <c r="F2213" s="381">
        <v>14.23</v>
      </c>
    </row>
    <row r="2214" spans="1:6" s="295" customFormat="1" ht="14" thickBot="1" x14ac:dyDescent="0.2">
      <c r="A2214" s="374"/>
      <c r="B2214" s="287"/>
      <c r="C2214" s="291" t="s">
        <v>115</v>
      </c>
      <c r="D2214" s="383">
        <f>SUM(D2202:D2213)</f>
        <v>2583</v>
      </c>
      <c r="E2214" s="404"/>
      <c r="F2214" s="389">
        <v>1432.23</v>
      </c>
    </row>
    <row r="2215" spans="1:6" s="295" customFormat="1" ht="14" thickTop="1" x14ac:dyDescent="0.15">
      <c r="A2215" s="374"/>
      <c r="B2215" s="287"/>
      <c r="C2215" s="287"/>
      <c r="D2215" s="287"/>
      <c r="E2215" s="380"/>
      <c r="F2215" s="381"/>
    </row>
    <row r="2216" spans="1:6" s="295" customFormat="1" x14ac:dyDescent="0.15">
      <c r="A2216" s="374"/>
      <c r="B2216" s="287"/>
      <c r="C2216" s="378" t="s">
        <v>1212</v>
      </c>
      <c r="D2216" s="287"/>
      <c r="E2216" s="380"/>
      <c r="F2216" s="381"/>
    </row>
    <row r="2217" spans="1:6" s="295" customFormat="1" x14ac:dyDescent="0.15">
      <c r="A2217" s="374"/>
      <c r="B2217" s="287"/>
      <c r="C2217" s="378" t="s">
        <v>1139</v>
      </c>
      <c r="D2217" s="287"/>
      <c r="E2217" s="380"/>
      <c r="F2217" s="381"/>
    </row>
    <row r="2218" spans="1:6" s="295" customFormat="1" x14ac:dyDescent="0.15">
      <c r="A2218" s="374"/>
      <c r="B2218" s="287"/>
      <c r="C2218" s="386">
        <v>42643</v>
      </c>
      <c r="D2218" s="287"/>
      <c r="E2218" s="380"/>
      <c r="F2218" s="381"/>
    </row>
    <row r="2219" spans="1:6" s="295" customFormat="1" x14ac:dyDescent="0.15">
      <c r="A2219" s="409"/>
      <c r="B2219" s="410"/>
      <c r="C2219" s="410"/>
      <c r="D2219" s="410"/>
      <c r="E2219" s="403"/>
      <c r="F2219" s="411"/>
    </row>
    <row r="2220" spans="1:6" s="295" customFormat="1" ht="14" thickBot="1" x14ac:dyDescent="0.2">
      <c r="A2220" s="412"/>
      <c r="B2220" s="281"/>
      <c r="C2220" s="291" t="s">
        <v>1187</v>
      </c>
      <c r="D2220" s="383">
        <f>SUM(D2196,D2214)</f>
        <v>3505.1</v>
      </c>
      <c r="E2220" s="384"/>
      <c r="F2220" s="389">
        <v>2382.96</v>
      </c>
    </row>
    <row r="2221" spans="1:6" s="295" customFormat="1" ht="14" thickTop="1" x14ac:dyDescent="0.15">
      <c r="E2221" s="408"/>
      <c r="F2221" s="298"/>
    </row>
    <row r="2222" spans="1:6" s="295" customFormat="1" x14ac:dyDescent="0.15">
      <c r="A2222" s="370" t="s">
        <v>1299</v>
      </c>
      <c r="B2222" s="371" t="s">
        <v>1269</v>
      </c>
      <c r="C2222" s="371" t="s">
        <v>1270</v>
      </c>
      <c r="D2222" s="371">
        <v>96.8</v>
      </c>
      <c r="E2222" s="390">
        <v>42662</v>
      </c>
      <c r="F2222" s="391">
        <v>90.04</v>
      </c>
    </row>
    <row r="2223" spans="1:6" s="295" customFormat="1" x14ac:dyDescent="0.15">
      <c r="A2223" s="374" t="s">
        <v>1293</v>
      </c>
      <c r="B2223" s="287" t="s">
        <v>1257</v>
      </c>
      <c r="C2223" s="287" t="s">
        <v>1258</v>
      </c>
      <c r="D2223" s="287">
        <v>211.1</v>
      </c>
      <c r="E2223" s="380">
        <v>42662</v>
      </c>
      <c r="F2223" s="381">
        <v>153.28</v>
      </c>
    </row>
    <row r="2224" spans="1:6" s="295" customFormat="1" x14ac:dyDescent="0.15">
      <c r="A2224" s="374" t="s">
        <v>1294</v>
      </c>
      <c r="B2224" s="287" t="s">
        <v>1259</v>
      </c>
      <c r="C2224" s="287" t="s">
        <v>1260</v>
      </c>
      <c r="D2224" s="287">
        <v>16.5</v>
      </c>
      <c r="E2224" s="380">
        <v>42662</v>
      </c>
      <c r="F2224" s="381">
        <v>26.4</v>
      </c>
    </row>
    <row r="2225" spans="1:6" s="295" customFormat="1" x14ac:dyDescent="0.15">
      <c r="A2225" s="374" t="s">
        <v>1296</v>
      </c>
      <c r="B2225" s="287" t="s">
        <v>1278</v>
      </c>
      <c r="C2225" s="287" t="s">
        <v>1264</v>
      </c>
      <c r="D2225" s="287">
        <v>164.8</v>
      </c>
      <c r="E2225" s="380">
        <v>42662</v>
      </c>
      <c r="F2225" s="381">
        <v>127.66</v>
      </c>
    </row>
    <row r="2226" spans="1:6" s="295" customFormat="1" x14ac:dyDescent="0.15">
      <c r="A2226" s="374" t="s">
        <v>1295</v>
      </c>
      <c r="B2226" s="287" t="s">
        <v>1261</v>
      </c>
      <c r="C2226" s="287" t="s">
        <v>1262</v>
      </c>
      <c r="D2226" s="287">
        <v>112.3</v>
      </c>
      <c r="E2226" s="380">
        <v>42662</v>
      </c>
      <c r="F2226" s="381">
        <v>98.18</v>
      </c>
    </row>
    <row r="2227" spans="1:6" s="295" customFormat="1" x14ac:dyDescent="0.15">
      <c r="A2227" s="374" t="s">
        <v>1301</v>
      </c>
      <c r="B2227" s="287" t="s">
        <v>1286</v>
      </c>
      <c r="C2227" s="287" t="s">
        <v>1287</v>
      </c>
      <c r="D2227" s="287">
        <v>69</v>
      </c>
      <c r="E2227" s="380">
        <v>42662</v>
      </c>
      <c r="F2227" s="381">
        <v>69.05</v>
      </c>
    </row>
    <row r="2228" spans="1:6" s="295" customFormat="1" x14ac:dyDescent="0.15">
      <c r="A2228" s="374" t="s">
        <v>1297</v>
      </c>
      <c r="B2228" s="287" t="s">
        <v>1265</v>
      </c>
      <c r="C2228" s="287" t="s">
        <v>1266</v>
      </c>
      <c r="D2228" s="287">
        <v>77.2</v>
      </c>
      <c r="E2228" s="380">
        <v>42662</v>
      </c>
      <c r="F2228" s="381">
        <v>76.510000000000005</v>
      </c>
    </row>
    <row r="2229" spans="1:6" s="295" customFormat="1" ht="12" customHeight="1" x14ac:dyDescent="0.15">
      <c r="A2229" s="374" t="s">
        <v>1298</v>
      </c>
      <c r="B2229" s="287" t="s">
        <v>1267</v>
      </c>
      <c r="C2229" s="287" t="s">
        <v>1268</v>
      </c>
      <c r="D2229" s="287">
        <v>182.3</v>
      </c>
      <c r="E2229" s="380">
        <v>42662</v>
      </c>
      <c r="F2229" s="381">
        <v>141.4</v>
      </c>
    </row>
    <row r="2230" spans="1:6" s="295" customFormat="1" x14ac:dyDescent="0.15">
      <c r="A2230" s="374" t="s">
        <v>1300</v>
      </c>
      <c r="B2230" s="287" t="s">
        <v>1271</v>
      </c>
      <c r="C2230" s="287" t="s">
        <v>1272</v>
      </c>
      <c r="D2230" s="287">
        <v>107.1</v>
      </c>
      <c r="E2230" s="380">
        <v>42662</v>
      </c>
      <c r="F2230" s="381">
        <v>95.72</v>
      </c>
    </row>
    <row r="2231" spans="1:6" s="295" customFormat="1" x14ac:dyDescent="0.15">
      <c r="A2231" s="374" t="s">
        <v>1290</v>
      </c>
      <c r="B2231" s="287" t="s">
        <v>1291</v>
      </c>
      <c r="C2231" s="287" t="s">
        <v>1277</v>
      </c>
      <c r="D2231" s="287">
        <v>218</v>
      </c>
      <c r="E2231" s="380">
        <v>42662</v>
      </c>
      <c r="F2231" s="381">
        <v>157.09</v>
      </c>
    </row>
    <row r="2232" spans="1:6" s="295" customFormat="1" x14ac:dyDescent="0.15">
      <c r="A2232" s="374" t="s">
        <v>1327</v>
      </c>
      <c r="B2232" s="287" t="s">
        <v>1328</v>
      </c>
      <c r="C2232" s="287" t="s">
        <v>1329</v>
      </c>
      <c r="D2232" s="287">
        <v>162.69999999999999</v>
      </c>
      <c r="E2232" s="380">
        <v>42662</v>
      </c>
      <c r="F2232" s="381">
        <v>129.31</v>
      </c>
    </row>
    <row r="2233" spans="1:6" s="295" customFormat="1" x14ac:dyDescent="0.15">
      <c r="A2233" s="374" t="s">
        <v>1292</v>
      </c>
      <c r="B2233" s="287" t="s">
        <v>1255</v>
      </c>
      <c r="C2233" s="287" t="s">
        <v>1256</v>
      </c>
      <c r="D2233" s="287">
        <v>690.9</v>
      </c>
      <c r="E2233" s="380">
        <v>42662</v>
      </c>
      <c r="F2233" s="381">
        <v>246.28</v>
      </c>
    </row>
    <row r="2234" spans="1:6" s="295" customFormat="1" x14ac:dyDescent="0.15">
      <c r="A2234" s="374" t="s">
        <v>1312</v>
      </c>
      <c r="B2234" s="287" t="s">
        <v>1313</v>
      </c>
      <c r="C2234" s="287" t="s">
        <v>1313</v>
      </c>
      <c r="D2234" s="287">
        <v>33</v>
      </c>
      <c r="E2234" s="380">
        <v>42662</v>
      </c>
      <c r="F2234" s="381">
        <v>39.549999999999997</v>
      </c>
    </row>
    <row r="2235" spans="1:6" s="295" customFormat="1" x14ac:dyDescent="0.15">
      <c r="A2235" s="374" t="s">
        <v>1314</v>
      </c>
      <c r="B2235" s="287" t="s">
        <v>1315</v>
      </c>
      <c r="C2235" s="287" t="s">
        <v>1316</v>
      </c>
      <c r="D2235" s="287">
        <v>114.3</v>
      </c>
      <c r="E2235" s="380">
        <v>42662</v>
      </c>
      <c r="F2235" s="381">
        <v>99.71</v>
      </c>
    </row>
    <row r="2236" spans="1:6" s="295" customFormat="1" x14ac:dyDescent="0.15">
      <c r="A2236" s="374" t="s">
        <v>1322</v>
      </c>
      <c r="B2236" s="287" t="s">
        <v>1250</v>
      </c>
      <c r="C2236" s="287" t="s">
        <v>1251</v>
      </c>
      <c r="D2236" s="287">
        <v>10.3</v>
      </c>
      <c r="E2236" s="380">
        <v>42662</v>
      </c>
      <c r="F2236" s="381">
        <v>20.96</v>
      </c>
    </row>
    <row r="2237" spans="1:6" s="295" customFormat="1" x14ac:dyDescent="0.15">
      <c r="A2237" s="374" t="s">
        <v>1326</v>
      </c>
      <c r="B2237" s="287" t="s">
        <v>1284</v>
      </c>
      <c r="C2237" s="287" t="s">
        <v>1285</v>
      </c>
      <c r="D2237" s="397">
        <v>64.900000000000006</v>
      </c>
      <c r="E2237" s="380">
        <v>42662</v>
      </c>
      <c r="F2237" s="381">
        <v>68.92</v>
      </c>
    </row>
    <row r="2238" spans="1:6" s="295" customFormat="1" x14ac:dyDescent="0.15">
      <c r="A2238" s="374" t="s">
        <v>1323</v>
      </c>
      <c r="B2238" s="287" t="s">
        <v>1252</v>
      </c>
      <c r="C2238" s="287" t="s">
        <v>1253</v>
      </c>
      <c r="D2238" s="287">
        <v>335.8</v>
      </c>
      <c r="E2238" s="380">
        <v>42662</v>
      </c>
      <c r="F2238" s="381">
        <v>222.27</v>
      </c>
    </row>
    <row r="2239" spans="1:6" s="295" customFormat="1" x14ac:dyDescent="0.15">
      <c r="A2239" s="374" t="s">
        <v>1325</v>
      </c>
      <c r="B2239" s="287" t="s">
        <v>1279</v>
      </c>
      <c r="C2239" s="287" t="s">
        <v>1280</v>
      </c>
      <c r="D2239" s="397">
        <v>220.4</v>
      </c>
      <c r="E2239" s="380">
        <v>42662</v>
      </c>
      <c r="F2239" s="381">
        <v>158.43</v>
      </c>
    </row>
    <row r="2240" spans="1:6" s="295" customFormat="1" x14ac:dyDescent="0.15">
      <c r="A2240" s="374" t="s">
        <v>1324</v>
      </c>
      <c r="B2240" s="287" t="s">
        <v>1275</v>
      </c>
      <c r="C2240" s="287" t="s">
        <v>1276</v>
      </c>
      <c r="D2240" s="397">
        <v>361.5</v>
      </c>
      <c r="E2240" s="380">
        <v>42662</v>
      </c>
      <c r="F2240" s="381">
        <v>236.49</v>
      </c>
    </row>
    <row r="2241" spans="1:6" s="295" customFormat="1" x14ac:dyDescent="0.15">
      <c r="A2241" s="374" t="s">
        <v>1321</v>
      </c>
      <c r="B2241" s="287" t="s">
        <v>1244</v>
      </c>
      <c r="C2241" s="287" t="s">
        <v>1245</v>
      </c>
      <c r="D2241" s="287">
        <v>201.9</v>
      </c>
      <c r="E2241" s="380">
        <v>42662</v>
      </c>
      <c r="F2241" s="381">
        <v>148.19</v>
      </c>
    </row>
    <row r="2242" spans="1:6" s="295" customFormat="1" ht="14" thickBot="1" x14ac:dyDescent="0.2">
      <c r="A2242" s="374"/>
      <c r="B2242" s="287"/>
      <c r="C2242" s="291" t="s">
        <v>115</v>
      </c>
      <c r="D2242" s="394">
        <f>SUM(D2222:D2241)</f>
        <v>3450.8000000000006</v>
      </c>
      <c r="E2242" s="384"/>
      <c r="F2242" s="389">
        <v>2405.44</v>
      </c>
    </row>
    <row r="2243" spans="1:6" s="295" customFormat="1" ht="14" thickTop="1" x14ac:dyDescent="0.15">
      <c r="A2243" s="374"/>
      <c r="B2243" s="287"/>
      <c r="C2243" s="287"/>
      <c r="D2243" s="287"/>
      <c r="E2243" s="380"/>
      <c r="F2243" s="381"/>
    </row>
    <row r="2244" spans="1:6" s="295" customFormat="1" x14ac:dyDescent="0.15">
      <c r="A2244" s="374"/>
      <c r="B2244" s="287"/>
      <c r="C2244" s="378" t="s">
        <v>1212</v>
      </c>
      <c r="D2244" s="287"/>
      <c r="E2244" s="380"/>
      <c r="F2244" s="381"/>
    </row>
    <row r="2245" spans="1:6" s="295" customFormat="1" x14ac:dyDescent="0.15">
      <c r="A2245" s="374"/>
      <c r="B2245" s="287"/>
      <c r="C2245" s="378" t="s">
        <v>1139</v>
      </c>
      <c r="D2245" s="287"/>
      <c r="E2245" s="380"/>
      <c r="F2245" s="381"/>
    </row>
    <row r="2246" spans="1:6" s="295" customFormat="1" x14ac:dyDescent="0.15">
      <c r="A2246" s="374"/>
      <c r="B2246" s="287"/>
      <c r="C2246" s="386">
        <v>42669</v>
      </c>
      <c r="D2246" s="287"/>
      <c r="E2246" s="380"/>
      <c r="F2246" s="381"/>
    </row>
    <row r="2247" spans="1:6" s="295" customFormat="1" x14ac:dyDescent="0.15">
      <c r="A2247" s="374"/>
      <c r="B2247" s="287"/>
      <c r="C2247" s="287"/>
      <c r="D2247" s="287"/>
      <c r="E2247" s="380"/>
      <c r="F2247" s="381"/>
    </row>
    <row r="2248" spans="1:6" s="295" customFormat="1" x14ac:dyDescent="0.15">
      <c r="A2248" s="370" t="s">
        <v>1302</v>
      </c>
      <c r="B2248" s="371" t="s">
        <v>1226</v>
      </c>
      <c r="C2248" s="371" t="s">
        <v>1227</v>
      </c>
      <c r="D2248" s="371">
        <v>334.8</v>
      </c>
      <c r="E2248" s="390">
        <v>42675</v>
      </c>
      <c r="F2248" s="391">
        <v>221.72</v>
      </c>
    </row>
    <row r="2249" spans="1:6" s="295" customFormat="1" x14ac:dyDescent="0.15">
      <c r="A2249" s="374" t="s">
        <v>1303</v>
      </c>
      <c r="B2249" s="287" t="s">
        <v>1228</v>
      </c>
      <c r="C2249" s="287" t="s">
        <v>1229</v>
      </c>
      <c r="D2249" s="287">
        <v>249.3</v>
      </c>
      <c r="E2249" s="380">
        <v>42675</v>
      </c>
      <c r="F2249" s="381">
        <v>174.41</v>
      </c>
    </row>
    <row r="2250" spans="1:6" s="295" customFormat="1" x14ac:dyDescent="0.15">
      <c r="A2250" s="374" t="s">
        <v>1304</v>
      </c>
      <c r="B2250" s="287" t="s">
        <v>1230</v>
      </c>
      <c r="C2250" s="287" t="s">
        <v>1231</v>
      </c>
      <c r="D2250" s="287">
        <v>216.3</v>
      </c>
      <c r="E2250" s="380">
        <v>42675</v>
      </c>
      <c r="F2250" s="381">
        <v>156.15</v>
      </c>
    </row>
    <row r="2251" spans="1:6" s="295" customFormat="1" x14ac:dyDescent="0.15">
      <c r="A2251" s="374" t="s">
        <v>1305</v>
      </c>
      <c r="B2251" s="287" t="s">
        <v>1306</v>
      </c>
      <c r="C2251" s="287" t="s">
        <v>1233</v>
      </c>
      <c r="D2251" s="287">
        <f>794.1+630.4</f>
        <v>1424.5</v>
      </c>
      <c r="E2251" s="380">
        <v>42675</v>
      </c>
      <c r="F2251" s="381">
        <v>478.09</v>
      </c>
    </row>
    <row r="2252" spans="1:6" s="295" customFormat="1" x14ac:dyDescent="0.15">
      <c r="A2252" s="374" t="s">
        <v>1307</v>
      </c>
      <c r="B2252" s="287" t="s">
        <v>1234</v>
      </c>
      <c r="C2252" s="287" t="s">
        <v>500</v>
      </c>
      <c r="D2252" s="287">
        <v>420.2</v>
      </c>
      <c r="E2252" s="380">
        <v>42675</v>
      </c>
      <c r="F2252" s="381">
        <v>162.57</v>
      </c>
    </row>
    <row r="2253" spans="1:6" s="295" customFormat="1" x14ac:dyDescent="0.15">
      <c r="A2253" s="374" t="s">
        <v>1308</v>
      </c>
      <c r="B2253" s="287" t="s">
        <v>1235</v>
      </c>
      <c r="C2253" s="287" t="s">
        <v>1236</v>
      </c>
      <c r="D2253" s="287">
        <v>328.6</v>
      </c>
      <c r="E2253" s="380">
        <v>42675</v>
      </c>
      <c r="F2253" s="381">
        <v>218.3</v>
      </c>
    </row>
    <row r="2254" spans="1:6" s="295" customFormat="1" x14ac:dyDescent="0.15">
      <c r="A2254" s="374" t="s">
        <v>1318</v>
      </c>
      <c r="B2254" s="287" t="s">
        <v>1238</v>
      </c>
      <c r="C2254" s="287" t="s">
        <v>1239</v>
      </c>
      <c r="D2254" s="287">
        <v>413</v>
      </c>
      <c r="E2254" s="380">
        <v>42675</v>
      </c>
      <c r="F2254" s="381">
        <v>264.98</v>
      </c>
    </row>
    <row r="2255" spans="1:6" s="295" customFormat="1" x14ac:dyDescent="0.15">
      <c r="A2255" s="374" t="s">
        <v>1309</v>
      </c>
      <c r="B2255" s="287" t="s">
        <v>1240</v>
      </c>
      <c r="C2255" s="287" t="s">
        <v>1241</v>
      </c>
      <c r="D2255" s="287">
        <v>206</v>
      </c>
      <c r="E2255" s="380">
        <v>42675</v>
      </c>
      <c r="F2255" s="381">
        <v>150.44999999999999</v>
      </c>
    </row>
    <row r="2256" spans="1:6" s="295" customFormat="1" x14ac:dyDescent="0.15">
      <c r="A2256" s="374" t="s">
        <v>1310</v>
      </c>
      <c r="B2256" s="287" t="s">
        <v>1282</v>
      </c>
      <c r="C2256" s="287" t="s">
        <v>1283</v>
      </c>
      <c r="D2256" s="287">
        <v>469.3</v>
      </c>
      <c r="E2256" s="380">
        <v>42675</v>
      </c>
      <c r="F2256" s="381">
        <v>296.14</v>
      </c>
    </row>
    <row r="2257" spans="1:6" s="295" customFormat="1" x14ac:dyDescent="0.15">
      <c r="A2257" s="374" t="s">
        <v>1319</v>
      </c>
      <c r="B2257" s="287" t="s">
        <v>1246</v>
      </c>
      <c r="C2257" s="287" t="s">
        <v>1247</v>
      </c>
      <c r="D2257" s="287">
        <v>360.5</v>
      </c>
      <c r="E2257" s="380">
        <v>42675</v>
      </c>
      <c r="F2257" s="381">
        <v>235.93</v>
      </c>
    </row>
    <row r="2258" spans="1:6" s="295" customFormat="1" x14ac:dyDescent="0.15">
      <c r="A2258" s="374" t="s">
        <v>1311</v>
      </c>
      <c r="B2258" s="287" t="s">
        <v>1248</v>
      </c>
      <c r="C2258" s="287" t="s">
        <v>1249</v>
      </c>
      <c r="D2258" s="287">
        <v>68</v>
      </c>
      <c r="E2258" s="380">
        <v>42675</v>
      </c>
      <c r="F2258" s="381">
        <v>70.83</v>
      </c>
    </row>
    <row r="2259" spans="1:6" s="295" customFormat="1" x14ac:dyDescent="0.15">
      <c r="A2259" s="374" t="s">
        <v>1320</v>
      </c>
      <c r="B2259" s="287" t="s">
        <v>1288</v>
      </c>
      <c r="C2259" s="287" t="s">
        <v>1289</v>
      </c>
      <c r="D2259" s="397">
        <v>73.099999999999994</v>
      </c>
      <c r="E2259" s="380">
        <v>42675</v>
      </c>
      <c r="F2259" s="381">
        <v>72.42</v>
      </c>
    </row>
    <row r="2260" spans="1:6" s="295" customFormat="1" ht="14" thickBot="1" x14ac:dyDescent="0.2">
      <c r="A2260" s="374"/>
      <c r="B2260" s="287"/>
      <c r="C2260" s="291" t="s">
        <v>115</v>
      </c>
      <c r="D2260" s="383">
        <f>SUM(D2248:D2259)</f>
        <v>4563.6000000000004</v>
      </c>
      <c r="E2260" s="384"/>
      <c r="F2260" s="389">
        <v>2501.9900000000002</v>
      </c>
    </row>
    <row r="2261" spans="1:6" s="295" customFormat="1" ht="14" thickTop="1" x14ac:dyDescent="0.15">
      <c r="A2261" s="374"/>
      <c r="B2261" s="287"/>
      <c r="C2261" s="287"/>
      <c r="D2261" s="287"/>
      <c r="E2261" s="380"/>
      <c r="F2261" s="381"/>
    </row>
    <row r="2262" spans="1:6" s="295" customFormat="1" x14ac:dyDescent="0.15">
      <c r="A2262" s="374"/>
      <c r="B2262" s="287"/>
      <c r="C2262" s="378" t="s">
        <v>1212</v>
      </c>
      <c r="D2262" s="287"/>
      <c r="E2262" s="380"/>
      <c r="F2262" s="381"/>
    </row>
    <row r="2263" spans="1:6" s="295" customFormat="1" x14ac:dyDescent="0.15">
      <c r="A2263" s="374"/>
      <c r="B2263" s="287"/>
      <c r="C2263" s="378" t="s">
        <v>1139</v>
      </c>
      <c r="D2263" s="287"/>
      <c r="E2263" s="380"/>
      <c r="F2263" s="381"/>
    </row>
    <row r="2264" spans="1:6" s="295" customFormat="1" x14ac:dyDescent="0.15">
      <c r="A2264" s="374"/>
      <c r="B2264" s="287"/>
      <c r="C2264" s="386">
        <v>42674</v>
      </c>
      <c r="D2264" s="287"/>
      <c r="E2264" s="380"/>
      <c r="F2264" s="381"/>
    </row>
    <row r="2265" spans="1:6" s="295" customFormat="1" x14ac:dyDescent="0.15">
      <c r="A2265" s="409"/>
      <c r="B2265" s="410"/>
      <c r="C2265" s="410"/>
      <c r="D2265" s="410"/>
      <c r="E2265" s="403"/>
      <c r="F2265" s="411"/>
    </row>
    <row r="2266" spans="1:6" s="295" customFormat="1" ht="14" thickBot="1" x14ac:dyDescent="0.2">
      <c r="A2266" s="412"/>
      <c r="B2266" s="281"/>
      <c r="C2266" s="291" t="s">
        <v>1190</v>
      </c>
      <c r="D2266" s="383">
        <f>SUM(D2242,D2260)</f>
        <v>8014.4000000000015</v>
      </c>
      <c r="E2266" s="384"/>
      <c r="F2266" s="389">
        <v>4907.43</v>
      </c>
    </row>
    <row r="2267" spans="1:6" s="295" customFormat="1" ht="14" thickTop="1" x14ac:dyDescent="0.15">
      <c r="E2267" s="408"/>
      <c r="F2267" s="298"/>
    </row>
    <row r="2268" spans="1:6" s="295" customFormat="1" x14ac:dyDescent="0.15">
      <c r="A2268" s="370" t="s">
        <v>1299</v>
      </c>
      <c r="B2268" s="371" t="s">
        <v>1269</v>
      </c>
      <c r="C2268" s="371" t="s">
        <v>1270</v>
      </c>
      <c r="D2268" s="371">
        <v>437.6</v>
      </c>
      <c r="E2268" s="390">
        <v>42691</v>
      </c>
      <c r="F2268" s="391">
        <v>372.42</v>
      </c>
    </row>
    <row r="2269" spans="1:6" s="295" customFormat="1" x14ac:dyDescent="0.15">
      <c r="A2269" s="374" t="s">
        <v>1293</v>
      </c>
      <c r="B2269" s="287" t="s">
        <v>1257</v>
      </c>
      <c r="C2269" s="287" t="s">
        <v>1258</v>
      </c>
      <c r="D2269" s="287">
        <v>524.1</v>
      </c>
      <c r="E2269" s="380">
        <v>42691</v>
      </c>
      <c r="F2269" s="381">
        <v>440.7</v>
      </c>
    </row>
    <row r="2270" spans="1:6" s="295" customFormat="1" x14ac:dyDescent="0.15">
      <c r="A2270" s="374" t="s">
        <v>1294</v>
      </c>
      <c r="B2270" s="287" t="s">
        <v>1259</v>
      </c>
      <c r="C2270" s="287" t="s">
        <v>1260</v>
      </c>
      <c r="D2270" s="287">
        <v>122.5</v>
      </c>
      <c r="E2270" s="380">
        <v>42691</v>
      </c>
      <c r="F2270" s="381">
        <v>124.42</v>
      </c>
    </row>
    <row r="2271" spans="1:6" s="295" customFormat="1" x14ac:dyDescent="0.15">
      <c r="A2271" s="374" t="s">
        <v>1296</v>
      </c>
      <c r="B2271" s="287" t="s">
        <v>1278</v>
      </c>
      <c r="C2271" s="287" t="s">
        <v>1264</v>
      </c>
      <c r="D2271" s="287">
        <v>330.6</v>
      </c>
      <c r="E2271" s="380">
        <v>42691</v>
      </c>
      <c r="F2271" s="381">
        <v>288.64</v>
      </c>
    </row>
    <row r="2272" spans="1:6" s="295" customFormat="1" x14ac:dyDescent="0.15">
      <c r="A2272" s="374" t="s">
        <v>1295</v>
      </c>
      <c r="B2272" s="287" t="s">
        <v>1261</v>
      </c>
      <c r="C2272" s="287" t="s">
        <v>1262</v>
      </c>
      <c r="D2272" s="287">
        <v>239.9</v>
      </c>
      <c r="E2272" s="380">
        <v>42691</v>
      </c>
      <c r="F2272" s="381">
        <v>223.84</v>
      </c>
    </row>
    <row r="2273" spans="1:6" s="295" customFormat="1" x14ac:dyDescent="0.15">
      <c r="A2273" s="374" t="s">
        <v>1301</v>
      </c>
      <c r="B2273" s="287" t="s">
        <v>1286</v>
      </c>
      <c r="C2273" s="287" t="s">
        <v>1287</v>
      </c>
      <c r="D2273" s="287">
        <v>164.8</v>
      </c>
      <c r="E2273" s="380">
        <v>42691</v>
      </c>
      <c r="F2273" s="381">
        <v>157.88999999999999</v>
      </c>
    </row>
    <row r="2274" spans="1:6" s="295" customFormat="1" x14ac:dyDescent="0.15">
      <c r="A2274" s="374" t="s">
        <v>1297</v>
      </c>
      <c r="B2274" s="287" t="s">
        <v>1265</v>
      </c>
      <c r="C2274" s="287" t="s">
        <v>1266</v>
      </c>
      <c r="D2274" s="287">
        <v>183.3</v>
      </c>
      <c r="E2274" s="380">
        <v>42691</v>
      </c>
      <c r="F2274" s="381">
        <v>176.15</v>
      </c>
    </row>
    <row r="2275" spans="1:6" s="295" customFormat="1" ht="12" customHeight="1" x14ac:dyDescent="0.15">
      <c r="A2275" s="374" t="s">
        <v>1298</v>
      </c>
      <c r="B2275" s="287" t="s">
        <v>1267</v>
      </c>
      <c r="C2275" s="287" t="s">
        <v>1268</v>
      </c>
      <c r="D2275" s="287">
        <v>367.6</v>
      </c>
      <c r="E2275" s="380">
        <v>42691</v>
      </c>
      <c r="F2275" s="381">
        <v>331.89</v>
      </c>
    </row>
    <row r="2276" spans="1:6" s="295" customFormat="1" x14ac:dyDescent="0.15">
      <c r="A2276" s="374" t="s">
        <v>1300</v>
      </c>
      <c r="B2276" s="287" t="s">
        <v>1271</v>
      </c>
      <c r="C2276" s="287" t="s">
        <v>1272</v>
      </c>
      <c r="D2276" s="287">
        <v>311</v>
      </c>
      <c r="E2276" s="380">
        <v>42691</v>
      </c>
      <c r="F2276" s="381">
        <v>273.14</v>
      </c>
    </row>
    <row r="2277" spans="1:6" s="295" customFormat="1" x14ac:dyDescent="0.15">
      <c r="A2277" s="374" t="s">
        <v>1290</v>
      </c>
      <c r="B2277" s="287" t="s">
        <v>1291</v>
      </c>
      <c r="C2277" s="287" t="s">
        <v>1277</v>
      </c>
      <c r="D2277" s="287">
        <v>423.3</v>
      </c>
      <c r="E2277" s="380">
        <v>42691</v>
      </c>
      <c r="F2277" s="381">
        <v>361.53</v>
      </c>
    </row>
    <row r="2278" spans="1:6" s="295" customFormat="1" x14ac:dyDescent="0.15">
      <c r="A2278" s="374" t="s">
        <v>1327</v>
      </c>
      <c r="B2278" s="287" t="s">
        <v>1328</v>
      </c>
      <c r="C2278" s="287" t="s">
        <v>1329</v>
      </c>
      <c r="D2278" s="287">
        <v>266.7</v>
      </c>
      <c r="E2278" s="380">
        <v>42691</v>
      </c>
      <c r="F2278" s="381">
        <v>246.33</v>
      </c>
    </row>
    <row r="2279" spans="1:6" s="295" customFormat="1" x14ac:dyDescent="0.15">
      <c r="A2279" s="374" t="s">
        <v>1292</v>
      </c>
      <c r="B2279" s="287" t="s">
        <v>1255</v>
      </c>
      <c r="C2279" s="287" t="s">
        <v>1256</v>
      </c>
      <c r="D2279" s="287">
        <v>1334</v>
      </c>
      <c r="E2279" s="380">
        <v>42691</v>
      </c>
      <c r="F2279" s="381">
        <v>912.55</v>
      </c>
    </row>
    <row r="2280" spans="1:6" s="295" customFormat="1" x14ac:dyDescent="0.15">
      <c r="A2280" s="374" t="s">
        <v>1312</v>
      </c>
      <c r="B2280" s="287" t="s">
        <v>1313</v>
      </c>
      <c r="C2280" s="287" t="s">
        <v>1313</v>
      </c>
      <c r="D2280" s="287">
        <v>270.8</v>
      </c>
      <c r="E2280" s="380">
        <v>42691</v>
      </c>
      <c r="F2280" s="381">
        <v>241.61</v>
      </c>
    </row>
    <row r="2281" spans="1:6" s="295" customFormat="1" x14ac:dyDescent="0.15">
      <c r="A2281" s="374" t="s">
        <v>1314</v>
      </c>
      <c r="B2281" s="287" t="s">
        <v>1315</v>
      </c>
      <c r="C2281" s="287" t="s">
        <v>1316</v>
      </c>
      <c r="D2281" s="287">
        <v>200.8</v>
      </c>
      <c r="E2281" s="380">
        <v>42691</v>
      </c>
      <c r="F2281" s="381">
        <v>186.15</v>
      </c>
    </row>
    <row r="2282" spans="1:6" s="295" customFormat="1" x14ac:dyDescent="0.15">
      <c r="A2282" s="374" t="s">
        <v>1322</v>
      </c>
      <c r="B2282" s="287" t="s">
        <v>1250</v>
      </c>
      <c r="C2282" s="287" t="s">
        <v>1251</v>
      </c>
      <c r="D2282" s="287">
        <v>31.9</v>
      </c>
      <c r="E2282" s="380">
        <v>42691</v>
      </c>
      <c r="F2282" s="381">
        <v>38.22</v>
      </c>
    </row>
    <row r="2283" spans="1:6" s="295" customFormat="1" x14ac:dyDescent="0.15">
      <c r="A2283" s="374" t="s">
        <v>1326</v>
      </c>
      <c r="B2283" s="287" t="s">
        <v>1284</v>
      </c>
      <c r="C2283" s="287" t="s">
        <v>1285</v>
      </c>
      <c r="D2283" s="397">
        <v>162.69999999999999</v>
      </c>
      <c r="E2283" s="380">
        <v>42691</v>
      </c>
      <c r="F2283" s="381">
        <v>158.37</v>
      </c>
    </row>
    <row r="2284" spans="1:6" s="295" customFormat="1" x14ac:dyDescent="0.15">
      <c r="A2284" s="374" t="s">
        <v>1323</v>
      </c>
      <c r="B2284" s="287" t="s">
        <v>1252</v>
      </c>
      <c r="C2284" s="287" t="s">
        <v>1253</v>
      </c>
      <c r="D2284" s="287">
        <v>702.3</v>
      </c>
      <c r="E2284" s="380">
        <v>42691</v>
      </c>
      <c r="F2284" s="381">
        <v>580.66</v>
      </c>
    </row>
    <row r="2285" spans="1:6" s="295" customFormat="1" x14ac:dyDescent="0.15">
      <c r="A2285" s="374" t="s">
        <v>1325</v>
      </c>
      <c r="B2285" s="287" t="s">
        <v>1279</v>
      </c>
      <c r="C2285" s="287" t="s">
        <v>1280</v>
      </c>
      <c r="D2285" s="397">
        <v>405.7</v>
      </c>
      <c r="E2285" s="380">
        <v>42691</v>
      </c>
      <c r="F2285" s="381">
        <v>347.33</v>
      </c>
    </row>
    <row r="2286" spans="1:6" s="295" customFormat="1" x14ac:dyDescent="0.15">
      <c r="A2286" s="374" t="s">
        <v>1324</v>
      </c>
      <c r="B2286" s="287" t="s">
        <v>1275</v>
      </c>
      <c r="C2286" s="287" t="s">
        <v>1276</v>
      </c>
      <c r="D2286" s="397">
        <v>657</v>
      </c>
      <c r="E2286" s="380">
        <v>42691</v>
      </c>
      <c r="F2286" s="381">
        <v>544.9</v>
      </c>
    </row>
    <row r="2287" spans="1:6" s="295" customFormat="1" x14ac:dyDescent="0.15">
      <c r="A2287" s="374" t="s">
        <v>1321</v>
      </c>
      <c r="B2287" s="287" t="s">
        <v>1244</v>
      </c>
      <c r="C2287" s="287" t="s">
        <v>1245</v>
      </c>
      <c r="D2287" s="287">
        <v>618.9</v>
      </c>
      <c r="E2287" s="380">
        <v>42691</v>
      </c>
      <c r="F2287" s="381">
        <v>515.04999999999995</v>
      </c>
    </row>
    <row r="2288" spans="1:6" s="295" customFormat="1" ht="14" thickBot="1" x14ac:dyDescent="0.2">
      <c r="A2288" s="374"/>
      <c r="B2288" s="287"/>
      <c r="C2288" s="291" t="s">
        <v>115</v>
      </c>
      <c r="D2288" s="394">
        <f>SUM(D2268:D2287)</f>
        <v>7755.4999999999991</v>
      </c>
      <c r="E2288" s="384"/>
      <c r="F2288" s="389">
        <v>6521.79</v>
      </c>
    </row>
    <row r="2289" spans="1:6" s="295" customFormat="1" ht="14" thickTop="1" x14ac:dyDescent="0.15">
      <c r="A2289" s="374"/>
      <c r="B2289" s="287"/>
      <c r="C2289" s="287"/>
      <c r="D2289" s="287"/>
      <c r="E2289" s="380"/>
      <c r="F2289" s="381"/>
    </row>
    <row r="2290" spans="1:6" s="295" customFormat="1" x14ac:dyDescent="0.15">
      <c r="A2290" s="374"/>
      <c r="B2290" s="287"/>
      <c r="C2290" s="378" t="s">
        <v>1212</v>
      </c>
      <c r="D2290" s="287"/>
      <c r="E2290" s="380"/>
      <c r="F2290" s="381"/>
    </row>
    <row r="2291" spans="1:6" s="295" customFormat="1" x14ac:dyDescent="0.15">
      <c r="A2291" s="374"/>
      <c r="B2291" s="287"/>
      <c r="C2291" s="378" t="s">
        <v>1139</v>
      </c>
      <c r="D2291" s="287"/>
      <c r="E2291" s="380"/>
      <c r="F2291" s="381"/>
    </row>
    <row r="2292" spans="1:6" s="295" customFormat="1" x14ac:dyDescent="0.15">
      <c r="A2292" s="374"/>
      <c r="B2292" s="287"/>
      <c r="C2292" s="386">
        <v>42696</v>
      </c>
      <c r="D2292" s="287"/>
      <c r="E2292" s="380"/>
      <c r="F2292" s="381"/>
    </row>
    <row r="2293" spans="1:6" s="295" customFormat="1" x14ac:dyDescent="0.15">
      <c r="A2293" s="374"/>
      <c r="B2293" s="287"/>
      <c r="C2293" s="287"/>
      <c r="D2293" s="287"/>
      <c r="E2293" s="380"/>
      <c r="F2293" s="381"/>
    </row>
    <row r="2294" spans="1:6" s="295" customFormat="1" x14ac:dyDescent="0.15">
      <c r="A2294" s="370" t="s">
        <v>1302</v>
      </c>
      <c r="B2294" s="371" t="s">
        <v>1226</v>
      </c>
      <c r="C2294" s="371" t="s">
        <v>1227</v>
      </c>
      <c r="D2294" s="371">
        <v>956.6</v>
      </c>
      <c r="E2294" s="390">
        <v>42705</v>
      </c>
      <c r="F2294" s="391">
        <v>923.81</v>
      </c>
    </row>
    <row r="2295" spans="1:6" s="295" customFormat="1" x14ac:dyDescent="0.15">
      <c r="A2295" s="374" t="s">
        <v>1303</v>
      </c>
      <c r="B2295" s="287" t="s">
        <v>1228</v>
      </c>
      <c r="C2295" s="287" t="s">
        <v>1229</v>
      </c>
      <c r="D2295" s="287">
        <v>824.8</v>
      </c>
      <c r="E2295" s="380">
        <v>42705</v>
      </c>
      <c r="F2295" s="381">
        <v>800.3</v>
      </c>
    </row>
    <row r="2296" spans="1:6" s="295" customFormat="1" x14ac:dyDescent="0.15">
      <c r="A2296" s="374" t="s">
        <v>1304</v>
      </c>
      <c r="B2296" s="287" t="s">
        <v>1230</v>
      </c>
      <c r="C2296" s="287" t="s">
        <v>1231</v>
      </c>
      <c r="D2296" s="287">
        <v>627.1</v>
      </c>
      <c r="E2296" s="380">
        <v>42705</v>
      </c>
      <c r="F2296" s="381">
        <v>615.22</v>
      </c>
    </row>
    <row r="2297" spans="1:6" s="295" customFormat="1" x14ac:dyDescent="0.15">
      <c r="A2297" s="374" t="s">
        <v>1305</v>
      </c>
      <c r="B2297" s="287" t="s">
        <v>1306</v>
      </c>
      <c r="C2297" s="287" t="s">
        <v>1233</v>
      </c>
      <c r="D2297" s="287">
        <v>1469.3</v>
      </c>
      <c r="E2297" s="380">
        <v>42705</v>
      </c>
      <c r="F2297" s="381">
        <v>1216.58</v>
      </c>
    </row>
    <row r="2298" spans="1:6" s="295" customFormat="1" x14ac:dyDescent="0.15">
      <c r="A2298" s="374" t="s">
        <v>1307</v>
      </c>
      <c r="B2298" s="287" t="s">
        <v>1234</v>
      </c>
      <c r="C2298" s="287" t="s">
        <v>500</v>
      </c>
      <c r="D2298" s="287">
        <v>1050.3</v>
      </c>
      <c r="E2298" s="380">
        <v>42705</v>
      </c>
      <c r="F2298" s="381">
        <v>963.1</v>
      </c>
    </row>
    <row r="2299" spans="1:6" s="295" customFormat="1" x14ac:dyDescent="0.15">
      <c r="A2299" s="374" t="s">
        <v>1308</v>
      </c>
      <c r="B2299" s="287" t="s">
        <v>1235</v>
      </c>
      <c r="C2299" s="287" t="s">
        <v>1236</v>
      </c>
      <c r="D2299" s="287">
        <v>1084.2</v>
      </c>
      <c r="E2299" s="380">
        <v>42705</v>
      </c>
      <c r="F2299" s="381">
        <v>1043.19</v>
      </c>
    </row>
    <row r="2300" spans="1:6" s="295" customFormat="1" x14ac:dyDescent="0.15">
      <c r="A2300" s="374" t="s">
        <v>1318</v>
      </c>
      <c r="B2300" s="287" t="s">
        <v>1238</v>
      </c>
      <c r="C2300" s="287" t="s">
        <v>1239</v>
      </c>
      <c r="D2300" s="287">
        <v>910.2</v>
      </c>
      <c r="E2300" s="380">
        <v>42705</v>
      </c>
      <c r="F2300" s="381">
        <v>880.51</v>
      </c>
    </row>
    <row r="2301" spans="1:6" s="295" customFormat="1" x14ac:dyDescent="0.15">
      <c r="A2301" s="374" t="s">
        <v>1309</v>
      </c>
      <c r="B2301" s="287" t="s">
        <v>1240</v>
      </c>
      <c r="C2301" s="287" t="s">
        <v>1241</v>
      </c>
      <c r="D2301" s="287">
        <v>667.2</v>
      </c>
      <c r="E2301" s="380">
        <v>42705</v>
      </c>
      <c r="F2301" s="381">
        <v>652.71</v>
      </c>
    </row>
    <row r="2302" spans="1:6" s="295" customFormat="1" x14ac:dyDescent="0.15">
      <c r="A2302" s="374" t="s">
        <v>1310</v>
      </c>
      <c r="B2302" s="287" t="s">
        <v>1282</v>
      </c>
      <c r="C2302" s="287" t="s">
        <v>1283</v>
      </c>
      <c r="D2302" s="287">
        <v>816.9</v>
      </c>
      <c r="E2302" s="380">
        <v>42705</v>
      </c>
      <c r="F2302" s="381">
        <v>793.32</v>
      </c>
    </row>
    <row r="2303" spans="1:6" s="295" customFormat="1" x14ac:dyDescent="0.15">
      <c r="A2303" s="374" t="s">
        <v>1319</v>
      </c>
      <c r="B2303" s="287" t="s">
        <v>1246</v>
      </c>
      <c r="C2303" s="287" t="s">
        <v>1247</v>
      </c>
      <c r="D2303" s="287">
        <v>753.7</v>
      </c>
      <c r="E2303" s="380">
        <v>42705</v>
      </c>
      <c r="F2303" s="381">
        <v>733.98</v>
      </c>
    </row>
    <row r="2304" spans="1:6" s="295" customFormat="1" x14ac:dyDescent="0.15">
      <c r="A2304" s="374" t="s">
        <v>1311</v>
      </c>
      <c r="B2304" s="287" t="s">
        <v>1248</v>
      </c>
      <c r="C2304" s="287" t="s">
        <v>1249</v>
      </c>
      <c r="D2304" s="287">
        <v>187.4</v>
      </c>
      <c r="E2304" s="380">
        <v>42705</v>
      </c>
      <c r="F2304" s="381">
        <v>206.94</v>
      </c>
    </row>
    <row r="2305" spans="1:6" s="295" customFormat="1" x14ac:dyDescent="0.15">
      <c r="A2305" s="374" t="s">
        <v>1320</v>
      </c>
      <c r="B2305" s="287" t="s">
        <v>1288</v>
      </c>
      <c r="C2305" s="287" t="s">
        <v>1289</v>
      </c>
      <c r="D2305" s="397">
        <v>448.9</v>
      </c>
      <c r="E2305" s="403">
        <v>42705</v>
      </c>
      <c r="F2305" s="381">
        <v>448.3</v>
      </c>
    </row>
    <row r="2306" spans="1:6" s="295" customFormat="1" ht="14" thickBot="1" x14ac:dyDescent="0.2">
      <c r="A2306" s="374"/>
      <c r="B2306" s="287"/>
      <c r="C2306" s="291" t="s">
        <v>115</v>
      </c>
      <c r="D2306" s="383">
        <f>SUM(D2294:D2305)</f>
        <v>9796.6</v>
      </c>
      <c r="E2306" s="404"/>
      <c r="F2306" s="389">
        <v>9277.9600000000009</v>
      </c>
    </row>
    <row r="2307" spans="1:6" s="295" customFormat="1" ht="14" thickTop="1" x14ac:dyDescent="0.15">
      <c r="A2307" s="374"/>
      <c r="B2307" s="287"/>
      <c r="C2307" s="287"/>
      <c r="D2307" s="287"/>
      <c r="E2307" s="380"/>
      <c r="F2307" s="381"/>
    </row>
    <row r="2308" spans="1:6" s="295" customFormat="1" x14ac:dyDescent="0.15">
      <c r="A2308" s="374"/>
      <c r="B2308" s="287"/>
      <c r="C2308" s="378" t="s">
        <v>1212</v>
      </c>
      <c r="D2308" s="287"/>
      <c r="E2308" s="380"/>
      <c r="F2308" s="381"/>
    </row>
    <row r="2309" spans="1:6" s="295" customFormat="1" x14ac:dyDescent="0.15">
      <c r="A2309" s="374"/>
      <c r="B2309" s="287"/>
      <c r="C2309" s="378" t="s">
        <v>1139</v>
      </c>
      <c r="D2309" s="287"/>
      <c r="E2309" s="380"/>
      <c r="F2309" s="381"/>
    </row>
    <row r="2310" spans="1:6" s="295" customFormat="1" x14ac:dyDescent="0.15">
      <c r="A2310" s="374"/>
      <c r="B2310" s="287"/>
      <c r="C2310" s="386">
        <v>42704</v>
      </c>
      <c r="D2310" s="287"/>
      <c r="E2310" s="380"/>
      <c r="F2310" s="381"/>
    </row>
    <row r="2311" spans="1:6" s="295" customFormat="1" x14ac:dyDescent="0.15">
      <c r="A2311" s="409"/>
      <c r="B2311" s="410"/>
      <c r="C2311" s="410"/>
      <c r="D2311" s="410"/>
      <c r="E2311" s="403"/>
      <c r="F2311" s="411"/>
    </row>
    <row r="2312" spans="1:6" s="295" customFormat="1" ht="14" thickBot="1" x14ac:dyDescent="0.2">
      <c r="A2312" s="412"/>
      <c r="B2312" s="281"/>
      <c r="C2312" s="291" t="s">
        <v>1191</v>
      </c>
      <c r="D2312" s="383">
        <f>SUM(D2288,D2306)</f>
        <v>17552.099999999999</v>
      </c>
      <c r="E2312" s="384"/>
      <c r="F2312" s="389">
        <v>15799.75</v>
      </c>
    </row>
    <row r="2313" spans="1:6" s="295" customFormat="1" ht="14" thickTop="1" x14ac:dyDescent="0.15">
      <c r="E2313" s="408"/>
      <c r="F2313" s="298"/>
    </row>
    <row r="2314" spans="1:6" s="295" customFormat="1" x14ac:dyDescent="0.15">
      <c r="A2314" s="370" t="s">
        <v>1299</v>
      </c>
      <c r="B2314" s="371" t="s">
        <v>1269</v>
      </c>
      <c r="C2314" s="371" t="s">
        <v>1270</v>
      </c>
      <c r="D2314" s="371">
        <v>637.20000000000005</v>
      </c>
      <c r="E2314" s="390">
        <v>42720</v>
      </c>
      <c r="F2314" s="391">
        <v>668.08</v>
      </c>
    </row>
    <row r="2315" spans="1:6" s="295" customFormat="1" x14ac:dyDescent="0.15">
      <c r="A2315" s="374" t="s">
        <v>1293</v>
      </c>
      <c r="B2315" s="287" t="s">
        <v>1257</v>
      </c>
      <c r="C2315" s="287" t="s">
        <v>1258</v>
      </c>
      <c r="D2315" s="287">
        <v>763.8</v>
      </c>
      <c r="E2315" s="380">
        <v>42720</v>
      </c>
      <c r="F2315" s="381">
        <v>795.23</v>
      </c>
    </row>
    <row r="2316" spans="1:6" s="295" customFormat="1" x14ac:dyDescent="0.15">
      <c r="A2316" s="374" t="s">
        <v>1294</v>
      </c>
      <c r="B2316" s="287" t="s">
        <v>1259</v>
      </c>
      <c r="C2316" s="287" t="s">
        <v>1260</v>
      </c>
      <c r="D2316" s="287">
        <v>246</v>
      </c>
      <c r="E2316" s="380">
        <v>42720</v>
      </c>
      <c r="F2316" s="381">
        <v>281.39999999999998</v>
      </c>
    </row>
    <row r="2317" spans="1:6" s="295" customFormat="1" x14ac:dyDescent="0.15">
      <c r="A2317" s="374" t="s">
        <v>1296</v>
      </c>
      <c r="B2317" s="287" t="s">
        <v>1278</v>
      </c>
      <c r="C2317" s="287" t="s">
        <v>1264</v>
      </c>
      <c r="D2317" s="287">
        <v>500.3</v>
      </c>
      <c r="E2317" s="380">
        <v>42720</v>
      </c>
      <c r="F2317" s="381">
        <v>530.6</v>
      </c>
    </row>
    <row r="2318" spans="1:6" s="295" customFormat="1" x14ac:dyDescent="0.15">
      <c r="A2318" s="374" t="s">
        <v>1295</v>
      </c>
      <c r="B2318" s="287" t="s">
        <v>1261</v>
      </c>
      <c r="C2318" s="287" t="s">
        <v>1262</v>
      </c>
      <c r="D2318" s="287">
        <v>422.1</v>
      </c>
      <c r="E2318" s="380">
        <v>42720</v>
      </c>
      <c r="F2318" s="381">
        <v>468.16</v>
      </c>
    </row>
    <row r="2319" spans="1:6" s="295" customFormat="1" x14ac:dyDescent="0.15">
      <c r="A2319" s="374" t="s">
        <v>1301</v>
      </c>
      <c r="B2319" s="287" t="s">
        <v>1286</v>
      </c>
      <c r="C2319" s="287" t="s">
        <v>1287</v>
      </c>
      <c r="D2319" s="287">
        <v>327.39999999999998</v>
      </c>
      <c r="E2319" s="380">
        <v>42720</v>
      </c>
      <c r="F2319" s="381">
        <v>356.95</v>
      </c>
    </row>
    <row r="2320" spans="1:6" s="295" customFormat="1" x14ac:dyDescent="0.15">
      <c r="A2320" s="374" t="s">
        <v>1297</v>
      </c>
      <c r="B2320" s="287" t="s">
        <v>1265</v>
      </c>
      <c r="C2320" s="287" t="s">
        <v>1266</v>
      </c>
      <c r="D2320" s="287">
        <v>301.60000000000002</v>
      </c>
      <c r="E2320" s="380">
        <v>42720</v>
      </c>
      <c r="F2320" s="381">
        <v>340.35</v>
      </c>
    </row>
    <row r="2321" spans="1:6" s="295" customFormat="1" ht="12" customHeight="1" x14ac:dyDescent="0.15">
      <c r="A2321" s="374" t="s">
        <v>1298</v>
      </c>
      <c r="B2321" s="287" t="s">
        <v>1267</v>
      </c>
      <c r="C2321" s="287" t="s">
        <v>1268</v>
      </c>
      <c r="D2321" s="287">
        <v>621.79999999999995</v>
      </c>
      <c r="E2321" s="380">
        <v>42720</v>
      </c>
      <c r="F2321" s="381">
        <v>679.94</v>
      </c>
    </row>
    <row r="2322" spans="1:6" s="295" customFormat="1" x14ac:dyDescent="0.15">
      <c r="A2322" s="374" t="s">
        <v>1300</v>
      </c>
      <c r="B2322" s="287" t="s">
        <v>1271</v>
      </c>
      <c r="C2322" s="287" t="s">
        <v>1272</v>
      </c>
      <c r="D2322" s="287">
        <v>528.1</v>
      </c>
      <c r="E2322" s="380">
        <v>42720</v>
      </c>
      <c r="F2322" s="381">
        <v>558.52</v>
      </c>
    </row>
    <row r="2323" spans="1:6" s="295" customFormat="1" x14ac:dyDescent="0.15">
      <c r="A2323" s="374" t="s">
        <v>1290</v>
      </c>
      <c r="B2323" s="287" t="s">
        <v>1291</v>
      </c>
      <c r="C2323" s="287" t="s">
        <v>1277</v>
      </c>
      <c r="D2323" s="287">
        <v>817.7</v>
      </c>
      <c r="E2323" s="380">
        <v>42720</v>
      </c>
      <c r="F2323" s="381">
        <v>849.36</v>
      </c>
    </row>
    <row r="2324" spans="1:6" s="295" customFormat="1" x14ac:dyDescent="0.15">
      <c r="A2324" s="374" t="s">
        <v>1327</v>
      </c>
      <c r="B2324" s="287" t="s">
        <v>1328</v>
      </c>
      <c r="C2324" s="287" t="s">
        <v>1329</v>
      </c>
      <c r="D2324" s="287">
        <v>377.8</v>
      </c>
      <c r="E2324" s="380">
        <v>42720</v>
      </c>
      <c r="F2324" s="381">
        <v>421.16</v>
      </c>
    </row>
    <row r="2325" spans="1:6" s="295" customFormat="1" x14ac:dyDescent="0.15">
      <c r="A2325" s="374" t="s">
        <v>1292</v>
      </c>
      <c r="B2325" s="287" t="s">
        <v>1255</v>
      </c>
      <c r="C2325" s="287" t="s">
        <v>1256</v>
      </c>
      <c r="D2325" s="287">
        <v>1850.1</v>
      </c>
      <c r="E2325" s="380">
        <v>42720</v>
      </c>
      <c r="F2325" s="381">
        <v>1870.35</v>
      </c>
    </row>
    <row r="2326" spans="1:6" s="295" customFormat="1" x14ac:dyDescent="0.15">
      <c r="A2326" s="374" t="s">
        <v>1312</v>
      </c>
      <c r="B2326" s="287" t="s">
        <v>1313</v>
      </c>
      <c r="C2326" s="287" t="s">
        <v>1313</v>
      </c>
      <c r="D2326" s="287">
        <v>798.8</v>
      </c>
      <c r="E2326" s="380">
        <v>42720</v>
      </c>
      <c r="F2326" s="381">
        <v>830.37</v>
      </c>
    </row>
    <row r="2327" spans="1:6" s="295" customFormat="1" x14ac:dyDescent="0.15">
      <c r="A2327" s="374" t="s">
        <v>1314</v>
      </c>
      <c r="B2327" s="287" t="s">
        <v>1315</v>
      </c>
      <c r="C2327" s="287" t="s">
        <v>1316</v>
      </c>
      <c r="D2327" s="287">
        <v>299.60000000000002</v>
      </c>
      <c r="E2327" s="380">
        <v>42720</v>
      </c>
      <c r="F2327" s="381">
        <v>329.03</v>
      </c>
    </row>
    <row r="2328" spans="1:6" s="295" customFormat="1" x14ac:dyDescent="0.15">
      <c r="A2328" s="374" t="s">
        <v>1322</v>
      </c>
      <c r="B2328" s="287" t="s">
        <v>1250</v>
      </c>
      <c r="C2328" s="287" t="s">
        <v>1251</v>
      </c>
      <c r="D2328" s="287">
        <v>64.900000000000006</v>
      </c>
      <c r="E2328" s="380">
        <v>42720</v>
      </c>
      <c r="F2328" s="381">
        <v>86.64</v>
      </c>
    </row>
    <row r="2329" spans="1:6" s="295" customFormat="1" x14ac:dyDescent="0.15">
      <c r="A2329" s="374" t="s">
        <v>1326</v>
      </c>
      <c r="B2329" s="287" t="s">
        <v>1284</v>
      </c>
      <c r="C2329" s="287" t="s">
        <v>1285</v>
      </c>
      <c r="D2329" s="397">
        <v>259.39999999999998</v>
      </c>
      <c r="E2329" s="380">
        <v>42720</v>
      </c>
      <c r="F2329" s="381">
        <v>295.60000000000002</v>
      </c>
    </row>
    <row r="2330" spans="1:6" s="295" customFormat="1" x14ac:dyDescent="0.15">
      <c r="A2330" s="374" t="s">
        <v>1323</v>
      </c>
      <c r="B2330" s="287" t="s">
        <v>1252</v>
      </c>
      <c r="C2330" s="287" t="s">
        <v>1253</v>
      </c>
      <c r="D2330" s="287">
        <v>1064.4000000000001</v>
      </c>
      <c r="E2330" s="380">
        <v>42720</v>
      </c>
      <c r="F2330" s="381">
        <v>1097.1300000000001</v>
      </c>
    </row>
    <row r="2331" spans="1:6" s="295" customFormat="1" x14ac:dyDescent="0.15">
      <c r="A2331" s="374" t="s">
        <v>1325</v>
      </c>
      <c r="B2331" s="287" t="s">
        <v>1279</v>
      </c>
      <c r="C2331" s="287" t="s">
        <v>1280</v>
      </c>
      <c r="D2331" s="397">
        <v>604.29999999999995</v>
      </c>
      <c r="E2331" s="380">
        <v>42720</v>
      </c>
      <c r="F2331" s="381">
        <v>635.04</v>
      </c>
    </row>
    <row r="2332" spans="1:6" s="295" customFormat="1" x14ac:dyDescent="0.15">
      <c r="A2332" s="374" t="s">
        <v>1324</v>
      </c>
      <c r="B2332" s="287" t="s">
        <v>1275</v>
      </c>
      <c r="C2332" s="287" t="s">
        <v>1276</v>
      </c>
      <c r="D2332" s="397">
        <v>975.9</v>
      </c>
      <c r="E2332" s="380">
        <v>42720</v>
      </c>
      <c r="F2332" s="381">
        <v>1008.23</v>
      </c>
    </row>
    <row r="2333" spans="1:6" s="295" customFormat="1" x14ac:dyDescent="0.15">
      <c r="A2333" s="374" t="s">
        <v>1321</v>
      </c>
      <c r="B2333" s="287" t="s">
        <v>1244</v>
      </c>
      <c r="C2333" s="287" t="s">
        <v>1245</v>
      </c>
      <c r="D2333" s="287">
        <v>972.8</v>
      </c>
      <c r="E2333" s="380">
        <v>42720</v>
      </c>
      <c r="F2333" s="381">
        <v>1005.13</v>
      </c>
    </row>
    <row r="2334" spans="1:6" s="295" customFormat="1" ht="14" thickBot="1" x14ac:dyDescent="0.2">
      <c r="A2334" s="374"/>
      <c r="B2334" s="287"/>
      <c r="C2334" s="291" t="s">
        <v>115</v>
      </c>
      <c r="D2334" s="394">
        <f>SUM(D2314:D2333)</f>
        <v>12433.999999999996</v>
      </c>
      <c r="E2334" s="384"/>
      <c r="F2334" s="389">
        <v>13107.27</v>
      </c>
    </row>
    <row r="2335" spans="1:6" s="295" customFormat="1" ht="14" thickTop="1" x14ac:dyDescent="0.15">
      <c r="A2335" s="374"/>
      <c r="B2335" s="287"/>
      <c r="C2335" s="287"/>
      <c r="D2335" s="287"/>
      <c r="E2335" s="380"/>
      <c r="F2335" s="381"/>
    </row>
    <row r="2336" spans="1:6" s="295" customFormat="1" x14ac:dyDescent="0.15">
      <c r="A2336" s="374"/>
      <c r="B2336" s="287"/>
      <c r="C2336" s="378" t="s">
        <v>1212</v>
      </c>
      <c r="D2336" s="287"/>
      <c r="E2336" s="380"/>
      <c r="F2336" s="381"/>
    </row>
    <row r="2337" spans="1:6" s="295" customFormat="1" x14ac:dyDescent="0.15">
      <c r="A2337" s="374"/>
      <c r="B2337" s="287"/>
      <c r="C2337" s="378" t="s">
        <v>1139</v>
      </c>
      <c r="D2337" s="287"/>
      <c r="E2337" s="380"/>
      <c r="F2337" s="381"/>
    </row>
    <row r="2338" spans="1:6" s="295" customFormat="1" x14ac:dyDescent="0.15">
      <c r="A2338" s="374"/>
      <c r="B2338" s="287"/>
      <c r="C2338" s="386">
        <v>42723</v>
      </c>
      <c r="D2338" s="287"/>
      <c r="E2338" s="380"/>
      <c r="F2338" s="381"/>
    </row>
    <row r="2339" spans="1:6" s="295" customFormat="1" x14ac:dyDescent="0.15">
      <c r="A2339" s="374"/>
      <c r="B2339" s="287"/>
      <c r="C2339" s="287"/>
      <c r="D2339" s="287"/>
      <c r="E2339" s="380"/>
      <c r="F2339" s="381"/>
    </row>
    <row r="2340" spans="1:6" s="295" customFormat="1" x14ac:dyDescent="0.15">
      <c r="A2340" s="370" t="s">
        <v>1302</v>
      </c>
      <c r="B2340" s="371" t="s">
        <v>1226</v>
      </c>
      <c r="C2340" s="371" t="s">
        <v>1227</v>
      </c>
      <c r="D2340" s="371">
        <v>1267.0999999999999</v>
      </c>
      <c r="E2340" s="390">
        <v>42738</v>
      </c>
      <c r="F2340" s="391">
        <v>1300.69</v>
      </c>
    </row>
    <row r="2341" spans="1:6" s="295" customFormat="1" x14ac:dyDescent="0.15">
      <c r="A2341" s="374" t="s">
        <v>1303</v>
      </c>
      <c r="B2341" s="287" t="s">
        <v>1228</v>
      </c>
      <c r="C2341" s="287" t="s">
        <v>1229</v>
      </c>
      <c r="D2341" s="287">
        <v>1222.9000000000001</v>
      </c>
      <c r="E2341" s="380">
        <v>42738</v>
      </c>
      <c r="F2341" s="381">
        <v>1256.3</v>
      </c>
    </row>
    <row r="2342" spans="1:6" s="295" customFormat="1" x14ac:dyDescent="0.15">
      <c r="A2342" s="374" t="s">
        <v>1304</v>
      </c>
      <c r="B2342" s="287" t="s">
        <v>1230</v>
      </c>
      <c r="C2342" s="287" t="s">
        <v>1231</v>
      </c>
      <c r="D2342" s="287">
        <v>785.4</v>
      </c>
      <c r="E2342" s="380">
        <v>42738</v>
      </c>
      <c r="F2342" s="381">
        <v>816.92</v>
      </c>
    </row>
    <row r="2343" spans="1:6" s="295" customFormat="1" x14ac:dyDescent="0.15">
      <c r="A2343" s="374" t="s">
        <v>1305</v>
      </c>
      <c r="B2343" s="287" t="s">
        <v>1306</v>
      </c>
      <c r="C2343" s="287" t="s">
        <v>1233</v>
      </c>
      <c r="D2343" s="287">
        <v>1311.4</v>
      </c>
      <c r="E2343" s="380">
        <v>42738</v>
      </c>
      <c r="F2343" s="381">
        <v>1205.0999999999999</v>
      </c>
    </row>
    <row r="2344" spans="1:6" s="295" customFormat="1" x14ac:dyDescent="0.15">
      <c r="A2344" s="374" t="s">
        <v>1307</v>
      </c>
      <c r="B2344" s="287" t="s">
        <v>1234</v>
      </c>
      <c r="C2344" s="287" t="s">
        <v>500</v>
      </c>
      <c r="D2344" s="287">
        <v>1444.2</v>
      </c>
      <c r="E2344" s="380">
        <v>42738</v>
      </c>
      <c r="F2344" s="381">
        <v>1465.34</v>
      </c>
    </row>
    <row r="2345" spans="1:6" s="295" customFormat="1" x14ac:dyDescent="0.15">
      <c r="A2345" s="374" t="s">
        <v>1308</v>
      </c>
      <c r="B2345" s="287" t="s">
        <v>1235</v>
      </c>
      <c r="C2345" s="287" t="s">
        <v>1236</v>
      </c>
      <c r="D2345" s="287">
        <v>1417.4</v>
      </c>
      <c r="E2345" s="380">
        <v>42738</v>
      </c>
      <c r="F2345" s="381">
        <v>1451.64</v>
      </c>
    </row>
    <row r="2346" spans="1:6" s="295" customFormat="1" x14ac:dyDescent="0.15">
      <c r="A2346" s="374" t="s">
        <v>1318</v>
      </c>
      <c r="B2346" s="287" t="s">
        <v>1238</v>
      </c>
      <c r="C2346" s="287" t="s">
        <v>1239</v>
      </c>
      <c r="D2346" s="287">
        <v>1138.5</v>
      </c>
      <c r="E2346" s="380">
        <v>42738</v>
      </c>
      <c r="F2346" s="381">
        <v>1171.53</v>
      </c>
    </row>
    <row r="2347" spans="1:6" s="295" customFormat="1" x14ac:dyDescent="0.15">
      <c r="A2347" s="374" t="s">
        <v>1309</v>
      </c>
      <c r="B2347" s="287" t="s">
        <v>1240</v>
      </c>
      <c r="C2347" s="287" t="s">
        <v>1241</v>
      </c>
      <c r="D2347" s="287">
        <v>849.2</v>
      </c>
      <c r="E2347" s="380">
        <v>42738</v>
      </c>
      <c r="F2347" s="381">
        <v>881</v>
      </c>
    </row>
    <row r="2348" spans="1:6" s="295" customFormat="1" x14ac:dyDescent="0.15">
      <c r="A2348" s="374" t="s">
        <v>1310</v>
      </c>
      <c r="B2348" s="287" t="s">
        <v>1282</v>
      </c>
      <c r="C2348" s="287" t="s">
        <v>1283</v>
      </c>
      <c r="D2348" s="287">
        <v>951.5</v>
      </c>
      <c r="E2348" s="380">
        <v>42738</v>
      </c>
      <c r="F2348" s="381">
        <v>983.74</v>
      </c>
    </row>
    <row r="2349" spans="1:6" s="295" customFormat="1" x14ac:dyDescent="0.15">
      <c r="A2349" s="374" t="s">
        <v>1319</v>
      </c>
      <c r="B2349" s="287" t="s">
        <v>1246</v>
      </c>
      <c r="C2349" s="287" t="s">
        <v>1247</v>
      </c>
      <c r="D2349" s="287">
        <v>957.3</v>
      </c>
      <c r="E2349" s="380">
        <v>42738</v>
      </c>
      <c r="F2349" s="381">
        <v>989.56</v>
      </c>
    </row>
    <row r="2350" spans="1:6" s="295" customFormat="1" x14ac:dyDescent="0.15">
      <c r="A2350" s="374" t="s">
        <v>1311</v>
      </c>
      <c r="B2350" s="287" t="s">
        <v>1248</v>
      </c>
      <c r="C2350" s="287" t="s">
        <v>1249</v>
      </c>
      <c r="D2350" s="287">
        <v>261.5</v>
      </c>
      <c r="E2350" s="380">
        <v>42738</v>
      </c>
      <c r="F2350" s="381">
        <v>297.83</v>
      </c>
    </row>
    <row r="2351" spans="1:6" s="295" customFormat="1" x14ac:dyDescent="0.15">
      <c r="A2351" s="374" t="s">
        <v>1320</v>
      </c>
      <c r="B2351" s="287" t="s">
        <v>1288</v>
      </c>
      <c r="C2351" s="287" t="s">
        <v>1289</v>
      </c>
      <c r="D2351" s="397">
        <v>691.7</v>
      </c>
      <c r="E2351" s="403">
        <v>42738</v>
      </c>
      <c r="F2351" s="381">
        <v>722.81</v>
      </c>
    </row>
    <row r="2352" spans="1:6" s="295" customFormat="1" ht="14" thickBot="1" x14ac:dyDescent="0.2">
      <c r="A2352" s="374"/>
      <c r="B2352" s="287"/>
      <c r="C2352" s="291" t="s">
        <v>115</v>
      </c>
      <c r="D2352" s="383">
        <f>SUM(D2340:D2351)</f>
        <v>12298.1</v>
      </c>
      <c r="E2352" s="404"/>
      <c r="F2352" s="389">
        <v>12542.460000000001</v>
      </c>
    </row>
    <row r="2353" spans="1:6" s="295" customFormat="1" ht="14" thickTop="1" x14ac:dyDescent="0.15">
      <c r="A2353" s="374"/>
      <c r="B2353" s="287"/>
      <c r="C2353" s="287"/>
      <c r="D2353" s="287"/>
      <c r="E2353" s="380"/>
      <c r="F2353" s="381"/>
    </row>
    <row r="2354" spans="1:6" s="295" customFormat="1" x14ac:dyDescent="0.15">
      <c r="A2354" s="374"/>
      <c r="B2354" s="287"/>
      <c r="C2354" s="378" t="s">
        <v>1212</v>
      </c>
      <c r="D2354" s="287"/>
      <c r="E2354" s="380"/>
      <c r="F2354" s="381"/>
    </row>
    <row r="2355" spans="1:6" s="295" customFormat="1" x14ac:dyDescent="0.15">
      <c r="A2355" s="374"/>
      <c r="B2355" s="287"/>
      <c r="C2355" s="378" t="s">
        <v>1139</v>
      </c>
      <c r="D2355" s="287"/>
      <c r="E2355" s="380"/>
      <c r="F2355" s="381"/>
    </row>
    <row r="2356" spans="1:6" s="295" customFormat="1" x14ac:dyDescent="0.15">
      <c r="A2356" s="374"/>
      <c r="B2356" s="287"/>
      <c r="C2356" s="386">
        <v>42735</v>
      </c>
      <c r="D2356" s="287"/>
      <c r="E2356" s="380"/>
      <c r="F2356" s="381"/>
    </row>
    <row r="2357" spans="1:6" s="295" customFormat="1" x14ac:dyDescent="0.15">
      <c r="A2357" s="409"/>
      <c r="B2357" s="410"/>
      <c r="C2357" s="410"/>
      <c r="D2357" s="410"/>
      <c r="E2357" s="403"/>
      <c r="F2357" s="411"/>
    </row>
    <row r="2358" spans="1:6" s="295" customFormat="1" ht="14" thickBot="1" x14ac:dyDescent="0.2">
      <c r="A2358" s="412"/>
      <c r="B2358" s="281"/>
      <c r="C2358" s="291" t="s">
        <v>1192</v>
      </c>
      <c r="D2358" s="383">
        <f>SUM(D2334,D2352)</f>
        <v>24732.1</v>
      </c>
      <c r="E2358" s="384"/>
      <c r="F2358" s="389">
        <v>25649.730000000003</v>
      </c>
    </row>
    <row r="2359" spans="1:6" s="295" customFormat="1" ht="14" thickTop="1" x14ac:dyDescent="0.15">
      <c r="E2359" s="408"/>
      <c r="F2359" s="298"/>
    </row>
    <row r="2360" spans="1:6" s="295" customFormat="1" x14ac:dyDescent="0.15">
      <c r="A2360" s="370" t="s">
        <v>1299</v>
      </c>
      <c r="B2360" s="371" t="s">
        <v>1269</v>
      </c>
      <c r="C2360" s="371" t="s">
        <v>1270</v>
      </c>
      <c r="D2360" s="371">
        <v>821.9</v>
      </c>
      <c r="E2360" s="390">
        <v>42753</v>
      </c>
      <c r="F2360" s="391">
        <v>885.85</v>
      </c>
    </row>
    <row r="2361" spans="1:6" s="295" customFormat="1" x14ac:dyDescent="0.15">
      <c r="A2361" s="374" t="s">
        <v>1293</v>
      </c>
      <c r="B2361" s="287" t="s">
        <v>1257</v>
      </c>
      <c r="C2361" s="287" t="s">
        <v>1258</v>
      </c>
      <c r="D2361" s="287">
        <v>1048.5</v>
      </c>
      <c r="E2361" s="380">
        <v>42753</v>
      </c>
      <c r="F2361" s="381">
        <v>1122.3599999999999</v>
      </c>
    </row>
    <row r="2362" spans="1:6" s="295" customFormat="1" x14ac:dyDescent="0.15">
      <c r="A2362" s="374" t="s">
        <v>1294</v>
      </c>
      <c r="B2362" s="287" t="s">
        <v>1259</v>
      </c>
      <c r="C2362" s="287" t="s">
        <v>1260</v>
      </c>
      <c r="D2362" s="287">
        <v>429.5</v>
      </c>
      <c r="E2362" s="380">
        <v>42753</v>
      </c>
      <c r="F2362" s="381">
        <v>492.93</v>
      </c>
    </row>
    <row r="2363" spans="1:6" s="295" customFormat="1" x14ac:dyDescent="0.15">
      <c r="A2363" s="374" t="s">
        <v>1296</v>
      </c>
      <c r="B2363" s="287" t="s">
        <v>1278</v>
      </c>
      <c r="C2363" s="287" t="s">
        <v>1264</v>
      </c>
      <c r="D2363" s="287">
        <v>791</v>
      </c>
      <c r="E2363" s="380">
        <v>42753</v>
      </c>
      <c r="F2363" s="381">
        <v>853.67</v>
      </c>
    </row>
    <row r="2364" spans="1:6" s="295" customFormat="1" x14ac:dyDescent="0.15">
      <c r="A2364" s="374" t="s">
        <v>1295</v>
      </c>
      <c r="B2364" s="287" t="s">
        <v>1261</v>
      </c>
      <c r="C2364" s="287" t="s">
        <v>1262</v>
      </c>
      <c r="D2364" s="287">
        <v>645.79999999999995</v>
      </c>
      <c r="E2364" s="380">
        <v>42753</v>
      </c>
      <c r="F2364" s="381">
        <v>730.74</v>
      </c>
    </row>
    <row r="2365" spans="1:6" s="295" customFormat="1" x14ac:dyDescent="0.15">
      <c r="A2365" s="374" t="s">
        <v>1301</v>
      </c>
      <c r="B2365" s="287" t="s">
        <v>1286</v>
      </c>
      <c r="C2365" s="287" t="s">
        <v>1287</v>
      </c>
      <c r="D2365" s="287">
        <v>550</v>
      </c>
      <c r="E2365" s="380">
        <v>42753</v>
      </c>
      <c r="F2365" s="381">
        <v>602.12</v>
      </c>
    </row>
    <row r="2366" spans="1:6" s="295" customFormat="1" x14ac:dyDescent="0.15">
      <c r="A2366" s="374" t="s">
        <v>1297</v>
      </c>
      <c r="B2366" s="287" t="s">
        <v>1265</v>
      </c>
      <c r="C2366" s="287" t="s">
        <v>1266</v>
      </c>
      <c r="D2366" s="287">
        <v>450.1</v>
      </c>
      <c r="E2366" s="380">
        <v>42753</v>
      </c>
      <c r="F2366" s="381">
        <v>515.53</v>
      </c>
    </row>
    <row r="2367" spans="1:6" s="295" customFormat="1" ht="12" customHeight="1" x14ac:dyDescent="0.15">
      <c r="A2367" s="374" t="s">
        <v>1298</v>
      </c>
      <c r="B2367" s="287" t="s">
        <v>1267</v>
      </c>
      <c r="C2367" s="287" t="s">
        <v>1268</v>
      </c>
      <c r="D2367" s="287">
        <v>946.5</v>
      </c>
      <c r="E2367" s="380">
        <v>42753</v>
      </c>
      <c r="F2367" s="381">
        <v>1061.48</v>
      </c>
    </row>
    <row r="2368" spans="1:6" s="295" customFormat="1" x14ac:dyDescent="0.15">
      <c r="A2368" s="374" t="s">
        <v>1300</v>
      </c>
      <c r="B2368" s="287" t="s">
        <v>1271</v>
      </c>
      <c r="C2368" s="287" t="s">
        <v>1272</v>
      </c>
      <c r="D2368" s="287">
        <v>833.2</v>
      </c>
      <c r="E2368" s="380">
        <v>42753</v>
      </c>
      <c r="F2368" s="381">
        <v>897.72</v>
      </c>
    </row>
    <row r="2369" spans="1:6" s="295" customFormat="1" x14ac:dyDescent="0.15">
      <c r="A2369" s="374" t="s">
        <v>1290</v>
      </c>
      <c r="B2369" s="287" t="s">
        <v>1291</v>
      </c>
      <c r="C2369" s="287" t="s">
        <v>1277</v>
      </c>
      <c r="D2369" s="287">
        <v>1290.9000000000001</v>
      </c>
      <c r="E2369" s="380">
        <v>42753</v>
      </c>
      <c r="F2369" s="381">
        <v>1375.37</v>
      </c>
    </row>
    <row r="2370" spans="1:6" s="295" customFormat="1" x14ac:dyDescent="0.15">
      <c r="A2370" s="374" t="s">
        <v>1327</v>
      </c>
      <c r="B2370" s="287" t="s">
        <v>1328</v>
      </c>
      <c r="C2370" s="287" t="s">
        <v>1329</v>
      </c>
      <c r="D2370" s="287">
        <v>546.9</v>
      </c>
      <c r="E2370" s="380">
        <v>42753</v>
      </c>
      <c r="F2370" s="381">
        <v>622.02</v>
      </c>
    </row>
    <row r="2371" spans="1:6" s="295" customFormat="1" x14ac:dyDescent="0.15">
      <c r="A2371" s="374" t="s">
        <v>1292</v>
      </c>
      <c r="B2371" s="287" t="s">
        <v>1255</v>
      </c>
      <c r="C2371" s="287" t="s">
        <v>1256</v>
      </c>
      <c r="D2371" s="287">
        <v>2560.8000000000002</v>
      </c>
      <c r="E2371" s="380">
        <v>42753</v>
      </c>
      <c r="F2371" s="381">
        <v>2680.08</v>
      </c>
    </row>
    <row r="2372" spans="1:6" s="295" customFormat="1" x14ac:dyDescent="0.15">
      <c r="A2372" s="374" t="s">
        <v>1312</v>
      </c>
      <c r="B2372" s="287" t="s">
        <v>1313</v>
      </c>
      <c r="C2372" s="287" t="s">
        <v>1313</v>
      </c>
      <c r="D2372" s="287">
        <v>1673.7</v>
      </c>
      <c r="E2372" s="380">
        <v>42753</v>
      </c>
      <c r="F2372" s="381">
        <v>1774.79</v>
      </c>
    </row>
    <row r="2373" spans="1:6" s="295" customFormat="1" x14ac:dyDescent="0.15">
      <c r="A2373" s="374" t="s">
        <v>1314</v>
      </c>
      <c r="B2373" s="287" t="s">
        <v>1315</v>
      </c>
      <c r="C2373" s="287" t="s">
        <v>1316</v>
      </c>
      <c r="D2373" s="287">
        <v>456.3</v>
      </c>
      <c r="E2373" s="380">
        <v>42753</v>
      </c>
      <c r="F2373" s="381">
        <v>504.34</v>
      </c>
    </row>
    <row r="2374" spans="1:6" s="295" customFormat="1" x14ac:dyDescent="0.15">
      <c r="A2374" s="374" t="s">
        <v>1322</v>
      </c>
      <c r="B2374" s="287" t="s">
        <v>1250</v>
      </c>
      <c r="C2374" s="287" t="s">
        <v>1251</v>
      </c>
      <c r="D2374" s="287">
        <v>99.9</v>
      </c>
      <c r="E2374" s="380">
        <v>42753</v>
      </c>
      <c r="F2374" s="381">
        <v>132.47999999999999</v>
      </c>
    </row>
    <row r="2375" spans="1:6" s="295" customFormat="1" x14ac:dyDescent="0.15">
      <c r="A2375" s="374" t="s">
        <v>1326</v>
      </c>
      <c r="B2375" s="287" t="s">
        <v>1284</v>
      </c>
      <c r="C2375" s="287" t="s">
        <v>1285</v>
      </c>
      <c r="D2375" s="397">
        <v>397.6</v>
      </c>
      <c r="E2375" s="380">
        <v>42753</v>
      </c>
      <c r="F2375" s="381">
        <v>457.84</v>
      </c>
    </row>
    <row r="2376" spans="1:6" s="295" customFormat="1" x14ac:dyDescent="0.15">
      <c r="A2376" s="374" t="s">
        <v>1323</v>
      </c>
      <c r="B2376" s="287" t="s">
        <v>1252</v>
      </c>
      <c r="C2376" s="287" t="s">
        <v>1253</v>
      </c>
      <c r="D2376" s="287">
        <v>1347.2</v>
      </c>
      <c r="E2376" s="380">
        <v>42753</v>
      </c>
      <c r="F2376" s="381">
        <v>1434.11</v>
      </c>
    </row>
    <row r="2377" spans="1:6" s="295" customFormat="1" x14ac:dyDescent="0.15">
      <c r="A2377" s="374" t="s">
        <v>1325</v>
      </c>
      <c r="B2377" s="287" t="s">
        <v>1279</v>
      </c>
      <c r="C2377" s="287" t="s">
        <v>1280</v>
      </c>
      <c r="D2377" s="397">
        <v>926.9</v>
      </c>
      <c r="E2377" s="380">
        <v>42753</v>
      </c>
      <c r="F2377" s="381">
        <v>995.49</v>
      </c>
    </row>
    <row r="2378" spans="1:6" s="295" customFormat="1" x14ac:dyDescent="0.15">
      <c r="A2378" s="374" t="s">
        <v>1324</v>
      </c>
      <c r="B2378" s="287" t="s">
        <v>1275</v>
      </c>
      <c r="C2378" s="287" t="s">
        <v>1276</v>
      </c>
      <c r="D2378" s="397">
        <v>1285.4000000000001</v>
      </c>
      <c r="E2378" s="380">
        <v>42753</v>
      </c>
      <c r="F2378" s="381">
        <v>1369.62</v>
      </c>
    </row>
    <row r="2379" spans="1:6" s="295" customFormat="1" x14ac:dyDescent="0.15">
      <c r="A2379" s="374" t="s">
        <v>1321</v>
      </c>
      <c r="B2379" s="287" t="s">
        <v>1244</v>
      </c>
      <c r="C2379" s="287" t="s">
        <v>1245</v>
      </c>
      <c r="D2379" s="287">
        <v>1375</v>
      </c>
      <c r="E2379" s="380">
        <v>42753</v>
      </c>
      <c r="F2379" s="381">
        <v>1463.13</v>
      </c>
    </row>
    <row r="2380" spans="1:6" s="295" customFormat="1" ht="14" thickBot="1" x14ac:dyDescent="0.2">
      <c r="A2380" s="374"/>
      <c r="B2380" s="287"/>
      <c r="C2380" s="291" t="s">
        <v>115</v>
      </c>
      <c r="D2380" s="394">
        <f>SUM(D2360:D2379)</f>
        <v>18477.099999999999</v>
      </c>
      <c r="E2380" s="384"/>
      <c r="F2380" s="389">
        <v>19971.669999999998</v>
      </c>
    </row>
    <row r="2381" spans="1:6" s="295" customFormat="1" ht="14" thickTop="1" x14ac:dyDescent="0.15">
      <c r="A2381" s="374"/>
      <c r="B2381" s="287"/>
      <c r="C2381" s="287"/>
      <c r="D2381" s="287"/>
      <c r="E2381" s="380"/>
      <c r="F2381" s="381"/>
    </row>
    <row r="2382" spans="1:6" s="295" customFormat="1" x14ac:dyDescent="0.15">
      <c r="A2382" s="374"/>
      <c r="B2382" s="287"/>
      <c r="C2382" s="378" t="s">
        <v>1212</v>
      </c>
      <c r="D2382" s="287"/>
      <c r="E2382" s="380"/>
      <c r="F2382" s="381"/>
    </row>
    <row r="2383" spans="1:6" s="295" customFormat="1" x14ac:dyDescent="0.15">
      <c r="A2383" s="374"/>
      <c r="B2383" s="287"/>
      <c r="C2383" s="378" t="s">
        <v>1139</v>
      </c>
      <c r="D2383" s="287"/>
      <c r="E2383" s="380"/>
      <c r="F2383" s="381"/>
    </row>
    <row r="2384" spans="1:6" s="295" customFormat="1" x14ac:dyDescent="0.15">
      <c r="A2384" s="374"/>
      <c r="B2384" s="287"/>
      <c r="C2384" s="386">
        <v>42760</v>
      </c>
      <c r="D2384" s="287"/>
      <c r="E2384" s="380"/>
      <c r="F2384" s="381"/>
    </row>
    <row r="2385" spans="1:6" s="295" customFormat="1" x14ac:dyDescent="0.15">
      <c r="A2385" s="374"/>
      <c r="B2385" s="287"/>
      <c r="C2385" s="287"/>
      <c r="D2385" s="287"/>
      <c r="E2385" s="380"/>
      <c r="F2385" s="381"/>
    </row>
    <row r="2386" spans="1:6" s="295" customFormat="1" x14ac:dyDescent="0.15">
      <c r="A2386" s="370" t="s">
        <v>1302</v>
      </c>
      <c r="B2386" s="371" t="s">
        <v>1226</v>
      </c>
      <c r="C2386" s="371" t="s">
        <v>1227</v>
      </c>
      <c r="D2386" s="371">
        <v>1306.2</v>
      </c>
      <c r="E2386" s="390">
        <v>42767</v>
      </c>
      <c r="F2386" s="391">
        <v>1431.67</v>
      </c>
    </row>
    <row r="2387" spans="1:6" s="295" customFormat="1" x14ac:dyDescent="0.15">
      <c r="A2387" s="374" t="s">
        <v>1303</v>
      </c>
      <c r="B2387" s="287" t="s">
        <v>1228</v>
      </c>
      <c r="C2387" s="287" t="s">
        <v>1229</v>
      </c>
      <c r="D2387" s="287">
        <v>1301.0999999999999</v>
      </c>
      <c r="E2387" s="380">
        <v>42767</v>
      </c>
      <c r="F2387" s="381">
        <v>1426.22</v>
      </c>
    </row>
    <row r="2388" spans="1:6" s="295" customFormat="1" x14ac:dyDescent="0.15">
      <c r="A2388" s="374" t="s">
        <v>1304</v>
      </c>
      <c r="B2388" s="287" t="s">
        <v>1230</v>
      </c>
      <c r="C2388" s="287" t="s">
        <v>1231</v>
      </c>
      <c r="D2388" s="287">
        <v>773.6</v>
      </c>
      <c r="E2388" s="380">
        <v>42767</v>
      </c>
      <c r="F2388" s="381">
        <v>859.39</v>
      </c>
    </row>
    <row r="2389" spans="1:6" s="295" customFormat="1" x14ac:dyDescent="0.15">
      <c r="A2389" s="374" t="s">
        <v>1305</v>
      </c>
      <c r="B2389" s="287" t="s">
        <v>1306</v>
      </c>
      <c r="C2389" s="287" t="s">
        <v>1233</v>
      </c>
      <c r="D2389" s="287">
        <v>888</v>
      </c>
      <c r="E2389" s="380">
        <v>42767</v>
      </c>
      <c r="F2389" s="381">
        <v>874.73</v>
      </c>
    </row>
    <row r="2390" spans="1:6" s="295" customFormat="1" x14ac:dyDescent="0.15">
      <c r="A2390" s="374" t="s">
        <v>1307</v>
      </c>
      <c r="B2390" s="287" t="s">
        <v>1234</v>
      </c>
      <c r="C2390" s="287" t="s">
        <v>500</v>
      </c>
      <c r="D2390" s="287">
        <v>1441.2</v>
      </c>
      <c r="E2390" s="380">
        <v>42767</v>
      </c>
      <c r="F2390" s="381">
        <v>1563.57</v>
      </c>
    </row>
    <row r="2391" spans="1:6" s="295" customFormat="1" x14ac:dyDescent="0.15">
      <c r="A2391" s="374" t="s">
        <v>1308</v>
      </c>
      <c r="B2391" s="287" t="s">
        <v>1235</v>
      </c>
      <c r="C2391" s="287" t="s">
        <v>1236</v>
      </c>
      <c r="D2391" s="287">
        <v>1359.8</v>
      </c>
      <c r="E2391" s="380">
        <v>42767</v>
      </c>
      <c r="F2391" s="381">
        <v>1489.25</v>
      </c>
    </row>
    <row r="2392" spans="1:6" s="295" customFormat="1" x14ac:dyDescent="0.15">
      <c r="A2392" s="374" t="s">
        <v>1318</v>
      </c>
      <c r="B2392" s="287" t="s">
        <v>1238</v>
      </c>
      <c r="C2392" s="287" t="s">
        <v>1239</v>
      </c>
      <c r="D2392" s="287">
        <v>1070.3</v>
      </c>
      <c r="E2392" s="380">
        <v>42767</v>
      </c>
      <c r="F2392" s="381">
        <v>1178.23</v>
      </c>
    </row>
    <row r="2393" spans="1:6" s="295" customFormat="1" x14ac:dyDescent="0.15">
      <c r="A2393" s="374" t="s">
        <v>1309</v>
      </c>
      <c r="B2393" s="287" t="s">
        <v>1240</v>
      </c>
      <c r="C2393" s="287" t="s">
        <v>1241</v>
      </c>
      <c r="D2393" s="287">
        <v>847.8</v>
      </c>
      <c r="E2393" s="380">
        <v>42767</v>
      </c>
      <c r="F2393" s="381">
        <v>939.17</v>
      </c>
    </row>
    <row r="2394" spans="1:6" s="295" customFormat="1" x14ac:dyDescent="0.15">
      <c r="A2394" s="374" t="s">
        <v>1310</v>
      </c>
      <c r="B2394" s="287" t="s">
        <v>1282</v>
      </c>
      <c r="C2394" s="287" t="s">
        <v>1283</v>
      </c>
      <c r="D2394" s="287">
        <v>969.2</v>
      </c>
      <c r="E2394" s="380">
        <v>42767</v>
      </c>
      <c r="F2394" s="381">
        <v>1069.6400000000001</v>
      </c>
    </row>
    <row r="2395" spans="1:6" s="295" customFormat="1" x14ac:dyDescent="0.15">
      <c r="A2395" s="374" t="s">
        <v>1319</v>
      </c>
      <c r="B2395" s="287" t="s">
        <v>1246</v>
      </c>
      <c r="C2395" s="287" t="s">
        <v>1247</v>
      </c>
      <c r="D2395" s="287">
        <v>940.5</v>
      </c>
      <c r="E2395" s="380">
        <v>42767</v>
      </c>
      <c r="F2395" s="381">
        <v>1038.77</v>
      </c>
    </row>
    <row r="2396" spans="1:6" s="295" customFormat="1" x14ac:dyDescent="0.15">
      <c r="A2396" s="374" t="s">
        <v>1311</v>
      </c>
      <c r="B2396" s="287" t="s">
        <v>1248</v>
      </c>
      <c r="C2396" s="287" t="s">
        <v>1249</v>
      </c>
      <c r="D2396" s="287">
        <v>270.89999999999998</v>
      </c>
      <c r="E2396" s="380">
        <v>42767</v>
      </c>
      <c r="F2396" s="381">
        <v>326.82</v>
      </c>
    </row>
    <row r="2397" spans="1:6" s="295" customFormat="1" x14ac:dyDescent="0.15">
      <c r="A2397" s="374" t="s">
        <v>1320</v>
      </c>
      <c r="B2397" s="287" t="s">
        <v>1288</v>
      </c>
      <c r="C2397" s="287" t="s">
        <v>1289</v>
      </c>
      <c r="D2397" s="397">
        <v>725.2</v>
      </c>
      <c r="E2397" s="380">
        <v>42767</v>
      </c>
      <c r="F2397" s="381">
        <v>807.44</v>
      </c>
    </row>
    <row r="2398" spans="1:6" s="295" customFormat="1" ht="14" thickBot="1" x14ac:dyDescent="0.2">
      <c r="A2398" s="374"/>
      <c r="B2398" s="287"/>
      <c r="C2398" s="291" t="s">
        <v>115</v>
      </c>
      <c r="D2398" s="383">
        <f>SUM(D2386:D2397)</f>
        <v>11893.800000000001</v>
      </c>
      <c r="E2398" s="383"/>
      <c r="F2398" s="389">
        <v>13004.900000000001</v>
      </c>
    </row>
    <row r="2399" spans="1:6" s="295" customFormat="1" ht="14" thickTop="1" x14ac:dyDescent="0.15">
      <c r="A2399" s="374"/>
      <c r="B2399" s="287"/>
      <c r="C2399" s="287"/>
      <c r="D2399" s="287"/>
      <c r="E2399" s="380"/>
      <c r="F2399" s="381"/>
    </row>
    <row r="2400" spans="1:6" s="295" customFormat="1" x14ac:dyDescent="0.15">
      <c r="A2400" s="374"/>
      <c r="B2400" s="287"/>
      <c r="C2400" s="378" t="s">
        <v>1212</v>
      </c>
      <c r="D2400" s="287"/>
      <c r="E2400" s="380"/>
      <c r="F2400" s="381"/>
    </row>
    <row r="2401" spans="1:6" s="295" customFormat="1" x14ac:dyDescent="0.15">
      <c r="A2401" s="374"/>
      <c r="B2401" s="287"/>
      <c r="C2401" s="378" t="s">
        <v>1139</v>
      </c>
      <c r="D2401" s="287"/>
      <c r="E2401" s="380"/>
      <c r="F2401" s="381"/>
    </row>
    <row r="2402" spans="1:6" s="295" customFormat="1" x14ac:dyDescent="0.15">
      <c r="A2402" s="374"/>
      <c r="B2402" s="287"/>
      <c r="C2402" s="386">
        <v>42766</v>
      </c>
      <c r="D2402" s="287"/>
      <c r="E2402" s="380"/>
      <c r="F2402" s="381"/>
    </row>
    <row r="2403" spans="1:6" s="295" customFormat="1" x14ac:dyDescent="0.15">
      <c r="A2403" s="409"/>
      <c r="B2403" s="410"/>
      <c r="C2403" s="410"/>
      <c r="D2403" s="410"/>
      <c r="E2403" s="403"/>
      <c r="F2403" s="411"/>
    </row>
    <row r="2404" spans="1:6" s="295" customFormat="1" ht="14" thickBot="1" x14ac:dyDescent="0.2">
      <c r="A2404" s="412"/>
      <c r="B2404" s="281"/>
      <c r="C2404" s="291" t="s">
        <v>1193</v>
      </c>
      <c r="D2404" s="383">
        <f>SUM(D2380,D2398)</f>
        <v>30370.9</v>
      </c>
      <c r="E2404" s="384"/>
      <c r="F2404" s="389">
        <v>32976.57</v>
      </c>
    </row>
    <row r="2405" spans="1:6" s="295" customFormat="1" ht="14" thickTop="1" x14ac:dyDescent="0.15">
      <c r="E2405" s="408"/>
      <c r="F2405" s="298"/>
    </row>
    <row r="2406" spans="1:6" s="295" customFormat="1" x14ac:dyDescent="0.15">
      <c r="A2406" s="370" t="s">
        <v>1299</v>
      </c>
      <c r="B2406" s="371" t="s">
        <v>1269</v>
      </c>
      <c r="C2406" s="371" t="s">
        <v>1270</v>
      </c>
      <c r="D2406" s="371">
        <v>711.9</v>
      </c>
      <c r="E2406" s="390">
        <v>42782</v>
      </c>
      <c r="F2406" s="391">
        <v>800.76</v>
      </c>
    </row>
    <row r="2407" spans="1:6" s="295" customFormat="1" x14ac:dyDescent="0.15">
      <c r="A2407" s="374" t="s">
        <v>1293</v>
      </c>
      <c r="B2407" s="287" t="s">
        <v>1257</v>
      </c>
      <c r="C2407" s="287" t="s">
        <v>1258</v>
      </c>
      <c r="D2407" s="287">
        <v>918</v>
      </c>
      <c r="E2407" s="380">
        <v>42782</v>
      </c>
      <c r="F2407" s="381">
        <v>1024.46</v>
      </c>
    </row>
    <row r="2408" spans="1:6" s="295" customFormat="1" x14ac:dyDescent="0.15">
      <c r="A2408" s="374" t="s">
        <v>1294</v>
      </c>
      <c r="B2408" s="287" t="s">
        <v>1259</v>
      </c>
      <c r="C2408" s="287" t="s">
        <v>1260</v>
      </c>
      <c r="D2408" s="287">
        <v>340</v>
      </c>
      <c r="E2408" s="380">
        <v>42782</v>
      </c>
      <c r="F2408" s="381">
        <v>408.62</v>
      </c>
    </row>
    <row r="2409" spans="1:6" s="295" customFormat="1" x14ac:dyDescent="0.15">
      <c r="A2409" s="374" t="s">
        <v>1296</v>
      </c>
      <c r="B2409" s="287" t="s">
        <v>1278</v>
      </c>
      <c r="C2409" s="287" t="s">
        <v>1264</v>
      </c>
      <c r="D2409" s="287">
        <v>677.9</v>
      </c>
      <c r="E2409" s="380">
        <v>42782</v>
      </c>
      <c r="F2409" s="381">
        <v>763.87</v>
      </c>
    </row>
    <row r="2410" spans="1:6" s="295" customFormat="1" x14ac:dyDescent="0.15">
      <c r="A2410" s="374" t="s">
        <v>1295</v>
      </c>
      <c r="B2410" s="287" t="s">
        <v>1261</v>
      </c>
      <c r="C2410" s="287" t="s">
        <v>1262</v>
      </c>
      <c r="D2410" s="287">
        <v>504.8</v>
      </c>
      <c r="E2410" s="380">
        <v>42782</v>
      </c>
      <c r="F2410" s="381">
        <v>596.74</v>
      </c>
    </row>
    <row r="2411" spans="1:6" s="295" customFormat="1" x14ac:dyDescent="0.15">
      <c r="A2411" s="374" t="s">
        <v>1301</v>
      </c>
      <c r="B2411" s="287" t="s">
        <v>1286</v>
      </c>
      <c r="C2411" s="287" t="s">
        <v>1287</v>
      </c>
      <c r="D2411" s="287">
        <v>428.6</v>
      </c>
      <c r="E2411" s="380">
        <v>42782</v>
      </c>
      <c r="F2411" s="381">
        <v>493.3</v>
      </c>
    </row>
    <row r="2412" spans="1:6" s="295" customFormat="1" x14ac:dyDescent="0.15">
      <c r="A2412" s="374" t="s">
        <v>1297</v>
      </c>
      <c r="B2412" s="287" t="s">
        <v>1265</v>
      </c>
      <c r="C2412" s="287" t="s">
        <v>1266</v>
      </c>
      <c r="D2412" s="287">
        <v>369.9</v>
      </c>
      <c r="E2412" s="380">
        <v>42782</v>
      </c>
      <c r="F2412" s="381">
        <v>442.75</v>
      </c>
    </row>
    <row r="2413" spans="1:6" s="295" customFormat="1" ht="12" customHeight="1" x14ac:dyDescent="0.15">
      <c r="A2413" s="374" t="s">
        <v>1298</v>
      </c>
      <c r="B2413" s="287" t="s">
        <v>1267</v>
      </c>
      <c r="C2413" s="287" t="s">
        <v>1268</v>
      </c>
      <c r="D2413" s="287">
        <v>788.2</v>
      </c>
      <c r="E2413" s="380">
        <v>42782</v>
      </c>
      <c r="F2413" s="381">
        <v>920.24</v>
      </c>
    </row>
    <row r="2414" spans="1:6" s="295" customFormat="1" x14ac:dyDescent="0.15">
      <c r="A2414" s="374" t="s">
        <v>1300</v>
      </c>
      <c r="B2414" s="287" t="s">
        <v>1271</v>
      </c>
      <c r="C2414" s="287" t="s">
        <v>1272</v>
      </c>
      <c r="D2414" s="287">
        <v>670.7</v>
      </c>
      <c r="E2414" s="380">
        <v>42782</v>
      </c>
      <c r="F2414" s="381">
        <v>756.06</v>
      </c>
    </row>
    <row r="2415" spans="1:6" s="295" customFormat="1" x14ac:dyDescent="0.15">
      <c r="A2415" s="374" t="s">
        <v>1290</v>
      </c>
      <c r="B2415" s="287" t="s">
        <v>1291</v>
      </c>
      <c r="C2415" s="287" t="s">
        <v>1277</v>
      </c>
      <c r="D2415" s="287">
        <v>1063.2</v>
      </c>
      <c r="E2415" s="380">
        <v>42782</v>
      </c>
      <c r="F2415" s="381">
        <v>1182.04</v>
      </c>
    </row>
    <row r="2416" spans="1:6" s="295" customFormat="1" x14ac:dyDescent="0.15">
      <c r="A2416" s="374" t="s">
        <v>1327</v>
      </c>
      <c r="B2416" s="287" t="s">
        <v>1328</v>
      </c>
      <c r="C2416" s="287" t="s">
        <v>1329</v>
      </c>
      <c r="D2416" s="287">
        <v>386.4</v>
      </c>
      <c r="E2416" s="380">
        <v>42782</v>
      </c>
      <c r="F2416" s="381">
        <v>461.59</v>
      </c>
    </row>
    <row r="2417" spans="1:6" s="295" customFormat="1" x14ac:dyDescent="0.15">
      <c r="A2417" s="374" t="s">
        <v>1292</v>
      </c>
      <c r="B2417" s="287" t="s">
        <v>1255</v>
      </c>
      <c r="C2417" s="287" t="s">
        <v>1256</v>
      </c>
      <c r="D2417" s="287">
        <v>2199.8000000000002</v>
      </c>
      <c r="E2417" s="380">
        <v>42782</v>
      </c>
      <c r="F2417" s="381">
        <v>2397.46</v>
      </c>
    </row>
    <row r="2418" spans="1:6" s="295" customFormat="1" x14ac:dyDescent="0.15">
      <c r="A2418" s="374" t="s">
        <v>1312</v>
      </c>
      <c r="B2418" s="287" t="s">
        <v>1313</v>
      </c>
      <c r="C2418" s="287" t="s">
        <v>1313</v>
      </c>
      <c r="D2418" s="287">
        <v>1471.2</v>
      </c>
      <c r="E2418" s="380">
        <v>42782</v>
      </c>
      <c r="F2418" s="381">
        <v>1624.84</v>
      </c>
    </row>
    <row r="2419" spans="1:6" s="295" customFormat="1" x14ac:dyDescent="0.15">
      <c r="A2419" s="374" t="s">
        <v>1314</v>
      </c>
      <c r="B2419" s="287" t="s">
        <v>1315</v>
      </c>
      <c r="C2419" s="287" t="s">
        <v>1316</v>
      </c>
      <c r="D2419" s="287">
        <v>259.60000000000002</v>
      </c>
      <c r="E2419" s="380">
        <v>42782</v>
      </c>
      <c r="F2419" s="381">
        <v>309.89</v>
      </c>
    </row>
    <row r="2420" spans="1:6" s="295" customFormat="1" x14ac:dyDescent="0.15">
      <c r="A2420" s="374" t="s">
        <v>1322</v>
      </c>
      <c r="B2420" s="287" t="s">
        <v>1250</v>
      </c>
      <c r="C2420" s="287" t="s">
        <v>1251</v>
      </c>
      <c r="D2420" s="287">
        <v>77.3</v>
      </c>
      <c r="E2420" s="380">
        <v>42782</v>
      </c>
      <c r="F2420" s="381">
        <v>108.66</v>
      </c>
    </row>
    <row r="2421" spans="1:6" s="295" customFormat="1" x14ac:dyDescent="0.15">
      <c r="A2421" s="374" t="s">
        <v>1326</v>
      </c>
      <c r="B2421" s="287" t="s">
        <v>1284</v>
      </c>
      <c r="C2421" s="287" t="s">
        <v>1285</v>
      </c>
      <c r="D2421" s="397">
        <v>325.60000000000002</v>
      </c>
      <c r="E2421" s="380">
        <v>42782</v>
      </c>
      <c r="F2421" s="381">
        <v>392.19</v>
      </c>
    </row>
    <row r="2422" spans="1:6" s="295" customFormat="1" x14ac:dyDescent="0.15">
      <c r="A2422" s="374" t="s">
        <v>1323</v>
      </c>
      <c r="B2422" s="287" t="s">
        <v>1252</v>
      </c>
      <c r="C2422" s="287" t="s">
        <v>1253</v>
      </c>
      <c r="D2422" s="287">
        <v>1254.9000000000001</v>
      </c>
      <c r="E2422" s="380">
        <v>42782</v>
      </c>
      <c r="F2422" s="381">
        <v>1390.09</v>
      </c>
    </row>
    <row r="2423" spans="1:6" s="295" customFormat="1" x14ac:dyDescent="0.15">
      <c r="A2423" s="374" t="s">
        <v>1325</v>
      </c>
      <c r="B2423" s="287" t="s">
        <v>1279</v>
      </c>
      <c r="C2423" s="287" t="s">
        <v>1280</v>
      </c>
      <c r="D2423" s="397">
        <v>834.5</v>
      </c>
      <c r="E2423" s="380">
        <v>42782</v>
      </c>
      <c r="F2423" s="381">
        <v>933.83</v>
      </c>
    </row>
    <row r="2424" spans="1:6" s="295" customFormat="1" x14ac:dyDescent="0.15">
      <c r="A2424" s="374" t="s">
        <v>1324</v>
      </c>
      <c r="B2424" s="287" t="s">
        <v>1275</v>
      </c>
      <c r="C2424" s="287" t="s">
        <v>1276</v>
      </c>
      <c r="D2424" s="397">
        <v>1106.5</v>
      </c>
      <c r="E2424" s="380">
        <v>42782</v>
      </c>
      <c r="F2424" s="381">
        <v>1229.03</v>
      </c>
    </row>
    <row r="2425" spans="1:6" s="295" customFormat="1" x14ac:dyDescent="0.15">
      <c r="A2425" s="374" t="s">
        <v>1321</v>
      </c>
      <c r="B2425" s="287" t="s">
        <v>1244</v>
      </c>
      <c r="C2425" s="287" t="s">
        <v>1245</v>
      </c>
      <c r="D2425" s="287">
        <v>1230.2</v>
      </c>
      <c r="E2425" s="380">
        <v>42782</v>
      </c>
      <c r="F2425" s="381">
        <v>1363.28</v>
      </c>
    </row>
    <row r="2426" spans="1:6" s="295" customFormat="1" ht="14" thickBot="1" x14ac:dyDescent="0.2">
      <c r="A2426" s="374"/>
      <c r="B2426" s="287"/>
      <c r="C2426" s="291" t="s">
        <v>115</v>
      </c>
      <c r="D2426" s="394">
        <f>SUM(D2406:D2425)</f>
        <v>15619.2</v>
      </c>
      <c r="E2426" s="384"/>
      <c r="F2426" s="389">
        <v>17599.7</v>
      </c>
    </row>
    <row r="2427" spans="1:6" s="295" customFormat="1" ht="14" thickTop="1" x14ac:dyDescent="0.15">
      <c r="A2427" s="374"/>
      <c r="B2427" s="287"/>
      <c r="C2427" s="287"/>
      <c r="D2427" s="287"/>
      <c r="E2427" s="380"/>
      <c r="F2427" s="381"/>
    </row>
    <row r="2428" spans="1:6" s="295" customFormat="1" x14ac:dyDescent="0.15">
      <c r="A2428" s="374"/>
      <c r="B2428" s="287"/>
      <c r="C2428" s="378" t="s">
        <v>1212</v>
      </c>
      <c r="D2428" s="287"/>
      <c r="E2428" s="380"/>
      <c r="F2428" s="381"/>
    </row>
    <row r="2429" spans="1:6" s="295" customFormat="1" x14ac:dyDescent="0.15">
      <c r="A2429" s="374"/>
      <c r="B2429" s="287"/>
      <c r="C2429" s="378" t="s">
        <v>1139</v>
      </c>
      <c r="D2429" s="287"/>
      <c r="E2429" s="380"/>
      <c r="F2429" s="381"/>
    </row>
    <row r="2430" spans="1:6" s="295" customFormat="1" x14ac:dyDescent="0.15">
      <c r="A2430" s="374"/>
      <c r="B2430" s="287"/>
      <c r="C2430" s="386">
        <v>42794</v>
      </c>
      <c r="D2430" s="287"/>
      <c r="E2430" s="380"/>
      <c r="F2430" s="381"/>
    </row>
    <row r="2431" spans="1:6" s="295" customFormat="1" x14ac:dyDescent="0.15">
      <c r="A2431" s="374"/>
      <c r="B2431" s="287"/>
      <c r="C2431" s="287"/>
      <c r="D2431" s="287"/>
      <c r="E2431" s="380"/>
      <c r="F2431" s="381"/>
    </row>
    <row r="2432" spans="1:6" s="295" customFormat="1" x14ac:dyDescent="0.15">
      <c r="A2432" s="370" t="s">
        <v>1302</v>
      </c>
      <c r="B2432" s="371" t="s">
        <v>1226</v>
      </c>
      <c r="C2432" s="371" t="s">
        <v>1227</v>
      </c>
      <c r="D2432" s="371">
        <v>1310.5999999999999</v>
      </c>
      <c r="E2432" s="390">
        <v>42795</v>
      </c>
      <c r="F2432" s="391">
        <v>1450.54</v>
      </c>
    </row>
    <row r="2433" spans="1:6" s="295" customFormat="1" x14ac:dyDescent="0.15">
      <c r="A2433" s="374" t="s">
        <v>1303</v>
      </c>
      <c r="B2433" s="287" t="s">
        <v>1228</v>
      </c>
      <c r="C2433" s="287" t="s">
        <v>1229</v>
      </c>
      <c r="D2433" s="287">
        <v>1216.9000000000001</v>
      </c>
      <c r="E2433" s="380">
        <v>42795</v>
      </c>
      <c r="F2433" s="381">
        <v>1348.84</v>
      </c>
    </row>
    <row r="2434" spans="1:6" s="295" customFormat="1" x14ac:dyDescent="0.15">
      <c r="A2434" s="374" t="s">
        <v>1304</v>
      </c>
      <c r="B2434" s="287" t="s">
        <v>1230</v>
      </c>
      <c r="C2434" s="287" t="s">
        <v>1231</v>
      </c>
      <c r="D2434" s="287">
        <v>767.6</v>
      </c>
      <c r="E2434" s="380">
        <v>42795</v>
      </c>
      <c r="F2434" s="381">
        <v>861.22</v>
      </c>
    </row>
    <row r="2435" spans="1:6" s="295" customFormat="1" x14ac:dyDescent="0.15">
      <c r="A2435" s="374" t="s">
        <v>1305</v>
      </c>
      <c r="B2435" s="287" t="s">
        <v>1306</v>
      </c>
      <c r="C2435" s="287" t="s">
        <v>1233</v>
      </c>
      <c r="D2435" s="287">
        <v>1409.5</v>
      </c>
      <c r="E2435" s="380">
        <v>42795</v>
      </c>
      <c r="F2435" s="381">
        <v>1386.46</v>
      </c>
    </row>
    <row r="2436" spans="1:6" s="295" customFormat="1" x14ac:dyDescent="0.15">
      <c r="A2436" s="374" t="s">
        <v>1307</v>
      </c>
      <c r="B2436" s="287" t="s">
        <v>1234</v>
      </c>
      <c r="C2436" s="287" t="s">
        <v>500</v>
      </c>
      <c r="D2436" s="287">
        <v>1486.8</v>
      </c>
      <c r="E2436" s="380">
        <v>42795</v>
      </c>
      <c r="F2436" s="381">
        <v>1628.28</v>
      </c>
    </row>
    <row r="2437" spans="1:6" s="295" customFormat="1" x14ac:dyDescent="0.15">
      <c r="A2437" s="374" t="s">
        <v>1308</v>
      </c>
      <c r="B2437" s="287" t="s">
        <v>1235</v>
      </c>
      <c r="C2437" s="287" t="s">
        <v>1236</v>
      </c>
      <c r="D2437" s="287">
        <v>1352.9</v>
      </c>
      <c r="E2437" s="380">
        <v>42795</v>
      </c>
      <c r="F2437" s="381">
        <v>1496.44</v>
      </c>
    </row>
    <row r="2438" spans="1:6" s="295" customFormat="1" x14ac:dyDescent="0.15">
      <c r="A2438" s="374" t="s">
        <v>1318</v>
      </c>
      <c r="B2438" s="287" t="s">
        <v>1238</v>
      </c>
      <c r="C2438" s="287" t="s">
        <v>1239</v>
      </c>
      <c r="D2438" s="287">
        <v>1132.4000000000001</v>
      </c>
      <c r="E2438" s="380">
        <v>42795</v>
      </c>
      <c r="F2438" s="381">
        <v>1257.1400000000001</v>
      </c>
    </row>
    <row r="2439" spans="1:6" s="295" customFormat="1" x14ac:dyDescent="0.15">
      <c r="A2439" s="374" t="s">
        <v>1309</v>
      </c>
      <c r="B2439" s="287" t="s">
        <v>1240</v>
      </c>
      <c r="C2439" s="287" t="s">
        <v>1241</v>
      </c>
      <c r="D2439" s="287">
        <v>878.9</v>
      </c>
      <c r="E2439" s="380">
        <v>42795</v>
      </c>
      <c r="F2439" s="381">
        <v>982.01</v>
      </c>
    </row>
    <row r="2440" spans="1:6" s="295" customFormat="1" x14ac:dyDescent="0.15">
      <c r="A2440" s="374" t="s">
        <v>1310</v>
      </c>
      <c r="B2440" s="287" t="s">
        <v>1282</v>
      </c>
      <c r="C2440" s="287" t="s">
        <v>1283</v>
      </c>
      <c r="D2440" s="287">
        <v>974.5</v>
      </c>
      <c r="E2440" s="380">
        <v>42795</v>
      </c>
      <c r="F2440" s="381">
        <v>1085.77</v>
      </c>
    </row>
    <row r="2441" spans="1:6" s="295" customFormat="1" x14ac:dyDescent="0.15">
      <c r="A2441" s="374" t="s">
        <v>1319</v>
      </c>
      <c r="B2441" s="287" t="s">
        <v>1246</v>
      </c>
      <c r="C2441" s="287" t="s">
        <v>1247</v>
      </c>
      <c r="D2441" s="287">
        <v>969.6</v>
      </c>
      <c r="E2441" s="380">
        <v>42795</v>
      </c>
      <c r="F2441" s="381">
        <v>1080.45</v>
      </c>
    </row>
    <row r="2442" spans="1:6" s="295" customFormat="1" x14ac:dyDescent="0.15">
      <c r="A2442" s="374" t="s">
        <v>1311</v>
      </c>
      <c r="B2442" s="287" t="s">
        <v>1248</v>
      </c>
      <c r="C2442" s="287" t="s">
        <v>1249</v>
      </c>
      <c r="D2442" s="287">
        <v>267.89999999999998</v>
      </c>
      <c r="E2442" s="380">
        <v>42795</v>
      </c>
      <c r="F2442" s="381">
        <v>326.31</v>
      </c>
    </row>
    <row r="2443" spans="1:6" s="295" customFormat="1" x14ac:dyDescent="0.15">
      <c r="A2443" s="374" t="s">
        <v>1320</v>
      </c>
      <c r="B2443" s="287" t="s">
        <v>1288</v>
      </c>
      <c r="C2443" s="287" t="s">
        <v>1289</v>
      </c>
      <c r="D2443" s="397">
        <v>676.9</v>
      </c>
      <c r="E2443" s="403">
        <v>42795</v>
      </c>
      <c r="F2443" s="381">
        <v>762.78</v>
      </c>
    </row>
    <row r="2444" spans="1:6" s="295" customFormat="1" ht="14" thickBot="1" x14ac:dyDescent="0.2">
      <c r="A2444" s="374"/>
      <c r="B2444" s="287"/>
      <c r="C2444" s="291" t="s">
        <v>115</v>
      </c>
      <c r="D2444" s="383">
        <f>SUM(D2432:D2443)</f>
        <v>12444.5</v>
      </c>
      <c r="E2444" s="404"/>
      <c r="F2444" s="389">
        <v>13666.24</v>
      </c>
    </row>
    <row r="2445" spans="1:6" s="295" customFormat="1" ht="14" thickTop="1" x14ac:dyDescent="0.15">
      <c r="A2445" s="374"/>
      <c r="B2445" s="287"/>
      <c r="C2445" s="287"/>
      <c r="D2445" s="287"/>
      <c r="E2445" s="380"/>
      <c r="F2445" s="381"/>
    </row>
    <row r="2446" spans="1:6" s="295" customFormat="1" x14ac:dyDescent="0.15">
      <c r="A2446" s="374"/>
      <c r="B2446" s="287"/>
      <c r="C2446" s="378" t="s">
        <v>1212</v>
      </c>
      <c r="D2446" s="287"/>
      <c r="E2446" s="380"/>
      <c r="F2446" s="381"/>
    </row>
    <row r="2447" spans="1:6" s="295" customFormat="1" x14ac:dyDescent="0.15">
      <c r="A2447" s="374"/>
      <c r="B2447" s="287"/>
      <c r="C2447" s="378" t="s">
        <v>1139</v>
      </c>
      <c r="D2447" s="287"/>
      <c r="E2447" s="380"/>
      <c r="F2447" s="381"/>
    </row>
    <row r="2448" spans="1:6" s="295" customFormat="1" x14ac:dyDescent="0.15">
      <c r="A2448" s="374"/>
      <c r="B2448" s="287"/>
      <c r="C2448" s="386">
        <v>42794</v>
      </c>
      <c r="D2448" s="287"/>
      <c r="E2448" s="380"/>
      <c r="F2448" s="381"/>
    </row>
    <row r="2449" spans="1:6" s="295" customFormat="1" x14ac:dyDescent="0.15">
      <c r="A2449" s="409"/>
      <c r="B2449" s="410"/>
      <c r="C2449" s="410"/>
      <c r="D2449" s="410"/>
      <c r="E2449" s="403"/>
      <c r="F2449" s="411"/>
    </row>
    <row r="2450" spans="1:6" s="295" customFormat="1" ht="14" thickBot="1" x14ac:dyDescent="0.2">
      <c r="A2450" s="412"/>
      <c r="B2450" s="281"/>
      <c r="C2450" s="291" t="s">
        <v>1194</v>
      </c>
      <c r="D2450" s="383">
        <f>SUM(D2426,D2444)</f>
        <v>28063.7</v>
      </c>
      <c r="E2450" s="384"/>
      <c r="F2450" s="389">
        <v>31265.940000000002</v>
      </c>
    </row>
    <row r="2451" spans="1:6" s="295" customFormat="1" ht="14" thickTop="1" x14ac:dyDescent="0.15">
      <c r="E2451" s="408"/>
      <c r="F2451" s="298"/>
    </row>
    <row r="2452" spans="1:6" s="295" customFormat="1" x14ac:dyDescent="0.15">
      <c r="A2452" s="370" t="s">
        <v>1299</v>
      </c>
      <c r="B2452" s="371" t="s">
        <v>1269</v>
      </c>
      <c r="C2452" s="371" t="s">
        <v>1270</v>
      </c>
      <c r="D2452" s="371">
        <v>596.4</v>
      </c>
      <c r="E2452" s="390">
        <v>42810</v>
      </c>
      <c r="F2452" s="391">
        <v>675.42</v>
      </c>
    </row>
    <row r="2453" spans="1:6" s="295" customFormat="1" x14ac:dyDescent="0.15">
      <c r="A2453" s="374" t="s">
        <v>1293</v>
      </c>
      <c r="B2453" s="287" t="s">
        <v>1257</v>
      </c>
      <c r="C2453" s="287" t="s">
        <v>1258</v>
      </c>
      <c r="D2453" s="287">
        <v>743.7</v>
      </c>
      <c r="E2453" s="380">
        <v>42810</v>
      </c>
      <c r="F2453" s="381">
        <v>835.28</v>
      </c>
    </row>
    <row r="2454" spans="1:6" s="295" customFormat="1" x14ac:dyDescent="0.15">
      <c r="A2454" s="374" t="s">
        <v>1294</v>
      </c>
      <c r="B2454" s="287" t="s">
        <v>1259</v>
      </c>
      <c r="C2454" s="287" t="s">
        <v>1260</v>
      </c>
      <c r="D2454" s="287">
        <v>275</v>
      </c>
      <c r="E2454" s="380">
        <v>42810</v>
      </c>
      <c r="F2454" s="381">
        <v>334.43</v>
      </c>
    </row>
    <row r="2455" spans="1:6" s="295" customFormat="1" x14ac:dyDescent="0.15">
      <c r="A2455" s="374" t="s">
        <v>1296</v>
      </c>
      <c r="B2455" s="287" t="s">
        <v>1278</v>
      </c>
      <c r="C2455" s="287" t="s">
        <v>1264</v>
      </c>
      <c r="D2455" s="287">
        <v>584</v>
      </c>
      <c r="E2455" s="380">
        <v>42810</v>
      </c>
      <c r="F2455" s="381">
        <v>661.96</v>
      </c>
    </row>
    <row r="2456" spans="1:6" s="295" customFormat="1" x14ac:dyDescent="0.15">
      <c r="A2456" s="374" t="s">
        <v>1295</v>
      </c>
      <c r="B2456" s="287" t="s">
        <v>1261</v>
      </c>
      <c r="C2456" s="287" t="s">
        <v>1262</v>
      </c>
      <c r="D2456" s="287">
        <v>412</v>
      </c>
      <c r="E2456" s="380">
        <v>42810</v>
      </c>
      <c r="F2456" s="381">
        <v>490.81</v>
      </c>
    </row>
    <row r="2457" spans="1:6" s="295" customFormat="1" x14ac:dyDescent="0.15">
      <c r="A2457" s="374" t="s">
        <v>1301</v>
      </c>
      <c r="B2457" s="287" t="s">
        <v>1286</v>
      </c>
      <c r="C2457" s="287" t="s">
        <v>1287</v>
      </c>
      <c r="D2457" s="287">
        <v>300.8</v>
      </c>
      <c r="E2457" s="380">
        <v>42810</v>
      </c>
      <c r="F2457" s="381">
        <v>354.6</v>
      </c>
    </row>
    <row r="2458" spans="1:6" s="295" customFormat="1" x14ac:dyDescent="0.15">
      <c r="A2458" s="374" t="s">
        <v>1297</v>
      </c>
      <c r="B2458" s="287" t="s">
        <v>1265</v>
      </c>
      <c r="C2458" s="287" t="s">
        <v>1266</v>
      </c>
      <c r="D2458" s="287">
        <v>297.7</v>
      </c>
      <c r="E2458" s="380">
        <v>42810</v>
      </c>
      <c r="F2458" s="381">
        <v>360.33</v>
      </c>
    </row>
    <row r="2459" spans="1:6" s="295" customFormat="1" x14ac:dyDescent="0.15">
      <c r="A2459" s="374" t="s">
        <v>1298</v>
      </c>
      <c r="B2459" s="287" t="s">
        <v>1267</v>
      </c>
      <c r="C2459" s="287" t="s">
        <v>1268</v>
      </c>
      <c r="D2459" s="287">
        <v>637.6</v>
      </c>
      <c r="E2459" s="380">
        <v>42810</v>
      </c>
      <c r="F2459" s="381">
        <v>748.33</v>
      </c>
    </row>
    <row r="2460" spans="1:6" s="295" customFormat="1" x14ac:dyDescent="0.15">
      <c r="A2460" s="374" t="s">
        <v>1300</v>
      </c>
      <c r="B2460" s="287" t="s">
        <v>1271</v>
      </c>
      <c r="C2460" s="287" t="s">
        <v>1272</v>
      </c>
      <c r="D2460" s="287">
        <v>547</v>
      </c>
      <c r="E2460" s="380">
        <v>42810</v>
      </c>
      <c r="F2460" s="381">
        <v>621.79999999999995</v>
      </c>
    </row>
    <row r="2461" spans="1:6" s="295" customFormat="1" x14ac:dyDescent="0.15">
      <c r="A2461" s="374" t="s">
        <v>1290</v>
      </c>
      <c r="B2461" s="287" t="s">
        <v>1291</v>
      </c>
      <c r="C2461" s="287" t="s">
        <v>1277</v>
      </c>
      <c r="D2461" s="287">
        <v>880</v>
      </c>
      <c r="E2461" s="380">
        <v>42810</v>
      </c>
      <c r="F2461" s="381">
        <v>983.21</v>
      </c>
    </row>
    <row r="2462" spans="1:6" s="295" customFormat="1" x14ac:dyDescent="0.15">
      <c r="A2462" s="374" t="s">
        <v>1327</v>
      </c>
      <c r="B2462" s="287" t="s">
        <v>1328</v>
      </c>
      <c r="C2462" s="287" t="s">
        <v>1329</v>
      </c>
      <c r="D2462" s="287">
        <v>128.80000000000001</v>
      </c>
      <c r="E2462" s="380">
        <v>42810</v>
      </c>
      <c r="F2462" s="381">
        <v>167.54</v>
      </c>
    </row>
    <row r="2463" spans="1:6" s="295" customFormat="1" x14ac:dyDescent="0.15">
      <c r="A2463" s="374" t="s">
        <v>1292</v>
      </c>
      <c r="B2463" s="287" t="s">
        <v>1255</v>
      </c>
      <c r="C2463" s="287" t="s">
        <v>1256</v>
      </c>
      <c r="D2463" s="287">
        <v>1926.3</v>
      </c>
      <c r="E2463" s="380">
        <v>42810</v>
      </c>
      <c r="F2463" s="381">
        <v>2102.42</v>
      </c>
    </row>
    <row r="2464" spans="1:6" s="295" customFormat="1" x14ac:dyDescent="0.15">
      <c r="A2464" s="374" t="s">
        <v>1312</v>
      </c>
      <c r="B2464" s="287" t="s">
        <v>1313</v>
      </c>
      <c r="C2464" s="287" t="s">
        <v>1313</v>
      </c>
      <c r="D2464" s="287">
        <v>1181.5</v>
      </c>
      <c r="E2464" s="380">
        <v>42810</v>
      </c>
      <c r="F2464" s="381">
        <v>1310.43</v>
      </c>
    </row>
    <row r="2465" spans="1:6" s="295" customFormat="1" x14ac:dyDescent="0.15">
      <c r="A2465" s="374" t="s">
        <v>1314</v>
      </c>
      <c r="B2465" s="287" t="s">
        <v>1315</v>
      </c>
      <c r="C2465" s="287" t="s">
        <v>1316</v>
      </c>
      <c r="D2465" s="287">
        <v>196.7</v>
      </c>
      <c r="E2465" s="380">
        <v>42810</v>
      </c>
      <c r="F2465" s="381">
        <v>241.62</v>
      </c>
    </row>
    <row r="2466" spans="1:6" s="295" customFormat="1" x14ac:dyDescent="0.15">
      <c r="A2466" s="374" t="s">
        <v>1322</v>
      </c>
      <c r="B2466" s="287" t="s">
        <v>1250</v>
      </c>
      <c r="C2466" s="287" t="s">
        <v>1251</v>
      </c>
      <c r="D2466" s="287">
        <v>53.6</v>
      </c>
      <c r="E2466" s="380">
        <v>42810</v>
      </c>
      <c r="F2466" s="381">
        <v>76.62</v>
      </c>
    </row>
    <row r="2467" spans="1:6" s="295" customFormat="1" x14ac:dyDescent="0.15">
      <c r="A2467" s="374" t="s">
        <v>1326</v>
      </c>
      <c r="B2467" s="287" t="s">
        <v>1284</v>
      </c>
      <c r="C2467" s="287" t="s">
        <v>1285</v>
      </c>
      <c r="D2467" s="397">
        <v>264.7</v>
      </c>
      <c r="E2467" s="380">
        <v>42810</v>
      </c>
      <c r="F2467" s="381">
        <v>322.66000000000003</v>
      </c>
    </row>
    <row r="2468" spans="1:6" s="295" customFormat="1" x14ac:dyDescent="0.15">
      <c r="A2468" s="374" t="s">
        <v>1323</v>
      </c>
      <c r="B2468" s="287" t="s">
        <v>1252</v>
      </c>
      <c r="C2468" s="287" t="s">
        <v>1253</v>
      </c>
      <c r="D2468" s="287">
        <v>1063</v>
      </c>
      <c r="E2468" s="380">
        <v>42810</v>
      </c>
      <c r="F2468" s="381">
        <v>1181.82</v>
      </c>
    </row>
    <row r="2469" spans="1:6" s="295" customFormat="1" x14ac:dyDescent="0.15">
      <c r="A2469" s="374" t="s">
        <v>1325</v>
      </c>
      <c r="B2469" s="287" t="s">
        <v>1279</v>
      </c>
      <c r="C2469" s="287" t="s">
        <v>1280</v>
      </c>
      <c r="D2469" s="397">
        <v>681.9</v>
      </c>
      <c r="E2469" s="380">
        <v>42810</v>
      </c>
      <c r="F2469" s="381">
        <v>768.2</v>
      </c>
    </row>
    <row r="2470" spans="1:6" s="295" customFormat="1" x14ac:dyDescent="0.15">
      <c r="A2470" s="374" t="s">
        <v>1324</v>
      </c>
      <c r="B2470" s="287" t="s">
        <v>1275</v>
      </c>
      <c r="C2470" s="287" t="s">
        <v>1276</v>
      </c>
      <c r="D2470" s="397">
        <v>968.2</v>
      </c>
      <c r="E2470" s="380">
        <v>42810</v>
      </c>
      <c r="F2470" s="381">
        <v>1078.94</v>
      </c>
    </row>
    <row r="2471" spans="1:6" s="295" customFormat="1" x14ac:dyDescent="0.15">
      <c r="A2471" s="374" t="s">
        <v>1321</v>
      </c>
      <c r="B2471" s="287" t="s">
        <v>1244</v>
      </c>
      <c r="C2471" s="287" t="s">
        <v>1245</v>
      </c>
      <c r="D2471" s="287">
        <v>1042.4000000000001</v>
      </c>
      <c r="E2471" s="380">
        <v>42810</v>
      </c>
      <c r="F2471" s="381">
        <v>1159.46</v>
      </c>
    </row>
    <row r="2472" spans="1:6" s="295" customFormat="1" ht="14" thickBot="1" x14ac:dyDescent="0.2">
      <c r="A2472" s="374"/>
      <c r="B2472" s="287"/>
      <c r="C2472" s="291" t="s">
        <v>115</v>
      </c>
      <c r="D2472" s="394">
        <f>SUM(D2452:D2471)</f>
        <v>12781.300000000001</v>
      </c>
      <c r="E2472" s="384"/>
      <c r="F2472" s="389">
        <v>14475.880000000001</v>
      </c>
    </row>
    <row r="2473" spans="1:6" s="295" customFormat="1" ht="14" thickTop="1" x14ac:dyDescent="0.15">
      <c r="A2473" s="374"/>
      <c r="B2473" s="287"/>
      <c r="C2473" s="287"/>
      <c r="D2473" s="287"/>
      <c r="E2473" s="380"/>
      <c r="F2473" s="381"/>
    </row>
    <row r="2474" spans="1:6" s="295" customFormat="1" x14ac:dyDescent="0.15">
      <c r="A2474" s="374"/>
      <c r="B2474" s="287"/>
      <c r="C2474" s="378" t="s">
        <v>1212</v>
      </c>
      <c r="D2474" s="287"/>
      <c r="E2474" s="380"/>
      <c r="F2474" s="381"/>
    </row>
    <row r="2475" spans="1:6" s="295" customFormat="1" x14ac:dyDescent="0.15">
      <c r="A2475" s="374"/>
      <c r="B2475" s="287"/>
      <c r="C2475" s="378" t="s">
        <v>1139</v>
      </c>
      <c r="D2475" s="287"/>
      <c r="E2475" s="380"/>
      <c r="F2475" s="381"/>
    </row>
    <row r="2476" spans="1:6" s="295" customFormat="1" x14ac:dyDescent="0.15">
      <c r="A2476" s="374"/>
      <c r="B2476" s="287"/>
      <c r="C2476" s="386">
        <v>42816</v>
      </c>
      <c r="D2476" s="287"/>
      <c r="E2476" s="380"/>
      <c r="F2476" s="381"/>
    </row>
    <row r="2477" spans="1:6" s="295" customFormat="1" x14ac:dyDescent="0.15">
      <c r="A2477" s="409"/>
      <c r="B2477" s="410"/>
      <c r="C2477" s="410"/>
      <c r="D2477" s="410"/>
      <c r="E2477" s="403"/>
      <c r="F2477" s="411"/>
    </row>
    <row r="2478" spans="1:6" s="295" customFormat="1" x14ac:dyDescent="0.15">
      <c r="A2478" s="370" t="s">
        <v>1302</v>
      </c>
      <c r="B2478" s="371" t="s">
        <v>1226</v>
      </c>
      <c r="C2478" s="371" t="s">
        <v>1227</v>
      </c>
      <c r="D2478" s="371">
        <v>1433.9</v>
      </c>
      <c r="E2478" s="390">
        <v>42828</v>
      </c>
      <c r="F2478" s="391">
        <v>1584.36</v>
      </c>
    </row>
    <row r="2479" spans="1:6" s="295" customFormat="1" x14ac:dyDescent="0.15">
      <c r="A2479" s="374" t="s">
        <v>1303</v>
      </c>
      <c r="B2479" s="287" t="s">
        <v>1228</v>
      </c>
      <c r="C2479" s="287" t="s">
        <v>1229</v>
      </c>
      <c r="D2479" s="287">
        <v>1231</v>
      </c>
      <c r="E2479" s="380">
        <v>42828</v>
      </c>
      <c r="F2479" s="381">
        <v>1364.15</v>
      </c>
    </row>
    <row r="2480" spans="1:6" s="295" customFormat="1" x14ac:dyDescent="0.15">
      <c r="A2480" s="374" t="s">
        <v>1304</v>
      </c>
      <c r="B2480" s="287" t="s">
        <v>1230</v>
      </c>
      <c r="C2480" s="287" t="s">
        <v>1231</v>
      </c>
      <c r="D2480" s="287">
        <v>831.3</v>
      </c>
      <c r="E2480" s="380">
        <v>42828</v>
      </c>
      <c r="F2480" s="381">
        <v>930.36</v>
      </c>
    </row>
    <row r="2481" spans="1:6" s="295" customFormat="1" x14ac:dyDescent="0.15">
      <c r="A2481" s="374" t="s">
        <v>1305</v>
      </c>
      <c r="B2481" s="287" t="s">
        <v>1306</v>
      </c>
      <c r="C2481" s="287" t="s">
        <v>1233</v>
      </c>
      <c r="D2481" s="287">
        <v>1393.8</v>
      </c>
      <c r="E2481" s="380">
        <v>42828</v>
      </c>
      <c r="F2481" s="381">
        <v>1371.29</v>
      </c>
    </row>
    <row r="2482" spans="1:6" s="295" customFormat="1" x14ac:dyDescent="0.15">
      <c r="A2482" s="374" t="s">
        <v>1307</v>
      </c>
      <c r="B2482" s="287" t="s">
        <v>1234</v>
      </c>
      <c r="C2482" s="287" t="s">
        <v>500</v>
      </c>
      <c r="D2482" s="287">
        <v>1520.5</v>
      </c>
      <c r="E2482" s="380">
        <v>42828</v>
      </c>
      <c r="F2482" s="381">
        <v>1664.64</v>
      </c>
    </row>
    <row r="2483" spans="1:6" s="295" customFormat="1" x14ac:dyDescent="0.15">
      <c r="A2483" s="374" t="s">
        <v>1308</v>
      </c>
      <c r="B2483" s="287" t="s">
        <v>1235</v>
      </c>
      <c r="C2483" s="287" t="s">
        <v>1236</v>
      </c>
      <c r="D2483" s="287">
        <v>1503</v>
      </c>
      <c r="E2483" s="380">
        <v>42828</v>
      </c>
      <c r="F2483" s="381">
        <v>1659.35</v>
      </c>
    </row>
    <row r="2484" spans="1:6" s="295" customFormat="1" x14ac:dyDescent="0.15">
      <c r="A2484" s="374" t="s">
        <v>1318</v>
      </c>
      <c r="B2484" s="287" t="s">
        <v>1238</v>
      </c>
      <c r="C2484" s="287" t="s">
        <v>1239</v>
      </c>
      <c r="D2484" s="287">
        <v>1237.2</v>
      </c>
      <c r="E2484" s="380">
        <v>42828</v>
      </c>
      <c r="F2484" s="381">
        <v>1370.88</v>
      </c>
    </row>
    <row r="2485" spans="1:6" s="295" customFormat="1" x14ac:dyDescent="0.15">
      <c r="A2485" s="374" t="s">
        <v>1309</v>
      </c>
      <c r="B2485" s="287" t="s">
        <v>1240</v>
      </c>
      <c r="C2485" s="287" t="s">
        <v>1241</v>
      </c>
      <c r="D2485" s="287">
        <v>920.9</v>
      </c>
      <c r="E2485" s="380">
        <v>42828</v>
      </c>
      <c r="F2485" s="381">
        <v>1027.5999999999999</v>
      </c>
    </row>
    <row r="2486" spans="1:6" s="295" customFormat="1" x14ac:dyDescent="0.15">
      <c r="A2486" s="374" t="s">
        <v>1310</v>
      </c>
      <c r="B2486" s="287" t="s">
        <v>1282</v>
      </c>
      <c r="C2486" s="287" t="s">
        <v>1283</v>
      </c>
      <c r="D2486" s="287">
        <v>1124.5999999999999</v>
      </c>
      <c r="E2486" s="380">
        <v>42828</v>
      </c>
      <c r="F2486" s="381">
        <v>1248.68</v>
      </c>
    </row>
    <row r="2487" spans="1:6" s="295" customFormat="1" x14ac:dyDescent="0.15">
      <c r="A2487" s="374" t="s">
        <v>1319</v>
      </c>
      <c r="B2487" s="287" t="s">
        <v>1246</v>
      </c>
      <c r="C2487" s="287" t="s">
        <v>1247</v>
      </c>
      <c r="D2487" s="287">
        <v>1076.5</v>
      </c>
      <c r="E2487" s="380">
        <v>42828</v>
      </c>
      <c r="F2487" s="381">
        <v>1196.47</v>
      </c>
    </row>
    <row r="2488" spans="1:6" s="295" customFormat="1" x14ac:dyDescent="0.15">
      <c r="A2488" s="374" t="s">
        <v>1311</v>
      </c>
      <c r="B2488" s="287" t="s">
        <v>1248</v>
      </c>
      <c r="C2488" s="287" t="s">
        <v>1249</v>
      </c>
      <c r="D2488" s="287">
        <v>294.60000000000002</v>
      </c>
      <c r="E2488" s="380">
        <v>42828</v>
      </c>
      <c r="F2488" s="381">
        <v>356.8</v>
      </c>
    </row>
    <row r="2489" spans="1:6" s="295" customFormat="1" x14ac:dyDescent="0.15">
      <c r="A2489" s="374" t="s">
        <v>1320</v>
      </c>
      <c r="B2489" s="287" t="s">
        <v>1288</v>
      </c>
      <c r="C2489" s="287" t="s">
        <v>1289</v>
      </c>
      <c r="D2489" s="397">
        <v>696.4</v>
      </c>
      <c r="E2489" s="403">
        <v>42828</v>
      </c>
      <c r="F2489" s="381">
        <v>783.95</v>
      </c>
    </row>
    <row r="2490" spans="1:6" s="295" customFormat="1" ht="14" thickBot="1" x14ac:dyDescent="0.2">
      <c r="A2490" s="374"/>
      <c r="B2490" s="287"/>
      <c r="C2490" s="291" t="s">
        <v>115</v>
      </c>
      <c r="D2490" s="383">
        <f>SUM(D2478:D2489)</f>
        <v>13263.7</v>
      </c>
      <c r="E2490" s="404"/>
      <c r="F2490" s="389">
        <v>14558.529999999999</v>
      </c>
    </row>
    <row r="2491" spans="1:6" s="295" customFormat="1" ht="14" thickTop="1" x14ac:dyDescent="0.15">
      <c r="A2491" s="374"/>
      <c r="B2491" s="287"/>
      <c r="C2491" s="287"/>
      <c r="D2491" s="287"/>
      <c r="E2491" s="380"/>
      <c r="F2491" s="381"/>
    </row>
    <row r="2492" spans="1:6" s="295" customFormat="1" x14ac:dyDescent="0.15">
      <c r="A2492" s="374"/>
      <c r="B2492" s="287"/>
      <c r="C2492" s="378" t="s">
        <v>1212</v>
      </c>
      <c r="D2492" s="287"/>
      <c r="E2492" s="380"/>
      <c r="F2492" s="381"/>
    </row>
    <row r="2493" spans="1:6" s="295" customFormat="1" x14ac:dyDescent="0.15">
      <c r="A2493" s="374"/>
      <c r="B2493" s="287"/>
      <c r="C2493" s="378" t="s">
        <v>1139</v>
      </c>
      <c r="D2493" s="287"/>
      <c r="E2493" s="380"/>
      <c r="F2493" s="381"/>
    </row>
    <row r="2494" spans="1:6" s="295" customFormat="1" x14ac:dyDescent="0.15">
      <c r="A2494" s="374"/>
      <c r="B2494" s="287"/>
      <c r="C2494" s="386">
        <v>42825</v>
      </c>
      <c r="D2494" s="287"/>
      <c r="E2494" s="380"/>
      <c r="F2494" s="381"/>
    </row>
    <row r="2495" spans="1:6" s="295" customFormat="1" x14ac:dyDescent="0.15">
      <c r="A2495" s="409"/>
      <c r="B2495" s="410"/>
      <c r="C2495" s="410"/>
      <c r="D2495" s="410"/>
      <c r="E2495" s="403"/>
      <c r="F2495" s="411"/>
    </row>
    <row r="2496" spans="1:6" s="295" customFormat="1" ht="14" thickBot="1" x14ac:dyDescent="0.2">
      <c r="A2496" s="412"/>
      <c r="B2496" s="281"/>
      <c r="C2496" s="291" t="s">
        <v>1171</v>
      </c>
      <c r="D2496" s="383">
        <f>SUM(D2472,D2490)</f>
        <v>26045</v>
      </c>
      <c r="E2496" s="384"/>
      <c r="F2496" s="389">
        <v>29034.41</v>
      </c>
    </row>
    <row r="2497" spans="1:6" s="295" customFormat="1" ht="14" thickTop="1" x14ac:dyDescent="0.15">
      <c r="E2497" s="408"/>
      <c r="F2497" s="298"/>
    </row>
    <row r="2498" spans="1:6" s="295" customFormat="1" x14ac:dyDescent="0.15">
      <c r="A2498" s="370" t="s">
        <v>1299</v>
      </c>
      <c r="B2498" s="371" t="s">
        <v>1269</v>
      </c>
      <c r="C2498" s="371" t="s">
        <v>1270</v>
      </c>
      <c r="D2498" s="371">
        <v>582.9</v>
      </c>
      <c r="E2498" s="390">
        <v>42844</v>
      </c>
      <c r="F2498" s="391">
        <v>660.76</v>
      </c>
    </row>
    <row r="2499" spans="1:6" s="295" customFormat="1" x14ac:dyDescent="0.15">
      <c r="A2499" s="374" t="s">
        <v>1293</v>
      </c>
      <c r="B2499" s="287" t="s">
        <v>1257</v>
      </c>
      <c r="C2499" s="287" t="s">
        <v>1258</v>
      </c>
      <c r="D2499" s="287">
        <v>734.3</v>
      </c>
      <c r="E2499" s="380">
        <v>42844</v>
      </c>
      <c r="F2499" s="381">
        <v>825.08</v>
      </c>
    </row>
    <row r="2500" spans="1:6" s="295" customFormat="1" x14ac:dyDescent="0.15">
      <c r="A2500" s="374" t="s">
        <v>1294</v>
      </c>
      <c r="B2500" s="287" t="s">
        <v>1259</v>
      </c>
      <c r="C2500" s="287" t="s">
        <v>1260</v>
      </c>
      <c r="D2500" s="287">
        <v>250.2</v>
      </c>
      <c r="E2500" s="380">
        <v>42844</v>
      </c>
      <c r="F2500" s="381">
        <v>306.11</v>
      </c>
    </row>
    <row r="2501" spans="1:6" s="295" customFormat="1" x14ac:dyDescent="0.15">
      <c r="A2501" s="374" t="s">
        <v>1296</v>
      </c>
      <c r="B2501" s="287" t="s">
        <v>1278</v>
      </c>
      <c r="C2501" s="287" t="s">
        <v>1264</v>
      </c>
      <c r="D2501" s="287">
        <v>561.20000000000005</v>
      </c>
      <c r="E2501" s="380">
        <v>42844</v>
      </c>
      <c r="F2501" s="381">
        <v>637.21</v>
      </c>
    </row>
    <row r="2502" spans="1:6" s="295" customFormat="1" x14ac:dyDescent="0.15">
      <c r="A2502" s="374" t="s">
        <v>1295</v>
      </c>
      <c r="B2502" s="287" t="s">
        <v>1261</v>
      </c>
      <c r="C2502" s="287" t="s">
        <v>1262</v>
      </c>
      <c r="D2502" s="287">
        <v>376.9</v>
      </c>
      <c r="E2502" s="380">
        <v>42844</v>
      </c>
      <c r="F2502" s="381">
        <v>450.74</v>
      </c>
    </row>
    <row r="2503" spans="1:6" s="295" customFormat="1" x14ac:dyDescent="0.15">
      <c r="A2503" s="374" t="s">
        <v>1301</v>
      </c>
      <c r="B2503" s="287" t="s">
        <v>1286</v>
      </c>
      <c r="C2503" s="287" t="s">
        <v>1287</v>
      </c>
      <c r="D2503" s="287">
        <v>294.5</v>
      </c>
      <c r="E2503" s="380">
        <v>42844</v>
      </c>
      <c r="F2503" s="381">
        <v>347.76</v>
      </c>
    </row>
    <row r="2504" spans="1:6" s="295" customFormat="1" x14ac:dyDescent="0.15">
      <c r="A2504" s="374" t="s">
        <v>1297</v>
      </c>
      <c r="B2504" s="287" t="s">
        <v>1265</v>
      </c>
      <c r="C2504" s="287" t="s">
        <v>1266</v>
      </c>
      <c r="D2504" s="287">
        <v>289.39999999999998</v>
      </c>
      <c r="E2504" s="380">
        <v>42844</v>
      </c>
      <c r="F2504" s="381">
        <v>350.86</v>
      </c>
    </row>
    <row r="2505" spans="1:6" s="295" customFormat="1" x14ac:dyDescent="0.15">
      <c r="A2505" s="374" t="s">
        <v>1298</v>
      </c>
      <c r="B2505" s="287" t="s">
        <v>1267</v>
      </c>
      <c r="C2505" s="287" t="s">
        <v>1268</v>
      </c>
      <c r="D2505" s="287">
        <v>611.70000000000005</v>
      </c>
      <c r="E2505" s="380">
        <v>42844</v>
      </c>
      <c r="F2505" s="381">
        <v>718.77</v>
      </c>
    </row>
    <row r="2506" spans="1:6" s="295" customFormat="1" x14ac:dyDescent="0.15">
      <c r="A2506" s="374" t="s">
        <v>1300</v>
      </c>
      <c r="B2506" s="287" t="s">
        <v>1271</v>
      </c>
      <c r="C2506" s="287" t="s">
        <v>1272</v>
      </c>
      <c r="D2506" s="287">
        <v>526.20000000000005</v>
      </c>
      <c r="E2506" s="380">
        <v>42844</v>
      </c>
      <c r="F2506" s="381">
        <v>599.22</v>
      </c>
    </row>
    <row r="2507" spans="1:6" s="295" customFormat="1" x14ac:dyDescent="0.15">
      <c r="A2507" s="374" t="s">
        <v>1290</v>
      </c>
      <c r="B2507" s="287" t="s">
        <v>1291</v>
      </c>
      <c r="C2507" s="287" t="s">
        <v>1277</v>
      </c>
      <c r="D2507" s="287">
        <v>848.9</v>
      </c>
      <c r="E2507" s="380">
        <v>42844</v>
      </c>
      <c r="F2507" s="381">
        <v>949.45</v>
      </c>
    </row>
    <row r="2508" spans="1:6" s="295" customFormat="1" x14ac:dyDescent="0.15">
      <c r="A2508" s="374" t="s">
        <v>1327</v>
      </c>
      <c r="B2508" s="287" t="s">
        <v>1328</v>
      </c>
      <c r="C2508" s="287" t="s">
        <v>1329</v>
      </c>
      <c r="D2508" s="287">
        <v>169.9</v>
      </c>
      <c r="E2508" s="380">
        <v>42844</v>
      </c>
      <c r="F2508" s="381">
        <v>214.45</v>
      </c>
    </row>
    <row r="2509" spans="1:6" s="295" customFormat="1" x14ac:dyDescent="0.15">
      <c r="A2509" s="374" t="s">
        <v>1292</v>
      </c>
      <c r="B2509" s="287" t="s">
        <v>1255</v>
      </c>
      <c r="C2509" s="287" t="s">
        <v>1256</v>
      </c>
      <c r="D2509" s="287">
        <v>1837.2</v>
      </c>
      <c r="E2509" s="380">
        <v>42844</v>
      </c>
      <c r="F2509" s="381">
        <v>2006.29</v>
      </c>
    </row>
    <row r="2510" spans="1:6" s="295" customFormat="1" x14ac:dyDescent="0.15">
      <c r="A2510" s="374" t="s">
        <v>1312</v>
      </c>
      <c r="B2510" s="287" t="s">
        <v>1313</v>
      </c>
      <c r="C2510" s="287" t="s">
        <v>1313</v>
      </c>
      <c r="D2510" s="287">
        <v>1173</v>
      </c>
      <c r="E2510" s="380">
        <v>42844</v>
      </c>
      <c r="F2510" s="381">
        <v>1301.2</v>
      </c>
    </row>
    <row r="2511" spans="1:6" s="295" customFormat="1" x14ac:dyDescent="0.15">
      <c r="A2511" s="374" t="s">
        <v>1314</v>
      </c>
      <c r="B2511" s="287" t="s">
        <v>1315</v>
      </c>
      <c r="C2511" s="287" t="s">
        <v>1316</v>
      </c>
      <c r="D2511" s="287">
        <v>176.1</v>
      </c>
      <c r="E2511" s="380">
        <v>42844</v>
      </c>
      <c r="F2511" s="381">
        <v>219.26</v>
      </c>
    </row>
    <row r="2512" spans="1:6" s="295" customFormat="1" x14ac:dyDescent="0.15">
      <c r="A2512" s="374" t="s">
        <v>1322</v>
      </c>
      <c r="B2512" s="287" t="s">
        <v>1250</v>
      </c>
      <c r="C2512" s="287" t="s">
        <v>1251</v>
      </c>
      <c r="D2512" s="287">
        <v>55.6</v>
      </c>
      <c r="E2512" s="380">
        <v>42844</v>
      </c>
      <c r="F2512" s="381">
        <v>79.319999999999993</v>
      </c>
    </row>
    <row r="2513" spans="1:6" s="295" customFormat="1" x14ac:dyDescent="0.15">
      <c r="A2513" s="374" t="s">
        <v>1326</v>
      </c>
      <c r="B2513" s="287" t="s">
        <v>1284</v>
      </c>
      <c r="C2513" s="287" t="s">
        <v>1285</v>
      </c>
      <c r="D2513" s="397">
        <v>243</v>
      </c>
      <c r="E2513" s="380">
        <v>42844</v>
      </c>
      <c r="F2513" s="381">
        <v>297.89999999999998</v>
      </c>
    </row>
    <row r="2514" spans="1:6" s="295" customFormat="1" x14ac:dyDescent="0.15">
      <c r="A2514" s="374" t="s">
        <v>1323</v>
      </c>
      <c r="B2514" s="287" t="s">
        <v>1252</v>
      </c>
      <c r="C2514" s="287" t="s">
        <v>1253</v>
      </c>
      <c r="D2514" s="287">
        <v>1026.7</v>
      </c>
      <c r="E2514" s="380">
        <v>42844</v>
      </c>
      <c r="F2514" s="381">
        <v>1142.42</v>
      </c>
    </row>
    <row r="2515" spans="1:6" s="295" customFormat="1" x14ac:dyDescent="0.15">
      <c r="A2515" s="374" t="s">
        <v>1325</v>
      </c>
      <c r="B2515" s="287" t="s">
        <v>1279</v>
      </c>
      <c r="C2515" s="287" t="s">
        <v>1280</v>
      </c>
      <c r="D2515" s="397">
        <v>657</v>
      </c>
      <c r="E2515" s="380">
        <v>42844</v>
      </c>
      <c r="F2515" s="381">
        <v>741.18</v>
      </c>
    </row>
    <row r="2516" spans="1:6" s="295" customFormat="1" x14ac:dyDescent="0.15">
      <c r="A2516" s="374" t="s">
        <v>1324</v>
      </c>
      <c r="B2516" s="287" t="s">
        <v>1275</v>
      </c>
      <c r="C2516" s="287" t="s">
        <v>1276</v>
      </c>
      <c r="D2516" s="397">
        <v>943.3</v>
      </c>
      <c r="E2516" s="380">
        <v>42844</v>
      </c>
      <c r="F2516" s="381">
        <v>1051.9100000000001</v>
      </c>
    </row>
    <row r="2517" spans="1:6" s="295" customFormat="1" x14ac:dyDescent="0.15">
      <c r="A2517" s="374" t="s">
        <v>1321</v>
      </c>
      <c r="B2517" s="287" t="s">
        <v>1244</v>
      </c>
      <c r="C2517" s="287" t="s">
        <v>1245</v>
      </c>
      <c r="D2517" s="287">
        <v>993.8</v>
      </c>
      <c r="E2517" s="380">
        <v>42844</v>
      </c>
      <c r="F2517" s="381">
        <v>1106.72</v>
      </c>
    </row>
    <row r="2518" spans="1:6" s="295" customFormat="1" ht="14" thickBot="1" x14ac:dyDescent="0.2">
      <c r="A2518" s="374"/>
      <c r="B2518" s="287"/>
      <c r="C2518" s="291" t="s">
        <v>115</v>
      </c>
      <c r="D2518" s="394">
        <f>SUM(D2498:D2517)</f>
        <v>12351.8</v>
      </c>
      <c r="E2518" s="384"/>
      <c r="F2518" s="389">
        <v>14006.609999999999</v>
      </c>
    </row>
    <row r="2519" spans="1:6" s="295" customFormat="1" ht="14" thickTop="1" x14ac:dyDescent="0.15">
      <c r="A2519" s="374"/>
      <c r="B2519" s="287"/>
      <c r="C2519" s="287"/>
      <c r="D2519" s="287"/>
      <c r="E2519" s="380"/>
      <c r="F2519" s="381"/>
    </row>
    <row r="2520" spans="1:6" s="295" customFormat="1" x14ac:dyDescent="0.15">
      <c r="A2520" s="374"/>
      <c r="B2520" s="287"/>
      <c r="C2520" s="378" t="s">
        <v>1212</v>
      </c>
      <c r="D2520" s="287"/>
      <c r="E2520" s="380"/>
      <c r="F2520" s="381"/>
    </row>
    <row r="2521" spans="1:6" s="295" customFormat="1" x14ac:dyDescent="0.15">
      <c r="A2521" s="374"/>
      <c r="B2521" s="287"/>
      <c r="C2521" s="378" t="s">
        <v>1139</v>
      </c>
      <c r="D2521" s="287"/>
      <c r="E2521" s="380"/>
      <c r="F2521" s="381"/>
    </row>
    <row r="2522" spans="1:6" s="295" customFormat="1" x14ac:dyDescent="0.15">
      <c r="A2522" s="374"/>
      <c r="B2522" s="287"/>
      <c r="C2522" s="386">
        <v>42852</v>
      </c>
      <c r="D2522" s="287"/>
      <c r="E2522" s="380"/>
      <c r="F2522" s="381"/>
    </row>
    <row r="2523" spans="1:6" s="295" customFormat="1" x14ac:dyDescent="0.15">
      <c r="A2523" s="409"/>
      <c r="B2523" s="410"/>
      <c r="C2523" s="410"/>
      <c r="D2523" s="410"/>
      <c r="E2523" s="403"/>
      <c r="F2523" s="411"/>
    </row>
    <row r="2524" spans="1:6" s="295" customFormat="1" x14ac:dyDescent="0.15">
      <c r="A2524" s="370" t="s">
        <v>1302</v>
      </c>
      <c r="B2524" s="371" t="s">
        <v>1226</v>
      </c>
      <c r="C2524" s="371" t="s">
        <v>1227</v>
      </c>
      <c r="D2524" s="371">
        <v>663.9</v>
      </c>
      <c r="E2524" s="390">
        <v>42856</v>
      </c>
      <c r="F2524" s="391">
        <v>748.68</v>
      </c>
    </row>
    <row r="2525" spans="1:6" s="295" customFormat="1" x14ac:dyDescent="0.15">
      <c r="A2525" s="374" t="s">
        <v>1303</v>
      </c>
      <c r="B2525" s="287" t="s">
        <v>1228</v>
      </c>
      <c r="C2525" s="287" t="s">
        <v>1229</v>
      </c>
      <c r="D2525" s="287">
        <v>502.3</v>
      </c>
      <c r="E2525" s="380">
        <v>42856</v>
      </c>
      <c r="F2525" s="381">
        <v>573.29</v>
      </c>
    </row>
    <row r="2526" spans="1:6" s="295" customFormat="1" x14ac:dyDescent="0.15">
      <c r="A2526" s="374" t="s">
        <v>1304</v>
      </c>
      <c r="B2526" s="287" t="s">
        <v>1230</v>
      </c>
      <c r="C2526" s="287" t="s">
        <v>1231</v>
      </c>
      <c r="D2526" s="287">
        <v>400.4</v>
      </c>
      <c r="E2526" s="380">
        <v>42856</v>
      </c>
      <c r="F2526" s="381">
        <v>462.69</v>
      </c>
    </row>
    <row r="2527" spans="1:6" s="295" customFormat="1" x14ac:dyDescent="0.15">
      <c r="A2527" s="374" t="s">
        <v>1305</v>
      </c>
      <c r="B2527" s="287" t="s">
        <v>1306</v>
      </c>
      <c r="C2527" s="287" t="s">
        <v>1233</v>
      </c>
      <c r="D2527" s="287">
        <v>1381.3</v>
      </c>
      <c r="E2527" s="380">
        <v>42856</v>
      </c>
      <c r="F2527" s="381">
        <v>1359.2</v>
      </c>
    </row>
    <row r="2528" spans="1:6" s="295" customFormat="1" x14ac:dyDescent="0.15">
      <c r="A2528" s="374" t="s">
        <v>1307</v>
      </c>
      <c r="B2528" s="287" t="s">
        <v>1234</v>
      </c>
      <c r="C2528" s="287" t="s">
        <v>500</v>
      </c>
      <c r="D2528" s="287">
        <v>797.7</v>
      </c>
      <c r="E2528" s="380">
        <v>42856</v>
      </c>
      <c r="F2528" s="381">
        <v>884.88</v>
      </c>
    </row>
    <row r="2529" spans="1:6" s="295" customFormat="1" x14ac:dyDescent="0.15">
      <c r="A2529" s="374" t="s">
        <v>1308</v>
      </c>
      <c r="B2529" s="287" t="s">
        <v>1235</v>
      </c>
      <c r="C2529" s="287" t="s">
        <v>1236</v>
      </c>
      <c r="D2529" s="287">
        <v>764.7</v>
      </c>
      <c r="E2529" s="380">
        <v>42856</v>
      </c>
      <c r="F2529" s="381">
        <v>858.08</v>
      </c>
    </row>
    <row r="2530" spans="1:6" s="295" customFormat="1" x14ac:dyDescent="0.15">
      <c r="A2530" s="374" t="s">
        <v>1318</v>
      </c>
      <c r="B2530" s="287" t="s">
        <v>1238</v>
      </c>
      <c r="C2530" s="287" t="s">
        <v>1239</v>
      </c>
      <c r="D2530" s="287">
        <v>584.6</v>
      </c>
      <c r="E2530" s="380">
        <v>42856</v>
      </c>
      <c r="F2530" s="381">
        <v>662.62</v>
      </c>
    </row>
    <row r="2531" spans="1:6" s="295" customFormat="1" x14ac:dyDescent="0.15">
      <c r="A2531" s="374" t="s">
        <v>1309</v>
      </c>
      <c r="B2531" s="287" t="s">
        <v>1240</v>
      </c>
      <c r="C2531" s="287" t="s">
        <v>1241</v>
      </c>
      <c r="D2531" s="287">
        <v>459</v>
      </c>
      <c r="E2531" s="380">
        <v>42856</v>
      </c>
      <c r="F2531" s="381">
        <v>526.29</v>
      </c>
    </row>
    <row r="2532" spans="1:6" s="295" customFormat="1" x14ac:dyDescent="0.15">
      <c r="A2532" s="374" t="s">
        <v>1310</v>
      </c>
      <c r="B2532" s="287" t="s">
        <v>1282</v>
      </c>
      <c r="C2532" s="287" t="s">
        <v>1283</v>
      </c>
      <c r="D2532" s="287">
        <v>612.1</v>
      </c>
      <c r="E2532" s="380">
        <v>42856</v>
      </c>
      <c r="F2532" s="381">
        <v>692.46</v>
      </c>
    </row>
    <row r="2533" spans="1:6" s="295" customFormat="1" x14ac:dyDescent="0.15">
      <c r="A2533" s="374" t="s">
        <v>1319</v>
      </c>
      <c r="B2533" s="287" t="s">
        <v>1246</v>
      </c>
      <c r="C2533" s="287" t="s">
        <v>1247</v>
      </c>
      <c r="D2533" s="287">
        <v>628.9</v>
      </c>
      <c r="E2533" s="380">
        <v>42856</v>
      </c>
      <c r="F2533" s="381">
        <v>710.69</v>
      </c>
    </row>
    <row r="2534" spans="1:6" s="295" customFormat="1" x14ac:dyDescent="0.15">
      <c r="A2534" s="374" t="s">
        <v>1311</v>
      </c>
      <c r="B2534" s="287" t="s">
        <v>1248</v>
      </c>
      <c r="C2534" s="287" t="s">
        <v>1249</v>
      </c>
      <c r="D2534" s="287">
        <v>137.9</v>
      </c>
      <c r="E2534" s="380">
        <v>42856</v>
      </c>
      <c r="F2534" s="381">
        <v>177.91</v>
      </c>
    </row>
    <row r="2535" spans="1:6" s="295" customFormat="1" x14ac:dyDescent="0.15">
      <c r="A2535" s="374" t="s">
        <v>1320</v>
      </c>
      <c r="B2535" s="287" t="s">
        <v>1288</v>
      </c>
      <c r="C2535" s="287" t="s">
        <v>1289</v>
      </c>
      <c r="D2535" s="397">
        <v>214.1</v>
      </c>
      <c r="E2535" s="403">
        <v>42856</v>
      </c>
      <c r="F2535" s="381">
        <v>260.51</v>
      </c>
    </row>
    <row r="2536" spans="1:6" s="295" customFormat="1" ht="14" thickBot="1" x14ac:dyDescent="0.2">
      <c r="A2536" s="374"/>
      <c r="B2536" s="287"/>
      <c r="C2536" s="291" t="s">
        <v>115</v>
      </c>
      <c r="D2536" s="383">
        <f>SUM(D2524:D2535)</f>
        <v>7146.9</v>
      </c>
      <c r="E2536" s="404"/>
      <c r="F2536" s="389">
        <v>7917.2999999999993</v>
      </c>
    </row>
    <row r="2537" spans="1:6" s="295" customFormat="1" ht="14" thickTop="1" x14ac:dyDescent="0.15">
      <c r="A2537" s="374"/>
      <c r="B2537" s="287"/>
      <c r="C2537" s="287"/>
      <c r="D2537" s="287"/>
      <c r="E2537" s="380"/>
      <c r="F2537" s="381"/>
    </row>
    <row r="2538" spans="1:6" s="295" customFormat="1" x14ac:dyDescent="0.15">
      <c r="A2538" s="374"/>
      <c r="B2538" s="287"/>
      <c r="C2538" s="378" t="s">
        <v>1212</v>
      </c>
      <c r="D2538" s="287"/>
      <c r="E2538" s="380"/>
      <c r="F2538" s="381"/>
    </row>
    <row r="2539" spans="1:6" s="295" customFormat="1" x14ac:dyDescent="0.15">
      <c r="A2539" s="374"/>
      <c r="B2539" s="287"/>
      <c r="C2539" s="378" t="s">
        <v>1139</v>
      </c>
      <c r="D2539" s="287"/>
      <c r="E2539" s="380"/>
      <c r="F2539" s="381"/>
    </row>
    <row r="2540" spans="1:6" s="295" customFormat="1" x14ac:dyDescent="0.15">
      <c r="A2540" s="374"/>
      <c r="B2540" s="287"/>
      <c r="C2540" s="386">
        <v>42855</v>
      </c>
      <c r="D2540" s="287"/>
      <c r="E2540" s="380"/>
      <c r="F2540" s="381"/>
    </row>
    <row r="2541" spans="1:6" s="295" customFormat="1" x14ac:dyDescent="0.15">
      <c r="A2541" s="409"/>
      <c r="B2541" s="410"/>
      <c r="C2541" s="410"/>
      <c r="D2541" s="410"/>
      <c r="E2541" s="403"/>
      <c r="F2541" s="411"/>
    </row>
    <row r="2542" spans="1:6" s="295" customFormat="1" ht="14" thickBot="1" x14ac:dyDescent="0.2">
      <c r="A2542" s="412"/>
      <c r="B2542" s="281"/>
      <c r="C2542" s="291" t="s">
        <v>1172</v>
      </c>
      <c r="D2542" s="383">
        <f>SUM(D2518,D2536)</f>
        <v>19498.699999999997</v>
      </c>
      <c r="E2542" s="384"/>
      <c r="F2542" s="389">
        <v>21923.909999999996</v>
      </c>
    </row>
    <row r="2543" spans="1:6" s="295" customFormat="1" ht="14" thickTop="1" x14ac:dyDescent="0.15">
      <c r="A2543" s="370"/>
      <c r="B2543" s="371"/>
      <c r="C2543" s="413"/>
      <c r="D2543" s="414"/>
      <c r="E2543" s="390"/>
      <c r="F2543" s="415"/>
    </row>
    <row r="2544" spans="1:6" s="295" customFormat="1" x14ac:dyDescent="0.15">
      <c r="A2544" s="370" t="s">
        <v>1299</v>
      </c>
      <c r="B2544" s="371" t="s">
        <v>1269</v>
      </c>
      <c r="C2544" s="371" t="s">
        <v>1270</v>
      </c>
      <c r="D2544" s="371">
        <v>232.6</v>
      </c>
      <c r="E2544" s="390">
        <v>42871</v>
      </c>
      <c r="F2544" s="391">
        <v>248.09</v>
      </c>
    </row>
    <row r="2545" spans="1:6" s="295" customFormat="1" x14ac:dyDescent="0.15">
      <c r="A2545" s="374" t="s">
        <v>1293</v>
      </c>
      <c r="B2545" s="287" t="s">
        <v>1257</v>
      </c>
      <c r="C2545" s="287" t="s">
        <v>1258</v>
      </c>
      <c r="D2545" s="287">
        <v>322.10000000000002</v>
      </c>
      <c r="E2545" s="380">
        <v>42871</v>
      </c>
      <c r="F2545" s="381">
        <v>329.24</v>
      </c>
    </row>
    <row r="2546" spans="1:6" s="295" customFormat="1" x14ac:dyDescent="0.15">
      <c r="A2546" s="374" t="s">
        <v>1294</v>
      </c>
      <c r="B2546" s="287" t="s">
        <v>1259</v>
      </c>
      <c r="C2546" s="287" t="s">
        <v>1260</v>
      </c>
      <c r="D2546" s="287">
        <v>60.7</v>
      </c>
      <c r="E2546" s="380">
        <v>42871</v>
      </c>
      <c r="F2546" s="381">
        <v>87.12</v>
      </c>
    </row>
    <row r="2547" spans="1:6" s="295" customFormat="1" x14ac:dyDescent="0.15">
      <c r="A2547" s="374" t="s">
        <v>1296</v>
      </c>
      <c r="B2547" s="287" t="s">
        <v>1278</v>
      </c>
      <c r="C2547" s="287" t="s">
        <v>1264</v>
      </c>
      <c r="D2547" s="287">
        <v>266.5</v>
      </c>
      <c r="E2547" s="380">
        <v>42871</v>
      </c>
      <c r="F2547" s="381">
        <v>279</v>
      </c>
    </row>
    <row r="2548" spans="1:6" s="295" customFormat="1" x14ac:dyDescent="0.15">
      <c r="A2548" s="374" t="s">
        <v>1295</v>
      </c>
      <c r="B2548" s="287" t="s">
        <v>1261</v>
      </c>
      <c r="C2548" s="287" t="s">
        <v>1262</v>
      </c>
      <c r="D2548" s="287">
        <v>134.80000000000001</v>
      </c>
      <c r="E2548" s="380">
        <v>42871</v>
      </c>
      <c r="F2548" s="381">
        <v>158.59</v>
      </c>
    </row>
    <row r="2549" spans="1:6" s="295" customFormat="1" x14ac:dyDescent="0.15">
      <c r="A2549" s="374" t="s">
        <v>1301</v>
      </c>
      <c r="B2549" s="287" t="s">
        <v>1286</v>
      </c>
      <c r="C2549" s="287" t="s">
        <v>1287</v>
      </c>
      <c r="D2549" s="287">
        <v>91.6</v>
      </c>
      <c r="E2549" s="380">
        <v>42871</v>
      </c>
      <c r="F2549" s="381">
        <v>119.49</v>
      </c>
    </row>
    <row r="2550" spans="1:6" s="295" customFormat="1" x14ac:dyDescent="0.15">
      <c r="A2550" s="374" t="s">
        <v>1297</v>
      </c>
      <c r="B2550" s="287" t="s">
        <v>1265</v>
      </c>
      <c r="C2550" s="287" t="s">
        <v>1266</v>
      </c>
      <c r="D2550" s="287">
        <v>86.4</v>
      </c>
      <c r="E2550" s="380">
        <v>42871</v>
      </c>
      <c r="F2550" s="381">
        <v>112.26</v>
      </c>
    </row>
    <row r="2551" spans="1:6" s="295" customFormat="1" ht="12" customHeight="1" x14ac:dyDescent="0.15">
      <c r="A2551" s="374" t="s">
        <v>1298</v>
      </c>
      <c r="B2551" s="287" t="s">
        <v>1267</v>
      </c>
      <c r="C2551" s="287" t="s">
        <v>1268</v>
      </c>
      <c r="D2551" s="287">
        <v>232.6</v>
      </c>
      <c r="E2551" s="380">
        <v>42871</v>
      </c>
      <c r="F2551" s="381">
        <v>253.33</v>
      </c>
    </row>
    <row r="2552" spans="1:6" s="295" customFormat="1" x14ac:dyDescent="0.15">
      <c r="A2552" s="374" t="s">
        <v>1300</v>
      </c>
      <c r="B2552" s="287" t="s">
        <v>1271</v>
      </c>
      <c r="C2552" s="287" t="s">
        <v>1272</v>
      </c>
      <c r="D2552" s="287">
        <v>178</v>
      </c>
      <c r="E2552" s="380">
        <v>42871</v>
      </c>
      <c r="F2552" s="381">
        <v>198.08</v>
      </c>
    </row>
    <row r="2553" spans="1:6" s="295" customFormat="1" x14ac:dyDescent="0.15">
      <c r="A2553" s="374" t="s">
        <v>1290</v>
      </c>
      <c r="B2553" s="287" t="s">
        <v>1291</v>
      </c>
      <c r="C2553" s="287" t="s">
        <v>1277</v>
      </c>
      <c r="D2553" s="287">
        <v>293.8</v>
      </c>
      <c r="E2553" s="380">
        <v>42871</v>
      </c>
      <c r="F2553" s="381">
        <v>303.27</v>
      </c>
    </row>
    <row r="2554" spans="1:6" s="295" customFormat="1" x14ac:dyDescent="0.15">
      <c r="A2554" s="374" t="s">
        <v>1327</v>
      </c>
      <c r="B2554" s="287" t="s">
        <v>1328</v>
      </c>
      <c r="C2554" s="287" t="s">
        <v>1329</v>
      </c>
      <c r="D2554" s="287">
        <v>50.4</v>
      </c>
      <c r="E2554" s="380">
        <v>42871</v>
      </c>
      <c r="F2554" s="381">
        <v>74.72</v>
      </c>
    </row>
    <row r="2555" spans="1:6" s="295" customFormat="1" x14ac:dyDescent="0.15">
      <c r="A2555" s="374" t="s">
        <v>1292</v>
      </c>
      <c r="B2555" s="287" t="s">
        <v>1255</v>
      </c>
      <c r="C2555" s="287" t="s">
        <v>1256</v>
      </c>
      <c r="D2555" s="287">
        <v>872.8</v>
      </c>
      <c r="E2555" s="380">
        <v>42871</v>
      </c>
      <c r="F2555" s="381">
        <v>727.63</v>
      </c>
    </row>
    <row r="2556" spans="1:6" s="295" customFormat="1" x14ac:dyDescent="0.15">
      <c r="A2556" s="374" t="s">
        <v>1312</v>
      </c>
      <c r="B2556" s="287" t="s">
        <v>1313</v>
      </c>
      <c r="C2556" s="287" t="s">
        <v>1313</v>
      </c>
      <c r="D2556" s="287">
        <v>338.6</v>
      </c>
      <c r="E2556" s="380">
        <v>42871</v>
      </c>
      <c r="F2556" s="381">
        <v>344.61</v>
      </c>
    </row>
    <row r="2557" spans="1:6" s="295" customFormat="1" x14ac:dyDescent="0.15">
      <c r="A2557" s="374" t="s">
        <v>1314</v>
      </c>
      <c r="B2557" s="287" t="s">
        <v>1315</v>
      </c>
      <c r="C2557" s="287" t="s">
        <v>1316</v>
      </c>
      <c r="D2557" s="287">
        <v>27.8</v>
      </c>
      <c r="E2557" s="380">
        <v>42871</v>
      </c>
      <c r="F2557" s="381">
        <v>45.05</v>
      </c>
    </row>
    <row r="2558" spans="1:6" s="295" customFormat="1" x14ac:dyDescent="0.15">
      <c r="A2558" s="374" t="s">
        <v>1322</v>
      </c>
      <c r="B2558" s="287" t="s">
        <v>1250</v>
      </c>
      <c r="C2558" s="287" t="s">
        <v>1251</v>
      </c>
      <c r="D2558" s="287">
        <v>8.1999999999999993</v>
      </c>
      <c r="E2558" s="380">
        <v>42871</v>
      </c>
      <c r="F2558" s="381">
        <v>21.92</v>
      </c>
    </row>
    <row r="2559" spans="1:6" s="295" customFormat="1" x14ac:dyDescent="0.15">
      <c r="A2559" s="374" t="s">
        <v>1326</v>
      </c>
      <c r="B2559" s="287" t="s">
        <v>1284</v>
      </c>
      <c r="C2559" s="287" t="s">
        <v>1285</v>
      </c>
      <c r="D2559" s="397">
        <v>81.3</v>
      </c>
      <c r="E2559" s="380">
        <v>42871</v>
      </c>
      <c r="F2559" s="381">
        <v>107.27</v>
      </c>
    </row>
    <row r="2560" spans="1:6" s="295" customFormat="1" x14ac:dyDescent="0.15">
      <c r="A2560" s="374" t="s">
        <v>1323</v>
      </c>
      <c r="B2560" s="287" t="s">
        <v>1252</v>
      </c>
      <c r="C2560" s="287" t="s">
        <v>1253</v>
      </c>
      <c r="D2560" s="287">
        <v>459</v>
      </c>
      <c r="E2560" s="380">
        <v>42871</v>
      </c>
      <c r="F2560" s="381">
        <v>453.81</v>
      </c>
    </row>
    <row r="2561" spans="1:6" s="295" customFormat="1" x14ac:dyDescent="0.15">
      <c r="A2561" s="374" t="s">
        <v>1325</v>
      </c>
      <c r="B2561" s="287" t="s">
        <v>1279</v>
      </c>
      <c r="C2561" s="287" t="s">
        <v>1280</v>
      </c>
      <c r="D2561" s="397">
        <v>287.10000000000002</v>
      </c>
      <c r="E2561" s="380">
        <v>42871</v>
      </c>
      <c r="F2561" s="381">
        <v>297.55</v>
      </c>
    </row>
    <row r="2562" spans="1:6" s="295" customFormat="1" x14ac:dyDescent="0.15">
      <c r="A2562" s="374" t="s">
        <v>1324</v>
      </c>
      <c r="B2562" s="287" t="s">
        <v>1275</v>
      </c>
      <c r="C2562" s="287" t="s">
        <v>1276</v>
      </c>
      <c r="D2562" s="397">
        <v>471.3</v>
      </c>
      <c r="E2562" s="380">
        <v>42871</v>
      </c>
      <c r="F2562" s="381">
        <v>465.06</v>
      </c>
    </row>
    <row r="2563" spans="1:6" s="295" customFormat="1" x14ac:dyDescent="0.15">
      <c r="A2563" s="374" t="s">
        <v>1321</v>
      </c>
      <c r="B2563" s="287" t="s">
        <v>1244</v>
      </c>
      <c r="C2563" s="287" t="s">
        <v>1245</v>
      </c>
      <c r="D2563" s="287">
        <v>307.7</v>
      </c>
      <c r="E2563" s="380">
        <v>42871</v>
      </c>
      <c r="F2563" s="381">
        <v>316.11</v>
      </c>
    </row>
    <row r="2564" spans="1:6" s="295" customFormat="1" ht="14" thickBot="1" x14ac:dyDescent="0.2">
      <c r="A2564" s="374"/>
      <c r="B2564" s="287"/>
      <c r="C2564" s="291" t="s">
        <v>115</v>
      </c>
      <c r="D2564" s="394">
        <f>SUM(D2544:D2563)</f>
        <v>4803.3</v>
      </c>
      <c r="E2564" s="384"/>
      <c r="F2564" s="389">
        <v>4942.2000000000007</v>
      </c>
    </row>
    <row r="2565" spans="1:6" s="295" customFormat="1" ht="14" thickTop="1" x14ac:dyDescent="0.15">
      <c r="A2565" s="374"/>
      <c r="B2565" s="287"/>
      <c r="C2565" s="287"/>
      <c r="D2565" s="287"/>
      <c r="E2565" s="380"/>
      <c r="F2565" s="381"/>
    </row>
    <row r="2566" spans="1:6" s="295" customFormat="1" x14ac:dyDescent="0.15">
      <c r="A2566" s="374"/>
      <c r="B2566" s="287"/>
      <c r="C2566" s="378" t="s">
        <v>1212</v>
      </c>
      <c r="D2566" s="287"/>
      <c r="E2566" s="380"/>
      <c r="F2566" s="381"/>
    </row>
    <row r="2567" spans="1:6" s="295" customFormat="1" x14ac:dyDescent="0.15">
      <c r="A2567" s="374"/>
      <c r="B2567" s="287"/>
      <c r="C2567" s="378" t="s">
        <v>1139</v>
      </c>
      <c r="D2567" s="287"/>
      <c r="E2567" s="380"/>
      <c r="F2567" s="381"/>
    </row>
    <row r="2568" spans="1:6" s="295" customFormat="1" x14ac:dyDescent="0.15">
      <c r="A2568" s="374"/>
      <c r="B2568" s="287"/>
      <c r="C2568" s="386">
        <v>42874</v>
      </c>
      <c r="D2568" s="287"/>
      <c r="E2568" s="380"/>
      <c r="F2568" s="381"/>
    </row>
    <row r="2569" spans="1:6" s="295" customFormat="1" x14ac:dyDescent="0.15">
      <c r="A2569" s="409"/>
      <c r="B2569" s="410"/>
      <c r="C2569" s="410"/>
      <c r="D2569" s="410"/>
      <c r="E2569" s="403"/>
      <c r="F2569" s="411"/>
    </row>
    <row r="2570" spans="1:6" s="295" customFormat="1" x14ac:dyDescent="0.15">
      <c r="A2570" s="370" t="s">
        <v>1302</v>
      </c>
      <c r="B2570" s="371" t="s">
        <v>1226</v>
      </c>
      <c r="C2570" s="371" t="s">
        <v>1227</v>
      </c>
      <c r="D2570" s="371">
        <v>405.4</v>
      </c>
      <c r="E2570" s="390">
        <v>42887</v>
      </c>
      <c r="F2570" s="391">
        <v>338.01</v>
      </c>
    </row>
    <row r="2571" spans="1:6" s="295" customFormat="1" x14ac:dyDescent="0.15">
      <c r="A2571" s="374" t="s">
        <v>1303</v>
      </c>
      <c r="B2571" s="287" t="s">
        <v>1228</v>
      </c>
      <c r="C2571" s="287" t="s">
        <v>1229</v>
      </c>
      <c r="D2571" s="287">
        <v>221.2</v>
      </c>
      <c r="E2571" s="380">
        <v>42887</v>
      </c>
      <c r="F2571" s="381">
        <v>200.79</v>
      </c>
    </row>
    <row r="2572" spans="1:6" s="295" customFormat="1" x14ac:dyDescent="0.15">
      <c r="A2572" s="374" t="s">
        <v>1304</v>
      </c>
      <c r="B2572" s="287" t="s">
        <v>1230</v>
      </c>
      <c r="C2572" s="287" t="s">
        <v>1231</v>
      </c>
      <c r="D2572" s="287">
        <v>250.1</v>
      </c>
      <c r="E2572" s="380">
        <v>42887</v>
      </c>
      <c r="F2572" s="381">
        <v>222.47</v>
      </c>
    </row>
    <row r="2573" spans="1:6" s="295" customFormat="1" x14ac:dyDescent="0.15">
      <c r="A2573" s="374" t="s">
        <v>1305</v>
      </c>
      <c r="B2573" s="287" t="s">
        <v>1306</v>
      </c>
      <c r="C2573" s="287" t="s">
        <v>1233</v>
      </c>
      <c r="D2573" s="287">
        <v>1281.2</v>
      </c>
      <c r="E2573" s="380">
        <v>42887</v>
      </c>
      <c r="F2573" s="381">
        <v>701.76</v>
      </c>
    </row>
    <row r="2574" spans="1:6" s="295" customFormat="1" x14ac:dyDescent="0.15">
      <c r="A2574" s="374" t="s">
        <v>1307</v>
      </c>
      <c r="B2574" s="287" t="s">
        <v>1234</v>
      </c>
      <c r="C2574" s="287" t="s">
        <v>500</v>
      </c>
      <c r="D2574" s="287">
        <v>506.3</v>
      </c>
      <c r="E2574" s="380">
        <v>42887</v>
      </c>
      <c r="F2574" s="381">
        <v>301.39999999999998</v>
      </c>
    </row>
    <row r="2575" spans="1:6" s="295" customFormat="1" x14ac:dyDescent="0.15">
      <c r="A2575" s="374" t="s">
        <v>1308</v>
      </c>
      <c r="B2575" s="287" t="s">
        <v>1235</v>
      </c>
      <c r="C2575" s="287" t="s">
        <v>1236</v>
      </c>
      <c r="D2575" s="287">
        <v>518.6</v>
      </c>
      <c r="E2575" s="380">
        <v>42887</v>
      </c>
      <c r="F2575" s="381">
        <v>422.54</v>
      </c>
    </row>
    <row r="2576" spans="1:6" s="295" customFormat="1" x14ac:dyDescent="0.15">
      <c r="A2576" s="374" t="s">
        <v>1318</v>
      </c>
      <c r="B2576" s="287" t="s">
        <v>1238</v>
      </c>
      <c r="C2576" s="287" t="s">
        <v>1239</v>
      </c>
      <c r="D2576" s="287">
        <v>390</v>
      </c>
      <c r="E2576" s="380">
        <v>42887</v>
      </c>
      <c r="F2576" s="381">
        <v>326.74</v>
      </c>
    </row>
    <row r="2577" spans="1:6" s="295" customFormat="1" x14ac:dyDescent="0.15">
      <c r="A2577" s="374" t="s">
        <v>1309</v>
      </c>
      <c r="B2577" s="287" t="s">
        <v>1240</v>
      </c>
      <c r="C2577" s="287" t="s">
        <v>1241</v>
      </c>
      <c r="D2577" s="287">
        <v>271.7</v>
      </c>
      <c r="E2577" s="380">
        <v>42887</v>
      </c>
      <c r="F2577" s="381">
        <v>238.74</v>
      </c>
    </row>
    <row r="2578" spans="1:6" s="295" customFormat="1" x14ac:dyDescent="0.15">
      <c r="A2578" s="374" t="s">
        <v>1310</v>
      </c>
      <c r="B2578" s="287" t="s">
        <v>1282</v>
      </c>
      <c r="C2578" s="287" t="s">
        <v>1283</v>
      </c>
      <c r="D2578" s="287">
        <v>511.4</v>
      </c>
      <c r="E2578" s="380">
        <v>42887</v>
      </c>
      <c r="F2578" s="381">
        <v>417.21</v>
      </c>
    </row>
    <row r="2579" spans="1:6" s="295" customFormat="1" x14ac:dyDescent="0.15">
      <c r="A2579" s="374" t="s">
        <v>1319</v>
      </c>
      <c r="B2579" s="287" t="s">
        <v>1246</v>
      </c>
      <c r="C2579" s="287" t="s">
        <v>1247</v>
      </c>
      <c r="D2579" s="287">
        <v>469.2</v>
      </c>
      <c r="E2579" s="380">
        <v>42887</v>
      </c>
      <c r="F2579" s="381">
        <v>385.78</v>
      </c>
    </row>
    <row r="2580" spans="1:6" s="295" customFormat="1" x14ac:dyDescent="0.15">
      <c r="A2580" s="374" t="s">
        <v>1311</v>
      </c>
      <c r="B2580" s="287" t="s">
        <v>1248</v>
      </c>
      <c r="C2580" s="287" t="s">
        <v>1249</v>
      </c>
      <c r="D2580" s="287">
        <v>68.900000000000006</v>
      </c>
      <c r="E2580" s="380">
        <v>42887</v>
      </c>
      <c r="F2580" s="381">
        <v>83.82</v>
      </c>
    </row>
    <row r="2581" spans="1:6" s="295" customFormat="1" x14ac:dyDescent="0.15">
      <c r="A2581" s="374" t="s">
        <v>1320</v>
      </c>
      <c r="B2581" s="287" t="s">
        <v>1288</v>
      </c>
      <c r="C2581" s="287" t="s">
        <v>1289</v>
      </c>
      <c r="D2581" s="397">
        <v>77.2</v>
      </c>
      <c r="E2581" s="380">
        <v>42887</v>
      </c>
      <c r="F2581" s="381">
        <v>90.3</v>
      </c>
    </row>
    <row r="2582" spans="1:6" s="295" customFormat="1" ht="14" thickBot="1" x14ac:dyDescent="0.2">
      <c r="A2582" s="374"/>
      <c r="B2582" s="287"/>
      <c r="C2582" s="291" t="s">
        <v>115</v>
      </c>
      <c r="D2582" s="383">
        <f>SUM(D2570:D2581)</f>
        <v>4971.1999999999989</v>
      </c>
      <c r="E2582" s="404"/>
      <c r="F2582" s="389">
        <v>3729.5599999999995</v>
      </c>
    </row>
    <row r="2583" spans="1:6" s="295" customFormat="1" ht="14" thickTop="1" x14ac:dyDescent="0.15">
      <c r="A2583" s="374"/>
      <c r="B2583" s="287"/>
      <c r="C2583" s="293"/>
      <c r="D2583" s="416"/>
      <c r="E2583" s="380"/>
      <c r="F2583" s="417"/>
    </row>
    <row r="2584" spans="1:6" s="295" customFormat="1" x14ac:dyDescent="0.15">
      <c r="A2584" s="374"/>
      <c r="B2584" s="287"/>
      <c r="C2584" s="378" t="s">
        <v>1212</v>
      </c>
      <c r="D2584" s="287"/>
      <c r="E2584" s="380"/>
      <c r="F2584" s="381"/>
    </row>
    <row r="2585" spans="1:6" s="295" customFormat="1" x14ac:dyDescent="0.15">
      <c r="A2585" s="374"/>
      <c r="B2585" s="287"/>
      <c r="C2585" s="378" t="s">
        <v>1139</v>
      </c>
      <c r="D2585" s="287"/>
      <c r="E2585" s="380"/>
      <c r="F2585" s="381"/>
    </row>
    <row r="2586" spans="1:6" s="295" customFormat="1" x14ac:dyDescent="0.15">
      <c r="A2586" s="374"/>
      <c r="B2586" s="287"/>
      <c r="C2586" s="386">
        <v>42886</v>
      </c>
      <c r="D2586" s="287"/>
      <c r="E2586" s="380"/>
      <c r="F2586" s="381"/>
    </row>
    <row r="2587" spans="1:6" s="295" customFormat="1" x14ac:dyDescent="0.15">
      <c r="A2587" s="409"/>
      <c r="B2587" s="410"/>
      <c r="C2587" s="410"/>
      <c r="D2587" s="410"/>
      <c r="E2587" s="403"/>
      <c r="F2587" s="411"/>
    </row>
    <row r="2588" spans="1:6" s="295" customFormat="1" ht="14" thickBot="1" x14ac:dyDescent="0.2">
      <c r="A2588" s="412"/>
      <c r="B2588" s="281"/>
      <c r="C2588" s="291" t="s">
        <v>1173</v>
      </c>
      <c r="D2588" s="383">
        <f>SUM(D2564,D2582)</f>
        <v>9774.5</v>
      </c>
      <c r="E2588" s="384"/>
      <c r="F2588" s="389">
        <v>8671.76</v>
      </c>
    </row>
    <row r="2589" spans="1:6" s="295" customFormat="1" ht="14" thickTop="1" x14ac:dyDescent="0.15">
      <c r="A2589" s="370"/>
      <c r="B2589" s="371"/>
      <c r="C2589" s="413"/>
      <c r="D2589" s="414"/>
      <c r="E2589" s="390"/>
      <c r="F2589" s="415"/>
    </row>
    <row r="2590" spans="1:6" s="295" customFormat="1" x14ac:dyDescent="0.15">
      <c r="A2590" s="370" t="s">
        <v>1299</v>
      </c>
      <c r="B2590" s="371" t="s">
        <v>1269</v>
      </c>
      <c r="C2590" s="371" t="s">
        <v>1270</v>
      </c>
      <c r="D2590" s="371">
        <v>96.7</v>
      </c>
      <c r="E2590" s="390">
        <v>42902</v>
      </c>
      <c r="F2590" s="391">
        <v>101.87</v>
      </c>
    </row>
    <row r="2591" spans="1:6" s="295" customFormat="1" x14ac:dyDescent="0.15">
      <c r="A2591" s="374" t="s">
        <v>1293</v>
      </c>
      <c r="B2591" s="287" t="s">
        <v>1257</v>
      </c>
      <c r="C2591" s="287" t="s">
        <v>1258</v>
      </c>
      <c r="D2591" s="287">
        <v>148.19999999999999</v>
      </c>
      <c r="E2591" s="380">
        <v>42902</v>
      </c>
      <c r="F2591" s="381">
        <v>136.69999999999999</v>
      </c>
    </row>
    <row r="2592" spans="1:6" s="295" customFormat="1" x14ac:dyDescent="0.15">
      <c r="A2592" s="374" t="s">
        <v>1294</v>
      </c>
      <c r="B2592" s="287" t="s">
        <v>1259</v>
      </c>
      <c r="C2592" s="287" t="s">
        <v>1260</v>
      </c>
      <c r="D2592" s="287">
        <v>17.5</v>
      </c>
      <c r="E2592" s="380">
        <v>42902</v>
      </c>
      <c r="F2592" s="381">
        <v>29.29</v>
      </c>
    </row>
    <row r="2593" spans="1:6" s="295" customFormat="1" x14ac:dyDescent="0.15">
      <c r="A2593" s="374" t="s">
        <v>1296</v>
      </c>
      <c r="B2593" s="287" t="s">
        <v>1278</v>
      </c>
      <c r="C2593" s="287" t="s">
        <v>1264</v>
      </c>
      <c r="D2593" s="287">
        <v>180</v>
      </c>
      <c r="E2593" s="380">
        <v>42902</v>
      </c>
      <c r="F2593" s="381">
        <v>158.21</v>
      </c>
    </row>
    <row r="2594" spans="1:6" s="295" customFormat="1" x14ac:dyDescent="0.15">
      <c r="A2594" s="374" t="s">
        <v>1295</v>
      </c>
      <c r="B2594" s="287" t="s">
        <v>1261</v>
      </c>
      <c r="C2594" s="287" t="s">
        <v>1262</v>
      </c>
      <c r="D2594" s="287">
        <v>37</v>
      </c>
      <c r="E2594" s="380">
        <v>42902</v>
      </c>
      <c r="F2594" s="381">
        <v>49.2</v>
      </c>
    </row>
    <row r="2595" spans="1:6" s="295" customFormat="1" x14ac:dyDescent="0.15">
      <c r="A2595" s="374" t="s">
        <v>1301</v>
      </c>
      <c r="B2595" s="287" t="s">
        <v>1286</v>
      </c>
      <c r="C2595" s="287" t="s">
        <v>1287</v>
      </c>
      <c r="D2595" s="287">
        <v>72</v>
      </c>
      <c r="E2595" s="380">
        <v>42902</v>
      </c>
      <c r="F2595" s="381">
        <v>80.37</v>
      </c>
    </row>
    <row r="2596" spans="1:6" s="295" customFormat="1" x14ac:dyDescent="0.15">
      <c r="A2596" s="374" t="s">
        <v>1297</v>
      </c>
      <c r="B2596" s="287" t="s">
        <v>1265</v>
      </c>
      <c r="C2596" s="287" t="s">
        <v>1266</v>
      </c>
      <c r="D2596" s="287">
        <v>50.4</v>
      </c>
      <c r="E2596" s="380">
        <v>42902</v>
      </c>
      <c r="F2596" s="381">
        <v>62.87</v>
      </c>
    </row>
    <row r="2597" spans="1:6" s="295" customFormat="1" ht="12" customHeight="1" x14ac:dyDescent="0.15">
      <c r="A2597" s="374" t="s">
        <v>1298</v>
      </c>
      <c r="B2597" s="287" t="s">
        <v>1267</v>
      </c>
      <c r="C2597" s="287" t="s">
        <v>1268</v>
      </c>
      <c r="D2597" s="287">
        <v>128.6</v>
      </c>
      <c r="E2597" s="380">
        <v>42902</v>
      </c>
      <c r="F2597" s="381">
        <v>122.79</v>
      </c>
    </row>
    <row r="2598" spans="1:6" s="295" customFormat="1" x14ac:dyDescent="0.15">
      <c r="A2598" s="374" t="s">
        <v>1300</v>
      </c>
      <c r="B2598" s="287" t="s">
        <v>1271</v>
      </c>
      <c r="C2598" s="287" t="s">
        <v>1272</v>
      </c>
      <c r="D2598" s="287">
        <v>72</v>
      </c>
      <c r="E2598" s="380">
        <v>42902</v>
      </c>
      <c r="F2598" s="381">
        <v>80.37</v>
      </c>
    </row>
    <row r="2599" spans="1:6" s="295" customFormat="1" x14ac:dyDescent="0.15">
      <c r="A2599" s="374" t="s">
        <v>1290</v>
      </c>
      <c r="B2599" s="287" t="s">
        <v>1291</v>
      </c>
      <c r="C2599" s="287" t="s">
        <v>1277</v>
      </c>
      <c r="D2599" s="287">
        <f>178.8+14.4+53.3</f>
        <v>246.5</v>
      </c>
      <c r="E2599" s="380">
        <v>42902</v>
      </c>
      <c r="F2599" s="381">
        <v>203.18</v>
      </c>
    </row>
    <row r="2600" spans="1:6" s="295" customFormat="1" x14ac:dyDescent="0.15">
      <c r="A2600" s="374" t="s">
        <v>1292</v>
      </c>
      <c r="B2600" s="287" t="s">
        <v>1255</v>
      </c>
      <c r="C2600" s="287" t="s">
        <v>1256</v>
      </c>
      <c r="D2600" s="287">
        <v>647.70000000000005</v>
      </c>
      <c r="E2600" s="380">
        <v>42902</v>
      </c>
      <c r="F2600" s="381">
        <v>305.45999999999998</v>
      </c>
    </row>
    <row r="2601" spans="1:6" s="295" customFormat="1" x14ac:dyDescent="0.15">
      <c r="A2601" s="374" t="s">
        <v>1312</v>
      </c>
      <c r="B2601" s="287" t="s">
        <v>1313</v>
      </c>
      <c r="C2601" s="287" t="s">
        <v>1313</v>
      </c>
      <c r="D2601" s="287">
        <v>165.6</v>
      </c>
      <c r="E2601" s="380">
        <v>42902</v>
      </c>
      <c r="F2601" s="381">
        <v>148.47</v>
      </c>
    </row>
    <row r="2602" spans="1:6" s="295" customFormat="1" x14ac:dyDescent="0.15">
      <c r="A2602" s="374" t="s">
        <v>1314</v>
      </c>
      <c r="B2602" s="287" t="s">
        <v>1315</v>
      </c>
      <c r="C2602" s="287" t="s">
        <v>1316</v>
      </c>
      <c r="D2602" s="287">
        <v>12.3</v>
      </c>
      <c r="E2602" s="380">
        <v>42902</v>
      </c>
      <c r="F2602" s="381">
        <v>24.1</v>
      </c>
    </row>
    <row r="2603" spans="1:6" s="295" customFormat="1" x14ac:dyDescent="0.15">
      <c r="A2603" s="374" t="s">
        <v>1322</v>
      </c>
      <c r="B2603" s="287" t="s">
        <v>1250</v>
      </c>
      <c r="C2603" s="287" t="s">
        <v>1251</v>
      </c>
      <c r="D2603" s="287">
        <v>10.3</v>
      </c>
      <c r="E2603" s="380">
        <v>42902</v>
      </c>
      <c r="F2603" s="381">
        <v>22.22</v>
      </c>
    </row>
    <row r="2604" spans="1:6" s="295" customFormat="1" x14ac:dyDescent="0.15">
      <c r="A2604" s="374" t="s">
        <v>1326</v>
      </c>
      <c r="B2604" s="287" t="s">
        <v>1284</v>
      </c>
      <c r="C2604" s="287" t="s">
        <v>1285</v>
      </c>
      <c r="D2604" s="397">
        <v>49.4</v>
      </c>
      <c r="E2604" s="380">
        <v>42902</v>
      </c>
      <c r="F2604" s="381">
        <v>61.85</v>
      </c>
    </row>
    <row r="2605" spans="1:6" s="295" customFormat="1" x14ac:dyDescent="0.15">
      <c r="A2605" s="374" t="s">
        <v>1323</v>
      </c>
      <c r="B2605" s="287" t="s">
        <v>1252</v>
      </c>
      <c r="C2605" s="287" t="s">
        <v>1253</v>
      </c>
      <c r="D2605" s="287">
        <v>297.3</v>
      </c>
      <c r="E2605" s="380">
        <v>42902</v>
      </c>
      <c r="F2605" s="381">
        <v>237.54</v>
      </c>
    </row>
    <row r="2606" spans="1:6" s="295" customFormat="1" x14ac:dyDescent="0.15">
      <c r="A2606" s="374" t="s">
        <v>1325</v>
      </c>
      <c r="B2606" s="287" t="s">
        <v>1279</v>
      </c>
      <c r="C2606" s="287" t="s">
        <v>1280</v>
      </c>
      <c r="D2606" s="397">
        <v>220.2</v>
      </c>
      <c r="E2606" s="380">
        <v>42902</v>
      </c>
      <c r="F2606" s="381">
        <v>185.39</v>
      </c>
    </row>
    <row r="2607" spans="1:6" s="295" customFormat="1" x14ac:dyDescent="0.15">
      <c r="A2607" s="374" t="s">
        <v>1324</v>
      </c>
      <c r="B2607" s="287" t="s">
        <v>1275</v>
      </c>
      <c r="C2607" s="287" t="s">
        <v>1276</v>
      </c>
      <c r="D2607" s="397">
        <v>113.2</v>
      </c>
      <c r="E2607" s="380">
        <v>42902</v>
      </c>
      <c r="F2607" s="381">
        <v>113.03</v>
      </c>
    </row>
    <row r="2608" spans="1:6" s="295" customFormat="1" x14ac:dyDescent="0.15">
      <c r="A2608" s="374" t="s">
        <v>1321</v>
      </c>
      <c r="B2608" s="287" t="s">
        <v>1244</v>
      </c>
      <c r="C2608" s="287" t="s">
        <v>1245</v>
      </c>
      <c r="D2608" s="287">
        <v>127.6</v>
      </c>
      <c r="E2608" s="380">
        <v>42902</v>
      </c>
      <c r="F2608" s="381">
        <v>122.77</v>
      </c>
    </row>
    <row r="2609" spans="1:6" s="295" customFormat="1" ht="14" thickBot="1" x14ac:dyDescent="0.2">
      <c r="A2609" s="374"/>
      <c r="B2609" s="287"/>
      <c r="C2609" s="291" t="s">
        <v>115</v>
      </c>
      <c r="D2609" s="394">
        <f>SUM(D2590:D2608)</f>
        <v>2692.4999999999995</v>
      </c>
      <c r="E2609" s="384"/>
      <c r="F2609" s="389">
        <v>2245.6799999999998</v>
      </c>
    </row>
    <row r="2610" spans="1:6" s="295" customFormat="1" ht="14" thickTop="1" x14ac:dyDescent="0.15">
      <c r="A2610" s="374"/>
      <c r="B2610" s="287"/>
      <c r="C2610" s="287"/>
      <c r="D2610" s="287"/>
      <c r="E2610" s="380"/>
      <c r="F2610" s="381"/>
    </row>
    <row r="2611" spans="1:6" s="295" customFormat="1" x14ac:dyDescent="0.15">
      <c r="A2611" s="374"/>
      <c r="B2611" s="287"/>
      <c r="C2611" s="378" t="s">
        <v>1212</v>
      </c>
      <c r="D2611" s="287"/>
      <c r="E2611" s="380"/>
      <c r="F2611" s="381"/>
    </row>
    <row r="2612" spans="1:6" s="295" customFormat="1" x14ac:dyDescent="0.15">
      <c r="A2612" s="374"/>
      <c r="B2612" s="287"/>
      <c r="C2612" s="378" t="s">
        <v>1139</v>
      </c>
      <c r="D2612" s="287"/>
      <c r="E2612" s="380"/>
      <c r="F2612" s="381"/>
    </row>
    <row r="2613" spans="1:6" s="295" customFormat="1" x14ac:dyDescent="0.15">
      <c r="A2613" s="374"/>
      <c r="B2613" s="287"/>
      <c r="C2613" s="386">
        <v>42909</v>
      </c>
      <c r="D2613" s="287"/>
      <c r="E2613" s="380"/>
      <c r="F2613" s="381"/>
    </row>
    <row r="2614" spans="1:6" s="295" customFormat="1" x14ac:dyDescent="0.15">
      <c r="A2614" s="409"/>
      <c r="B2614" s="410"/>
      <c r="C2614" s="410"/>
      <c r="D2614" s="410"/>
      <c r="E2614" s="403"/>
      <c r="F2614" s="411"/>
    </row>
    <row r="2615" spans="1:6" s="295" customFormat="1" x14ac:dyDescent="0.15">
      <c r="A2615" s="370" t="s">
        <v>1302</v>
      </c>
      <c r="B2615" s="371" t="s">
        <v>1226</v>
      </c>
      <c r="C2615" s="371" t="s">
        <v>1227</v>
      </c>
      <c r="D2615" s="371">
        <v>141.9</v>
      </c>
      <c r="E2615" s="390">
        <v>42919</v>
      </c>
      <c r="F2615" s="391">
        <v>132.44</v>
      </c>
    </row>
    <row r="2616" spans="1:6" s="295" customFormat="1" x14ac:dyDescent="0.15">
      <c r="A2616" s="374" t="s">
        <v>1303</v>
      </c>
      <c r="B2616" s="287" t="s">
        <v>1228</v>
      </c>
      <c r="C2616" s="287" t="s">
        <v>1229</v>
      </c>
      <c r="D2616" s="287">
        <v>94.6</v>
      </c>
      <c r="E2616" s="380">
        <v>42919</v>
      </c>
      <c r="F2616" s="381">
        <v>100.45</v>
      </c>
    </row>
    <row r="2617" spans="1:6" s="295" customFormat="1" x14ac:dyDescent="0.15">
      <c r="A2617" s="374" t="s">
        <v>1304</v>
      </c>
      <c r="B2617" s="287" t="s">
        <v>1230</v>
      </c>
      <c r="C2617" s="287" t="s">
        <v>1231</v>
      </c>
      <c r="D2617" s="287">
        <v>105.9</v>
      </c>
      <c r="E2617" s="380">
        <v>42919</v>
      </c>
      <c r="F2617" s="381">
        <v>108.09</v>
      </c>
    </row>
    <row r="2618" spans="1:6" s="295" customFormat="1" x14ac:dyDescent="0.15">
      <c r="A2618" s="374" t="s">
        <v>1305</v>
      </c>
      <c r="B2618" s="287" t="s">
        <v>1306</v>
      </c>
      <c r="C2618" s="287" t="s">
        <v>1233</v>
      </c>
      <c r="D2618" s="287">
        <v>713.8</v>
      </c>
      <c r="E2618" s="380">
        <v>42919</v>
      </c>
      <c r="F2618" s="381">
        <v>342.23</v>
      </c>
    </row>
    <row r="2619" spans="1:6" s="295" customFormat="1" x14ac:dyDescent="0.15">
      <c r="A2619" s="374" t="s">
        <v>1307</v>
      </c>
      <c r="B2619" s="287" t="s">
        <v>1234</v>
      </c>
      <c r="C2619" s="287" t="s">
        <v>500</v>
      </c>
      <c r="D2619" s="287">
        <v>272.60000000000002</v>
      </c>
      <c r="E2619" s="380">
        <v>42919</v>
      </c>
      <c r="F2619" s="381">
        <v>147.47999999999999</v>
      </c>
    </row>
    <row r="2620" spans="1:6" s="295" customFormat="1" x14ac:dyDescent="0.15">
      <c r="A2620" s="374" t="s">
        <v>1308</v>
      </c>
      <c r="B2620" s="287" t="s">
        <v>1235</v>
      </c>
      <c r="C2620" s="287" t="s">
        <v>1236</v>
      </c>
      <c r="D2620" s="287">
        <v>231.4</v>
      </c>
      <c r="E2620" s="380">
        <v>42919</v>
      </c>
      <c r="F2620" s="381">
        <v>192.97</v>
      </c>
    </row>
    <row r="2621" spans="1:6" s="295" customFormat="1" x14ac:dyDescent="0.15">
      <c r="A2621" s="374" t="s">
        <v>1318</v>
      </c>
      <c r="B2621" s="287" t="s">
        <v>1238</v>
      </c>
      <c r="C2621" s="287" t="s">
        <v>1239</v>
      </c>
      <c r="D2621" s="287">
        <v>203.7</v>
      </c>
      <c r="E2621" s="380">
        <v>42919</v>
      </c>
      <c r="F2621" s="381">
        <v>174.24</v>
      </c>
    </row>
    <row r="2622" spans="1:6" s="295" customFormat="1" x14ac:dyDescent="0.15">
      <c r="A2622" s="374" t="s">
        <v>1309</v>
      </c>
      <c r="B2622" s="287" t="s">
        <v>1240</v>
      </c>
      <c r="C2622" s="287" t="s">
        <v>1241</v>
      </c>
      <c r="D2622" s="287">
        <v>110.1</v>
      </c>
      <c r="E2622" s="380">
        <v>42919</v>
      </c>
      <c r="F2622" s="381">
        <v>110.93</v>
      </c>
    </row>
    <row r="2623" spans="1:6" s="295" customFormat="1" x14ac:dyDescent="0.15">
      <c r="A2623" s="374" t="s">
        <v>1310</v>
      </c>
      <c r="B2623" s="287" t="s">
        <v>1282</v>
      </c>
      <c r="C2623" s="287" t="s">
        <v>1283</v>
      </c>
      <c r="D2623" s="287">
        <v>238.5</v>
      </c>
      <c r="E2623" s="380">
        <v>42919</v>
      </c>
      <c r="F2623" s="381">
        <v>197.77</v>
      </c>
    </row>
    <row r="2624" spans="1:6" s="295" customFormat="1" x14ac:dyDescent="0.15">
      <c r="A2624" s="374" t="s">
        <v>1319</v>
      </c>
      <c r="B2624" s="287" t="s">
        <v>1246</v>
      </c>
      <c r="C2624" s="287" t="s">
        <v>1247</v>
      </c>
      <c r="D2624" s="287">
        <v>235.5</v>
      </c>
      <c r="E2624" s="380">
        <v>42919</v>
      </c>
      <c r="F2624" s="381">
        <v>195.74</v>
      </c>
    </row>
    <row r="2625" spans="1:6" s="295" customFormat="1" x14ac:dyDescent="0.15">
      <c r="A2625" s="374" t="s">
        <v>1311</v>
      </c>
      <c r="B2625" s="287" t="s">
        <v>1248</v>
      </c>
      <c r="C2625" s="287" t="s">
        <v>1249</v>
      </c>
      <c r="D2625" s="287">
        <v>89.5</v>
      </c>
      <c r="E2625" s="380">
        <v>42919</v>
      </c>
      <c r="F2625" s="381">
        <v>94.22</v>
      </c>
    </row>
    <row r="2626" spans="1:6" s="295" customFormat="1" x14ac:dyDescent="0.15">
      <c r="A2626" s="374" t="s">
        <v>1320</v>
      </c>
      <c r="B2626" s="287" t="s">
        <v>1288</v>
      </c>
      <c r="C2626" s="287" t="s">
        <v>1289</v>
      </c>
      <c r="D2626" s="397">
        <v>22.6</v>
      </c>
      <c r="E2626" s="380">
        <v>42919</v>
      </c>
      <c r="F2626" s="381">
        <v>33.81</v>
      </c>
    </row>
    <row r="2627" spans="1:6" s="295" customFormat="1" ht="14" thickBot="1" x14ac:dyDescent="0.2">
      <c r="A2627" s="374"/>
      <c r="B2627" s="287"/>
      <c r="C2627" s="291" t="s">
        <v>115</v>
      </c>
      <c r="D2627" s="383">
        <f>SUM(D2615:D2626)</f>
        <v>2460.1</v>
      </c>
      <c r="E2627" s="384"/>
      <c r="F2627" s="389">
        <v>1830.37</v>
      </c>
    </row>
    <row r="2628" spans="1:6" s="295" customFormat="1" ht="14" thickTop="1" x14ac:dyDescent="0.15">
      <c r="A2628" s="409"/>
      <c r="B2628" s="410"/>
      <c r="C2628" s="410"/>
      <c r="D2628" s="410"/>
      <c r="E2628" s="403"/>
      <c r="F2628" s="411"/>
    </row>
    <row r="2629" spans="1:6" s="295" customFormat="1" x14ac:dyDescent="0.15">
      <c r="A2629" s="374"/>
      <c r="B2629" s="287"/>
      <c r="C2629" s="378" t="s">
        <v>1212</v>
      </c>
      <c r="D2629" s="287"/>
      <c r="E2629" s="380"/>
      <c r="F2629" s="381"/>
    </row>
    <row r="2630" spans="1:6" s="295" customFormat="1" x14ac:dyDescent="0.15">
      <c r="A2630" s="374"/>
      <c r="B2630" s="287"/>
      <c r="C2630" s="378" t="s">
        <v>1139</v>
      </c>
      <c r="D2630" s="287"/>
      <c r="E2630" s="380"/>
      <c r="F2630" s="381"/>
    </row>
    <row r="2631" spans="1:6" s="295" customFormat="1" x14ac:dyDescent="0.15">
      <c r="A2631" s="374"/>
      <c r="B2631" s="287"/>
      <c r="C2631" s="386">
        <v>42916</v>
      </c>
      <c r="D2631" s="287"/>
      <c r="E2631" s="380"/>
      <c r="F2631" s="381"/>
    </row>
    <row r="2632" spans="1:6" s="295" customFormat="1" x14ac:dyDescent="0.15">
      <c r="A2632" s="409"/>
      <c r="B2632" s="410"/>
      <c r="C2632" s="410"/>
      <c r="D2632" s="410"/>
      <c r="E2632" s="403"/>
      <c r="F2632" s="411"/>
    </row>
    <row r="2633" spans="1:6" s="295" customFormat="1" ht="14" thickBot="1" x14ac:dyDescent="0.2">
      <c r="A2633" s="412"/>
      <c r="B2633" s="281"/>
      <c r="C2633" s="291" t="s">
        <v>1174</v>
      </c>
      <c r="D2633" s="383">
        <f>SUM(D2609,D2627)</f>
        <v>5152.5999999999995</v>
      </c>
      <c r="E2633" s="384"/>
      <c r="F2633" s="389">
        <v>4076.0499999999997</v>
      </c>
    </row>
    <row r="2634" spans="1:6" ht="15" thickTop="1" thickBot="1" x14ac:dyDescent="0.2"/>
    <row r="2635" spans="1:6" s="310" customFormat="1" ht="31" thickBot="1" x14ac:dyDescent="0.35">
      <c r="A2635" s="776" t="s">
        <v>1112</v>
      </c>
      <c r="B2635" s="777"/>
      <c r="C2635" s="777"/>
      <c r="D2635" s="777"/>
      <c r="E2635" s="777"/>
      <c r="F2635" s="778"/>
    </row>
    <row r="2636" spans="1:6" s="310" customFormat="1" x14ac:dyDescent="0.15">
      <c r="E2636" s="418"/>
      <c r="F2636" s="336"/>
    </row>
    <row r="2637" spans="1:6" s="310" customFormat="1" x14ac:dyDescent="0.15">
      <c r="A2637" s="419" t="s">
        <v>1299</v>
      </c>
      <c r="B2637" s="420" t="s">
        <v>1269</v>
      </c>
      <c r="C2637" s="420" t="s">
        <v>1270</v>
      </c>
      <c r="D2637" s="420">
        <v>20.6</v>
      </c>
      <c r="E2637" s="421">
        <v>42935</v>
      </c>
      <c r="F2637" s="422">
        <v>31.93</v>
      </c>
    </row>
    <row r="2638" spans="1:6" s="310" customFormat="1" x14ac:dyDescent="0.15">
      <c r="A2638" s="423" t="s">
        <v>1293</v>
      </c>
      <c r="B2638" s="337" t="s">
        <v>1257</v>
      </c>
      <c r="C2638" s="337" t="s">
        <v>1258</v>
      </c>
      <c r="D2638" s="337">
        <v>62.8</v>
      </c>
      <c r="E2638" s="424">
        <v>42935</v>
      </c>
      <c r="F2638" s="425">
        <v>71.7</v>
      </c>
    </row>
    <row r="2639" spans="1:6" s="310" customFormat="1" x14ac:dyDescent="0.15">
      <c r="A2639" s="423" t="s">
        <v>1294</v>
      </c>
      <c r="B2639" s="337" t="s">
        <v>1259</v>
      </c>
      <c r="C2639" s="337" t="s">
        <v>1260</v>
      </c>
      <c r="D2639" s="337">
        <v>0</v>
      </c>
      <c r="E2639" s="424">
        <v>42935</v>
      </c>
      <c r="F2639" s="425">
        <v>11.42</v>
      </c>
    </row>
    <row r="2640" spans="1:6" s="310" customFormat="1" x14ac:dyDescent="0.15">
      <c r="A2640" s="423" t="s">
        <v>1296</v>
      </c>
      <c r="B2640" s="337" t="s">
        <v>1278</v>
      </c>
      <c r="C2640" s="337" t="s">
        <v>1264</v>
      </c>
      <c r="D2640" s="337">
        <v>0</v>
      </c>
      <c r="E2640" s="424">
        <v>42935</v>
      </c>
      <c r="F2640" s="425">
        <v>12.51</v>
      </c>
    </row>
    <row r="2641" spans="1:6" s="310" customFormat="1" x14ac:dyDescent="0.15">
      <c r="A2641" s="423" t="s">
        <v>1295</v>
      </c>
      <c r="B2641" s="337" t="s">
        <v>1261</v>
      </c>
      <c r="C2641" s="337" t="s">
        <v>1262</v>
      </c>
      <c r="D2641" s="337">
        <v>0</v>
      </c>
      <c r="E2641" s="424">
        <v>42935</v>
      </c>
      <c r="F2641" s="425">
        <v>11.42</v>
      </c>
    </row>
    <row r="2642" spans="1:6" s="310" customFormat="1" x14ac:dyDescent="0.15">
      <c r="A2642" s="423" t="s">
        <v>1301</v>
      </c>
      <c r="B2642" s="337" t="s">
        <v>1286</v>
      </c>
      <c r="C2642" s="337" t="s">
        <v>1287</v>
      </c>
      <c r="D2642" s="337">
        <v>7.2</v>
      </c>
      <c r="E2642" s="424">
        <v>42935</v>
      </c>
      <c r="F2642" s="425">
        <v>19.3</v>
      </c>
    </row>
    <row r="2643" spans="1:6" s="310" customFormat="1" x14ac:dyDescent="0.15">
      <c r="A2643" s="423" t="s">
        <v>1297</v>
      </c>
      <c r="B2643" s="337" t="s">
        <v>1265</v>
      </c>
      <c r="C2643" s="337" t="s">
        <v>1266</v>
      </c>
      <c r="D2643" s="337">
        <v>22.6</v>
      </c>
      <c r="E2643" s="424">
        <v>42935</v>
      </c>
      <c r="F2643" s="425">
        <v>34.49</v>
      </c>
    </row>
    <row r="2644" spans="1:6" s="310" customFormat="1" ht="12" customHeight="1" x14ac:dyDescent="0.15">
      <c r="A2644" s="423" t="s">
        <v>1298</v>
      </c>
      <c r="B2644" s="337" t="s">
        <v>1267</v>
      </c>
      <c r="C2644" s="337" t="s">
        <v>1268</v>
      </c>
      <c r="D2644" s="337">
        <v>43.2</v>
      </c>
      <c r="E2644" s="424">
        <v>42935</v>
      </c>
      <c r="F2644" s="425">
        <v>55.52</v>
      </c>
    </row>
    <row r="2645" spans="1:6" s="310" customFormat="1" x14ac:dyDescent="0.15">
      <c r="A2645" s="423" t="s">
        <v>1300</v>
      </c>
      <c r="B2645" s="337" t="s">
        <v>1271</v>
      </c>
      <c r="C2645" s="337" t="s">
        <v>1272</v>
      </c>
      <c r="D2645" s="337">
        <v>48.3</v>
      </c>
      <c r="E2645" s="424">
        <v>42935</v>
      </c>
      <c r="F2645" s="425">
        <v>58.03</v>
      </c>
    </row>
    <row r="2646" spans="1:6" s="310" customFormat="1" x14ac:dyDescent="0.15">
      <c r="A2646" s="423" t="s">
        <v>1290</v>
      </c>
      <c r="B2646" s="337" t="s">
        <v>1291</v>
      </c>
      <c r="C2646" s="337" t="s">
        <v>1277</v>
      </c>
      <c r="D2646" s="337">
        <v>61.7</v>
      </c>
      <c r="E2646" s="424">
        <v>42935</v>
      </c>
      <c r="F2646" s="425">
        <v>70.66</v>
      </c>
    </row>
    <row r="2647" spans="1:6" s="310" customFormat="1" x14ac:dyDescent="0.15">
      <c r="A2647" s="423" t="s">
        <v>1292</v>
      </c>
      <c r="B2647" s="337" t="s">
        <v>1255</v>
      </c>
      <c r="C2647" s="337" t="s">
        <v>1256</v>
      </c>
      <c r="D2647" s="337">
        <v>265.89999999999998</v>
      </c>
      <c r="E2647" s="424">
        <v>42935</v>
      </c>
      <c r="F2647" s="425">
        <v>144.63999999999999</v>
      </c>
    </row>
    <row r="2648" spans="1:6" s="310" customFormat="1" x14ac:dyDescent="0.15">
      <c r="A2648" s="423" t="s">
        <v>1312</v>
      </c>
      <c r="B2648" s="337" t="s">
        <v>1313</v>
      </c>
      <c r="C2648" s="337" t="s">
        <v>1313</v>
      </c>
      <c r="D2648" s="337">
        <v>4.0999999999999996</v>
      </c>
      <c r="E2648" s="424">
        <v>42935</v>
      </c>
      <c r="F2648" s="425">
        <v>16.37</v>
      </c>
    </row>
    <row r="2649" spans="1:6" s="310" customFormat="1" x14ac:dyDescent="0.15">
      <c r="A2649" s="423" t="s">
        <v>1314</v>
      </c>
      <c r="B2649" s="337" t="s">
        <v>1315</v>
      </c>
      <c r="C2649" s="337" t="s">
        <v>1316</v>
      </c>
      <c r="D2649" s="337">
        <v>9.3000000000000007</v>
      </c>
      <c r="E2649" s="424">
        <v>42935</v>
      </c>
      <c r="F2649" s="425">
        <v>21.28</v>
      </c>
    </row>
    <row r="2650" spans="1:6" s="310" customFormat="1" x14ac:dyDescent="0.15">
      <c r="A2650" s="423" t="s">
        <v>1322</v>
      </c>
      <c r="B2650" s="337" t="s">
        <v>1250</v>
      </c>
      <c r="C2650" s="337" t="s">
        <v>1251</v>
      </c>
      <c r="D2650" s="337">
        <v>0</v>
      </c>
      <c r="E2650" s="424">
        <v>42935</v>
      </c>
      <c r="F2650" s="425">
        <v>12.51</v>
      </c>
    </row>
    <row r="2651" spans="1:6" s="310" customFormat="1" x14ac:dyDescent="0.15">
      <c r="A2651" s="423" t="s">
        <v>1326</v>
      </c>
      <c r="B2651" s="337" t="s">
        <v>1284</v>
      </c>
      <c r="C2651" s="337" t="s">
        <v>1285</v>
      </c>
      <c r="D2651" s="426">
        <v>14.4</v>
      </c>
      <c r="E2651" s="424">
        <v>42935</v>
      </c>
      <c r="F2651" s="425">
        <v>26.11</v>
      </c>
    </row>
    <row r="2652" spans="1:6" s="310" customFormat="1" x14ac:dyDescent="0.15">
      <c r="A2652" s="423" t="s">
        <v>1323</v>
      </c>
      <c r="B2652" s="337" t="s">
        <v>1252</v>
      </c>
      <c r="C2652" s="337" t="s">
        <v>1253</v>
      </c>
      <c r="D2652" s="337">
        <v>67.900000000000006</v>
      </c>
      <c r="E2652" s="424">
        <v>42935</v>
      </c>
      <c r="F2652" s="425">
        <v>76.510000000000005</v>
      </c>
    </row>
    <row r="2653" spans="1:6" s="310" customFormat="1" x14ac:dyDescent="0.15">
      <c r="A2653" s="423" t="s">
        <v>1325</v>
      </c>
      <c r="B2653" s="337" t="s">
        <v>1279</v>
      </c>
      <c r="C2653" s="337" t="s">
        <v>1280</v>
      </c>
      <c r="D2653" s="426">
        <v>90.5</v>
      </c>
      <c r="E2653" s="424">
        <v>42935</v>
      </c>
      <c r="F2653" s="425">
        <v>97.68</v>
      </c>
    </row>
    <row r="2654" spans="1:6" s="310" customFormat="1" x14ac:dyDescent="0.15">
      <c r="A2654" s="423" t="s">
        <v>1324</v>
      </c>
      <c r="B2654" s="337" t="s">
        <v>1275</v>
      </c>
      <c r="C2654" s="337" t="s">
        <v>1276</v>
      </c>
      <c r="D2654" s="426">
        <v>0</v>
      </c>
      <c r="E2654" s="424">
        <v>42935</v>
      </c>
      <c r="F2654" s="425">
        <v>12.51</v>
      </c>
    </row>
    <row r="2655" spans="1:6" s="310" customFormat="1" x14ac:dyDescent="0.15">
      <c r="A2655" s="423" t="s">
        <v>1321</v>
      </c>
      <c r="B2655" s="337" t="s">
        <v>1244</v>
      </c>
      <c r="C2655" s="337" t="s">
        <v>1245</v>
      </c>
      <c r="D2655" s="337">
        <v>64.8</v>
      </c>
      <c r="E2655" s="424">
        <v>42935</v>
      </c>
      <c r="F2655" s="425">
        <v>73.58</v>
      </c>
    </row>
    <row r="2656" spans="1:6" s="310" customFormat="1" ht="14" thickBot="1" x14ac:dyDescent="0.2">
      <c r="A2656" s="423"/>
      <c r="B2656" s="337"/>
      <c r="C2656" s="340" t="s">
        <v>115</v>
      </c>
      <c r="D2656" s="427">
        <f>SUM(D2637:D2655)</f>
        <v>783.29999999999984</v>
      </c>
      <c r="E2656" s="428"/>
      <c r="F2656" s="429">
        <f>SUM(F2637:F2655)</f>
        <v>858.17</v>
      </c>
    </row>
    <row r="2657" spans="1:6" s="310" customFormat="1" ht="14" thickTop="1" x14ac:dyDescent="0.15">
      <c r="A2657" s="423"/>
      <c r="B2657" s="337"/>
      <c r="C2657" s="337"/>
      <c r="D2657" s="337"/>
      <c r="E2657" s="424"/>
      <c r="F2657" s="425"/>
    </row>
    <row r="2658" spans="1:6" s="310" customFormat="1" x14ac:dyDescent="0.15">
      <c r="A2658" s="423"/>
      <c r="B2658" s="337"/>
      <c r="C2658" s="430" t="s">
        <v>1212</v>
      </c>
      <c r="D2658" s="337"/>
      <c r="E2658" s="424"/>
      <c r="F2658" s="425"/>
    </row>
    <row r="2659" spans="1:6" s="310" customFormat="1" x14ac:dyDescent="0.15">
      <c r="A2659" s="423"/>
      <c r="B2659" s="337"/>
      <c r="C2659" s="430" t="s">
        <v>1139</v>
      </c>
      <c r="D2659" s="337"/>
      <c r="E2659" s="424"/>
      <c r="F2659" s="425"/>
    </row>
    <row r="2660" spans="1:6" s="310" customFormat="1" x14ac:dyDescent="0.15">
      <c r="A2660" s="423"/>
      <c r="B2660" s="337"/>
      <c r="C2660" s="431">
        <v>42941</v>
      </c>
      <c r="D2660" s="337"/>
      <c r="E2660" s="424"/>
      <c r="F2660" s="425"/>
    </row>
    <row r="2661" spans="1:6" s="310" customFormat="1" x14ac:dyDescent="0.15">
      <c r="A2661" s="423"/>
      <c r="B2661" s="337"/>
      <c r="C2661" s="337"/>
      <c r="D2661" s="337"/>
      <c r="E2661" s="424"/>
      <c r="F2661" s="425"/>
    </row>
    <row r="2662" spans="1:6" s="310" customFormat="1" x14ac:dyDescent="0.15">
      <c r="A2662" s="419" t="s">
        <v>1302</v>
      </c>
      <c r="B2662" s="420" t="s">
        <v>1226</v>
      </c>
      <c r="C2662" s="420" t="s">
        <v>1227</v>
      </c>
      <c r="D2662" s="420">
        <v>66.900000000000006</v>
      </c>
      <c r="E2662" s="421">
        <v>42948</v>
      </c>
      <c r="F2662" s="422">
        <v>75.56</v>
      </c>
    </row>
    <row r="2663" spans="1:6" s="310" customFormat="1" x14ac:dyDescent="0.15">
      <c r="A2663" s="423" t="s">
        <v>1303</v>
      </c>
      <c r="B2663" s="337" t="s">
        <v>1228</v>
      </c>
      <c r="C2663" s="337" t="s">
        <v>1229</v>
      </c>
      <c r="D2663" s="337">
        <v>23.7</v>
      </c>
      <c r="E2663" s="424">
        <v>42948</v>
      </c>
      <c r="F2663" s="425">
        <v>34.85</v>
      </c>
    </row>
    <row r="2664" spans="1:6" s="310" customFormat="1" x14ac:dyDescent="0.15">
      <c r="A2664" s="423" t="s">
        <v>1304</v>
      </c>
      <c r="B2664" s="337" t="s">
        <v>1230</v>
      </c>
      <c r="C2664" s="337" t="s">
        <v>1231</v>
      </c>
      <c r="D2664" s="337">
        <v>48.4</v>
      </c>
      <c r="E2664" s="424">
        <v>42948</v>
      </c>
      <c r="F2664" s="425">
        <v>58.13</v>
      </c>
    </row>
    <row r="2665" spans="1:6" s="310" customFormat="1" x14ac:dyDescent="0.15">
      <c r="A2665" s="423" t="s">
        <v>1305</v>
      </c>
      <c r="B2665" s="337" t="s">
        <v>1306</v>
      </c>
      <c r="C2665" s="337" t="s">
        <v>1233</v>
      </c>
      <c r="D2665" s="337">
        <v>818.9</v>
      </c>
      <c r="E2665" s="424">
        <v>42948</v>
      </c>
      <c r="F2665" s="425">
        <v>387.8</v>
      </c>
    </row>
    <row r="2666" spans="1:6" s="310" customFormat="1" x14ac:dyDescent="0.15">
      <c r="A2666" s="423" t="s">
        <v>1307</v>
      </c>
      <c r="B2666" s="337" t="s">
        <v>1234</v>
      </c>
      <c r="C2666" s="337" t="s">
        <v>500</v>
      </c>
      <c r="D2666" s="337">
        <v>23.7</v>
      </c>
      <c r="E2666" s="424">
        <v>42948</v>
      </c>
      <c r="F2666" s="425">
        <v>42.63</v>
      </c>
    </row>
    <row r="2667" spans="1:6" s="310" customFormat="1" x14ac:dyDescent="0.15">
      <c r="A2667" s="423" t="s">
        <v>1308</v>
      </c>
      <c r="B2667" s="337" t="s">
        <v>1235</v>
      </c>
      <c r="C2667" s="337" t="s">
        <v>1236</v>
      </c>
      <c r="D2667" s="337">
        <v>85.4</v>
      </c>
      <c r="E2667" s="424">
        <v>42948</v>
      </c>
      <c r="F2667" s="425">
        <v>93</v>
      </c>
    </row>
    <row r="2668" spans="1:6" s="310" customFormat="1" x14ac:dyDescent="0.15">
      <c r="A2668" s="423" t="s">
        <v>1318</v>
      </c>
      <c r="B2668" s="337" t="s">
        <v>1238</v>
      </c>
      <c r="C2668" s="337" t="s">
        <v>1239</v>
      </c>
      <c r="D2668" s="337">
        <v>78.2</v>
      </c>
      <c r="E2668" s="424">
        <v>42948</v>
      </c>
      <c r="F2668" s="425">
        <v>86.21</v>
      </c>
    </row>
    <row r="2669" spans="1:6" s="310" customFormat="1" x14ac:dyDescent="0.15">
      <c r="A2669" s="423" t="s">
        <v>1309</v>
      </c>
      <c r="B2669" s="337" t="s">
        <v>1240</v>
      </c>
      <c r="C2669" s="337" t="s">
        <v>1241</v>
      </c>
      <c r="D2669" s="337">
        <v>41.2</v>
      </c>
      <c r="E2669" s="424">
        <v>42948</v>
      </c>
      <c r="F2669" s="425">
        <v>51.34</v>
      </c>
    </row>
    <row r="2670" spans="1:6" s="310" customFormat="1" x14ac:dyDescent="0.15">
      <c r="A2670" s="423" t="s">
        <v>1310</v>
      </c>
      <c r="B2670" s="337" t="s">
        <v>1282</v>
      </c>
      <c r="C2670" s="337" t="s">
        <v>1283</v>
      </c>
      <c r="D2670" s="337">
        <v>98.9</v>
      </c>
      <c r="E2670" s="424">
        <v>42948</v>
      </c>
      <c r="F2670" s="425">
        <v>103.36</v>
      </c>
    </row>
    <row r="2671" spans="1:6" s="310" customFormat="1" x14ac:dyDescent="0.15">
      <c r="A2671" s="423" t="s">
        <v>1319</v>
      </c>
      <c r="B2671" s="337" t="s">
        <v>1246</v>
      </c>
      <c r="C2671" s="337" t="s">
        <v>1247</v>
      </c>
      <c r="D2671" s="337">
        <v>81.3</v>
      </c>
      <c r="E2671" s="424">
        <v>42948</v>
      </c>
      <c r="F2671" s="425">
        <v>89.14</v>
      </c>
    </row>
    <row r="2672" spans="1:6" s="310" customFormat="1" x14ac:dyDescent="0.15">
      <c r="A2672" s="423" t="s">
        <v>1311</v>
      </c>
      <c r="B2672" s="337" t="s">
        <v>1248</v>
      </c>
      <c r="C2672" s="337" t="s">
        <v>1249</v>
      </c>
      <c r="D2672" s="337">
        <v>38.1</v>
      </c>
      <c r="E2672" s="424">
        <v>42948</v>
      </c>
      <c r="F2672" s="425">
        <v>50.31</v>
      </c>
    </row>
    <row r="2673" spans="1:6" s="310" customFormat="1" x14ac:dyDescent="0.15">
      <c r="A2673" s="423" t="s">
        <v>1320</v>
      </c>
      <c r="B2673" s="337" t="s">
        <v>1288</v>
      </c>
      <c r="C2673" s="337" t="s">
        <v>1289</v>
      </c>
      <c r="D2673" s="426">
        <v>2.1</v>
      </c>
      <c r="E2673" s="432">
        <v>42948</v>
      </c>
      <c r="F2673" s="425">
        <v>14.49</v>
      </c>
    </row>
    <row r="2674" spans="1:6" s="310" customFormat="1" ht="14" thickBot="1" x14ac:dyDescent="0.2">
      <c r="A2674" s="423"/>
      <c r="B2674" s="337"/>
      <c r="C2674" s="340" t="s">
        <v>115</v>
      </c>
      <c r="D2674" s="433">
        <f>SUM(D2662:D2673)</f>
        <v>1406.8</v>
      </c>
      <c r="E2674" s="434"/>
      <c r="F2674" s="429">
        <f>SUM(F2662:F2673)</f>
        <v>1086.8200000000002</v>
      </c>
    </row>
    <row r="2675" spans="1:6" s="310" customFormat="1" ht="14" thickTop="1" x14ac:dyDescent="0.15">
      <c r="A2675" s="423"/>
      <c r="B2675" s="337"/>
      <c r="C2675" s="337"/>
      <c r="D2675" s="337"/>
      <c r="E2675" s="424"/>
      <c r="F2675" s="425"/>
    </row>
    <row r="2676" spans="1:6" s="310" customFormat="1" x14ac:dyDescent="0.15">
      <c r="A2676" s="423"/>
      <c r="B2676" s="337"/>
      <c r="C2676" s="430" t="s">
        <v>1212</v>
      </c>
      <c r="D2676" s="337"/>
      <c r="E2676" s="424"/>
      <c r="F2676" s="425"/>
    </row>
    <row r="2677" spans="1:6" s="310" customFormat="1" x14ac:dyDescent="0.15">
      <c r="A2677" s="423"/>
      <c r="B2677" s="337"/>
      <c r="C2677" s="430" t="s">
        <v>1139</v>
      </c>
      <c r="D2677" s="337"/>
      <c r="E2677" s="424"/>
      <c r="F2677" s="425"/>
    </row>
    <row r="2678" spans="1:6" s="310" customFormat="1" x14ac:dyDescent="0.15">
      <c r="A2678" s="423"/>
      <c r="B2678" s="337"/>
      <c r="C2678" s="431">
        <v>42947</v>
      </c>
      <c r="D2678" s="337"/>
      <c r="E2678" s="424"/>
      <c r="F2678" s="425"/>
    </row>
    <row r="2679" spans="1:6" s="310" customFormat="1" x14ac:dyDescent="0.15">
      <c r="A2679" s="435"/>
      <c r="B2679" s="436"/>
      <c r="C2679" s="436"/>
      <c r="D2679" s="436"/>
      <c r="E2679" s="432"/>
      <c r="F2679" s="437"/>
    </row>
    <row r="2680" spans="1:6" s="310" customFormat="1" ht="14" thickBot="1" x14ac:dyDescent="0.2">
      <c r="A2680" s="438"/>
      <c r="B2680" s="439"/>
      <c r="C2680" s="340" t="s">
        <v>1177</v>
      </c>
      <c r="D2680" s="433">
        <f>SUM(D2656,D2674)</f>
        <v>2190.1</v>
      </c>
      <c r="E2680" s="428"/>
      <c r="F2680" s="429">
        <f>SUM(F2656,F2674)</f>
        <v>1944.9900000000002</v>
      </c>
    </row>
    <row r="2681" spans="1:6" s="310" customFormat="1" ht="14" thickTop="1" x14ac:dyDescent="0.15">
      <c r="E2681" s="418"/>
      <c r="F2681" s="336"/>
    </row>
    <row r="2682" spans="1:6" s="310" customFormat="1" x14ac:dyDescent="0.15">
      <c r="A2682" s="419" t="s">
        <v>1299</v>
      </c>
      <c r="B2682" s="420" t="s">
        <v>1269</v>
      </c>
      <c r="C2682" s="420" t="s">
        <v>1270</v>
      </c>
      <c r="D2682" s="420">
        <v>13.4</v>
      </c>
      <c r="E2682" s="421">
        <v>42963</v>
      </c>
      <c r="F2682" s="422">
        <v>24.65</v>
      </c>
    </row>
    <row r="2683" spans="1:6" s="310" customFormat="1" x14ac:dyDescent="0.15">
      <c r="A2683" s="423" t="s">
        <v>1293</v>
      </c>
      <c r="B2683" s="337" t="s">
        <v>1257</v>
      </c>
      <c r="C2683" s="337" t="s">
        <v>1258</v>
      </c>
      <c r="D2683" s="337">
        <v>50.4</v>
      </c>
      <c r="E2683" s="424">
        <v>42963</v>
      </c>
      <c r="F2683" s="425">
        <v>58.27</v>
      </c>
    </row>
    <row r="2684" spans="1:6" s="310" customFormat="1" x14ac:dyDescent="0.15">
      <c r="A2684" s="423" t="s">
        <v>1294</v>
      </c>
      <c r="B2684" s="337" t="s">
        <v>1259</v>
      </c>
      <c r="C2684" s="337" t="s">
        <v>1260</v>
      </c>
      <c r="D2684" s="337">
        <v>0</v>
      </c>
      <c r="E2684" s="424">
        <v>42963</v>
      </c>
      <c r="F2684" s="425">
        <v>11.42</v>
      </c>
    </row>
    <row r="2685" spans="1:6" s="310" customFormat="1" x14ac:dyDescent="0.15">
      <c r="A2685" s="423" t="s">
        <v>1296</v>
      </c>
      <c r="B2685" s="337" t="s">
        <v>1278</v>
      </c>
      <c r="C2685" s="337" t="s">
        <v>1264</v>
      </c>
      <c r="D2685" s="337">
        <v>0</v>
      </c>
      <c r="E2685" s="424">
        <v>42963</v>
      </c>
      <c r="F2685" s="425">
        <v>12.51</v>
      </c>
    </row>
    <row r="2686" spans="1:6" s="310" customFormat="1" x14ac:dyDescent="0.15">
      <c r="A2686" s="423" t="s">
        <v>1295</v>
      </c>
      <c r="B2686" s="337" t="s">
        <v>1261</v>
      </c>
      <c r="C2686" s="337" t="s">
        <v>1262</v>
      </c>
      <c r="D2686" s="337">
        <v>7.2</v>
      </c>
      <c r="E2686" s="424">
        <v>42963</v>
      </c>
      <c r="F2686" s="425">
        <v>18.489999999999998</v>
      </c>
    </row>
    <row r="2687" spans="1:6" s="310" customFormat="1" x14ac:dyDescent="0.15">
      <c r="A2687" s="423" t="s">
        <v>1301</v>
      </c>
      <c r="B2687" s="337" t="s">
        <v>1286</v>
      </c>
      <c r="C2687" s="337" t="s">
        <v>1287</v>
      </c>
      <c r="D2687" s="337">
        <v>9.3000000000000007</v>
      </c>
      <c r="E2687" s="424">
        <v>42963</v>
      </c>
      <c r="F2687" s="425">
        <v>20.93</v>
      </c>
    </row>
    <row r="2688" spans="1:6" s="310" customFormat="1" x14ac:dyDescent="0.15">
      <c r="A2688" s="423" t="s">
        <v>1297</v>
      </c>
      <c r="B2688" s="337" t="s">
        <v>1265</v>
      </c>
      <c r="C2688" s="337" t="s">
        <v>1266</v>
      </c>
      <c r="D2688" s="337">
        <v>19.5</v>
      </c>
      <c r="E2688" s="424">
        <v>42963</v>
      </c>
      <c r="F2688" s="425">
        <v>30.63</v>
      </c>
    </row>
    <row r="2689" spans="1:6" s="310" customFormat="1" ht="12" customHeight="1" x14ac:dyDescent="0.15">
      <c r="A2689" s="423" t="s">
        <v>1298</v>
      </c>
      <c r="B2689" s="337" t="s">
        <v>1267</v>
      </c>
      <c r="C2689" s="337" t="s">
        <v>1268</v>
      </c>
      <c r="D2689" s="337">
        <v>36</v>
      </c>
      <c r="E2689" s="424">
        <v>42963</v>
      </c>
      <c r="F2689" s="425">
        <v>46.91</v>
      </c>
    </row>
    <row r="2690" spans="1:6" s="310" customFormat="1" x14ac:dyDescent="0.15">
      <c r="A2690" s="423" t="s">
        <v>1300</v>
      </c>
      <c r="B2690" s="337" t="s">
        <v>1271</v>
      </c>
      <c r="C2690" s="337" t="s">
        <v>1272</v>
      </c>
      <c r="D2690" s="337">
        <v>34</v>
      </c>
      <c r="E2690" s="424">
        <v>42963</v>
      </c>
      <c r="F2690" s="425">
        <v>43.37</v>
      </c>
    </row>
    <row r="2691" spans="1:6" s="310" customFormat="1" x14ac:dyDescent="0.15">
      <c r="A2691" s="423" t="s">
        <v>1290</v>
      </c>
      <c r="B2691" s="337" t="s">
        <v>1291</v>
      </c>
      <c r="C2691" s="337" t="s">
        <v>1277</v>
      </c>
      <c r="D2691" s="337">
        <v>49.3</v>
      </c>
      <c r="E2691" s="424">
        <v>42963</v>
      </c>
      <c r="F2691" s="425">
        <v>57.29</v>
      </c>
    </row>
    <row r="2692" spans="1:6" s="310" customFormat="1" x14ac:dyDescent="0.15">
      <c r="A2692" s="423" t="s">
        <v>1292</v>
      </c>
      <c r="B2692" s="337" t="s">
        <v>1255</v>
      </c>
      <c r="C2692" s="337" t="s">
        <v>1256</v>
      </c>
      <c r="D2692" s="337">
        <v>243.7</v>
      </c>
      <c r="E2692" s="424">
        <v>42963</v>
      </c>
      <c r="F2692" s="425">
        <v>126.94</v>
      </c>
    </row>
    <row r="2693" spans="1:6" s="310" customFormat="1" x14ac:dyDescent="0.15">
      <c r="A2693" s="423" t="s">
        <v>1312</v>
      </c>
      <c r="B2693" s="337" t="s">
        <v>1313</v>
      </c>
      <c r="C2693" s="337" t="s">
        <v>1313</v>
      </c>
      <c r="D2693" s="337">
        <v>8.1999999999999993</v>
      </c>
      <c r="E2693" s="424">
        <v>42963</v>
      </c>
      <c r="F2693" s="425">
        <v>19.97</v>
      </c>
    </row>
    <row r="2694" spans="1:6" s="310" customFormat="1" x14ac:dyDescent="0.15">
      <c r="A2694" s="423" t="s">
        <v>1314</v>
      </c>
      <c r="B2694" s="337" t="s">
        <v>1315</v>
      </c>
      <c r="C2694" s="337" t="s">
        <v>1316</v>
      </c>
      <c r="D2694" s="337">
        <v>7.2</v>
      </c>
      <c r="E2694" s="424">
        <v>42963</v>
      </c>
      <c r="F2694" s="425">
        <v>19.02</v>
      </c>
    </row>
    <row r="2695" spans="1:6" s="310" customFormat="1" x14ac:dyDescent="0.15">
      <c r="A2695" s="423" t="s">
        <v>1322</v>
      </c>
      <c r="B2695" s="337" t="s">
        <v>1250</v>
      </c>
      <c r="C2695" s="337" t="s">
        <v>1251</v>
      </c>
      <c r="D2695" s="337">
        <v>0</v>
      </c>
      <c r="E2695" s="424">
        <v>42963</v>
      </c>
      <c r="F2695" s="425">
        <v>12.51</v>
      </c>
    </row>
    <row r="2696" spans="1:6" s="310" customFormat="1" x14ac:dyDescent="0.15">
      <c r="A2696" s="423" t="s">
        <v>1326</v>
      </c>
      <c r="B2696" s="337" t="s">
        <v>1284</v>
      </c>
      <c r="C2696" s="337" t="s">
        <v>1285</v>
      </c>
      <c r="D2696" s="426">
        <v>12.3</v>
      </c>
      <c r="E2696" s="424">
        <v>42963</v>
      </c>
      <c r="F2696" s="425">
        <v>23.57</v>
      </c>
    </row>
    <row r="2697" spans="1:6" s="310" customFormat="1" x14ac:dyDescent="0.15">
      <c r="A2697" s="423" t="s">
        <v>1323</v>
      </c>
      <c r="B2697" s="337" t="s">
        <v>1252</v>
      </c>
      <c r="C2697" s="337" t="s">
        <v>1253</v>
      </c>
      <c r="D2697" s="337">
        <v>35</v>
      </c>
      <c r="E2697" s="424">
        <v>42963</v>
      </c>
      <c r="F2697" s="425">
        <v>44.31</v>
      </c>
    </row>
    <row r="2698" spans="1:6" s="310" customFormat="1" x14ac:dyDescent="0.15">
      <c r="A2698" s="423" t="s">
        <v>1325</v>
      </c>
      <c r="B2698" s="337" t="s">
        <v>1279</v>
      </c>
      <c r="C2698" s="337" t="s">
        <v>1280</v>
      </c>
      <c r="D2698" s="426">
        <v>71</v>
      </c>
      <c r="E2698" s="424">
        <v>42963</v>
      </c>
      <c r="F2698" s="425">
        <v>76.98</v>
      </c>
    </row>
    <row r="2699" spans="1:6" s="310" customFormat="1" x14ac:dyDescent="0.15">
      <c r="A2699" s="423" t="s">
        <v>1324</v>
      </c>
      <c r="B2699" s="337" t="s">
        <v>1275</v>
      </c>
      <c r="C2699" s="337" t="s">
        <v>1276</v>
      </c>
      <c r="D2699" s="426">
        <v>0</v>
      </c>
      <c r="E2699" s="424">
        <v>42963</v>
      </c>
      <c r="F2699" s="425">
        <v>12.51</v>
      </c>
    </row>
    <row r="2700" spans="1:6" s="310" customFormat="1" x14ac:dyDescent="0.15">
      <c r="A2700" s="423" t="s">
        <v>1321</v>
      </c>
      <c r="B2700" s="337" t="s">
        <v>1244</v>
      </c>
      <c r="C2700" s="337" t="s">
        <v>1245</v>
      </c>
      <c r="D2700" s="337">
        <v>12.3</v>
      </c>
      <c r="E2700" s="424">
        <v>42963</v>
      </c>
      <c r="F2700" s="425">
        <v>23.69</v>
      </c>
    </row>
    <row r="2701" spans="1:6" s="310" customFormat="1" ht="14" thickBot="1" x14ac:dyDescent="0.2">
      <c r="A2701" s="423"/>
      <c r="B2701" s="337"/>
      <c r="C2701" s="340" t="s">
        <v>115</v>
      </c>
      <c r="D2701" s="427">
        <f>SUM(D2682:D2700)</f>
        <v>608.79999999999995</v>
      </c>
      <c r="E2701" s="428"/>
      <c r="F2701" s="429">
        <f>SUM(F2682:F2700)</f>
        <v>683.97</v>
      </c>
    </row>
    <row r="2702" spans="1:6" s="310" customFormat="1" ht="14" thickTop="1" x14ac:dyDescent="0.15">
      <c r="A2702" s="423"/>
      <c r="B2702" s="337"/>
      <c r="C2702" s="337"/>
      <c r="D2702" s="337"/>
      <c r="E2702" s="424"/>
      <c r="F2702" s="425"/>
    </row>
    <row r="2703" spans="1:6" s="310" customFormat="1" x14ac:dyDescent="0.15">
      <c r="A2703" s="423"/>
      <c r="B2703" s="337"/>
      <c r="C2703" s="430" t="s">
        <v>1212</v>
      </c>
      <c r="D2703" s="337"/>
      <c r="E2703" s="424"/>
      <c r="F2703" s="425"/>
    </row>
    <row r="2704" spans="1:6" s="310" customFormat="1" x14ac:dyDescent="0.15">
      <c r="A2704" s="423"/>
      <c r="B2704" s="337"/>
      <c r="C2704" s="430" t="s">
        <v>1139</v>
      </c>
      <c r="D2704" s="337"/>
      <c r="E2704" s="424"/>
      <c r="F2704" s="425"/>
    </row>
    <row r="2705" spans="1:6" s="310" customFormat="1" x14ac:dyDescent="0.15">
      <c r="A2705" s="423"/>
      <c r="B2705" s="337"/>
      <c r="C2705" s="431">
        <v>42978</v>
      </c>
      <c r="D2705" s="337"/>
      <c r="E2705" s="424"/>
      <c r="F2705" s="425"/>
    </row>
    <row r="2706" spans="1:6" s="310" customFormat="1" x14ac:dyDescent="0.15">
      <c r="A2706" s="423"/>
      <c r="B2706" s="337"/>
      <c r="C2706" s="337"/>
      <c r="D2706" s="337"/>
      <c r="E2706" s="424"/>
      <c r="F2706" s="425"/>
    </row>
    <row r="2707" spans="1:6" s="310" customFormat="1" x14ac:dyDescent="0.15">
      <c r="A2707" s="419" t="s">
        <v>1302</v>
      </c>
      <c r="B2707" s="420" t="s">
        <v>1226</v>
      </c>
      <c r="C2707" s="420" t="s">
        <v>1227</v>
      </c>
      <c r="D2707" s="420">
        <v>80.3</v>
      </c>
      <c r="E2707" s="421">
        <v>42979</v>
      </c>
      <c r="F2707" s="422">
        <v>83.49</v>
      </c>
    </row>
    <row r="2708" spans="1:6" s="310" customFormat="1" x14ac:dyDescent="0.15">
      <c r="A2708" s="423" t="s">
        <v>1303</v>
      </c>
      <c r="B2708" s="337" t="s">
        <v>1228</v>
      </c>
      <c r="C2708" s="337" t="s">
        <v>1229</v>
      </c>
      <c r="D2708" s="337">
        <v>36</v>
      </c>
      <c r="E2708" s="424">
        <v>42979</v>
      </c>
      <c r="F2708" s="425">
        <v>44.34</v>
      </c>
    </row>
    <row r="2709" spans="1:6" s="310" customFormat="1" x14ac:dyDescent="0.15">
      <c r="A2709" s="423" t="s">
        <v>1304</v>
      </c>
      <c r="B2709" s="337" t="s">
        <v>1230</v>
      </c>
      <c r="C2709" s="337" t="s">
        <v>1231</v>
      </c>
      <c r="D2709" s="337">
        <v>49.4</v>
      </c>
      <c r="E2709" s="424">
        <v>42979</v>
      </c>
      <c r="F2709" s="425">
        <v>56.2</v>
      </c>
    </row>
    <row r="2710" spans="1:6" s="310" customFormat="1" x14ac:dyDescent="0.15">
      <c r="A2710" s="423" t="s">
        <v>1305</v>
      </c>
      <c r="B2710" s="337" t="s">
        <v>1306</v>
      </c>
      <c r="C2710" s="337" t="s">
        <v>1233</v>
      </c>
      <c r="D2710" s="337">
        <v>819.2</v>
      </c>
      <c r="E2710" s="424">
        <v>42979</v>
      </c>
      <c r="F2710" s="425">
        <v>335.76</v>
      </c>
    </row>
    <row r="2711" spans="1:6" s="310" customFormat="1" x14ac:dyDescent="0.15">
      <c r="A2711" s="423" t="s">
        <v>1307</v>
      </c>
      <c r="B2711" s="337" t="s">
        <v>1234</v>
      </c>
      <c r="C2711" s="337" t="s">
        <v>500</v>
      </c>
      <c r="D2711" s="337">
        <v>21.6</v>
      </c>
      <c r="E2711" s="424">
        <v>42979</v>
      </c>
      <c r="F2711" s="425">
        <v>40.49</v>
      </c>
    </row>
    <row r="2712" spans="1:6" s="310" customFormat="1" x14ac:dyDescent="0.15">
      <c r="A2712" s="423" t="s">
        <v>1308</v>
      </c>
      <c r="B2712" s="337" t="s">
        <v>1235</v>
      </c>
      <c r="C2712" s="337" t="s">
        <v>1236</v>
      </c>
      <c r="D2712" s="337">
        <v>95.7</v>
      </c>
      <c r="E2712" s="424">
        <v>42979</v>
      </c>
      <c r="F2712" s="425">
        <v>95.65</v>
      </c>
    </row>
    <row r="2713" spans="1:6" s="310" customFormat="1" x14ac:dyDescent="0.15">
      <c r="A2713" s="423" t="s">
        <v>1318</v>
      </c>
      <c r="B2713" s="337" t="s">
        <v>1238</v>
      </c>
      <c r="C2713" s="337" t="s">
        <v>1239</v>
      </c>
      <c r="D2713" s="337">
        <v>45.3</v>
      </c>
      <c r="E2713" s="424">
        <v>42979</v>
      </c>
      <c r="F2713" s="425">
        <v>52.55</v>
      </c>
    </row>
    <row r="2714" spans="1:6" s="310" customFormat="1" x14ac:dyDescent="0.15">
      <c r="A2714" s="423" t="s">
        <v>1309</v>
      </c>
      <c r="B2714" s="337" t="s">
        <v>1240</v>
      </c>
      <c r="C2714" s="337" t="s">
        <v>1241</v>
      </c>
      <c r="D2714" s="337">
        <v>42.2</v>
      </c>
      <c r="E2714" s="424">
        <v>42979</v>
      </c>
      <c r="F2714" s="425">
        <v>49.83</v>
      </c>
    </row>
    <row r="2715" spans="1:6" s="310" customFormat="1" x14ac:dyDescent="0.15">
      <c r="A2715" s="423" t="s">
        <v>1310</v>
      </c>
      <c r="B2715" s="337" t="s">
        <v>1282</v>
      </c>
      <c r="C2715" s="337" t="s">
        <v>1283</v>
      </c>
      <c r="D2715" s="337">
        <v>122.7</v>
      </c>
      <c r="E2715" s="424">
        <v>42979</v>
      </c>
      <c r="F2715" s="425">
        <v>112.29</v>
      </c>
    </row>
    <row r="2716" spans="1:6" s="310" customFormat="1" x14ac:dyDescent="0.15">
      <c r="A2716" s="423" t="s">
        <v>1319</v>
      </c>
      <c r="B2716" s="337" t="s">
        <v>1246</v>
      </c>
      <c r="C2716" s="337" t="s">
        <v>1247</v>
      </c>
      <c r="D2716" s="337">
        <v>82.3</v>
      </c>
      <c r="E2716" s="424">
        <v>42979</v>
      </c>
      <c r="F2716" s="425">
        <v>85.32</v>
      </c>
    </row>
    <row r="2717" spans="1:6" s="310" customFormat="1" x14ac:dyDescent="0.15">
      <c r="A2717" s="423" t="s">
        <v>1311</v>
      </c>
      <c r="B2717" s="337" t="s">
        <v>1248</v>
      </c>
      <c r="C2717" s="337" t="s">
        <v>1249</v>
      </c>
      <c r="D2717" s="337">
        <v>52.5</v>
      </c>
      <c r="E2717" s="424">
        <v>42979</v>
      </c>
      <c r="F2717" s="425">
        <v>61.94</v>
      </c>
    </row>
    <row r="2718" spans="1:6" s="310" customFormat="1" x14ac:dyDescent="0.15">
      <c r="A2718" s="423" t="s">
        <v>1320</v>
      </c>
      <c r="B2718" s="337" t="s">
        <v>1288</v>
      </c>
      <c r="C2718" s="337" t="s">
        <v>1289</v>
      </c>
      <c r="D2718" s="426">
        <v>0</v>
      </c>
      <c r="E2718" s="432">
        <v>42979</v>
      </c>
      <c r="F2718" s="425">
        <v>12.51</v>
      </c>
    </row>
    <row r="2719" spans="1:6" s="310" customFormat="1" ht="14" thickBot="1" x14ac:dyDescent="0.2">
      <c r="A2719" s="423"/>
      <c r="B2719" s="337"/>
      <c r="C2719" s="340" t="s">
        <v>115</v>
      </c>
      <c r="D2719" s="433">
        <f>SUM(D2707:D2718)</f>
        <v>1447.2</v>
      </c>
      <c r="E2719" s="434"/>
      <c r="F2719" s="429">
        <f>SUM(F2707:F2718)</f>
        <v>1030.3699999999999</v>
      </c>
    </row>
    <row r="2720" spans="1:6" s="310" customFormat="1" ht="14" thickTop="1" x14ac:dyDescent="0.15">
      <c r="A2720" s="423"/>
      <c r="B2720" s="337"/>
      <c r="C2720" s="337"/>
      <c r="D2720" s="337"/>
      <c r="E2720" s="424"/>
      <c r="F2720" s="425"/>
    </row>
    <row r="2721" spans="1:6" s="310" customFormat="1" x14ac:dyDescent="0.15">
      <c r="A2721" s="423"/>
      <c r="B2721" s="337"/>
      <c r="C2721" s="430" t="s">
        <v>1212</v>
      </c>
      <c r="D2721" s="337"/>
      <c r="E2721" s="424"/>
      <c r="F2721" s="425"/>
    </row>
    <row r="2722" spans="1:6" s="310" customFormat="1" x14ac:dyDescent="0.15">
      <c r="A2722" s="423"/>
      <c r="B2722" s="337"/>
      <c r="C2722" s="430" t="s">
        <v>1139</v>
      </c>
      <c r="D2722" s="337"/>
      <c r="E2722" s="424"/>
      <c r="F2722" s="425"/>
    </row>
    <row r="2723" spans="1:6" s="310" customFormat="1" x14ac:dyDescent="0.15">
      <c r="A2723" s="423"/>
      <c r="B2723" s="337"/>
      <c r="C2723" s="431">
        <v>42978</v>
      </c>
      <c r="D2723" s="337"/>
      <c r="E2723" s="424"/>
      <c r="F2723" s="425"/>
    </row>
    <row r="2724" spans="1:6" s="310" customFormat="1" x14ac:dyDescent="0.15">
      <c r="A2724" s="435"/>
      <c r="B2724" s="436"/>
      <c r="C2724" s="436"/>
      <c r="D2724" s="436"/>
      <c r="E2724" s="432"/>
      <c r="F2724" s="437"/>
    </row>
    <row r="2725" spans="1:6" s="310" customFormat="1" ht="14" thickBot="1" x14ac:dyDescent="0.2">
      <c r="A2725" s="438"/>
      <c r="B2725" s="439"/>
      <c r="C2725" s="340" t="s">
        <v>1145</v>
      </c>
      <c r="D2725" s="433">
        <f>SUM(D2701,D2719)</f>
        <v>2056</v>
      </c>
      <c r="E2725" s="428"/>
      <c r="F2725" s="429">
        <f>SUM(F2701,F2719)</f>
        <v>1714.34</v>
      </c>
    </row>
    <row r="2726" spans="1:6" s="310" customFormat="1" ht="14" thickTop="1" x14ac:dyDescent="0.15">
      <c r="E2726" s="418"/>
      <c r="F2726" s="336"/>
    </row>
    <row r="2727" spans="1:6" s="310" customFormat="1" x14ac:dyDescent="0.15">
      <c r="A2727" s="419" t="s">
        <v>1299</v>
      </c>
      <c r="B2727" s="420" t="s">
        <v>1269</v>
      </c>
      <c r="C2727" s="420" t="s">
        <v>1270</v>
      </c>
      <c r="D2727" s="420">
        <v>30.9</v>
      </c>
      <c r="E2727" s="421">
        <v>42997</v>
      </c>
      <c r="F2727" s="422">
        <v>39.53</v>
      </c>
    </row>
    <row r="2728" spans="1:6" s="310" customFormat="1" x14ac:dyDescent="0.15">
      <c r="A2728" s="423" t="s">
        <v>1293</v>
      </c>
      <c r="B2728" s="337" t="s">
        <v>1257</v>
      </c>
      <c r="C2728" s="337" t="s">
        <v>1258</v>
      </c>
      <c r="D2728" s="337">
        <v>134.80000000000001</v>
      </c>
      <c r="E2728" s="424">
        <v>42997</v>
      </c>
      <c r="F2728" s="425">
        <v>118.47</v>
      </c>
    </row>
    <row r="2729" spans="1:6" s="310" customFormat="1" x14ac:dyDescent="0.15">
      <c r="A2729" s="423" t="s">
        <v>1294</v>
      </c>
      <c r="B2729" s="337" t="s">
        <v>1259</v>
      </c>
      <c r="C2729" s="337" t="s">
        <v>1260</v>
      </c>
      <c r="D2729" s="337">
        <v>4.0999999999999996</v>
      </c>
      <c r="E2729" s="424">
        <v>42997</v>
      </c>
      <c r="F2729" s="425">
        <v>15.33</v>
      </c>
    </row>
    <row r="2730" spans="1:6" s="310" customFormat="1" x14ac:dyDescent="0.15">
      <c r="A2730" s="423" t="s">
        <v>1296</v>
      </c>
      <c r="B2730" s="337" t="s">
        <v>1278</v>
      </c>
      <c r="C2730" s="337" t="s">
        <v>1264</v>
      </c>
      <c r="D2730" s="337">
        <v>0</v>
      </c>
      <c r="E2730" s="424">
        <v>42997</v>
      </c>
      <c r="F2730" s="425">
        <v>12.51</v>
      </c>
    </row>
    <row r="2731" spans="1:6" s="310" customFormat="1" x14ac:dyDescent="0.15">
      <c r="A2731" s="423" t="s">
        <v>1295</v>
      </c>
      <c r="B2731" s="337" t="s">
        <v>1261</v>
      </c>
      <c r="C2731" s="337" t="s">
        <v>1262</v>
      </c>
      <c r="D2731" s="337">
        <v>39.1</v>
      </c>
      <c r="E2731" s="424">
        <v>42997</v>
      </c>
      <c r="F2731" s="425">
        <v>48.67</v>
      </c>
    </row>
    <row r="2732" spans="1:6" s="310" customFormat="1" x14ac:dyDescent="0.15">
      <c r="A2732" s="423" t="s">
        <v>1301</v>
      </c>
      <c r="B2732" s="337" t="s">
        <v>1286</v>
      </c>
      <c r="C2732" s="337" t="s">
        <v>1287</v>
      </c>
      <c r="D2732" s="337">
        <v>30.9</v>
      </c>
      <c r="E2732" s="424">
        <v>42997</v>
      </c>
      <c r="F2732" s="425">
        <v>39.53</v>
      </c>
    </row>
    <row r="2733" spans="1:6" s="310" customFormat="1" x14ac:dyDescent="0.15">
      <c r="A2733" s="423" t="s">
        <v>1297</v>
      </c>
      <c r="B2733" s="337" t="s">
        <v>1265</v>
      </c>
      <c r="C2733" s="337" t="s">
        <v>1266</v>
      </c>
      <c r="D2733" s="337">
        <v>26.8</v>
      </c>
      <c r="E2733" s="424">
        <v>42997</v>
      </c>
      <c r="F2733" s="425">
        <v>36.96</v>
      </c>
    </row>
    <row r="2734" spans="1:6" s="310" customFormat="1" ht="12" customHeight="1" x14ac:dyDescent="0.15">
      <c r="A2734" s="423" t="s">
        <v>1298</v>
      </c>
      <c r="B2734" s="337" t="s">
        <v>1267</v>
      </c>
      <c r="C2734" s="337" t="s">
        <v>1268</v>
      </c>
      <c r="D2734" s="337">
        <v>72.099999999999994</v>
      </c>
      <c r="E2734" s="424">
        <v>42997</v>
      </c>
      <c r="F2734" s="425">
        <v>76.61</v>
      </c>
    </row>
    <row r="2735" spans="1:6" s="310" customFormat="1" x14ac:dyDescent="0.15">
      <c r="A2735" s="423" t="s">
        <v>1300</v>
      </c>
      <c r="B2735" s="337" t="s">
        <v>1271</v>
      </c>
      <c r="C2735" s="337" t="s">
        <v>1272</v>
      </c>
      <c r="D2735" s="337">
        <v>52.5</v>
      </c>
      <c r="E2735" s="424">
        <v>42997</v>
      </c>
      <c r="F2735" s="425">
        <v>58.42</v>
      </c>
    </row>
    <row r="2736" spans="1:6" s="310" customFormat="1" x14ac:dyDescent="0.15">
      <c r="A2736" s="423" t="s">
        <v>1290</v>
      </c>
      <c r="B2736" s="337" t="s">
        <v>1291</v>
      </c>
      <c r="C2736" s="337" t="s">
        <v>1277</v>
      </c>
      <c r="D2736" s="337">
        <v>61.7</v>
      </c>
      <c r="E2736" s="424">
        <v>42997</v>
      </c>
      <c r="F2736" s="425">
        <v>66.459999999999994</v>
      </c>
    </row>
    <row r="2737" spans="1:6" s="310" customFormat="1" x14ac:dyDescent="0.15">
      <c r="A2737" s="423" t="s">
        <v>1292</v>
      </c>
      <c r="B2737" s="337" t="s">
        <v>1255</v>
      </c>
      <c r="C2737" s="337" t="s">
        <v>1256</v>
      </c>
      <c r="D2737" s="337">
        <v>397.2</v>
      </c>
      <c r="E2737" s="424">
        <v>42997</v>
      </c>
      <c r="F2737" s="425">
        <v>172.95</v>
      </c>
    </row>
    <row r="2738" spans="1:6" s="310" customFormat="1" x14ac:dyDescent="0.15">
      <c r="A2738" s="423" t="s">
        <v>1312</v>
      </c>
      <c r="B2738" s="337" t="s">
        <v>1313</v>
      </c>
      <c r="C2738" s="337" t="s">
        <v>1313</v>
      </c>
      <c r="D2738" s="337">
        <v>26.8</v>
      </c>
      <c r="E2738" s="424">
        <v>42997</v>
      </c>
      <c r="F2738" s="425">
        <v>35.950000000000003</v>
      </c>
    </row>
    <row r="2739" spans="1:6" s="310" customFormat="1" x14ac:dyDescent="0.15">
      <c r="A2739" s="423" t="s">
        <v>1314</v>
      </c>
      <c r="B2739" s="337" t="s">
        <v>1315</v>
      </c>
      <c r="C2739" s="337" t="s">
        <v>1316</v>
      </c>
      <c r="D2739" s="337">
        <v>9.3000000000000007</v>
      </c>
      <c r="E2739" s="424">
        <v>42997</v>
      </c>
      <c r="F2739" s="425">
        <v>20.65</v>
      </c>
    </row>
    <row r="2740" spans="1:6" s="310" customFormat="1" x14ac:dyDescent="0.15">
      <c r="A2740" s="423" t="s">
        <v>1322</v>
      </c>
      <c r="B2740" s="337" t="s">
        <v>1250</v>
      </c>
      <c r="C2740" s="337" t="s">
        <v>1251</v>
      </c>
      <c r="D2740" s="337">
        <v>2.1</v>
      </c>
      <c r="E2740" s="424">
        <v>42997</v>
      </c>
      <c r="F2740" s="425">
        <v>14.35</v>
      </c>
    </row>
    <row r="2741" spans="1:6" s="310" customFormat="1" x14ac:dyDescent="0.15">
      <c r="A2741" s="423" t="s">
        <v>1326</v>
      </c>
      <c r="B2741" s="337" t="s">
        <v>1284</v>
      </c>
      <c r="C2741" s="337" t="s">
        <v>1285</v>
      </c>
      <c r="D2741" s="426">
        <v>21.6</v>
      </c>
      <c r="E2741" s="424">
        <v>42997</v>
      </c>
      <c r="F2741" s="425">
        <v>32.01</v>
      </c>
    </row>
    <row r="2742" spans="1:6" s="310" customFormat="1" x14ac:dyDescent="0.15">
      <c r="A2742" s="423" t="s">
        <v>1323</v>
      </c>
      <c r="B2742" s="337" t="s">
        <v>1252</v>
      </c>
      <c r="C2742" s="337" t="s">
        <v>1253</v>
      </c>
      <c r="D2742" s="337">
        <v>124.5</v>
      </c>
      <c r="E2742" s="424">
        <v>42997</v>
      </c>
      <c r="F2742" s="425">
        <v>112.21</v>
      </c>
    </row>
    <row r="2743" spans="1:6" s="310" customFormat="1" x14ac:dyDescent="0.15">
      <c r="A2743" s="423" t="s">
        <v>1325</v>
      </c>
      <c r="B2743" s="337" t="s">
        <v>1279</v>
      </c>
      <c r="C2743" s="337" t="s">
        <v>1280</v>
      </c>
      <c r="D2743" s="426">
        <v>142</v>
      </c>
      <c r="E2743" s="424">
        <v>42997</v>
      </c>
      <c r="F2743" s="425">
        <v>122.86</v>
      </c>
    </row>
    <row r="2744" spans="1:6" s="310" customFormat="1" x14ac:dyDescent="0.15">
      <c r="A2744" s="423" t="s">
        <v>1324</v>
      </c>
      <c r="B2744" s="337" t="s">
        <v>1275</v>
      </c>
      <c r="C2744" s="337" t="s">
        <v>1276</v>
      </c>
      <c r="D2744" s="426">
        <v>90.6</v>
      </c>
      <c r="E2744" s="424">
        <v>42997</v>
      </c>
      <c r="F2744" s="425">
        <v>91.59</v>
      </c>
    </row>
    <row r="2745" spans="1:6" s="310" customFormat="1" x14ac:dyDescent="0.15">
      <c r="A2745" s="423" t="s">
        <v>1321</v>
      </c>
      <c r="B2745" s="337" t="s">
        <v>1244</v>
      </c>
      <c r="C2745" s="337" t="s">
        <v>1245</v>
      </c>
      <c r="D2745" s="337">
        <v>105</v>
      </c>
      <c r="E2745" s="424">
        <v>42997</v>
      </c>
      <c r="F2745" s="425">
        <v>100.35</v>
      </c>
    </row>
    <row r="2746" spans="1:6" s="310" customFormat="1" ht="14" thickBot="1" x14ac:dyDescent="0.2">
      <c r="A2746" s="423"/>
      <c r="B2746" s="337"/>
      <c r="C2746" s="340" t="s">
        <v>115</v>
      </c>
      <c r="D2746" s="427">
        <f>SUM(D2727:D2745)</f>
        <v>1372</v>
      </c>
      <c r="E2746" s="428"/>
      <c r="F2746" s="429">
        <f>SUM(F2727:F2745)</f>
        <v>1215.4100000000001</v>
      </c>
    </row>
    <row r="2747" spans="1:6" s="310" customFormat="1" ht="14" thickTop="1" x14ac:dyDescent="0.15">
      <c r="A2747" s="423"/>
      <c r="B2747" s="337"/>
      <c r="C2747" s="337"/>
      <c r="D2747" s="337"/>
      <c r="E2747" s="424"/>
      <c r="F2747" s="425"/>
    </row>
    <row r="2748" spans="1:6" s="310" customFormat="1" x14ac:dyDescent="0.15">
      <c r="A2748" s="423"/>
      <c r="B2748" s="337"/>
      <c r="C2748" s="430" t="s">
        <v>1212</v>
      </c>
      <c r="D2748" s="337"/>
      <c r="E2748" s="424"/>
      <c r="F2748" s="425"/>
    </row>
    <row r="2749" spans="1:6" s="310" customFormat="1" x14ac:dyDescent="0.15">
      <c r="A2749" s="423"/>
      <c r="B2749" s="337"/>
      <c r="C2749" s="430" t="s">
        <v>1139</v>
      </c>
      <c r="D2749" s="337"/>
      <c r="E2749" s="424"/>
      <c r="F2749" s="425"/>
    </row>
    <row r="2750" spans="1:6" s="310" customFormat="1" x14ac:dyDescent="0.15">
      <c r="A2750" s="423"/>
      <c r="B2750" s="337"/>
      <c r="C2750" s="431">
        <v>43004</v>
      </c>
      <c r="D2750" s="337"/>
      <c r="E2750" s="424"/>
      <c r="F2750" s="425"/>
    </row>
    <row r="2751" spans="1:6" s="310" customFormat="1" x14ac:dyDescent="0.15">
      <c r="A2751" s="423"/>
      <c r="B2751" s="337"/>
      <c r="C2751" s="337"/>
      <c r="D2751" s="337"/>
      <c r="E2751" s="424"/>
      <c r="F2751" s="425"/>
    </row>
    <row r="2752" spans="1:6" s="306" customFormat="1" x14ac:dyDescent="0.15">
      <c r="A2752" s="440" t="s">
        <v>1302</v>
      </c>
      <c r="B2752" s="441" t="s">
        <v>1226</v>
      </c>
      <c r="C2752" s="441" t="s">
        <v>1227</v>
      </c>
      <c r="D2752" s="441">
        <v>149.30000000000001</v>
      </c>
      <c r="E2752" s="442">
        <v>43011</v>
      </c>
      <c r="F2752" s="443">
        <v>119.08</v>
      </c>
    </row>
    <row r="2753" spans="1:6" s="306" customFormat="1" x14ac:dyDescent="0.15">
      <c r="A2753" s="444" t="s">
        <v>1303</v>
      </c>
      <c r="B2753" s="445" t="s">
        <v>1228</v>
      </c>
      <c r="C2753" s="445" t="s">
        <v>1229</v>
      </c>
      <c r="D2753" s="445">
        <v>51.5</v>
      </c>
      <c r="E2753" s="446">
        <v>43011</v>
      </c>
      <c r="F2753" s="447">
        <v>54.71</v>
      </c>
    </row>
    <row r="2754" spans="1:6" s="306" customFormat="1" x14ac:dyDescent="0.15">
      <c r="A2754" s="444" t="s">
        <v>1304</v>
      </c>
      <c r="B2754" s="445" t="s">
        <v>1230</v>
      </c>
      <c r="C2754" s="445" t="s">
        <v>1231</v>
      </c>
      <c r="D2754" s="445">
        <v>81.3</v>
      </c>
      <c r="E2754" s="446">
        <v>43011</v>
      </c>
      <c r="F2754" s="447">
        <v>79.14</v>
      </c>
    </row>
    <row r="2755" spans="1:6" s="306" customFormat="1" x14ac:dyDescent="0.15">
      <c r="A2755" s="444" t="s">
        <v>1305</v>
      </c>
      <c r="B2755" s="445" t="s">
        <v>1306</v>
      </c>
      <c r="C2755" s="445" t="s">
        <v>1233</v>
      </c>
      <c r="D2755" s="445">
        <v>1414.8</v>
      </c>
      <c r="E2755" s="446">
        <v>43011</v>
      </c>
      <c r="F2755" s="447">
        <v>475.06</v>
      </c>
    </row>
    <row r="2756" spans="1:6" s="306" customFormat="1" x14ac:dyDescent="0.15">
      <c r="A2756" s="444" t="s">
        <v>1307</v>
      </c>
      <c r="B2756" s="445" t="s">
        <v>1234</v>
      </c>
      <c r="C2756" s="445" t="s">
        <v>500</v>
      </c>
      <c r="D2756" s="445">
        <v>106.1</v>
      </c>
      <c r="E2756" s="446">
        <v>43011</v>
      </c>
      <c r="F2756" s="447">
        <v>65.459999999999994</v>
      </c>
    </row>
    <row r="2757" spans="1:6" s="306" customFormat="1" x14ac:dyDescent="0.15">
      <c r="A2757" s="444" t="s">
        <v>1308</v>
      </c>
      <c r="B2757" s="445" t="s">
        <v>1235</v>
      </c>
      <c r="C2757" s="445" t="s">
        <v>1236</v>
      </c>
      <c r="D2757" s="445">
        <v>133.9</v>
      </c>
      <c r="E2757" s="446">
        <v>43011</v>
      </c>
      <c r="F2757" s="447">
        <v>110.56</v>
      </c>
    </row>
    <row r="2758" spans="1:6" s="306" customFormat="1" x14ac:dyDescent="0.15">
      <c r="A2758" s="444" t="s">
        <v>1318</v>
      </c>
      <c r="B2758" s="445" t="s">
        <v>1238</v>
      </c>
      <c r="C2758" s="445" t="s">
        <v>1239</v>
      </c>
      <c r="D2758" s="445">
        <v>115.3</v>
      </c>
      <c r="E2758" s="446">
        <v>43011</v>
      </c>
      <c r="F2758" s="447">
        <v>100.27</v>
      </c>
    </row>
    <row r="2759" spans="1:6" s="306" customFormat="1" x14ac:dyDescent="0.15">
      <c r="A2759" s="444" t="s">
        <v>1309</v>
      </c>
      <c r="B2759" s="445" t="s">
        <v>1240</v>
      </c>
      <c r="C2759" s="445" t="s">
        <v>1241</v>
      </c>
      <c r="D2759" s="445">
        <v>94.7</v>
      </c>
      <c r="E2759" s="446">
        <v>43011</v>
      </c>
      <c r="F2759" s="447">
        <v>88.87</v>
      </c>
    </row>
    <row r="2760" spans="1:6" s="306" customFormat="1" x14ac:dyDescent="0.15">
      <c r="A2760" s="444" t="s">
        <v>1310</v>
      </c>
      <c r="B2760" s="445" t="s">
        <v>1282</v>
      </c>
      <c r="C2760" s="445" t="s">
        <v>1283</v>
      </c>
      <c r="D2760" s="445">
        <v>295</v>
      </c>
      <c r="E2760" s="446">
        <v>43011</v>
      </c>
      <c r="F2760" s="447">
        <v>199.7</v>
      </c>
    </row>
    <row r="2761" spans="1:6" s="306" customFormat="1" x14ac:dyDescent="0.15">
      <c r="A2761" s="444" t="s">
        <v>1319</v>
      </c>
      <c r="B2761" s="445" t="s">
        <v>1246</v>
      </c>
      <c r="C2761" s="445" t="s">
        <v>1247</v>
      </c>
      <c r="D2761" s="445">
        <v>138</v>
      </c>
      <c r="E2761" s="446">
        <v>43011</v>
      </c>
      <c r="F2761" s="447">
        <v>112.82</v>
      </c>
    </row>
    <row r="2762" spans="1:6" s="306" customFormat="1" x14ac:dyDescent="0.15">
      <c r="A2762" s="444" t="s">
        <v>1311</v>
      </c>
      <c r="B2762" s="445" t="s">
        <v>1248</v>
      </c>
      <c r="C2762" s="445" t="s">
        <v>1249</v>
      </c>
      <c r="D2762" s="445">
        <v>1</v>
      </c>
      <c r="E2762" s="446">
        <v>43011</v>
      </c>
      <c r="F2762" s="447">
        <v>12.33</v>
      </c>
    </row>
    <row r="2763" spans="1:6" s="306" customFormat="1" x14ac:dyDescent="0.15">
      <c r="A2763" s="444" t="s">
        <v>1320</v>
      </c>
      <c r="B2763" s="445" t="s">
        <v>1288</v>
      </c>
      <c r="C2763" s="445" t="s">
        <v>1289</v>
      </c>
      <c r="D2763" s="448">
        <v>2.1</v>
      </c>
      <c r="E2763" s="446">
        <v>43011</v>
      </c>
      <c r="F2763" s="447">
        <v>14.23</v>
      </c>
    </row>
    <row r="2764" spans="1:6" s="306" customFormat="1" ht="14" thickBot="1" x14ac:dyDescent="0.2">
      <c r="A2764" s="444"/>
      <c r="B2764" s="445"/>
      <c r="C2764" s="313" t="s">
        <v>115</v>
      </c>
      <c r="D2764" s="449">
        <f>SUM(D2752:D2763)</f>
        <v>2583</v>
      </c>
      <c r="E2764" s="450"/>
      <c r="F2764" s="451">
        <f>SUM(F2752:F2763)</f>
        <v>1432.23</v>
      </c>
    </row>
    <row r="2765" spans="1:6" s="306" customFormat="1" ht="14" thickTop="1" x14ac:dyDescent="0.15">
      <c r="A2765" s="444"/>
      <c r="B2765" s="445"/>
      <c r="C2765" s="445"/>
      <c r="D2765" s="445"/>
      <c r="E2765" s="446"/>
      <c r="F2765" s="447"/>
    </row>
    <row r="2766" spans="1:6" s="306" customFormat="1" x14ac:dyDescent="0.15">
      <c r="A2766" s="444"/>
      <c r="B2766" s="445"/>
      <c r="C2766" s="452" t="s">
        <v>1212</v>
      </c>
      <c r="D2766" s="445"/>
      <c r="E2766" s="446"/>
      <c r="F2766" s="447"/>
    </row>
    <row r="2767" spans="1:6" s="306" customFormat="1" x14ac:dyDescent="0.15">
      <c r="A2767" s="444"/>
      <c r="B2767" s="445"/>
      <c r="C2767" s="452" t="s">
        <v>1139</v>
      </c>
      <c r="D2767" s="445"/>
      <c r="E2767" s="446"/>
      <c r="F2767" s="447"/>
    </row>
    <row r="2768" spans="1:6" s="306" customFormat="1" x14ac:dyDescent="0.15">
      <c r="A2768" s="444"/>
      <c r="B2768" s="445"/>
      <c r="C2768" s="453">
        <v>43008</v>
      </c>
      <c r="D2768" s="445"/>
      <c r="E2768" s="446"/>
      <c r="F2768" s="447"/>
    </row>
    <row r="2769" spans="1:6" s="306" customFormat="1" x14ac:dyDescent="0.15">
      <c r="A2769" s="454"/>
      <c r="B2769" s="455"/>
      <c r="C2769" s="455"/>
      <c r="D2769" s="455"/>
      <c r="E2769" s="456"/>
      <c r="F2769" s="457"/>
    </row>
    <row r="2770" spans="1:6" s="306" customFormat="1" ht="14" thickBot="1" x14ac:dyDescent="0.2">
      <c r="A2770" s="458"/>
      <c r="B2770" s="459"/>
      <c r="C2770" s="313" t="s">
        <v>1187</v>
      </c>
      <c r="D2770" s="449">
        <f>SUM(D2746,D2764)</f>
        <v>3955</v>
      </c>
      <c r="E2770" s="460"/>
      <c r="F2770" s="451">
        <f>SUM(F2746,F2764)</f>
        <v>2647.6400000000003</v>
      </c>
    </row>
    <row r="2771" spans="1:6" s="306" customFormat="1" ht="14" thickTop="1" x14ac:dyDescent="0.15">
      <c r="E2771" s="461"/>
      <c r="F2771" s="309"/>
    </row>
    <row r="2772" spans="1:6" s="306" customFormat="1" x14ac:dyDescent="0.15">
      <c r="A2772" s="440" t="s">
        <v>1299</v>
      </c>
      <c r="B2772" s="441" t="s">
        <v>1269</v>
      </c>
      <c r="C2772" s="441" t="s">
        <v>1270</v>
      </c>
      <c r="D2772" s="441">
        <v>96.8</v>
      </c>
      <c r="E2772" s="442">
        <v>43027</v>
      </c>
      <c r="F2772" s="443">
        <v>90.04</v>
      </c>
    </row>
    <row r="2773" spans="1:6" s="306" customFormat="1" x14ac:dyDescent="0.15">
      <c r="A2773" s="444" t="s">
        <v>1293</v>
      </c>
      <c r="B2773" s="445" t="s">
        <v>1257</v>
      </c>
      <c r="C2773" s="445" t="s">
        <v>1258</v>
      </c>
      <c r="D2773" s="445">
        <v>211.1</v>
      </c>
      <c r="E2773" s="446">
        <v>43027</v>
      </c>
      <c r="F2773" s="447">
        <v>153.28</v>
      </c>
    </row>
    <row r="2774" spans="1:6" s="306" customFormat="1" x14ac:dyDescent="0.15">
      <c r="A2774" s="444" t="s">
        <v>1294</v>
      </c>
      <c r="B2774" s="445" t="s">
        <v>1259</v>
      </c>
      <c r="C2774" s="445" t="s">
        <v>1260</v>
      </c>
      <c r="D2774" s="445">
        <v>16.5</v>
      </c>
      <c r="E2774" s="446">
        <v>43027</v>
      </c>
      <c r="F2774" s="447">
        <v>26.4</v>
      </c>
    </row>
    <row r="2775" spans="1:6" s="306" customFormat="1" x14ac:dyDescent="0.15">
      <c r="A2775" s="444" t="s">
        <v>1296</v>
      </c>
      <c r="B2775" s="445" t="s">
        <v>1278</v>
      </c>
      <c r="C2775" s="445" t="s">
        <v>1264</v>
      </c>
      <c r="D2775" s="445">
        <v>164.8</v>
      </c>
      <c r="E2775" s="446">
        <v>43027</v>
      </c>
      <c r="F2775" s="447">
        <v>127.66</v>
      </c>
    </row>
    <row r="2776" spans="1:6" s="306" customFormat="1" x14ac:dyDescent="0.15">
      <c r="A2776" s="444" t="s">
        <v>1295</v>
      </c>
      <c r="B2776" s="445" t="s">
        <v>1261</v>
      </c>
      <c r="C2776" s="445" t="s">
        <v>1262</v>
      </c>
      <c r="D2776" s="445">
        <v>112.3</v>
      </c>
      <c r="E2776" s="446">
        <v>43027</v>
      </c>
      <c r="F2776" s="447">
        <v>98.18</v>
      </c>
    </row>
    <row r="2777" spans="1:6" s="306" customFormat="1" x14ac:dyDescent="0.15">
      <c r="A2777" s="444" t="s">
        <v>1301</v>
      </c>
      <c r="B2777" s="445" t="s">
        <v>1286</v>
      </c>
      <c r="C2777" s="445" t="s">
        <v>1287</v>
      </c>
      <c r="D2777" s="445">
        <v>69</v>
      </c>
      <c r="E2777" s="446">
        <v>43027</v>
      </c>
      <c r="F2777" s="447">
        <v>69.05</v>
      </c>
    </row>
    <row r="2778" spans="1:6" s="306" customFormat="1" x14ac:dyDescent="0.15">
      <c r="A2778" s="444" t="s">
        <v>1297</v>
      </c>
      <c r="B2778" s="445" t="s">
        <v>1265</v>
      </c>
      <c r="C2778" s="445" t="s">
        <v>1266</v>
      </c>
      <c r="D2778" s="445">
        <v>77.2</v>
      </c>
      <c r="E2778" s="446">
        <v>43027</v>
      </c>
      <c r="F2778" s="447">
        <v>76.510000000000005</v>
      </c>
    </row>
    <row r="2779" spans="1:6" s="306" customFormat="1" ht="12" customHeight="1" x14ac:dyDescent="0.15">
      <c r="A2779" s="444" t="s">
        <v>1298</v>
      </c>
      <c r="B2779" s="445" t="s">
        <v>1267</v>
      </c>
      <c r="C2779" s="445" t="s">
        <v>1268</v>
      </c>
      <c r="D2779" s="445">
        <v>182.3</v>
      </c>
      <c r="E2779" s="446">
        <v>43027</v>
      </c>
      <c r="F2779" s="447">
        <v>141.4</v>
      </c>
    </row>
    <row r="2780" spans="1:6" s="306" customFormat="1" x14ac:dyDescent="0.15">
      <c r="A2780" s="444" t="s">
        <v>1300</v>
      </c>
      <c r="B2780" s="445" t="s">
        <v>1271</v>
      </c>
      <c r="C2780" s="445" t="s">
        <v>1272</v>
      </c>
      <c r="D2780" s="445">
        <v>107.1</v>
      </c>
      <c r="E2780" s="446">
        <v>43027</v>
      </c>
      <c r="F2780" s="447">
        <v>95.72</v>
      </c>
    </row>
    <row r="2781" spans="1:6" s="306" customFormat="1" x14ac:dyDescent="0.15">
      <c r="A2781" s="444" t="s">
        <v>1290</v>
      </c>
      <c r="B2781" s="445" t="s">
        <v>1291</v>
      </c>
      <c r="C2781" s="445" t="s">
        <v>1277</v>
      </c>
      <c r="D2781" s="445">
        <v>218</v>
      </c>
      <c r="E2781" s="446">
        <v>43027</v>
      </c>
      <c r="F2781" s="447">
        <v>157.09</v>
      </c>
    </row>
    <row r="2782" spans="1:6" s="306" customFormat="1" x14ac:dyDescent="0.15">
      <c r="A2782" s="444" t="s">
        <v>1327</v>
      </c>
      <c r="B2782" s="445" t="s">
        <v>1328</v>
      </c>
      <c r="C2782" s="445" t="s">
        <v>1329</v>
      </c>
      <c r="D2782" s="445">
        <v>162.69999999999999</v>
      </c>
      <c r="E2782" s="446">
        <v>43027</v>
      </c>
      <c r="F2782" s="447">
        <v>129.31</v>
      </c>
    </row>
    <row r="2783" spans="1:6" s="306" customFormat="1" x14ac:dyDescent="0.15">
      <c r="A2783" s="444" t="s">
        <v>1292</v>
      </c>
      <c r="B2783" s="445" t="s">
        <v>1255</v>
      </c>
      <c r="C2783" s="445" t="s">
        <v>1256</v>
      </c>
      <c r="D2783" s="445">
        <v>690.9</v>
      </c>
      <c r="E2783" s="446">
        <v>43027</v>
      </c>
      <c r="F2783" s="447">
        <v>246.28</v>
      </c>
    </row>
    <row r="2784" spans="1:6" s="306" customFormat="1" x14ac:dyDescent="0.15">
      <c r="A2784" s="444" t="s">
        <v>1312</v>
      </c>
      <c r="B2784" s="445" t="s">
        <v>1313</v>
      </c>
      <c r="C2784" s="445" t="s">
        <v>1313</v>
      </c>
      <c r="D2784" s="445">
        <v>33</v>
      </c>
      <c r="E2784" s="446">
        <v>43027</v>
      </c>
      <c r="F2784" s="447">
        <v>39.549999999999997</v>
      </c>
    </row>
    <row r="2785" spans="1:6" s="306" customFormat="1" x14ac:dyDescent="0.15">
      <c r="A2785" s="444" t="s">
        <v>1314</v>
      </c>
      <c r="B2785" s="445" t="s">
        <v>1315</v>
      </c>
      <c r="C2785" s="445" t="s">
        <v>1316</v>
      </c>
      <c r="D2785" s="445">
        <v>114.3</v>
      </c>
      <c r="E2785" s="446">
        <v>43027</v>
      </c>
      <c r="F2785" s="447">
        <v>99.71</v>
      </c>
    </row>
    <row r="2786" spans="1:6" s="306" customFormat="1" x14ac:dyDescent="0.15">
      <c r="A2786" s="444" t="s">
        <v>1322</v>
      </c>
      <c r="B2786" s="445" t="s">
        <v>1250</v>
      </c>
      <c r="C2786" s="445" t="s">
        <v>1251</v>
      </c>
      <c r="D2786" s="445">
        <v>10.3</v>
      </c>
      <c r="E2786" s="446">
        <v>43027</v>
      </c>
      <c r="F2786" s="447">
        <v>20.96</v>
      </c>
    </row>
    <row r="2787" spans="1:6" s="306" customFormat="1" x14ac:dyDescent="0.15">
      <c r="A2787" s="444" t="s">
        <v>1326</v>
      </c>
      <c r="B2787" s="445" t="s">
        <v>1284</v>
      </c>
      <c r="C2787" s="445" t="s">
        <v>1285</v>
      </c>
      <c r="D2787" s="448">
        <v>64.900000000000006</v>
      </c>
      <c r="E2787" s="446">
        <v>43027</v>
      </c>
      <c r="F2787" s="447">
        <v>68.92</v>
      </c>
    </row>
    <row r="2788" spans="1:6" s="306" customFormat="1" x14ac:dyDescent="0.15">
      <c r="A2788" s="444" t="s">
        <v>1323</v>
      </c>
      <c r="B2788" s="445" t="s">
        <v>1252</v>
      </c>
      <c r="C2788" s="445" t="s">
        <v>1253</v>
      </c>
      <c r="D2788" s="445">
        <v>335.8</v>
      </c>
      <c r="E2788" s="446">
        <v>43027</v>
      </c>
      <c r="F2788" s="447">
        <v>222.27</v>
      </c>
    </row>
    <row r="2789" spans="1:6" s="306" customFormat="1" x14ac:dyDescent="0.15">
      <c r="A2789" s="444" t="s">
        <v>1325</v>
      </c>
      <c r="B2789" s="445" t="s">
        <v>1279</v>
      </c>
      <c r="C2789" s="445" t="s">
        <v>1280</v>
      </c>
      <c r="D2789" s="448">
        <v>220.4</v>
      </c>
      <c r="E2789" s="446">
        <v>43027</v>
      </c>
      <c r="F2789" s="447">
        <v>158.43</v>
      </c>
    </row>
    <row r="2790" spans="1:6" s="306" customFormat="1" x14ac:dyDescent="0.15">
      <c r="A2790" s="444" t="s">
        <v>1324</v>
      </c>
      <c r="B2790" s="445" t="s">
        <v>1275</v>
      </c>
      <c r="C2790" s="445" t="s">
        <v>1276</v>
      </c>
      <c r="D2790" s="448">
        <v>361.5</v>
      </c>
      <c r="E2790" s="446">
        <v>43027</v>
      </c>
      <c r="F2790" s="447">
        <v>236.49</v>
      </c>
    </row>
    <row r="2791" spans="1:6" s="306" customFormat="1" x14ac:dyDescent="0.15">
      <c r="A2791" s="444" t="s">
        <v>1321</v>
      </c>
      <c r="B2791" s="445" t="s">
        <v>1244</v>
      </c>
      <c r="C2791" s="445" t="s">
        <v>1245</v>
      </c>
      <c r="D2791" s="445">
        <v>201.9</v>
      </c>
      <c r="E2791" s="446">
        <v>43027</v>
      </c>
      <c r="F2791" s="447">
        <v>148.19</v>
      </c>
    </row>
    <row r="2792" spans="1:6" s="306" customFormat="1" ht="14" thickBot="1" x14ac:dyDescent="0.2">
      <c r="A2792" s="444"/>
      <c r="B2792" s="445"/>
      <c r="C2792" s="313" t="s">
        <v>115</v>
      </c>
      <c r="D2792" s="462">
        <f>SUM(D2772:D2791)</f>
        <v>3450.8000000000006</v>
      </c>
      <c r="E2792" s="460"/>
      <c r="F2792" s="451">
        <f>SUM(F2772:F2791)</f>
        <v>2405.44</v>
      </c>
    </row>
    <row r="2793" spans="1:6" s="306" customFormat="1" ht="14" thickTop="1" x14ac:dyDescent="0.15">
      <c r="A2793" s="444"/>
      <c r="B2793" s="445"/>
      <c r="C2793" s="445"/>
      <c r="D2793" s="445"/>
      <c r="E2793" s="446"/>
      <c r="F2793" s="447"/>
    </row>
    <row r="2794" spans="1:6" s="306" customFormat="1" x14ac:dyDescent="0.15">
      <c r="A2794" s="444"/>
      <c r="B2794" s="445"/>
      <c r="C2794" s="452" t="s">
        <v>1212</v>
      </c>
      <c r="D2794" s="445"/>
      <c r="E2794" s="446"/>
      <c r="F2794" s="447"/>
    </row>
    <row r="2795" spans="1:6" s="306" customFormat="1" x14ac:dyDescent="0.15">
      <c r="A2795" s="444"/>
      <c r="B2795" s="445"/>
      <c r="C2795" s="452" t="s">
        <v>1139</v>
      </c>
      <c r="D2795" s="445"/>
      <c r="E2795" s="446"/>
      <c r="F2795" s="447"/>
    </row>
    <row r="2796" spans="1:6" s="306" customFormat="1" x14ac:dyDescent="0.15">
      <c r="A2796" s="444"/>
      <c r="B2796" s="445"/>
      <c r="C2796" s="453">
        <v>43034</v>
      </c>
      <c r="D2796" s="445"/>
      <c r="E2796" s="446"/>
      <c r="F2796" s="447"/>
    </row>
    <row r="2797" spans="1:6" s="306" customFormat="1" x14ac:dyDescent="0.15">
      <c r="A2797" s="444"/>
      <c r="B2797" s="445"/>
      <c r="C2797" s="445"/>
      <c r="D2797" s="445"/>
      <c r="E2797" s="446"/>
      <c r="F2797" s="447"/>
    </row>
    <row r="2798" spans="1:6" s="306" customFormat="1" x14ac:dyDescent="0.15">
      <c r="A2798" s="440" t="s">
        <v>1302</v>
      </c>
      <c r="B2798" s="441" t="s">
        <v>1226</v>
      </c>
      <c r="C2798" s="441" t="s">
        <v>1227</v>
      </c>
      <c r="D2798" s="441">
        <v>334.8</v>
      </c>
      <c r="E2798" s="442">
        <v>43040</v>
      </c>
      <c r="F2798" s="443">
        <v>221.72</v>
      </c>
    </row>
    <row r="2799" spans="1:6" s="306" customFormat="1" x14ac:dyDescent="0.15">
      <c r="A2799" s="444" t="s">
        <v>1303</v>
      </c>
      <c r="B2799" s="445" t="s">
        <v>1228</v>
      </c>
      <c r="C2799" s="445" t="s">
        <v>1229</v>
      </c>
      <c r="D2799" s="445">
        <v>249.3</v>
      </c>
      <c r="E2799" s="446">
        <v>43040</v>
      </c>
      <c r="F2799" s="447">
        <v>174.41</v>
      </c>
    </row>
    <row r="2800" spans="1:6" s="306" customFormat="1" x14ac:dyDescent="0.15">
      <c r="A2800" s="444" t="s">
        <v>1304</v>
      </c>
      <c r="B2800" s="445" t="s">
        <v>1230</v>
      </c>
      <c r="C2800" s="445" t="s">
        <v>1231</v>
      </c>
      <c r="D2800" s="445">
        <v>216.3</v>
      </c>
      <c r="E2800" s="446">
        <v>43040</v>
      </c>
      <c r="F2800" s="447">
        <v>156.15</v>
      </c>
    </row>
    <row r="2801" spans="1:6" s="306" customFormat="1" x14ac:dyDescent="0.15">
      <c r="A2801" s="444" t="s">
        <v>1305</v>
      </c>
      <c r="B2801" s="445" t="s">
        <v>1306</v>
      </c>
      <c r="C2801" s="445" t="s">
        <v>1233</v>
      </c>
      <c r="D2801" s="445">
        <f>794.1+630.4</f>
        <v>1424.5</v>
      </c>
      <c r="E2801" s="446">
        <v>43040</v>
      </c>
      <c r="F2801" s="447">
        <v>478.09</v>
      </c>
    </row>
    <row r="2802" spans="1:6" s="306" customFormat="1" x14ac:dyDescent="0.15">
      <c r="A2802" s="444" t="s">
        <v>1307</v>
      </c>
      <c r="B2802" s="445" t="s">
        <v>1234</v>
      </c>
      <c r="C2802" s="445" t="s">
        <v>500</v>
      </c>
      <c r="D2802" s="445">
        <v>420.2</v>
      </c>
      <c r="E2802" s="446">
        <v>43040</v>
      </c>
      <c r="F2802" s="447">
        <v>162.57</v>
      </c>
    </row>
    <row r="2803" spans="1:6" s="306" customFormat="1" x14ac:dyDescent="0.15">
      <c r="A2803" s="444" t="s">
        <v>1308</v>
      </c>
      <c r="B2803" s="445" t="s">
        <v>1235</v>
      </c>
      <c r="C2803" s="445" t="s">
        <v>1236</v>
      </c>
      <c r="D2803" s="445">
        <v>328.6</v>
      </c>
      <c r="E2803" s="446">
        <v>43040</v>
      </c>
      <c r="F2803" s="447">
        <v>218.3</v>
      </c>
    </row>
    <row r="2804" spans="1:6" s="306" customFormat="1" x14ac:dyDescent="0.15">
      <c r="A2804" s="444" t="s">
        <v>1318</v>
      </c>
      <c r="B2804" s="445" t="s">
        <v>1238</v>
      </c>
      <c r="C2804" s="445" t="s">
        <v>1239</v>
      </c>
      <c r="D2804" s="445">
        <v>413</v>
      </c>
      <c r="E2804" s="446">
        <v>43040</v>
      </c>
      <c r="F2804" s="447">
        <v>264.98</v>
      </c>
    </row>
    <row r="2805" spans="1:6" s="306" customFormat="1" x14ac:dyDescent="0.15">
      <c r="A2805" s="444" t="s">
        <v>1309</v>
      </c>
      <c r="B2805" s="445" t="s">
        <v>1240</v>
      </c>
      <c r="C2805" s="445" t="s">
        <v>1241</v>
      </c>
      <c r="D2805" s="445">
        <v>206</v>
      </c>
      <c r="E2805" s="446">
        <v>43040</v>
      </c>
      <c r="F2805" s="447">
        <v>150.44999999999999</v>
      </c>
    </row>
    <row r="2806" spans="1:6" s="306" customFormat="1" x14ac:dyDescent="0.15">
      <c r="A2806" s="444" t="s">
        <v>1310</v>
      </c>
      <c r="B2806" s="445" t="s">
        <v>1282</v>
      </c>
      <c r="C2806" s="445" t="s">
        <v>1283</v>
      </c>
      <c r="D2806" s="445">
        <v>469.3</v>
      </c>
      <c r="E2806" s="446">
        <v>43040</v>
      </c>
      <c r="F2806" s="447">
        <v>296.14</v>
      </c>
    </row>
    <row r="2807" spans="1:6" s="306" customFormat="1" x14ac:dyDescent="0.15">
      <c r="A2807" s="444" t="s">
        <v>1319</v>
      </c>
      <c r="B2807" s="445" t="s">
        <v>1246</v>
      </c>
      <c r="C2807" s="445" t="s">
        <v>1247</v>
      </c>
      <c r="D2807" s="445">
        <v>360.5</v>
      </c>
      <c r="E2807" s="446">
        <v>43040</v>
      </c>
      <c r="F2807" s="447">
        <v>235.93</v>
      </c>
    </row>
    <row r="2808" spans="1:6" s="306" customFormat="1" x14ac:dyDescent="0.15">
      <c r="A2808" s="444" t="s">
        <v>1311</v>
      </c>
      <c r="B2808" s="445" t="s">
        <v>1248</v>
      </c>
      <c r="C2808" s="445" t="s">
        <v>1249</v>
      </c>
      <c r="D2808" s="445">
        <v>68</v>
      </c>
      <c r="E2808" s="446">
        <v>43040</v>
      </c>
      <c r="F2808" s="447">
        <v>70.83</v>
      </c>
    </row>
    <row r="2809" spans="1:6" s="306" customFormat="1" x14ac:dyDescent="0.15">
      <c r="A2809" s="444" t="s">
        <v>1320</v>
      </c>
      <c r="B2809" s="445" t="s">
        <v>1288</v>
      </c>
      <c r="C2809" s="445" t="s">
        <v>1289</v>
      </c>
      <c r="D2809" s="448">
        <v>73.099999999999994</v>
      </c>
      <c r="E2809" s="446">
        <v>43040</v>
      </c>
      <c r="F2809" s="447">
        <v>72.42</v>
      </c>
    </row>
    <row r="2810" spans="1:6" s="306" customFormat="1" ht="14" thickBot="1" x14ac:dyDescent="0.2">
      <c r="A2810" s="444"/>
      <c r="B2810" s="445"/>
      <c r="C2810" s="313" t="s">
        <v>115</v>
      </c>
      <c r="D2810" s="449">
        <f>SUM(D2798:D2809)</f>
        <v>4563.6000000000004</v>
      </c>
      <c r="E2810" s="460"/>
      <c r="F2810" s="451">
        <f>SUM(F2798:F2809)</f>
        <v>2501.9899999999998</v>
      </c>
    </row>
    <row r="2811" spans="1:6" s="306" customFormat="1" ht="14" thickTop="1" x14ac:dyDescent="0.15">
      <c r="A2811" s="444"/>
      <c r="B2811" s="445"/>
      <c r="C2811" s="445"/>
      <c r="D2811" s="445"/>
      <c r="E2811" s="446"/>
      <c r="F2811" s="447"/>
    </row>
    <row r="2812" spans="1:6" s="306" customFormat="1" x14ac:dyDescent="0.15">
      <c r="A2812" s="444"/>
      <c r="B2812" s="445"/>
      <c r="C2812" s="452" t="s">
        <v>1212</v>
      </c>
      <c r="D2812" s="445"/>
      <c r="E2812" s="446"/>
      <c r="F2812" s="447"/>
    </row>
    <row r="2813" spans="1:6" s="306" customFormat="1" x14ac:dyDescent="0.15">
      <c r="A2813" s="444"/>
      <c r="B2813" s="445"/>
      <c r="C2813" s="452" t="s">
        <v>1139</v>
      </c>
      <c r="D2813" s="445"/>
      <c r="E2813" s="446"/>
      <c r="F2813" s="447"/>
    </row>
    <row r="2814" spans="1:6" s="306" customFormat="1" x14ac:dyDescent="0.15">
      <c r="A2814" s="444"/>
      <c r="B2814" s="445"/>
      <c r="C2814" s="453">
        <v>43039</v>
      </c>
      <c r="D2814" s="445"/>
      <c r="E2814" s="446"/>
      <c r="F2814" s="447"/>
    </row>
    <row r="2815" spans="1:6" s="306" customFormat="1" x14ac:dyDescent="0.15">
      <c r="A2815" s="454"/>
      <c r="B2815" s="455"/>
      <c r="C2815" s="455"/>
      <c r="D2815" s="455"/>
      <c r="E2815" s="456"/>
      <c r="F2815" s="457"/>
    </row>
    <row r="2816" spans="1:6" s="306" customFormat="1" ht="14" thickBot="1" x14ac:dyDescent="0.2">
      <c r="A2816" s="458"/>
      <c r="B2816" s="459"/>
      <c r="C2816" s="313" t="s">
        <v>1190</v>
      </c>
      <c r="D2816" s="449">
        <f>SUM(D2792,D2810)</f>
        <v>8014.4000000000015</v>
      </c>
      <c r="E2816" s="460"/>
      <c r="F2816" s="451">
        <f>SUM(F2792,F2810)</f>
        <v>4907.43</v>
      </c>
    </row>
    <row r="2817" spans="1:6" s="306" customFormat="1" ht="14" thickTop="1" x14ac:dyDescent="0.15">
      <c r="E2817" s="461"/>
      <c r="F2817" s="309"/>
    </row>
    <row r="2818" spans="1:6" s="306" customFormat="1" x14ac:dyDescent="0.15">
      <c r="A2818" s="440" t="s">
        <v>1299</v>
      </c>
      <c r="B2818" s="441" t="s">
        <v>1269</v>
      </c>
      <c r="C2818" s="441" t="s">
        <v>1270</v>
      </c>
      <c r="D2818" s="441">
        <v>437.6</v>
      </c>
      <c r="E2818" s="442">
        <v>43056</v>
      </c>
      <c r="F2818" s="443">
        <v>372.42</v>
      </c>
    </row>
    <row r="2819" spans="1:6" s="306" customFormat="1" x14ac:dyDescent="0.15">
      <c r="A2819" s="444" t="s">
        <v>1293</v>
      </c>
      <c r="B2819" s="445" t="s">
        <v>1257</v>
      </c>
      <c r="C2819" s="445" t="s">
        <v>1258</v>
      </c>
      <c r="D2819" s="445">
        <v>524.1</v>
      </c>
      <c r="E2819" s="446">
        <v>43056</v>
      </c>
      <c r="F2819" s="447">
        <v>440.7</v>
      </c>
    </row>
    <row r="2820" spans="1:6" s="306" customFormat="1" x14ac:dyDescent="0.15">
      <c r="A2820" s="444" t="s">
        <v>1294</v>
      </c>
      <c r="B2820" s="445" t="s">
        <v>1259</v>
      </c>
      <c r="C2820" s="445" t="s">
        <v>1260</v>
      </c>
      <c r="D2820" s="445">
        <v>122.5</v>
      </c>
      <c r="E2820" s="446">
        <v>43056</v>
      </c>
      <c r="F2820" s="447">
        <v>124.42</v>
      </c>
    </row>
    <row r="2821" spans="1:6" s="306" customFormat="1" x14ac:dyDescent="0.15">
      <c r="A2821" s="444" t="s">
        <v>1296</v>
      </c>
      <c r="B2821" s="445" t="s">
        <v>1278</v>
      </c>
      <c r="C2821" s="445" t="s">
        <v>1264</v>
      </c>
      <c r="D2821" s="445">
        <v>330.6</v>
      </c>
      <c r="E2821" s="446">
        <v>43056</v>
      </c>
      <c r="F2821" s="447">
        <v>288.64</v>
      </c>
    </row>
    <row r="2822" spans="1:6" s="306" customFormat="1" x14ac:dyDescent="0.15">
      <c r="A2822" s="444" t="s">
        <v>1295</v>
      </c>
      <c r="B2822" s="445" t="s">
        <v>1261</v>
      </c>
      <c r="C2822" s="445" t="s">
        <v>1262</v>
      </c>
      <c r="D2822" s="445">
        <v>239.9</v>
      </c>
      <c r="E2822" s="446">
        <v>43056</v>
      </c>
      <c r="F2822" s="447">
        <v>223.84</v>
      </c>
    </row>
    <row r="2823" spans="1:6" s="306" customFormat="1" x14ac:dyDescent="0.15">
      <c r="A2823" s="444" t="s">
        <v>1301</v>
      </c>
      <c r="B2823" s="445" t="s">
        <v>1286</v>
      </c>
      <c r="C2823" s="445" t="s">
        <v>1287</v>
      </c>
      <c r="D2823" s="445">
        <v>164.8</v>
      </c>
      <c r="E2823" s="446">
        <v>43056</v>
      </c>
      <c r="F2823" s="447">
        <v>157.88999999999999</v>
      </c>
    </row>
    <row r="2824" spans="1:6" s="306" customFormat="1" x14ac:dyDescent="0.15">
      <c r="A2824" s="444" t="s">
        <v>1297</v>
      </c>
      <c r="B2824" s="445" t="s">
        <v>1265</v>
      </c>
      <c r="C2824" s="445" t="s">
        <v>1266</v>
      </c>
      <c r="D2824" s="445">
        <v>183.3</v>
      </c>
      <c r="E2824" s="446">
        <v>43056</v>
      </c>
      <c r="F2824" s="447">
        <v>176.15</v>
      </c>
    </row>
    <row r="2825" spans="1:6" s="306" customFormat="1" ht="12" customHeight="1" x14ac:dyDescent="0.15">
      <c r="A2825" s="444" t="s">
        <v>1298</v>
      </c>
      <c r="B2825" s="445" t="s">
        <v>1267</v>
      </c>
      <c r="C2825" s="445" t="s">
        <v>1268</v>
      </c>
      <c r="D2825" s="445">
        <v>367.6</v>
      </c>
      <c r="E2825" s="446">
        <v>43056</v>
      </c>
      <c r="F2825" s="447">
        <v>331.89</v>
      </c>
    </row>
    <row r="2826" spans="1:6" s="306" customFormat="1" x14ac:dyDescent="0.15">
      <c r="A2826" s="444" t="s">
        <v>1300</v>
      </c>
      <c r="B2826" s="445" t="s">
        <v>1271</v>
      </c>
      <c r="C2826" s="445" t="s">
        <v>1272</v>
      </c>
      <c r="D2826" s="445">
        <v>311</v>
      </c>
      <c r="E2826" s="446">
        <v>43056</v>
      </c>
      <c r="F2826" s="447">
        <v>273.14</v>
      </c>
    </row>
    <row r="2827" spans="1:6" s="306" customFormat="1" x14ac:dyDescent="0.15">
      <c r="A2827" s="444" t="s">
        <v>1290</v>
      </c>
      <c r="B2827" s="445" t="s">
        <v>1291</v>
      </c>
      <c r="C2827" s="445" t="s">
        <v>1277</v>
      </c>
      <c r="D2827" s="445">
        <v>423.3</v>
      </c>
      <c r="E2827" s="446">
        <v>43056</v>
      </c>
      <c r="F2827" s="447">
        <v>361.53</v>
      </c>
    </row>
    <row r="2828" spans="1:6" s="306" customFormat="1" x14ac:dyDescent="0.15">
      <c r="A2828" s="444" t="s">
        <v>1327</v>
      </c>
      <c r="B2828" s="445" t="s">
        <v>1328</v>
      </c>
      <c r="C2828" s="445" t="s">
        <v>1329</v>
      </c>
      <c r="D2828" s="445">
        <v>266.7</v>
      </c>
      <c r="E2828" s="446">
        <v>43056</v>
      </c>
      <c r="F2828" s="447">
        <v>246.33</v>
      </c>
    </row>
    <row r="2829" spans="1:6" s="306" customFormat="1" x14ac:dyDescent="0.15">
      <c r="A2829" s="444" t="s">
        <v>1292</v>
      </c>
      <c r="B2829" s="445" t="s">
        <v>1255</v>
      </c>
      <c r="C2829" s="445" t="s">
        <v>1256</v>
      </c>
      <c r="D2829" s="445">
        <v>1334</v>
      </c>
      <c r="E2829" s="446">
        <v>43056</v>
      </c>
      <c r="F2829" s="447">
        <v>912.55</v>
      </c>
    </row>
    <row r="2830" spans="1:6" s="306" customFormat="1" x14ac:dyDescent="0.15">
      <c r="A2830" s="444" t="s">
        <v>1312</v>
      </c>
      <c r="B2830" s="445" t="s">
        <v>1313</v>
      </c>
      <c r="C2830" s="445" t="s">
        <v>1313</v>
      </c>
      <c r="D2830" s="445">
        <v>270.8</v>
      </c>
      <c r="E2830" s="446">
        <v>43056</v>
      </c>
      <c r="F2830" s="447">
        <v>241.61</v>
      </c>
    </row>
    <row r="2831" spans="1:6" s="306" customFormat="1" x14ac:dyDescent="0.15">
      <c r="A2831" s="444" t="s">
        <v>1314</v>
      </c>
      <c r="B2831" s="445" t="s">
        <v>1315</v>
      </c>
      <c r="C2831" s="445" t="s">
        <v>1316</v>
      </c>
      <c r="D2831" s="445">
        <v>200.8</v>
      </c>
      <c r="E2831" s="446">
        <v>43056</v>
      </c>
      <c r="F2831" s="447">
        <v>186.15</v>
      </c>
    </row>
    <row r="2832" spans="1:6" s="306" customFormat="1" x14ac:dyDescent="0.15">
      <c r="A2832" s="444" t="s">
        <v>1322</v>
      </c>
      <c r="B2832" s="445" t="s">
        <v>1250</v>
      </c>
      <c r="C2832" s="445" t="s">
        <v>1251</v>
      </c>
      <c r="D2832" s="445">
        <v>31.9</v>
      </c>
      <c r="E2832" s="446">
        <v>43056</v>
      </c>
      <c r="F2832" s="447">
        <v>38.22</v>
      </c>
    </row>
    <row r="2833" spans="1:6" s="306" customFormat="1" x14ac:dyDescent="0.15">
      <c r="A2833" s="444" t="s">
        <v>1326</v>
      </c>
      <c r="B2833" s="445" t="s">
        <v>1284</v>
      </c>
      <c r="C2833" s="445" t="s">
        <v>1285</v>
      </c>
      <c r="D2833" s="448">
        <v>162.69999999999999</v>
      </c>
      <c r="E2833" s="446">
        <v>43056</v>
      </c>
      <c r="F2833" s="447">
        <v>158.37</v>
      </c>
    </row>
    <row r="2834" spans="1:6" s="306" customFormat="1" x14ac:dyDescent="0.15">
      <c r="A2834" s="444" t="s">
        <v>1323</v>
      </c>
      <c r="B2834" s="445" t="s">
        <v>1252</v>
      </c>
      <c r="C2834" s="445" t="s">
        <v>1253</v>
      </c>
      <c r="D2834" s="445">
        <v>702.3</v>
      </c>
      <c r="E2834" s="446">
        <v>43056</v>
      </c>
      <c r="F2834" s="447">
        <v>580.66</v>
      </c>
    </row>
    <row r="2835" spans="1:6" s="306" customFormat="1" x14ac:dyDescent="0.15">
      <c r="A2835" s="444" t="s">
        <v>1325</v>
      </c>
      <c r="B2835" s="445" t="s">
        <v>1279</v>
      </c>
      <c r="C2835" s="445" t="s">
        <v>1280</v>
      </c>
      <c r="D2835" s="448">
        <v>405.7</v>
      </c>
      <c r="E2835" s="446">
        <v>43056</v>
      </c>
      <c r="F2835" s="447">
        <v>347.33</v>
      </c>
    </row>
    <row r="2836" spans="1:6" s="306" customFormat="1" x14ac:dyDescent="0.15">
      <c r="A2836" s="444" t="s">
        <v>1324</v>
      </c>
      <c r="B2836" s="445" t="s">
        <v>1275</v>
      </c>
      <c r="C2836" s="445" t="s">
        <v>1276</v>
      </c>
      <c r="D2836" s="448">
        <v>657</v>
      </c>
      <c r="E2836" s="446">
        <v>43056</v>
      </c>
      <c r="F2836" s="447">
        <v>544.9</v>
      </c>
    </row>
    <row r="2837" spans="1:6" s="306" customFormat="1" x14ac:dyDescent="0.15">
      <c r="A2837" s="444" t="s">
        <v>1321</v>
      </c>
      <c r="B2837" s="445" t="s">
        <v>1244</v>
      </c>
      <c r="C2837" s="445" t="s">
        <v>1245</v>
      </c>
      <c r="D2837" s="445">
        <v>618.9</v>
      </c>
      <c r="E2837" s="446">
        <v>43056</v>
      </c>
      <c r="F2837" s="447">
        <v>515.04999999999995</v>
      </c>
    </row>
    <row r="2838" spans="1:6" s="306" customFormat="1" ht="14" thickBot="1" x14ac:dyDescent="0.2">
      <c r="A2838" s="444"/>
      <c r="B2838" s="445"/>
      <c r="C2838" s="313" t="s">
        <v>115</v>
      </c>
      <c r="D2838" s="462">
        <f>SUM(D2818:D2837)</f>
        <v>7755.4999999999991</v>
      </c>
      <c r="E2838" s="460"/>
      <c r="F2838" s="451">
        <f>SUM(F2818:F2837)</f>
        <v>6521.7899999999991</v>
      </c>
    </row>
    <row r="2839" spans="1:6" s="306" customFormat="1" ht="14" thickTop="1" x14ac:dyDescent="0.15">
      <c r="A2839" s="444"/>
      <c r="B2839" s="445"/>
      <c r="C2839" s="445"/>
      <c r="D2839" s="445"/>
      <c r="E2839" s="446"/>
      <c r="F2839" s="447"/>
    </row>
    <row r="2840" spans="1:6" s="306" customFormat="1" x14ac:dyDescent="0.15">
      <c r="A2840" s="444"/>
      <c r="B2840" s="445"/>
      <c r="C2840" s="452" t="s">
        <v>1212</v>
      </c>
      <c r="D2840" s="445"/>
      <c r="E2840" s="446"/>
      <c r="F2840" s="447"/>
    </row>
    <row r="2841" spans="1:6" s="306" customFormat="1" x14ac:dyDescent="0.15">
      <c r="A2841" s="444"/>
      <c r="B2841" s="445"/>
      <c r="C2841" s="452" t="s">
        <v>1139</v>
      </c>
      <c r="D2841" s="445"/>
      <c r="E2841" s="446"/>
      <c r="F2841" s="447"/>
    </row>
    <row r="2842" spans="1:6" s="306" customFormat="1" x14ac:dyDescent="0.15">
      <c r="A2842" s="444"/>
      <c r="B2842" s="445"/>
      <c r="C2842" s="453">
        <v>43061</v>
      </c>
      <c r="D2842" s="445"/>
      <c r="E2842" s="446"/>
      <c r="F2842" s="447"/>
    </row>
    <row r="2843" spans="1:6" s="306" customFormat="1" x14ac:dyDescent="0.15">
      <c r="A2843" s="444"/>
      <c r="B2843" s="445"/>
      <c r="C2843" s="445"/>
      <c r="D2843" s="445"/>
      <c r="E2843" s="446"/>
      <c r="F2843" s="447"/>
    </row>
    <row r="2844" spans="1:6" s="306" customFormat="1" x14ac:dyDescent="0.15">
      <c r="A2844" s="440" t="s">
        <v>1302</v>
      </c>
      <c r="B2844" s="441" t="s">
        <v>1226</v>
      </c>
      <c r="C2844" s="441" t="s">
        <v>1227</v>
      </c>
      <c r="D2844" s="441">
        <v>956.6</v>
      </c>
      <c r="E2844" s="442">
        <v>43070</v>
      </c>
      <c r="F2844" s="443">
        <v>923.81</v>
      </c>
    </row>
    <row r="2845" spans="1:6" s="306" customFormat="1" x14ac:dyDescent="0.15">
      <c r="A2845" s="444" t="s">
        <v>1303</v>
      </c>
      <c r="B2845" s="445" t="s">
        <v>1228</v>
      </c>
      <c r="C2845" s="445" t="s">
        <v>1229</v>
      </c>
      <c r="D2845" s="445">
        <v>824.8</v>
      </c>
      <c r="E2845" s="446">
        <v>43070</v>
      </c>
      <c r="F2845" s="447">
        <v>800.3</v>
      </c>
    </row>
    <row r="2846" spans="1:6" s="306" customFormat="1" x14ac:dyDescent="0.15">
      <c r="A2846" s="444" t="s">
        <v>1304</v>
      </c>
      <c r="B2846" s="445" t="s">
        <v>1230</v>
      </c>
      <c r="C2846" s="445" t="s">
        <v>1231</v>
      </c>
      <c r="D2846" s="445">
        <v>627.1</v>
      </c>
      <c r="E2846" s="446">
        <v>43070</v>
      </c>
      <c r="F2846" s="447">
        <v>615.22</v>
      </c>
    </row>
    <row r="2847" spans="1:6" s="306" customFormat="1" x14ac:dyDescent="0.15">
      <c r="A2847" s="444" t="s">
        <v>1305</v>
      </c>
      <c r="B2847" s="445" t="s">
        <v>1306</v>
      </c>
      <c r="C2847" s="445" t="s">
        <v>1233</v>
      </c>
      <c r="D2847" s="445">
        <v>1469.3</v>
      </c>
      <c r="E2847" s="446">
        <v>43070</v>
      </c>
      <c r="F2847" s="447">
        <v>1216.58</v>
      </c>
    </row>
    <row r="2848" spans="1:6" s="306" customFormat="1" x14ac:dyDescent="0.15">
      <c r="A2848" s="444" t="s">
        <v>1307</v>
      </c>
      <c r="B2848" s="445" t="s">
        <v>1234</v>
      </c>
      <c r="C2848" s="445" t="s">
        <v>500</v>
      </c>
      <c r="D2848" s="445">
        <v>1050.3</v>
      </c>
      <c r="E2848" s="446">
        <v>43070</v>
      </c>
      <c r="F2848" s="447">
        <v>963.1</v>
      </c>
    </row>
    <row r="2849" spans="1:6" s="306" customFormat="1" x14ac:dyDescent="0.15">
      <c r="A2849" s="444" t="s">
        <v>1308</v>
      </c>
      <c r="B2849" s="445" t="s">
        <v>1235</v>
      </c>
      <c r="C2849" s="445" t="s">
        <v>1236</v>
      </c>
      <c r="D2849" s="445">
        <v>1084.2</v>
      </c>
      <c r="E2849" s="446">
        <v>43070</v>
      </c>
      <c r="F2849" s="447">
        <v>1043.19</v>
      </c>
    </row>
    <row r="2850" spans="1:6" s="306" customFormat="1" x14ac:dyDescent="0.15">
      <c r="A2850" s="444" t="s">
        <v>1318</v>
      </c>
      <c r="B2850" s="445" t="s">
        <v>1238</v>
      </c>
      <c r="C2850" s="445" t="s">
        <v>1239</v>
      </c>
      <c r="D2850" s="445">
        <v>910.2</v>
      </c>
      <c r="E2850" s="446">
        <v>43070</v>
      </c>
      <c r="F2850" s="447">
        <v>880.51</v>
      </c>
    </row>
    <row r="2851" spans="1:6" s="306" customFormat="1" x14ac:dyDescent="0.15">
      <c r="A2851" s="444" t="s">
        <v>1309</v>
      </c>
      <c r="B2851" s="445" t="s">
        <v>1240</v>
      </c>
      <c r="C2851" s="445" t="s">
        <v>1241</v>
      </c>
      <c r="D2851" s="445">
        <v>667.2</v>
      </c>
      <c r="E2851" s="446">
        <v>43070</v>
      </c>
      <c r="F2851" s="447">
        <v>652.71</v>
      </c>
    </row>
    <row r="2852" spans="1:6" s="306" customFormat="1" x14ac:dyDescent="0.15">
      <c r="A2852" s="444" t="s">
        <v>1310</v>
      </c>
      <c r="B2852" s="445" t="s">
        <v>1282</v>
      </c>
      <c r="C2852" s="445" t="s">
        <v>1283</v>
      </c>
      <c r="D2852" s="445">
        <v>816.9</v>
      </c>
      <c r="E2852" s="446">
        <v>43070</v>
      </c>
      <c r="F2852" s="447">
        <v>793.32</v>
      </c>
    </row>
    <row r="2853" spans="1:6" s="306" customFormat="1" x14ac:dyDescent="0.15">
      <c r="A2853" s="444" t="s">
        <v>1319</v>
      </c>
      <c r="B2853" s="445" t="s">
        <v>1246</v>
      </c>
      <c r="C2853" s="445" t="s">
        <v>1247</v>
      </c>
      <c r="D2853" s="445">
        <v>753.7</v>
      </c>
      <c r="E2853" s="446">
        <v>43070</v>
      </c>
      <c r="F2853" s="447">
        <v>733.98</v>
      </c>
    </row>
    <row r="2854" spans="1:6" s="306" customFormat="1" x14ac:dyDescent="0.15">
      <c r="A2854" s="444" t="s">
        <v>1311</v>
      </c>
      <c r="B2854" s="445" t="s">
        <v>1248</v>
      </c>
      <c r="C2854" s="445" t="s">
        <v>1249</v>
      </c>
      <c r="D2854" s="445">
        <v>187.4</v>
      </c>
      <c r="E2854" s="446">
        <v>43070</v>
      </c>
      <c r="F2854" s="447">
        <v>206.94</v>
      </c>
    </row>
    <row r="2855" spans="1:6" s="306" customFormat="1" x14ac:dyDescent="0.15">
      <c r="A2855" s="444" t="s">
        <v>1320</v>
      </c>
      <c r="B2855" s="445" t="s">
        <v>1288</v>
      </c>
      <c r="C2855" s="445" t="s">
        <v>1289</v>
      </c>
      <c r="D2855" s="448">
        <v>448.9</v>
      </c>
      <c r="E2855" s="456">
        <v>43070</v>
      </c>
      <c r="F2855" s="447">
        <v>448.3</v>
      </c>
    </row>
    <row r="2856" spans="1:6" s="306" customFormat="1" ht="14" thickBot="1" x14ac:dyDescent="0.2">
      <c r="A2856" s="444"/>
      <c r="B2856" s="445"/>
      <c r="C2856" s="313" t="s">
        <v>115</v>
      </c>
      <c r="D2856" s="449">
        <f>SUM(D2844:D2855)</f>
        <v>9796.6</v>
      </c>
      <c r="E2856" s="450"/>
      <c r="F2856" s="451">
        <f>SUM(F2844:F2855)</f>
        <v>9277.9600000000009</v>
      </c>
    </row>
    <row r="2857" spans="1:6" s="306" customFormat="1" ht="14" thickTop="1" x14ac:dyDescent="0.15">
      <c r="A2857" s="444"/>
      <c r="B2857" s="445"/>
      <c r="C2857" s="445"/>
      <c r="D2857" s="445"/>
      <c r="E2857" s="446"/>
      <c r="F2857" s="447"/>
    </row>
    <row r="2858" spans="1:6" s="306" customFormat="1" x14ac:dyDescent="0.15">
      <c r="A2858" s="444"/>
      <c r="B2858" s="445"/>
      <c r="C2858" s="452" t="s">
        <v>1212</v>
      </c>
      <c r="D2858" s="445"/>
      <c r="E2858" s="446"/>
      <c r="F2858" s="447"/>
    </row>
    <row r="2859" spans="1:6" s="306" customFormat="1" x14ac:dyDescent="0.15">
      <c r="A2859" s="444"/>
      <c r="B2859" s="445"/>
      <c r="C2859" s="452" t="s">
        <v>1139</v>
      </c>
      <c r="D2859" s="445"/>
      <c r="E2859" s="446"/>
      <c r="F2859" s="447"/>
    </row>
    <row r="2860" spans="1:6" s="306" customFormat="1" x14ac:dyDescent="0.15">
      <c r="A2860" s="444"/>
      <c r="B2860" s="445"/>
      <c r="C2860" s="453">
        <v>43069</v>
      </c>
      <c r="D2860" s="445"/>
      <c r="E2860" s="446"/>
      <c r="F2860" s="447"/>
    </row>
    <row r="2861" spans="1:6" s="306" customFormat="1" x14ac:dyDescent="0.15">
      <c r="A2861" s="454"/>
      <c r="B2861" s="455"/>
      <c r="C2861" s="455"/>
      <c r="D2861" s="455"/>
      <c r="E2861" s="456"/>
      <c r="F2861" s="457"/>
    </row>
    <row r="2862" spans="1:6" s="306" customFormat="1" ht="14" thickBot="1" x14ac:dyDescent="0.2">
      <c r="A2862" s="458"/>
      <c r="B2862" s="459"/>
      <c r="C2862" s="313" t="s">
        <v>1191</v>
      </c>
      <c r="D2862" s="449">
        <f>SUM(D2838,D2856)</f>
        <v>17552.099999999999</v>
      </c>
      <c r="E2862" s="460"/>
      <c r="F2862" s="451">
        <f>SUM(F2838,F2856)</f>
        <v>15799.75</v>
      </c>
    </row>
    <row r="2863" spans="1:6" s="306" customFormat="1" ht="14" thickTop="1" x14ac:dyDescent="0.15">
      <c r="E2863" s="461"/>
      <c r="F2863" s="309"/>
    </row>
    <row r="2864" spans="1:6" s="306" customFormat="1" x14ac:dyDescent="0.15">
      <c r="A2864" s="440" t="s">
        <v>1299</v>
      </c>
      <c r="B2864" s="441" t="s">
        <v>1269</v>
      </c>
      <c r="C2864" s="441" t="s">
        <v>1270</v>
      </c>
      <c r="D2864" s="441">
        <v>637.20000000000005</v>
      </c>
      <c r="E2864" s="442">
        <v>43085</v>
      </c>
      <c r="F2864" s="443">
        <v>668.08</v>
      </c>
    </row>
    <row r="2865" spans="1:6" s="306" customFormat="1" x14ac:dyDescent="0.15">
      <c r="A2865" s="444" t="s">
        <v>1293</v>
      </c>
      <c r="B2865" s="445" t="s">
        <v>1257</v>
      </c>
      <c r="C2865" s="445" t="s">
        <v>1258</v>
      </c>
      <c r="D2865" s="445">
        <v>763.8</v>
      </c>
      <c r="E2865" s="446">
        <v>43085</v>
      </c>
      <c r="F2865" s="447">
        <v>795.23</v>
      </c>
    </row>
    <row r="2866" spans="1:6" s="306" customFormat="1" x14ac:dyDescent="0.15">
      <c r="A2866" s="444" t="s">
        <v>1294</v>
      </c>
      <c r="B2866" s="445" t="s">
        <v>1259</v>
      </c>
      <c r="C2866" s="445" t="s">
        <v>1260</v>
      </c>
      <c r="D2866" s="445">
        <v>246</v>
      </c>
      <c r="E2866" s="446">
        <v>43085</v>
      </c>
      <c r="F2866" s="447">
        <v>281.39999999999998</v>
      </c>
    </row>
    <row r="2867" spans="1:6" s="306" customFormat="1" x14ac:dyDescent="0.15">
      <c r="A2867" s="444" t="s">
        <v>1296</v>
      </c>
      <c r="B2867" s="445" t="s">
        <v>1278</v>
      </c>
      <c r="C2867" s="445" t="s">
        <v>1264</v>
      </c>
      <c r="D2867" s="445">
        <v>500.3</v>
      </c>
      <c r="E2867" s="446">
        <v>43085</v>
      </c>
      <c r="F2867" s="447">
        <v>530.6</v>
      </c>
    </row>
    <row r="2868" spans="1:6" s="306" customFormat="1" x14ac:dyDescent="0.15">
      <c r="A2868" s="444" t="s">
        <v>1295</v>
      </c>
      <c r="B2868" s="445" t="s">
        <v>1261</v>
      </c>
      <c r="C2868" s="445" t="s">
        <v>1262</v>
      </c>
      <c r="D2868" s="445">
        <v>422.1</v>
      </c>
      <c r="E2868" s="446">
        <v>43085</v>
      </c>
      <c r="F2868" s="447">
        <v>468.16</v>
      </c>
    </row>
    <row r="2869" spans="1:6" s="306" customFormat="1" x14ac:dyDescent="0.15">
      <c r="A2869" s="444" t="s">
        <v>1301</v>
      </c>
      <c r="B2869" s="445" t="s">
        <v>1286</v>
      </c>
      <c r="C2869" s="445" t="s">
        <v>1287</v>
      </c>
      <c r="D2869" s="445">
        <v>327.39999999999998</v>
      </c>
      <c r="E2869" s="446">
        <v>43085</v>
      </c>
      <c r="F2869" s="447">
        <v>356.95</v>
      </c>
    </row>
    <row r="2870" spans="1:6" s="306" customFormat="1" x14ac:dyDescent="0.15">
      <c r="A2870" s="444" t="s">
        <v>1297</v>
      </c>
      <c r="B2870" s="445" t="s">
        <v>1265</v>
      </c>
      <c r="C2870" s="445" t="s">
        <v>1266</v>
      </c>
      <c r="D2870" s="445">
        <v>301.60000000000002</v>
      </c>
      <c r="E2870" s="446">
        <v>43085</v>
      </c>
      <c r="F2870" s="447">
        <v>340.35</v>
      </c>
    </row>
    <row r="2871" spans="1:6" s="306" customFormat="1" ht="12" customHeight="1" x14ac:dyDescent="0.15">
      <c r="A2871" s="444" t="s">
        <v>1298</v>
      </c>
      <c r="B2871" s="445" t="s">
        <v>1267</v>
      </c>
      <c r="C2871" s="445" t="s">
        <v>1268</v>
      </c>
      <c r="D2871" s="445">
        <v>621.79999999999995</v>
      </c>
      <c r="E2871" s="446">
        <v>43085</v>
      </c>
      <c r="F2871" s="447">
        <v>679.94</v>
      </c>
    </row>
    <row r="2872" spans="1:6" s="306" customFormat="1" x14ac:dyDescent="0.15">
      <c r="A2872" s="444" t="s">
        <v>1300</v>
      </c>
      <c r="B2872" s="445" t="s">
        <v>1271</v>
      </c>
      <c r="C2872" s="445" t="s">
        <v>1272</v>
      </c>
      <c r="D2872" s="445">
        <v>528.1</v>
      </c>
      <c r="E2872" s="446">
        <v>43085</v>
      </c>
      <c r="F2872" s="447">
        <v>558.52</v>
      </c>
    </row>
    <row r="2873" spans="1:6" s="306" customFormat="1" x14ac:dyDescent="0.15">
      <c r="A2873" s="444" t="s">
        <v>1290</v>
      </c>
      <c r="B2873" s="445" t="s">
        <v>1291</v>
      </c>
      <c r="C2873" s="445" t="s">
        <v>1277</v>
      </c>
      <c r="D2873" s="445">
        <v>817.7</v>
      </c>
      <c r="E2873" s="446">
        <v>43085</v>
      </c>
      <c r="F2873" s="447">
        <v>849.36</v>
      </c>
    </row>
    <row r="2874" spans="1:6" s="306" customFormat="1" x14ac:dyDescent="0.15">
      <c r="A2874" s="444" t="s">
        <v>1327</v>
      </c>
      <c r="B2874" s="445" t="s">
        <v>1328</v>
      </c>
      <c r="C2874" s="445" t="s">
        <v>1329</v>
      </c>
      <c r="D2874" s="445">
        <v>377.8</v>
      </c>
      <c r="E2874" s="446">
        <v>43085</v>
      </c>
      <c r="F2874" s="447">
        <v>421.16</v>
      </c>
    </row>
    <row r="2875" spans="1:6" s="306" customFormat="1" x14ac:dyDescent="0.15">
      <c r="A2875" s="444" t="s">
        <v>1292</v>
      </c>
      <c r="B2875" s="445" t="s">
        <v>1255</v>
      </c>
      <c r="C2875" s="445" t="s">
        <v>1256</v>
      </c>
      <c r="D2875" s="445">
        <v>1850.1</v>
      </c>
      <c r="E2875" s="446">
        <v>43085</v>
      </c>
      <c r="F2875" s="447">
        <v>1870.35</v>
      </c>
    </row>
    <row r="2876" spans="1:6" s="306" customFormat="1" x14ac:dyDescent="0.15">
      <c r="A2876" s="444" t="s">
        <v>1312</v>
      </c>
      <c r="B2876" s="445" t="s">
        <v>1313</v>
      </c>
      <c r="C2876" s="445" t="s">
        <v>1313</v>
      </c>
      <c r="D2876" s="445">
        <v>798.8</v>
      </c>
      <c r="E2876" s="446">
        <v>43085</v>
      </c>
      <c r="F2876" s="447">
        <v>830.37</v>
      </c>
    </row>
    <row r="2877" spans="1:6" s="306" customFormat="1" x14ac:dyDescent="0.15">
      <c r="A2877" s="444" t="s">
        <v>1314</v>
      </c>
      <c r="B2877" s="445" t="s">
        <v>1315</v>
      </c>
      <c r="C2877" s="445" t="s">
        <v>1316</v>
      </c>
      <c r="D2877" s="445">
        <v>299.60000000000002</v>
      </c>
      <c r="E2877" s="446">
        <v>43085</v>
      </c>
      <c r="F2877" s="447">
        <v>329.03</v>
      </c>
    </row>
    <row r="2878" spans="1:6" s="306" customFormat="1" x14ac:dyDescent="0.15">
      <c r="A2878" s="444" t="s">
        <v>1322</v>
      </c>
      <c r="B2878" s="445" t="s">
        <v>1250</v>
      </c>
      <c r="C2878" s="445" t="s">
        <v>1251</v>
      </c>
      <c r="D2878" s="445">
        <v>64.900000000000006</v>
      </c>
      <c r="E2878" s="446">
        <v>43085</v>
      </c>
      <c r="F2878" s="447">
        <v>86.64</v>
      </c>
    </row>
    <row r="2879" spans="1:6" s="306" customFormat="1" x14ac:dyDescent="0.15">
      <c r="A2879" s="444" t="s">
        <v>1326</v>
      </c>
      <c r="B2879" s="445" t="s">
        <v>1284</v>
      </c>
      <c r="C2879" s="445" t="s">
        <v>1285</v>
      </c>
      <c r="D2879" s="448">
        <v>259.39999999999998</v>
      </c>
      <c r="E2879" s="446">
        <v>43085</v>
      </c>
      <c r="F2879" s="447">
        <v>295.60000000000002</v>
      </c>
    </row>
    <row r="2880" spans="1:6" s="306" customFormat="1" x14ac:dyDescent="0.15">
      <c r="A2880" s="444" t="s">
        <v>1323</v>
      </c>
      <c r="B2880" s="445" t="s">
        <v>1252</v>
      </c>
      <c r="C2880" s="445" t="s">
        <v>1253</v>
      </c>
      <c r="D2880" s="445">
        <v>1064.4000000000001</v>
      </c>
      <c r="E2880" s="446">
        <v>43085</v>
      </c>
      <c r="F2880" s="447">
        <v>1097.1300000000001</v>
      </c>
    </row>
    <row r="2881" spans="1:6" s="306" customFormat="1" x14ac:dyDescent="0.15">
      <c r="A2881" s="444" t="s">
        <v>1325</v>
      </c>
      <c r="B2881" s="445" t="s">
        <v>1279</v>
      </c>
      <c r="C2881" s="445" t="s">
        <v>1280</v>
      </c>
      <c r="D2881" s="448">
        <v>604.29999999999995</v>
      </c>
      <c r="E2881" s="446">
        <v>43085</v>
      </c>
      <c r="F2881" s="447">
        <v>635.04</v>
      </c>
    </row>
    <row r="2882" spans="1:6" s="306" customFormat="1" x14ac:dyDescent="0.15">
      <c r="A2882" s="444" t="s">
        <v>1324</v>
      </c>
      <c r="B2882" s="445" t="s">
        <v>1275</v>
      </c>
      <c r="C2882" s="445" t="s">
        <v>1276</v>
      </c>
      <c r="D2882" s="448">
        <v>975.9</v>
      </c>
      <c r="E2882" s="446">
        <v>43085</v>
      </c>
      <c r="F2882" s="447">
        <v>1008.23</v>
      </c>
    </row>
    <row r="2883" spans="1:6" s="306" customFormat="1" x14ac:dyDescent="0.15">
      <c r="A2883" s="444" t="s">
        <v>1321</v>
      </c>
      <c r="B2883" s="445" t="s">
        <v>1244</v>
      </c>
      <c r="C2883" s="445" t="s">
        <v>1245</v>
      </c>
      <c r="D2883" s="445">
        <v>972.8</v>
      </c>
      <c r="E2883" s="446">
        <v>43085</v>
      </c>
      <c r="F2883" s="447">
        <v>1005.13</v>
      </c>
    </row>
    <row r="2884" spans="1:6" s="306" customFormat="1" ht="14" thickBot="1" x14ac:dyDescent="0.2">
      <c r="A2884" s="444"/>
      <c r="B2884" s="445"/>
      <c r="C2884" s="313" t="s">
        <v>115</v>
      </c>
      <c r="D2884" s="462">
        <f>SUM(D2864:D2883)</f>
        <v>12433.999999999996</v>
      </c>
      <c r="E2884" s="460"/>
      <c r="F2884" s="451">
        <f>SUM(F2864:F2883)</f>
        <v>13107.269999999999</v>
      </c>
    </row>
    <row r="2885" spans="1:6" s="306" customFormat="1" ht="14" thickTop="1" x14ac:dyDescent="0.15">
      <c r="A2885" s="444"/>
      <c r="B2885" s="445"/>
      <c r="C2885" s="445"/>
      <c r="D2885" s="445"/>
      <c r="E2885" s="446"/>
      <c r="F2885" s="447"/>
    </row>
    <row r="2886" spans="1:6" s="306" customFormat="1" x14ac:dyDescent="0.15">
      <c r="A2886" s="444"/>
      <c r="B2886" s="445"/>
      <c r="C2886" s="452" t="s">
        <v>1212</v>
      </c>
      <c r="D2886" s="445"/>
      <c r="E2886" s="446"/>
      <c r="F2886" s="447"/>
    </row>
    <row r="2887" spans="1:6" s="306" customFormat="1" x14ac:dyDescent="0.15">
      <c r="A2887" s="444"/>
      <c r="B2887" s="445"/>
      <c r="C2887" s="452" t="s">
        <v>1139</v>
      </c>
      <c r="D2887" s="445"/>
      <c r="E2887" s="446"/>
      <c r="F2887" s="447"/>
    </row>
    <row r="2888" spans="1:6" s="306" customFormat="1" x14ac:dyDescent="0.15">
      <c r="A2888" s="444"/>
      <c r="B2888" s="445"/>
      <c r="C2888" s="453">
        <v>43088</v>
      </c>
      <c r="D2888" s="445"/>
      <c r="E2888" s="446"/>
      <c r="F2888" s="447"/>
    </row>
    <row r="2889" spans="1:6" s="306" customFormat="1" x14ac:dyDescent="0.15">
      <c r="A2889" s="444"/>
      <c r="B2889" s="445"/>
      <c r="C2889" s="445"/>
      <c r="D2889" s="445"/>
      <c r="E2889" s="446"/>
      <c r="F2889" s="447"/>
    </row>
    <row r="2890" spans="1:6" s="306" customFormat="1" x14ac:dyDescent="0.15">
      <c r="A2890" s="440" t="s">
        <v>1302</v>
      </c>
      <c r="B2890" s="441" t="s">
        <v>1226</v>
      </c>
      <c r="C2890" s="441" t="s">
        <v>1227</v>
      </c>
      <c r="D2890" s="441">
        <v>1267.0999999999999</v>
      </c>
      <c r="E2890" s="442">
        <v>43103</v>
      </c>
      <c r="F2890" s="443">
        <v>1300.69</v>
      </c>
    </row>
    <row r="2891" spans="1:6" s="306" customFormat="1" x14ac:dyDescent="0.15">
      <c r="A2891" s="444" t="s">
        <v>1303</v>
      </c>
      <c r="B2891" s="445" t="s">
        <v>1228</v>
      </c>
      <c r="C2891" s="445" t="s">
        <v>1229</v>
      </c>
      <c r="D2891" s="445">
        <v>1222.9000000000001</v>
      </c>
      <c r="E2891" s="446">
        <v>43103</v>
      </c>
      <c r="F2891" s="447">
        <v>1256.3</v>
      </c>
    </row>
    <row r="2892" spans="1:6" s="306" customFormat="1" x14ac:dyDescent="0.15">
      <c r="A2892" s="444" t="s">
        <v>1304</v>
      </c>
      <c r="B2892" s="445" t="s">
        <v>1230</v>
      </c>
      <c r="C2892" s="445" t="s">
        <v>1231</v>
      </c>
      <c r="D2892" s="445">
        <v>785.4</v>
      </c>
      <c r="E2892" s="446">
        <v>43103</v>
      </c>
      <c r="F2892" s="447">
        <v>816.92</v>
      </c>
    </row>
    <row r="2893" spans="1:6" s="306" customFormat="1" x14ac:dyDescent="0.15">
      <c r="A2893" s="444" t="s">
        <v>1305</v>
      </c>
      <c r="B2893" s="445" t="s">
        <v>1306</v>
      </c>
      <c r="C2893" s="445" t="s">
        <v>1233</v>
      </c>
      <c r="D2893" s="445">
        <v>1311.4</v>
      </c>
      <c r="E2893" s="446">
        <v>43103</v>
      </c>
      <c r="F2893" s="447">
        <v>1205.0999999999999</v>
      </c>
    </row>
    <row r="2894" spans="1:6" s="306" customFormat="1" x14ac:dyDescent="0.15">
      <c r="A2894" s="444" t="s">
        <v>1307</v>
      </c>
      <c r="B2894" s="445" t="s">
        <v>1234</v>
      </c>
      <c r="C2894" s="445" t="s">
        <v>500</v>
      </c>
      <c r="D2894" s="445">
        <v>1444.2</v>
      </c>
      <c r="E2894" s="446">
        <v>43103</v>
      </c>
      <c r="F2894" s="447">
        <v>1465.34</v>
      </c>
    </row>
    <row r="2895" spans="1:6" s="306" customFormat="1" x14ac:dyDescent="0.15">
      <c r="A2895" s="444" t="s">
        <v>1308</v>
      </c>
      <c r="B2895" s="445" t="s">
        <v>1235</v>
      </c>
      <c r="C2895" s="445" t="s">
        <v>1236</v>
      </c>
      <c r="D2895" s="445">
        <v>1417.4</v>
      </c>
      <c r="E2895" s="446">
        <v>43103</v>
      </c>
      <c r="F2895" s="447">
        <v>1451.64</v>
      </c>
    </row>
    <row r="2896" spans="1:6" s="306" customFormat="1" x14ac:dyDescent="0.15">
      <c r="A2896" s="444" t="s">
        <v>1318</v>
      </c>
      <c r="B2896" s="445" t="s">
        <v>1238</v>
      </c>
      <c r="C2896" s="445" t="s">
        <v>1239</v>
      </c>
      <c r="D2896" s="445">
        <v>1138.5</v>
      </c>
      <c r="E2896" s="446">
        <v>43103</v>
      </c>
      <c r="F2896" s="447">
        <v>1171.53</v>
      </c>
    </row>
    <row r="2897" spans="1:6" s="306" customFormat="1" x14ac:dyDescent="0.15">
      <c r="A2897" s="444" t="s">
        <v>1309</v>
      </c>
      <c r="B2897" s="445" t="s">
        <v>1240</v>
      </c>
      <c r="C2897" s="445" t="s">
        <v>1241</v>
      </c>
      <c r="D2897" s="445">
        <v>849.2</v>
      </c>
      <c r="E2897" s="446">
        <v>43103</v>
      </c>
      <c r="F2897" s="447">
        <v>881</v>
      </c>
    </row>
    <row r="2898" spans="1:6" s="306" customFormat="1" x14ac:dyDescent="0.15">
      <c r="A2898" s="444" t="s">
        <v>1310</v>
      </c>
      <c r="B2898" s="445" t="s">
        <v>1282</v>
      </c>
      <c r="C2898" s="445" t="s">
        <v>1283</v>
      </c>
      <c r="D2898" s="445">
        <v>951.5</v>
      </c>
      <c r="E2898" s="446">
        <v>43103</v>
      </c>
      <c r="F2898" s="447">
        <v>983.74</v>
      </c>
    </row>
    <row r="2899" spans="1:6" s="306" customFormat="1" x14ac:dyDescent="0.15">
      <c r="A2899" s="444" t="s">
        <v>1319</v>
      </c>
      <c r="B2899" s="445" t="s">
        <v>1246</v>
      </c>
      <c r="C2899" s="445" t="s">
        <v>1247</v>
      </c>
      <c r="D2899" s="445">
        <v>957.3</v>
      </c>
      <c r="E2899" s="446">
        <v>43103</v>
      </c>
      <c r="F2899" s="447">
        <v>989.56</v>
      </c>
    </row>
    <row r="2900" spans="1:6" s="306" customFormat="1" x14ac:dyDescent="0.15">
      <c r="A2900" s="444" t="s">
        <v>1311</v>
      </c>
      <c r="B2900" s="445" t="s">
        <v>1248</v>
      </c>
      <c r="C2900" s="445" t="s">
        <v>1249</v>
      </c>
      <c r="D2900" s="445">
        <v>261.5</v>
      </c>
      <c r="E2900" s="446">
        <v>43103</v>
      </c>
      <c r="F2900" s="447">
        <v>297.83</v>
      </c>
    </row>
    <row r="2901" spans="1:6" s="306" customFormat="1" x14ac:dyDescent="0.15">
      <c r="A2901" s="444" t="s">
        <v>1320</v>
      </c>
      <c r="B2901" s="445" t="s">
        <v>1288</v>
      </c>
      <c r="C2901" s="445" t="s">
        <v>1289</v>
      </c>
      <c r="D2901" s="448">
        <v>691.7</v>
      </c>
      <c r="E2901" s="456">
        <v>43103</v>
      </c>
      <c r="F2901" s="447">
        <v>722.81</v>
      </c>
    </row>
    <row r="2902" spans="1:6" s="306" customFormat="1" ht="14" thickBot="1" x14ac:dyDescent="0.2">
      <c r="A2902" s="444"/>
      <c r="B2902" s="445"/>
      <c r="C2902" s="313" t="s">
        <v>115</v>
      </c>
      <c r="D2902" s="449">
        <f>SUM(D2890:D2901)</f>
        <v>12298.1</v>
      </c>
      <c r="E2902" s="450"/>
      <c r="F2902" s="451">
        <f>SUM(F2890:F2901)</f>
        <v>12542.46</v>
      </c>
    </row>
    <row r="2903" spans="1:6" s="306" customFormat="1" ht="14" thickTop="1" x14ac:dyDescent="0.15">
      <c r="A2903" s="444"/>
      <c r="B2903" s="445"/>
      <c r="C2903" s="445"/>
      <c r="D2903" s="445"/>
      <c r="E2903" s="446"/>
      <c r="F2903" s="447"/>
    </row>
    <row r="2904" spans="1:6" s="306" customFormat="1" x14ac:dyDescent="0.15">
      <c r="A2904" s="444"/>
      <c r="B2904" s="445"/>
      <c r="C2904" s="452" t="s">
        <v>1212</v>
      </c>
      <c r="D2904" s="445"/>
      <c r="E2904" s="446"/>
      <c r="F2904" s="447"/>
    </row>
    <row r="2905" spans="1:6" s="306" customFormat="1" x14ac:dyDescent="0.15">
      <c r="A2905" s="444"/>
      <c r="B2905" s="445"/>
      <c r="C2905" s="452" t="s">
        <v>1139</v>
      </c>
      <c r="D2905" s="445"/>
      <c r="E2905" s="446"/>
      <c r="F2905" s="447"/>
    </row>
    <row r="2906" spans="1:6" s="306" customFormat="1" x14ac:dyDescent="0.15">
      <c r="A2906" s="444"/>
      <c r="B2906" s="445"/>
      <c r="C2906" s="453">
        <v>43100</v>
      </c>
      <c r="D2906" s="445"/>
      <c r="E2906" s="446"/>
      <c r="F2906" s="447"/>
    </row>
    <row r="2907" spans="1:6" s="306" customFormat="1" x14ac:dyDescent="0.15">
      <c r="A2907" s="454"/>
      <c r="B2907" s="455"/>
      <c r="C2907" s="455"/>
      <c r="D2907" s="455"/>
      <c r="E2907" s="456"/>
      <c r="F2907" s="457"/>
    </row>
    <row r="2908" spans="1:6" s="306" customFormat="1" ht="14" thickBot="1" x14ac:dyDescent="0.2">
      <c r="A2908" s="458"/>
      <c r="B2908" s="459"/>
      <c r="C2908" s="313" t="s">
        <v>1192</v>
      </c>
      <c r="D2908" s="449">
        <f>SUM(D2884,D2902)</f>
        <v>24732.1</v>
      </c>
      <c r="E2908" s="460"/>
      <c r="F2908" s="451">
        <f>SUM(F2884,F2902)</f>
        <v>25649.729999999996</v>
      </c>
    </row>
    <row r="2909" spans="1:6" s="306" customFormat="1" ht="14" thickTop="1" x14ac:dyDescent="0.15">
      <c r="E2909" s="461"/>
      <c r="F2909" s="309"/>
    </row>
    <row r="2910" spans="1:6" s="306" customFormat="1" x14ac:dyDescent="0.15">
      <c r="A2910" s="440" t="s">
        <v>1299</v>
      </c>
      <c r="B2910" s="441" t="s">
        <v>1269</v>
      </c>
      <c r="C2910" s="441" t="s">
        <v>1270</v>
      </c>
      <c r="D2910" s="441">
        <v>821.9</v>
      </c>
      <c r="E2910" s="442">
        <v>43118</v>
      </c>
      <c r="F2910" s="443">
        <v>885.85</v>
      </c>
    </row>
    <row r="2911" spans="1:6" s="306" customFormat="1" x14ac:dyDescent="0.15">
      <c r="A2911" s="444" t="s">
        <v>1293</v>
      </c>
      <c r="B2911" s="445" t="s">
        <v>1257</v>
      </c>
      <c r="C2911" s="445" t="s">
        <v>1258</v>
      </c>
      <c r="D2911" s="445">
        <v>1048.5</v>
      </c>
      <c r="E2911" s="446">
        <v>43118</v>
      </c>
      <c r="F2911" s="447">
        <v>1122.3599999999999</v>
      </c>
    </row>
    <row r="2912" spans="1:6" s="306" customFormat="1" x14ac:dyDescent="0.15">
      <c r="A2912" s="444" t="s">
        <v>1294</v>
      </c>
      <c r="B2912" s="445" t="s">
        <v>1259</v>
      </c>
      <c r="C2912" s="445" t="s">
        <v>1260</v>
      </c>
      <c r="D2912" s="445">
        <v>429.5</v>
      </c>
      <c r="E2912" s="446">
        <v>43118</v>
      </c>
      <c r="F2912" s="447">
        <v>492.93</v>
      </c>
    </row>
    <row r="2913" spans="1:6" s="306" customFormat="1" x14ac:dyDescent="0.15">
      <c r="A2913" s="444" t="s">
        <v>1296</v>
      </c>
      <c r="B2913" s="445" t="s">
        <v>1278</v>
      </c>
      <c r="C2913" s="445" t="s">
        <v>1264</v>
      </c>
      <c r="D2913" s="445">
        <v>791</v>
      </c>
      <c r="E2913" s="446">
        <v>43118</v>
      </c>
      <c r="F2913" s="447">
        <v>853.67</v>
      </c>
    </row>
    <row r="2914" spans="1:6" s="306" customFormat="1" x14ac:dyDescent="0.15">
      <c r="A2914" s="444" t="s">
        <v>1295</v>
      </c>
      <c r="B2914" s="445" t="s">
        <v>1261</v>
      </c>
      <c r="C2914" s="445" t="s">
        <v>1262</v>
      </c>
      <c r="D2914" s="445">
        <v>645.79999999999995</v>
      </c>
      <c r="E2914" s="446">
        <v>43118</v>
      </c>
      <c r="F2914" s="447">
        <v>730.74</v>
      </c>
    </row>
    <row r="2915" spans="1:6" s="306" customFormat="1" x14ac:dyDescent="0.15">
      <c r="A2915" s="444" t="s">
        <v>1301</v>
      </c>
      <c r="B2915" s="445" t="s">
        <v>1286</v>
      </c>
      <c r="C2915" s="445" t="s">
        <v>1287</v>
      </c>
      <c r="D2915" s="445">
        <v>550</v>
      </c>
      <c r="E2915" s="446">
        <v>43118</v>
      </c>
      <c r="F2915" s="447">
        <v>602.12</v>
      </c>
    </row>
    <row r="2916" spans="1:6" s="306" customFormat="1" x14ac:dyDescent="0.15">
      <c r="A2916" s="444" t="s">
        <v>1297</v>
      </c>
      <c r="B2916" s="445" t="s">
        <v>1265</v>
      </c>
      <c r="C2916" s="445" t="s">
        <v>1266</v>
      </c>
      <c r="D2916" s="445">
        <v>450.1</v>
      </c>
      <c r="E2916" s="446">
        <v>43118</v>
      </c>
      <c r="F2916" s="447">
        <v>515.53</v>
      </c>
    </row>
    <row r="2917" spans="1:6" s="306" customFormat="1" ht="12" customHeight="1" x14ac:dyDescent="0.15">
      <c r="A2917" s="444" t="s">
        <v>1298</v>
      </c>
      <c r="B2917" s="445" t="s">
        <v>1267</v>
      </c>
      <c r="C2917" s="445" t="s">
        <v>1268</v>
      </c>
      <c r="D2917" s="445">
        <v>946.5</v>
      </c>
      <c r="E2917" s="446">
        <v>43118</v>
      </c>
      <c r="F2917" s="447">
        <v>1061.48</v>
      </c>
    </row>
    <row r="2918" spans="1:6" s="306" customFormat="1" x14ac:dyDescent="0.15">
      <c r="A2918" s="444" t="s">
        <v>1300</v>
      </c>
      <c r="B2918" s="445" t="s">
        <v>1271</v>
      </c>
      <c r="C2918" s="445" t="s">
        <v>1272</v>
      </c>
      <c r="D2918" s="445">
        <v>833.2</v>
      </c>
      <c r="E2918" s="446">
        <v>43118</v>
      </c>
      <c r="F2918" s="447">
        <v>897.72</v>
      </c>
    </row>
    <row r="2919" spans="1:6" s="306" customFormat="1" x14ac:dyDescent="0.15">
      <c r="A2919" s="444" t="s">
        <v>1290</v>
      </c>
      <c r="B2919" s="445" t="s">
        <v>1291</v>
      </c>
      <c r="C2919" s="445" t="s">
        <v>1277</v>
      </c>
      <c r="D2919" s="445">
        <v>1290.9000000000001</v>
      </c>
      <c r="E2919" s="446">
        <v>43118</v>
      </c>
      <c r="F2919" s="447">
        <v>1375.37</v>
      </c>
    </row>
    <row r="2920" spans="1:6" s="306" customFormat="1" x14ac:dyDescent="0.15">
      <c r="A2920" s="444" t="s">
        <v>1327</v>
      </c>
      <c r="B2920" s="445" t="s">
        <v>1328</v>
      </c>
      <c r="C2920" s="445" t="s">
        <v>1329</v>
      </c>
      <c r="D2920" s="445">
        <v>546.9</v>
      </c>
      <c r="E2920" s="446">
        <v>43118</v>
      </c>
      <c r="F2920" s="447">
        <v>622.02</v>
      </c>
    </row>
    <row r="2921" spans="1:6" s="306" customFormat="1" x14ac:dyDescent="0.15">
      <c r="A2921" s="444" t="s">
        <v>1292</v>
      </c>
      <c r="B2921" s="445" t="s">
        <v>1255</v>
      </c>
      <c r="C2921" s="445" t="s">
        <v>1256</v>
      </c>
      <c r="D2921" s="445">
        <v>2560.8000000000002</v>
      </c>
      <c r="E2921" s="446">
        <v>43118</v>
      </c>
      <c r="F2921" s="447">
        <v>2680.08</v>
      </c>
    </row>
    <row r="2922" spans="1:6" s="306" customFormat="1" x14ac:dyDescent="0.15">
      <c r="A2922" s="444" t="s">
        <v>1312</v>
      </c>
      <c r="B2922" s="445" t="s">
        <v>1313</v>
      </c>
      <c r="C2922" s="445" t="s">
        <v>1313</v>
      </c>
      <c r="D2922" s="445">
        <v>1673.7</v>
      </c>
      <c r="E2922" s="446">
        <v>43118</v>
      </c>
      <c r="F2922" s="447">
        <v>1774.79</v>
      </c>
    </row>
    <row r="2923" spans="1:6" s="306" customFormat="1" x14ac:dyDescent="0.15">
      <c r="A2923" s="444" t="s">
        <v>1314</v>
      </c>
      <c r="B2923" s="445" t="s">
        <v>1315</v>
      </c>
      <c r="C2923" s="445" t="s">
        <v>1316</v>
      </c>
      <c r="D2923" s="445">
        <v>456.3</v>
      </c>
      <c r="E2923" s="446">
        <v>43118</v>
      </c>
      <c r="F2923" s="447">
        <v>504.34</v>
      </c>
    </row>
    <row r="2924" spans="1:6" s="306" customFormat="1" x14ac:dyDescent="0.15">
      <c r="A2924" s="444" t="s">
        <v>1322</v>
      </c>
      <c r="B2924" s="445" t="s">
        <v>1250</v>
      </c>
      <c r="C2924" s="445" t="s">
        <v>1251</v>
      </c>
      <c r="D2924" s="445">
        <v>99.9</v>
      </c>
      <c r="E2924" s="446">
        <v>43118</v>
      </c>
      <c r="F2924" s="447">
        <v>132.47999999999999</v>
      </c>
    </row>
    <row r="2925" spans="1:6" s="306" customFormat="1" x14ac:dyDescent="0.15">
      <c r="A2925" s="444" t="s">
        <v>1326</v>
      </c>
      <c r="B2925" s="445" t="s">
        <v>1284</v>
      </c>
      <c r="C2925" s="445" t="s">
        <v>1285</v>
      </c>
      <c r="D2925" s="448">
        <v>397.6</v>
      </c>
      <c r="E2925" s="446">
        <v>43118</v>
      </c>
      <c r="F2925" s="447">
        <v>457.84</v>
      </c>
    </row>
    <row r="2926" spans="1:6" s="306" customFormat="1" x14ac:dyDescent="0.15">
      <c r="A2926" s="444" t="s">
        <v>1323</v>
      </c>
      <c r="B2926" s="445" t="s">
        <v>1252</v>
      </c>
      <c r="C2926" s="445" t="s">
        <v>1253</v>
      </c>
      <c r="D2926" s="445">
        <v>1347.2</v>
      </c>
      <c r="E2926" s="446">
        <v>43118</v>
      </c>
      <c r="F2926" s="447">
        <v>1434.11</v>
      </c>
    </row>
    <row r="2927" spans="1:6" s="306" customFormat="1" x14ac:dyDescent="0.15">
      <c r="A2927" s="444" t="s">
        <v>1325</v>
      </c>
      <c r="B2927" s="445" t="s">
        <v>1279</v>
      </c>
      <c r="C2927" s="445" t="s">
        <v>1280</v>
      </c>
      <c r="D2927" s="448">
        <v>926.9</v>
      </c>
      <c r="E2927" s="446">
        <v>43118</v>
      </c>
      <c r="F2927" s="447">
        <v>995.49</v>
      </c>
    </row>
    <row r="2928" spans="1:6" s="306" customFormat="1" x14ac:dyDescent="0.15">
      <c r="A2928" s="444" t="s">
        <v>1324</v>
      </c>
      <c r="B2928" s="445" t="s">
        <v>1275</v>
      </c>
      <c r="C2928" s="445" t="s">
        <v>1276</v>
      </c>
      <c r="D2928" s="448">
        <v>1285.4000000000001</v>
      </c>
      <c r="E2928" s="446">
        <v>43118</v>
      </c>
      <c r="F2928" s="447">
        <v>1369.62</v>
      </c>
    </row>
    <row r="2929" spans="1:6" s="306" customFormat="1" x14ac:dyDescent="0.15">
      <c r="A2929" s="444" t="s">
        <v>1321</v>
      </c>
      <c r="B2929" s="445" t="s">
        <v>1244</v>
      </c>
      <c r="C2929" s="445" t="s">
        <v>1245</v>
      </c>
      <c r="D2929" s="445">
        <v>1375</v>
      </c>
      <c r="E2929" s="446">
        <v>43118</v>
      </c>
      <c r="F2929" s="447">
        <v>1463.13</v>
      </c>
    </row>
    <row r="2930" spans="1:6" s="306" customFormat="1" ht="14" thickBot="1" x14ac:dyDescent="0.2">
      <c r="A2930" s="444"/>
      <c r="B2930" s="445"/>
      <c r="C2930" s="313" t="s">
        <v>115</v>
      </c>
      <c r="D2930" s="462">
        <f>SUM(D2910:D2929)</f>
        <v>18477.099999999999</v>
      </c>
      <c r="E2930" s="460"/>
      <c r="F2930" s="451">
        <f>SUM(F2910:F2929)</f>
        <v>19971.670000000002</v>
      </c>
    </row>
    <row r="2931" spans="1:6" s="306" customFormat="1" ht="14" thickTop="1" x14ac:dyDescent="0.15">
      <c r="A2931" s="444"/>
      <c r="B2931" s="445"/>
      <c r="C2931" s="445"/>
      <c r="D2931" s="445"/>
      <c r="E2931" s="446"/>
      <c r="F2931" s="447"/>
    </row>
    <row r="2932" spans="1:6" s="306" customFormat="1" x14ac:dyDescent="0.15">
      <c r="A2932" s="444"/>
      <c r="B2932" s="445"/>
      <c r="C2932" s="452" t="s">
        <v>1212</v>
      </c>
      <c r="D2932" s="445"/>
      <c r="E2932" s="446"/>
      <c r="F2932" s="447"/>
    </row>
    <row r="2933" spans="1:6" s="306" customFormat="1" x14ac:dyDescent="0.15">
      <c r="A2933" s="444"/>
      <c r="B2933" s="445"/>
      <c r="C2933" s="452" t="s">
        <v>1139</v>
      </c>
      <c r="D2933" s="445"/>
      <c r="E2933" s="446"/>
      <c r="F2933" s="447"/>
    </row>
    <row r="2934" spans="1:6" s="306" customFormat="1" x14ac:dyDescent="0.15">
      <c r="A2934" s="444"/>
      <c r="B2934" s="445"/>
      <c r="C2934" s="453">
        <v>43125</v>
      </c>
      <c r="D2934" s="445"/>
      <c r="E2934" s="446"/>
      <c r="F2934" s="447"/>
    </row>
    <row r="2935" spans="1:6" s="306" customFormat="1" x14ac:dyDescent="0.15">
      <c r="A2935" s="444"/>
      <c r="B2935" s="445"/>
      <c r="C2935" s="445"/>
      <c r="D2935" s="445"/>
      <c r="E2935" s="446"/>
      <c r="F2935" s="447"/>
    </row>
    <row r="2936" spans="1:6" s="306" customFormat="1" x14ac:dyDescent="0.15">
      <c r="A2936" s="440" t="s">
        <v>1302</v>
      </c>
      <c r="B2936" s="441" t="s">
        <v>1226</v>
      </c>
      <c r="C2936" s="441" t="s">
        <v>1227</v>
      </c>
      <c r="D2936" s="441">
        <v>1306.2</v>
      </c>
      <c r="E2936" s="442">
        <v>43132</v>
      </c>
      <c r="F2936" s="443">
        <v>1431.67</v>
      </c>
    </row>
    <row r="2937" spans="1:6" s="306" customFormat="1" x14ac:dyDescent="0.15">
      <c r="A2937" s="444" t="s">
        <v>1303</v>
      </c>
      <c r="B2937" s="445" t="s">
        <v>1228</v>
      </c>
      <c r="C2937" s="445" t="s">
        <v>1229</v>
      </c>
      <c r="D2937" s="445">
        <v>1301.0999999999999</v>
      </c>
      <c r="E2937" s="446">
        <v>43132</v>
      </c>
      <c r="F2937" s="447">
        <v>1426.22</v>
      </c>
    </row>
    <row r="2938" spans="1:6" s="306" customFormat="1" x14ac:dyDescent="0.15">
      <c r="A2938" s="444" t="s">
        <v>1304</v>
      </c>
      <c r="B2938" s="445" t="s">
        <v>1230</v>
      </c>
      <c r="C2938" s="445" t="s">
        <v>1231</v>
      </c>
      <c r="D2938" s="445">
        <v>773.6</v>
      </c>
      <c r="E2938" s="446">
        <v>43132</v>
      </c>
      <c r="F2938" s="447">
        <v>859.39</v>
      </c>
    </row>
    <row r="2939" spans="1:6" s="306" customFormat="1" x14ac:dyDescent="0.15">
      <c r="A2939" s="444" t="s">
        <v>1305</v>
      </c>
      <c r="B2939" s="445" t="s">
        <v>1306</v>
      </c>
      <c r="C2939" s="445" t="s">
        <v>1233</v>
      </c>
      <c r="D2939" s="445">
        <v>888</v>
      </c>
      <c r="E2939" s="446">
        <v>43132</v>
      </c>
      <c r="F2939" s="447">
        <v>874.73</v>
      </c>
    </row>
    <row r="2940" spans="1:6" s="306" customFormat="1" x14ac:dyDescent="0.15">
      <c r="A2940" s="444" t="s">
        <v>1307</v>
      </c>
      <c r="B2940" s="445" t="s">
        <v>1234</v>
      </c>
      <c r="C2940" s="445" t="s">
        <v>500</v>
      </c>
      <c r="D2940" s="445">
        <v>1441.2</v>
      </c>
      <c r="E2940" s="446">
        <v>43132</v>
      </c>
      <c r="F2940" s="447">
        <v>1563.57</v>
      </c>
    </row>
    <row r="2941" spans="1:6" s="306" customFormat="1" x14ac:dyDescent="0.15">
      <c r="A2941" s="444" t="s">
        <v>1308</v>
      </c>
      <c r="B2941" s="445" t="s">
        <v>1235</v>
      </c>
      <c r="C2941" s="445" t="s">
        <v>1236</v>
      </c>
      <c r="D2941" s="445">
        <v>1359.8</v>
      </c>
      <c r="E2941" s="446">
        <v>43132</v>
      </c>
      <c r="F2941" s="447">
        <v>1489.25</v>
      </c>
    </row>
    <row r="2942" spans="1:6" s="306" customFormat="1" x14ac:dyDescent="0.15">
      <c r="A2942" s="444" t="s">
        <v>1318</v>
      </c>
      <c r="B2942" s="445" t="s">
        <v>1238</v>
      </c>
      <c r="C2942" s="445" t="s">
        <v>1239</v>
      </c>
      <c r="D2942" s="445">
        <v>1070.3</v>
      </c>
      <c r="E2942" s="446">
        <v>43132</v>
      </c>
      <c r="F2942" s="447">
        <v>1178.23</v>
      </c>
    </row>
    <row r="2943" spans="1:6" s="306" customFormat="1" x14ac:dyDescent="0.15">
      <c r="A2943" s="444" t="s">
        <v>1309</v>
      </c>
      <c r="B2943" s="445" t="s">
        <v>1240</v>
      </c>
      <c r="C2943" s="445" t="s">
        <v>1241</v>
      </c>
      <c r="D2943" s="445">
        <v>847.8</v>
      </c>
      <c r="E2943" s="446">
        <v>43132</v>
      </c>
      <c r="F2943" s="447">
        <v>939.17</v>
      </c>
    </row>
    <row r="2944" spans="1:6" s="306" customFormat="1" x14ac:dyDescent="0.15">
      <c r="A2944" s="444" t="s">
        <v>1310</v>
      </c>
      <c r="B2944" s="445" t="s">
        <v>1282</v>
      </c>
      <c r="C2944" s="445" t="s">
        <v>1283</v>
      </c>
      <c r="D2944" s="445">
        <v>969.2</v>
      </c>
      <c r="E2944" s="446">
        <v>43132</v>
      </c>
      <c r="F2944" s="447">
        <v>1069.6400000000001</v>
      </c>
    </row>
    <row r="2945" spans="1:6" s="306" customFormat="1" x14ac:dyDescent="0.15">
      <c r="A2945" s="444" t="s">
        <v>1319</v>
      </c>
      <c r="B2945" s="445" t="s">
        <v>1246</v>
      </c>
      <c r="C2945" s="445" t="s">
        <v>1247</v>
      </c>
      <c r="D2945" s="445">
        <v>940.5</v>
      </c>
      <c r="E2945" s="446">
        <v>43132</v>
      </c>
      <c r="F2945" s="447">
        <v>1038.77</v>
      </c>
    </row>
    <row r="2946" spans="1:6" s="306" customFormat="1" x14ac:dyDescent="0.15">
      <c r="A2946" s="444" t="s">
        <v>1311</v>
      </c>
      <c r="B2946" s="445" t="s">
        <v>1248</v>
      </c>
      <c r="C2946" s="445" t="s">
        <v>1249</v>
      </c>
      <c r="D2946" s="445">
        <v>270.89999999999998</v>
      </c>
      <c r="E2946" s="446">
        <v>43132</v>
      </c>
      <c r="F2946" s="447">
        <v>326.82</v>
      </c>
    </row>
    <row r="2947" spans="1:6" s="306" customFormat="1" x14ac:dyDescent="0.15">
      <c r="A2947" s="444" t="s">
        <v>1320</v>
      </c>
      <c r="B2947" s="445" t="s">
        <v>1288</v>
      </c>
      <c r="C2947" s="445" t="s">
        <v>1289</v>
      </c>
      <c r="D2947" s="448">
        <v>725.2</v>
      </c>
      <c r="E2947" s="446">
        <v>43132</v>
      </c>
      <c r="F2947" s="447">
        <v>807.44</v>
      </c>
    </row>
    <row r="2948" spans="1:6" s="306" customFormat="1" ht="14" thickBot="1" x14ac:dyDescent="0.2">
      <c r="A2948" s="444"/>
      <c r="B2948" s="445"/>
      <c r="C2948" s="313" t="s">
        <v>115</v>
      </c>
      <c r="D2948" s="449">
        <f>SUM(D2936:D2947)</f>
        <v>11893.800000000001</v>
      </c>
      <c r="E2948" s="449"/>
      <c r="F2948" s="451">
        <f>SUM(F2936:F2947)</f>
        <v>13004.9</v>
      </c>
    </row>
    <row r="2949" spans="1:6" s="306" customFormat="1" ht="14" thickTop="1" x14ac:dyDescent="0.15">
      <c r="A2949" s="444"/>
      <c r="B2949" s="445"/>
      <c r="C2949" s="445"/>
      <c r="D2949" s="445"/>
      <c r="E2949" s="446"/>
      <c r="F2949" s="447"/>
    </row>
    <row r="2950" spans="1:6" s="306" customFormat="1" x14ac:dyDescent="0.15">
      <c r="A2950" s="444"/>
      <c r="B2950" s="445"/>
      <c r="C2950" s="452" t="s">
        <v>1212</v>
      </c>
      <c r="D2950" s="445"/>
      <c r="E2950" s="446"/>
      <c r="F2950" s="447"/>
    </row>
    <row r="2951" spans="1:6" s="306" customFormat="1" x14ac:dyDescent="0.15">
      <c r="A2951" s="444"/>
      <c r="B2951" s="445"/>
      <c r="C2951" s="452" t="s">
        <v>1139</v>
      </c>
      <c r="D2951" s="445"/>
      <c r="E2951" s="446"/>
      <c r="F2951" s="447"/>
    </row>
    <row r="2952" spans="1:6" s="306" customFormat="1" x14ac:dyDescent="0.15">
      <c r="A2952" s="444"/>
      <c r="B2952" s="445"/>
      <c r="C2952" s="453">
        <v>43131</v>
      </c>
      <c r="D2952" s="445"/>
      <c r="E2952" s="446"/>
      <c r="F2952" s="447"/>
    </row>
    <row r="2953" spans="1:6" s="306" customFormat="1" x14ac:dyDescent="0.15">
      <c r="A2953" s="454"/>
      <c r="B2953" s="455"/>
      <c r="C2953" s="455"/>
      <c r="D2953" s="455"/>
      <c r="E2953" s="456"/>
      <c r="F2953" s="457"/>
    </row>
    <row r="2954" spans="1:6" s="306" customFormat="1" ht="14" thickBot="1" x14ac:dyDescent="0.2">
      <c r="A2954" s="458"/>
      <c r="B2954" s="459"/>
      <c r="C2954" s="313" t="s">
        <v>1193</v>
      </c>
      <c r="D2954" s="449">
        <f>SUM(D2930,D2948)</f>
        <v>30370.9</v>
      </c>
      <c r="E2954" s="460"/>
      <c r="F2954" s="451">
        <f>SUM(F2930,F2948)</f>
        <v>32976.57</v>
      </c>
    </row>
    <row r="2955" spans="1:6" s="306" customFormat="1" ht="14" thickTop="1" x14ac:dyDescent="0.15">
      <c r="E2955" s="461"/>
      <c r="F2955" s="309"/>
    </row>
    <row r="2956" spans="1:6" s="306" customFormat="1" x14ac:dyDescent="0.15">
      <c r="A2956" s="440" t="s">
        <v>1299</v>
      </c>
      <c r="B2956" s="441" t="s">
        <v>1269</v>
      </c>
      <c r="C2956" s="441" t="s">
        <v>1270</v>
      </c>
      <c r="D2956" s="441">
        <v>711.9</v>
      </c>
      <c r="E2956" s="442">
        <v>43147</v>
      </c>
      <c r="F2956" s="443">
        <v>800.76</v>
      </c>
    </row>
    <row r="2957" spans="1:6" s="306" customFormat="1" x14ac:dyDescent="0.15">
      <c r="A2957" s="444" t="s">
        <v>1293</v>
      </c>
      <c r="B2957" s="445" t="s">
        <v>1257</v>
      </c>
      <c r="C2957" s="445" t="s">
        <v>1258</v>
      </c>
      <c r="D2957" s="445">
        <v>918</v>
      </c>
      <c r="E2957" s="446">
        <v>43147</v>
      </c>
      <c r="F2957" s="447">
        <v>1024.46</v>
      </c>
    </row>
    <row r="2958" spans="1:6" s="306" customFormat="1" x14ac:dyDescent="0.15">
      <c r="A2958" s="444" t="s">
        <v>1294</v>
      </c>
      <c r="B2958" s="445" t="s">
        <v>1259</v>
      </c>
      <c r="C2958" s="445" t="s">
        <v>1260</v>
      </c>
      <c r="D2958" s="445">
        <v>340</v>
      </c>
      <c r="E2958" s="446">
        <v>43147</v>
      </c>
      <c r="F2958" s="447">
        <v>408.62</v>
      </c>
    </row>
    <row r="2959" spans="1:6" s="306" customFormat="1" x14ac:dyDescent="0.15">
      <c r="A2959" s="444" t="s">
        <v>1296</v>
      </c>
      <c r="B2959" s="445" t="s">
        <v>1278</v>
      </c>
      <c r="C2959" s="445" t="s">
        <v>1264</v>
      </c>
      <c r="D2959" s="445">
        <v>677.9</v>
      </c>
      <c r="E2959" s="446">
        <v>43147</v>
      </c>
      <c r="F2959" s="447">
        <v>763.87</v>
      </c>
    </row>
    <row r="2960" spans="1:6" s="306" customFormat="1" x14ac:dyDescent="0.15">
      <c r="A2960" s="444" t="s">
        <v>1295</v>
      </c>
      <c r="B2960" s="445" t="s">
        <v>1261</v>
      </c>
      <c r="C2960" s="445" t="s">
        <v>1262</v>
      </c>
      <c r="D2960" s="445">
        <v>504.8</v>
      </c>
      <c r="E2960" s="446">
        <v>43147</v>
      </c>
      <c r="F2960" s="447">
        <v>596.74</v>
      </c>
    </row>
    <row r="2961" spans="1:6" s="306" customFormat="1" x14ac:dyDescent="0.15">
      <c r="A2961" s="444" t="s">
        <v>1301</v>
      </c>
      <c r="B2961" s="445" t="s">
        <v>1286</v>
      </c>
      <c r="C2961" s="445" t="s">
        <v>1287</v>
      </c>
      <c r="D2961" s="445">
        <v>428.6</v>
      </c>
      <c r="E2961" s="446">
        <v>43147</v>
      </c>
      <c r="F2961" s="447">
        <v>493.3</v>
      </c>
    </row>
    <row r="2962" spans="1:6" s="306" customFormat="1" x14ac:dyDescent="0.15">
      <c r="A2962" s="444" t="s">
        <v>1297</v>
      </c>
      <c r="B2962" s="445" t="s">
        <v>1265</v>
      </c>
      <c r="C2962" s="445" t="s">
        <v>1266</v>
      </c>
      <c r="D2962" s="445">
        <v>369.9</v>
      </c>
      <c r="E2962" s="446">
        <v>43147</v>
      </c>
      <c r="F2962" s="447">
        <v>442.75</v>
      </c>
    </row>
    <row r="2963" spans="1:6" s="306" customFormat="1" ht="12" customHeight="1" x14ac:dyDescent="0.15">
      <c r="A2963" s="444" t="s">
        <v>1298</v>
      </c>
      <c r="B2963" s="445" t="s">
        <v>1267</v>
      </c>
      <c r="C2963" s="445" t="s">
        <v>1268</v>
      </c>
      <c r="D2963" s="445">
        <v>788.2</v>
      </c>
      <c r="E2963" s="446">
        <v>43147</v>
      </c>
      <c r="F2963" s="447">
        <v>920.24</v>
      </c>
    </row>
    <row r="2964" spans="1:6" s="306" customFormat="1" x14ac:dyDescent="0.15">
      <c r="A2964" s="444" t="s">
        <v>1300</v>
      </c>
      <c r="B2964" s="445" t="s">
        <v>1271</v>
      </c>
      <c r="C2964" s="445" t="s">
        <v>1272</v>
      </c>
      <c r="D2964" s="445">
        <v>670.7</v>
      </c>
      <c r="E2964" s="446">
        <v>43147</v>
      </c>
      <c r="F2964" s="447">
        <v>756.06</v>
      </c>
    </row>
    <row r="2965" spans="1:6" s="306" customFormat="1" x14ac:dyDescent="0.15">
      <c r="A2965" s="444" t="s">
        <v>1290</v>
      </c>
      <c r="B2965" s="445" t="s">
        <v>1291</v>
      </c>
      <c r="C2965" s="445" t="s">
        <v>1277</v>
      </c>
      <c r="D2965" s="445">
        <v>1063.2</v>
      </c>
      <c r="E2965" s="446">
        <v>43147</v>
      </c>
      <c r="F2965" s="447">
        <v>1182.04</v>
      </c>
    </row>
    <row r="2966" spans="1:6" s="306" customFormat="1" x14ac:dyDescent="0.15">
      <c r="A2966" s="444" t="s">
        <v>1327</v>
      </c>
      <c r="B2966" s="445" t="s">
        <v>1328</v>
      </c>
      <c r="C2966" s="445" t="s">
        <v>1329</v>
      </c>
      <c r="D2966" s="445">
        <v>386.4</v>
      </c>
      <c r="E2966" s="446">
        <v>43147</v>
      </c>
      <c r="F2966" s="447">
        <v>461.59</v>
      </c>
    </row>
    <row r="2967" spans="1:6" s="306" customFormat="1" x14ac:dyDescent="0.15">
      <c r="A2967" s="444" t="s">
        <v>1292</v>
      </c>
      <c r="B2967" s="445" t="s">
        <v>1255</v>
      </c>
      <c r="C2967" s="445" t="s">
        <v>1256</v>
      </c>
      <c r="D2967" s="445">
        <v>2199.8000000000002</v>
      </c>
      <c r="E2967" s="446">
        <v>43147</v>
      </c>
      <c r="F2967" s="447">
        <v>2397.46</v>
      </c>
    </row>
    <row r="2968" spans="1:6" s="306" customFormat="1" x14ac:dyDescent="0.15">
      <c r="A2968" s="444" t="s">
        <v>1312</v>
      </c>
      <c r="B2968" s="445" t="s">
        <v>1313</v>
      </c>
      <c r="C2968" s="445" t="s">
        <v>1313</v>
      </c>
      <c r="D2968" s="445">
        <v>1471.2</v>
      </c>
      <c r="E2968" s="446">
        <v>43147</v>
      </c>
      <c r="F2968" s="447">
        <v>1624.84</v>
      </c>
    </row>
    <row r="2969" spans="1:6" s="306" customFormat="1" x14ac:dyDescent="0.15">
      <c r="A2969" s="444" t="s">
        <v>1314</v>
      </c>
      <c r="B2969" s="445" t="s">
        <v>1315</v>
      </c>
      <c r="C2969" s="445" t="s">
        <v>1316</v>
      </c>
      <c r="D2969" s="445">
        <v>259.60000000000002</v>
      </c>
      <c r="E2969" s="446">
        <v>43147</v>
      </c>
      <c r="F2969" s="447">
        <v>309.89</v>
      </c>
    </row>
    <row r="2970" spans="1:6" s="306" customFormat="1" x14ac:dyDescent="0.15">
      <c r="A2970" s="444" t="s">
        <v>1322</v>
      </c>
      <c r="B2970" s="445" t="s">
        <v>1250</v>
      </c>
      <c r="C2970" s="445" t="s">
        <v>1251</v>
      </c>
      <c r="D2970" s="445">
        <v>77.3</v>
      </c>
      <c r="E2970" s="446">
        <v>43147</v>
      </c>
      <c r="F2970" s="447">
        <v>108.66</v>
      </c>
    </row>
    <row r="2971" spans="1:6" s="306" customFormat="1" x14ac:dyDescent="0.15">
      <c r="A2971" s="444" t="s">
        <v>1326</v>
      </c>
      <c r="B2971" s="445" t="s">
        <v>1284</v>
      </c>
      <c r="C2971" s="445" t="s">
        <v>1285</v>
      </c>
      <c r="D2971" s="448">
        <v>325.60000000000002</v>
      </c>
      <c r="E2971" s="446">
        <v>43147</v>
      </c>
      <c r="F2971" s="447">
        <v>392.19</v>
      </c>
    </row>
    <row r="2972" spans="1:6" s="306" customFormat="1" x14ac:dyDescent="0.15">
      <c r="A2972" s="444" t="s">
        <v>1323</v>
      </c>
      <c r="B2972" s="445" t="s">
        <v>1252</v>
      </c>
      <c r="C2972" s="445" t="s">
        <v>1253</v>
      </c>
      <c r="D2972" s="445">
        <v>1254.9000000000001</v>
      </c>
      <c r="E2972" s="446">
        <v>43147</v>
      </c>
      <c r="F2972" s="447">
        <v>1390.09</v>
      </c>
    </row>
    <row r="2973" spans="1:6" s="306" customFormat="1" x14ac:dyDescent="0.15">
      <c r="A2973" s="444" t="s">
        <v>1325</v>
      </c>
      <c r="B2973" s="445" t="s">
        <v>1279</v>
      </c>
      <c r="C2973" s="445" t="s">
        <v>1280</v>
      </c>
      <c r="D2973" s="448">
        <v>834.5</v>
      </c>
      <c r="E2973" s="446">
        <v>43147</v>
      </c>
      <c r="F2973" s="447">
        <v>933.83</v>
      </c>
    </row>
    <row r="2974" spans="1:6" s="306" customFormat="1" x14ac:dyDescent="0.15">
      <c r="A2974" s="444" t="s">
        <v>1324</v>
      </c>
      <c r="B2974" s="445" t="s">
        <v>1275</v>
      </c>
      <c r="C2974" s="445" t="s">
        <v>1276</v>
      </c>
      <c r="D2974" s="448">
        <v>1106.5</v>
      </c>
      <c r="E2974" s="446">
        <v>43147</v>
      </c>
      <c r="F2974" s="447">
        <v>1229.03</v>
      </c>
    </row>
    <row r="2975" spans="1:6" s="306" customFormat="1" x14ac:dyDescent="0.15">
      <c r="A2975" s="444" t="s">
        <v>1321</v>
      </c>
      <c r="B2975" s="445" t="s">
        <v>1244</v>
      </c>
      <c r="C2975" s="445" t="s">
        <v>1245</v>
      </c>
      <c r="D2975" s="445">
        <v>1230.2</v>
      </c>
      <c r="E2975" s="446">
        <v>43147</v>
      </c>
      <c r="F2975" s="447">
        <v>1363.28</v>
      </c>
    </row>
    <row r="2976" spans="1:6" s="306" customFormat="1" ht="14" thickBot="1" x14ac:dyDescent="0.2">
      <c r="A2976" s="444"/>
      <c r="B2976" s="445"/>
      <c r="C2976" s="313" t="s">
        <v>115</v>
      </c>
      <c r="D2976" s="462">
        <f>SUM(D2956:D2975)</f>
        <v>15619.2</v>
      </c>
      <c r="E2976" s="460"/>
      <c r="F2976" s="451">
        <f>SUM(F2956:F2975)</f>
        <v>17599.7</v>
      </c>
    </row>
    <row r="2977" spans="1:6" s="306" customFormat="1" ht="14" thickTop="1" x14ac:dyDescent="0.15">
      <c r="A2977" s="444"/>
      <c r="B2977" s="445"/>
      <c r="C2977" s="445"/>
      <c r="D2977" s="445"/>
      <c r="E2977" s="446"/>
      <c r="F2977" s="447"/>
    </row>
    <row r="2978" spans="1:6" s="306" customFormat="1" x14ac:dyDescent="0.15">
      <c r="A2978" s="444"/>
      <c r="B2978" s="445"/>
      <c r="C2978" s="452" t="s">
        <v>1212</v>
      </c>
      <c r="D2978" s="445"/>
      <c r="E2978" s="446"/>
      <c r="F2978" s="447"/>
    </row>
    <row r="2979" spans="1:6" s="306" customFormat="1" x14ac:dyDescent="0.15">
      <c r="A2979" s="444"/>
      <c r="B2979" s="445"/>
      <c r="C2979" s="452" t="s">
        <v>1139</v>
      </c>
      <c r="D2979" s="445"/>
      <c r="E2979" s="446"/>
      <c r="F2979" s="447"/>
    </row>
    <row r="2980" spans="1:6" s="306" customFormat="1" x14ac:dyDescent="0.15">
      <c r="A2980" s="444"/>
      <c r="B2980" s="445"/>
      <c r="C2980" s="453">
        <v>43159</v>
      </c>
      <c r="D2980" s="445"/>
      <c r="E2980" s="446"/>
      <c r="F2980" s="447"/>
    </row>
    <row r="2981" spans="1:6" s="306" customFormat="1" x14ac:dyDescent="0.15">
      <c r="A2981" s="444"/>
      <c r="B2981" s="445"/>
      <c r="C2981" s="445"/>
      <c r="D2981" s="445"/>
      <c r="E2981" s="446"/>
      <c r="F2981" s="447"/>
    </row>
    <row r="2982" spans="1:6" s="306" customFormat="1" x14ac:dyDescent="0.15">
      <c r="A2982" s="440" t="s">
        <v>1302</v>
      </c>
      <c r="B2982" s="441" t="s">
        <v>1226</v>
      </c>
      <c r="C2982" s="441" t="s">
        <v>1227</v>
      </c>
      <c r="D2982" s="441">
        <v>1310.5999999999999</v>
      </c>
      <c r="E2982" s="442">
        <v>43160</v>
      </c>
      <c r="F2982" s="443">
        <v>1450.54</v>
      </c>
    </row>
    <row r="2983" spans="1:6" s="306" customFormat="1" x14ac:dyDescent="0.15">
      <c r="A2983" s="444" t="s">
        <v>1303</v>
      </c>
      <c r="B2983" s="445" t="s">
        <v>1228</v>
      </c>
      <c r="C2983" s="445" t="s">
        <v>1229</v>
      </c>
      <c r="D2983" s="445">
        <v>1216.9000000000001</v>
      </c>
      <c r="E2983" s="446">
        <v>43160</v>
      </c>
      <c r="F2983" s="447">
        <v>1348.84</v>
      </c>
    </row>
    <row r="2984" spans="1:6" s="306" customFormat="1" x14ac:dyDescent="0.15">
      <c r="A2984" s="444" t="s">
        <v>1304</v>
      </c>
      <c r="B2984" s="445" t="s">
        <v>1230</v>
      </c>
      <c r="C2984" s="445" t="s">
        <v>1231</v>
      </c>
      <c r="D2984" s="445">
        <v>767.6</v>
      </c>
      <c r="E2984" s="446">
        <v>43160</v>
      </c>
      <c r="F2984" s="447">
        <v>861.22</v>
      </c>
    </row>
    <row r="2985" spans="1:6" s="306" customFormat="1" x14ac:dyDescent="0.15">
      <c r="A2985" s="444" t="s">
        <v>1305</v>
      </c>
      <c r="B2985" s="445" t="s">
        <v>1306</v>
      </c>
      <c r="C2985" s="445" t="s">
        <v>1233</v>
      </c>
      <c r="D2985" s="445">
        <v>1409.5</v>
      </c>
      <c r="E2985" s="446">
        <v>43160</v>
      </c>
      <c r="F2985" s="447">
        <v>1386.46</v>
      </c>
    </row>
    <row r="2986" spans="1:6" s="306" customFormat="1" x14ac:dyDescent="0.15">
      <c r="A2986" s="444" t="s">
        <v>1307</v>
      </c>
      <c r="B2986" s="445" t="s">
        <v>1234</v>
      </c>
      <c r="C2986" s="445" t="s">
        <v>500</v>
      </c>
      <c r="D2986" s="445">
        <v>1486.8</v>
      </c>
      <c r="E2986" s="446">
        <v>43160</v>
      </c>
      <c r="F2986" s="447">
        <v>1628.28</v>
      </c>
    </row>
    <row r="2987" spans="1:6" s="306" customFormat="1" x14ac:dyDescent="0.15">
      <c r="A2987" s="444" t="s">
        <v>1308</v>
      </c>
      <c r="B2987" s="445" t="s">
        <v>1235</v>
      </c>
      <c r="C2987" s="445" t="s">
        <v>1236</v>
      </c>
      <c r="D2987" s="445">
        <v>1352.9</v>
      </c>
      <c r="E2987" s="446">
        <v>43160</v>
      </c>
      <c r="F2987" s="447">
        <v>1496.44</v>
      </c>
    </row>
    <row r="2988" spans="1:6" s="306" customFormat="1" x14ac:dyDescent="0.15">
      <c r="A2988" s="444" t="s">
        <v>1318</v>
      </c>
      <c r="B2988" s="445" t="s">
        <v>1238</v>
      </c>
      <c r="C2988" s="445" t="s">
        <v>1239</v>
      </c>
      <c r="D2988" s="445">
        <v>1132.4000000000001</v>
      </c>
      <c r="E2988" s="446">
        <v>43160</v>
      </c>
      <c r="F2988" s="447">
        <v>1257.1400000000001</v>
      </c>
    </row>
    <row r="2989" spans="1:6" s="306" customFormat="1" x14ac:dyDescent="0.15">
      <c r="A2989" s="444" t="s">
        <v>1309</v>
      </c>
      <c r="B2989" s="445" t="s">
        <v>1240</v>
      </c>
      <c r="C2989" s="445" t="s">
        <v>1241</v>
      </c>
      <c r="D2989" s="445">
        <v>878.9</v>
      </c>
      <c r="E2989" s="446">
        <v>43160</v>
      </c>
      <c r="F2989" s="447">
        <v>982.01</v>
      </c>
    </row>
    <row r="2990" spans="1:6" s="306" customFormat="1" x14ac:dyDescent="0.15">
      <c r="A2990" s="444" t="s">
        <v>1310</v>
      </c>
      <c r="B2990" s="445" t="s">
        <v>1282</v>
      </c>
      <c r="C2990" s="445" t="s">
        <v>1283</v>
      </c>
      <c r="D2990" s="445">
        <v>974.5</v>
      </c>
      <c r="E2990" s="446">
        <v>43160</v>
      </c>
      <c r="F2990" s="447">
        <v>1085.77</v>
      </c>
    </row>
    <row r="2991" spans="1:6" s="306" customFormat="1" x14ac:dyDescent="0.15">
      <c r="A2991" s="444" t="s">
        <v>1319</v>
      </c>
      <c r="B2991" s="445" t="s">
        <v>1246</v>
      </c>
      <c r="C2991" s="445" t="s">
        <v>1247</v>
      </c>
      <c r="D2991" s="445">
        <v>969.6</v>
      </c>
      <c r="E2991" s="446">
        <v>43160</v>
      </c>
      <c r="F2991" s="447">
        <v>1080.45</v>
      </c>
    </row>
    <row r="2992" spans="1:6" s="306" customFormat="1" x14ac:dyDescent="0.15">
      <c r="A2992" s="444" t="s">
        <v>1311</v>
      </c>
      <c r="B2992" s="445" t="s">
        <v>1248</v>
      </c>
      <c r="C2992" s="445" t="s">
        <v>1249</v>
      </c>
      <c r="D2992" s="445">
        <v>267.89999999999998</v>
      </c>
      <c r="E2992" s="446">
        <v>43160</v>
      </c>
      <c r="F2992" s="447">
        <v>326.31</v>
      </c>
    </row>
    <row r="2993" spans="1:6" s="306" customFormat="1" x14ac:dyDescent="0.15">
      <c r="A2993" s="444" t="s">
        <v>1320</v>
      </c>
      <c r="B2993" s="445" t="s">
        <v>1288</v>
      </c>
      <c r="C2993" s="445" t="s">
        <v>1289</v>
      </c>
      <c r="D2993" s="448">
        <v>676.9</v>
      </c>
      <c r="E2993" s="456">
        <v>43160</v>
      </c>
      <c r="F2993" s="447">
        <v>762.78</v>
      </c>
    </row>
    <row r="2994" spans="1:6" s="306" customFormat="1" ht="14" thickBot="1" x14ac:dyDescent="0.2">
      <c r="A2994" s="444"/>
      <c r="B2994" s="445"/>
      <c r="C2994" s="313" t="s">
        <v>115</v>
      </c>
      <c r="D2994" s="449">
        <f>SUM(D2982:D2993)</f>
        <v>12444.5</v>
      </c>
      <c r="E2994" s="450"/>
      <c r="F2994" s="451">
        <f>SUM(F2982:F2993)</f>
        <v>13666.240000000002</v>
      </c>
    </row>
    <row r="2995" spans="1:6" s="306" customFormat="1" ht="14" thickTop="1" x14ac:dyDescent="0.15">
      <c r="A2995" s="444"/>
      <c r="B2995" s="445"/>
      <c r="C2995" s="445"/>
      <c r="D2995" s="445"/>
      <c r="E2995" s="446"/>
      <c r="F2995" s="447"/>
    </row>
    <row r="2996" spans="1:6" s="306" customFormat="1" x14ac:dyDescent="0.15">
      <c r="A2996" s="444"/>
      <c r="B2996" s="445"/>
      <c r="C2996" s="452" t="s">
        <v>1212</v>
      </c>
      <c r="D2996" s="445"/>
      <c r="E2996" s="446"/>
      <c r="F2996" s="447"/>
    </row>
    <row r="2997" spans="1:6" s="306" customFormat="1" x14ac:dyDescent="0.15">
      <c r="A2997" s="444"/>
      <c r="B2997" s="445"/>
      <c r="C2997" s="452" t="s">
        <v>1139</v>
      </c>
      <c r="D2997" s="445"/>
      <c r="E2997" s="446"/>
      <c r="F2997" s="447"/>
    </row>
    <row r="2998" spans="1:6" s="306" customFormat="1" x14ac:dyDescent="0.15">
      <c r="A2998" s="444"/>
      <c r="B2998" s="445"/>
      <c r="C2998" s="453">
        <v>43159</v>
      </c>
      <c r="D2998" s="445"/>
      <c r="E2998" s="446"/>
      <c r="F2998" s="447"/>
    </row>
    <row r="2999" spans="1:6" s="306" customFormat="1" x14ac:dyDescent="0.15">
      <c r="A2999" s="454"/>
      <c r="B2999" s="455"/>
      <c r="C2999" s="455"/>
      <c r="D2999" s="455"/>
      <c r="E2999" s="456"/>
      <c r="F2999" s="457"/>
    </row>
    <row r="3000" spans="1:6" s="306" customFormat="1" ht="14" thickBot="1" x14ac:dyDescent="0.2">
      <c r="A3000" s="458"/>
      <c r="B3000" s="459"/>
      <c r="C3000" s="313" t="s">
        <v>1194</v>
      </c>
      <c r="D3000" s="449">
        <f>SUM(D2976,D2994)</f>
        <v>28063.7</v>
      </c>
      <c r="E3000" s="460"/>
      <c r="F3000" s="451">
        <f>SUM(F2976,F2994)</f>
        <v>31265.940000000002</v>
      </c>
    </row>
    <row r="3001" spans="1:6" s="306" customFormat="1" ht="14" thickTop="1" x14ac:dyDescent="0.15">
      <c r="E3001" s="461"/>
      <c r="F3001" s="309"/>
    </row>
    <row r="3002" spans="1:6" s="306" customFormat="1" x14ac:dyDescent="0.15">
      <c r="A3002" s="440" t="s">
        <v>1299</v>
      </c>
      <c r="B3002" s="441" t="s">
        <v>1269</v>
      </c>
      <c r="C3002" s="441" t="s">
        <v>1270</v>
      </c>
      <c r="D3002" s="441">
        <v>596.4</v>
      </c>
      <c r="E3002" s="442">
        <v>43175</v>
      </c>
      <c r="F3002" s="443">
        <v>675.42</v>
      </c>
    </row>
    <row r="3003" spans="1:6" s="306" customFormat="1" x14ac:dyDescent="0.15">
      <c r="A3003" s="444" t="s">
        <v>1293</v>
      </c>
      <c r="B3003" s="445" t="s">
        <v>1257</v>
      </c>
      <c r="C3003" s="445" t="s">
        <v>1258</v>
      </c>
      <c r="D3003" s="445">
        <v>743.7</v>
      </c>
      <c r="E3003" s="446">
        <v>43175</v>
      </c>
      <c r="F3003" s="447">
        <v>835.28</v>
      </c>
    </row>
    <row r="3004" spans="1:6" s="306" customFormat="1" x14ac:dyDescent="0.15">
      <c r="A3004" s="444" t="s">
        <v>1294</v>
      </c>
      <c r="B3004" s="445" t="s">
        <v>1259</v>
      </c>
      <c r="C3004" s="445" t="s">
        <v>1260</v>
      </c>
      <c r="D3004" s="445">
        <v>275</v>
      </c>
      <c r="E3004" s="446">
        <v>43175</v>
      </c>
      <c r="F3004" s="447">
        <v>334.43</v>
      </c>
    </row>
    <row r="3005" spans="1:6" s="306" customFormat="1" x14ac:dyDescent="0.15">
      <c r="A3005" s="444" t="s">
        <v>1296</v>
      </c>
      <c r="B3005" s="445" t="s">
        <v>1278</v>
      </c>
      <c r="C3005" s="445" t="s">
        <v>1264</v>
      </c>
      <c r="D3005" s="445">
        <v>584</v>
      </c>
      <c r="E3005" s="446">
        <v>43175</v>
      </c>
      <c r="F3005" s="447">
        <v>661.96</v>
      </c>
    </row>
    <row r="3006" spans="1:6" s="306" customFormat="1" x14ac:dyDescent="0.15">
      <c r="A3006" s="444" t="s">
        <v>1295</v>
      </c>
      <c r="B3006" s="445" t="s">
        <v>1261</v>
      </c>
      <c r="C3006" s="445" t="s">
        <v>1262</v>
      </c>
      <c r="D3006" s="445">
        <v>412</v>
      </c>
      <c r="E3006" s="446">
        <v>43175</v>
      </c>
      <c r="F3006" s="447">
        <v>490.81</v>
      </c>
    </row>
    <row r="3007" spans="1:6" s="306" customFormat="1" x14ac:dyDescent="0.15">
      <c r="A3007" s="444" t="s">
        <v>1301</v>
      </c>
      <c r="B3007" s="445" t="s">
        <v>1286</v>
      </c>
      <c r="C3007" s="445" t="s">
        <v>1287</v>
      </c>
      <c r="D3007" s="445">
        <v>300.8</v>
      </c>
      <c r="E3007" s="446">
        <v>43175</v>
      </c>
      <c r="F3007" s="447">
        <v>354.6</v>
      </c>
    </row>
    <row r="3008" spans="1:6" s="306" customFormat="1" x14ac:dyDescent="0.15">
      <c r="A3008" s="444" t="s">
        <v>1297</v>
      </c>
      <c r="B3008" s="445" t="s">
        <v>1265</v>
      </c>
      <c r="C3008" s="445" t="s">
        <v>1266</v>
      </c>
      <c r="D3008" s="445">
        <v>297.7</v>
      </c>
      <c r="E3008" s="446">
        <v>43175</v>
      </c>
      <c r="F3008" s="447">
        <v>360.33</v>
      </c>
    </row>
    <row r="3009" spans="1:6" s="306" customFormat="1" x14ac:dyDescent="0.15">
      <c r="A3009" s="444" t="s">
        <v>1298</v>
      </c>
      <c r="B3009" s="445" t="s">
        <v>1267</v>
      </c>
      <c r="C3009" s="445" t="s">
        <v>1268</v>
      </c>
      <c r="D3009" s="445">
        <v>637.6</v>
      </c>
      <c r="E3009" s="446">
        <v>43175</v>
      </c>
      <c r="F3009" s="447">
        <v>748.33</v>
      </c>
    </row>
    <row r="3010" spans="1:6" s="306" customFormat="1" x14ac:dyDescent="0.15">
      <c r="A3010" s="444" t="s">
        <v>1300</v>
      </c>
      <c r="B3010" s="445" t="s">
        <v>1271</v>
      </c>
      <c r="C3010" s="445" t="s">
        <v>1272</v>
      </c>
      <c r="D3010" s="445">
        <v>547</v>
      </c>
      <c r="E3010" s="446">
        <v>43175</v>
      </c>
      <c r="F3010" s="447">
        <v>621.79999999999995</v>
      </c>
    </row>
    <row r="3011" spans="1:6" s="306" customFormat="1" x14ac:dyDescent="0.15">
      <c r="A3011" s="444" t="s">
        <v>1290</v>
      </c>
      <c r="B3011" s="445" t="s">
        <v>1291</v>
      </c>
      <c r="C3011" s="445" t="s">
        <v>1277</v>
      </c>
      <c r="D3011" s="445">
        <v>880</v>
      </c>
      <c r="E3011" s="446">
        <v>43175</v>
      </c>
      <c r="F3011" s="447">
        <v>983.21</v>
      </c>
    </row>
    <row r="3012" spans="1:6" s="306" customFormat="1" x14ac:dyDescent="0.15">
      <c r="A3012" s="444" t="s">
        <v>1327</v>
      </c>
      <c r="B3012" s="445" t="s">
        <v>1328</v>
      </c>
      <c r="C3012" s="445" t="s">
        <v>1329</v>
      </c>
      <c r="D3012" s="445">
        <v>128.80000000000001</v>
      </c>
      <c r="E3012" s="446">
        <v>43175</v>
      </c>
      <c r="F3012" s="447">
        <v>167.54</v>
      </c>
    </row>
    <row r="3013" spans="1:6" s="306" customFormat="1" x14ac:dyDescent="0.15">
      <c r="A3013" s="444" t="s">
        <v>1292</v>
      </c>
      <c r="B3013" s="445" t="s">
        <v>1255</v>
      </c>
      <c r="C3013" s="445" t="s">
        <v>1256</v>
      </c>
      <c r="D3013" s="445">
        <v>1926.3</v>
      </c>
      <c r="E3013" s="446">
        <v>43175</v>
      </c>
      <c r="F3013" s="447">
        <v>2102.42</v>
      </c>
    </row>
    <row r="3014" spans="1:6" s="306" customFormat="1" x14ac:dyDescent="0.15">
      <c r="A3014" s="444" t="s">
        <v>1312</v>
      </c>
      <c r="B3014" s="445" t="s">
        <v>1313</v>
      </c>
      <c r="C3014" s="445" t="s">
        <v>1313</v>
      </c>
      <c r="D3014" s="445">
        <v>1181.5</v>
      </c>
      <c r="E3014" s="446">
        <v>43175</v>
      </c>
      <c r="F3014" s="447">
        <v>1310.43</v>
      </c>
    </row>
    <row r="3015" spans="1:6" s="306" customFormat="1" x14ac:dyDescent="0.15">
      <c r="A3015" s="444" t="s">
        <v>1314</v>
      </c>
      <c r="B3015" s="445" t="s">
        <v>1315</v>
      </c>
      <c r="C3015" s="445" t="s">
        <v>1316</v>
      </c>
      <c r="D3015" s="445">
        <v>196.7</v>
      </c>
      <c r="E3015" s="446">
        <v>43175</v>
      </c>
      <c r="F3015" s="447">
        <v>241.62</v>
      </c>
    </row>
    <row r="3016" spans="1:6" s="306" customFormat="1" x14ac:dyDescent="0.15">
      <c r="A3016" s="444" t="s">
        <v>1322</v>
      </c>
      <c r="B3016" s="445" t="s">
        <v>1250</v>
      </c>
      <c r="C3016" s="445" t="s">
        <v>1251</v>
      </c>
      <c r="D3016" s="445">
        <v>53.6</v>
      </c>
      <c r="E3016" s="446">
        <v>43175</v>
      </c>
      <c r="F3016" s="447">
        <v>76.62</v>
      </c>
    </row>
    <row r="3017" spans="1:6" s="306" customFormat="1" x14ac:dyDescent="0.15">
      <c r="A3017" s="444" t="s">
        <v>1326</v>
      </c>
      <c r="B3017" s="445" t="s">
        <v>1284</v>
      </c>
      <c r="C3017" s="445" t="s">
        <v>1285</v>
      </c>
      <c r="D3017" s="448">
        <v>264.7</v>
      </c>
      <c r="E3017" s="446">
        <v>43175</v>
      </c>
      <c r="F3017" s="447">
        <v>322.66000000000003</v>
      </c>
    </row>
    <row r="3018" spans="1:6" s="306" customFormat="1" x14ac:dyDescent="0.15">
      <c r="A3018" s="444" t="s">
        <v>1323</v>
      </c>
      <c r="B3018" s="445" t="s">
        <v>1252</v>
      </c>
      <c r="C3018" s="445" t="s">
        <v>1253</v>
      </c>
      <c r="D3018" s="445">
        <v>1063</v>
      </c>
      <c r="E3018" s="446">
        <v>43175</v>
      </c>
      <c r="F3018" s="447">
        <v>1181.82</v>
      </c>
    </row>
    <row r="3019" spans="1:6" s="306" customFormat="1" x14ac:dyDescent="0.15">
      <c r="A3019" s="444" t="s">
        <v>1325</v>
      </c>
      <c r="B3019" s="445" t="s">
        <v>1279</v>
      </c>
      <c r="C3019" s="445" t="s">
        <v>1280</v>
      </c>
      <c r="D3019" s="448">
        <v>681.9</v>
      </c>
      <c r="E3019" s="446">
        <v>43175</v>
      </c>
      <c r="F3019" s="447">
        <v>768.2</v>
      </c>
    </row>
    <row r="3020" spans="1:6" s="306" customFormat="1" x14ac:dyDescent="0.15">
      <c r="A3020" s="444" t="s">
        <v>1324</v>
      </c>
      <c r="B3020" s="445" t="s">
        <v>1275</v>
      </c>
      <c r="C3020" s="445" t="s">
        <v>1276</v>
      </c>
      <c r="D3020" s="448">
        <v>968.2</v>
      </c>
      <c r="E3020" s="446">
        <v>43175</v>
      </c>
      <c r="F3020" s="447">
        <v>1078.94</v>
      </c>
    </row>
    <row r="3021" spans="1:6" s="306" customFormat="1" x14ac:dyDescent="0.15">
      <c r="A3021" s="444" t="s">
        <v>1321</v>
      </c>
      <c r="B3021" s="445" t="s">
        <v>1244</v>
      </c>
      <c r="C3021" s="445" t="s">
        <v>1245</v>
      </c>
      <c r="D3021" s="445">
        <v>1042.4000000000001</v>
      </c>
      <c r="E3021" s="446">
        <v>43175</v>
      </c>
      <c r="F3021" s="447">
        <v>1159.46</v>
      </c>
    </row>
    <row r="3022" spans="1:6" s="306" customFormat="1" ht="14" thickBot="1" x14ac:dyDescent="0.2">
      <c r="A3022" s="444"/>
      <c r="B3022" s="445"/>
      <c r="C3022" s="313" t="s">
        <v>115</v>
      </c>
      <c r="D3022" s="462">
        <f>SUM(D3002:D3021)</f>
        <v>12781.300000000001</v>
      </c>
      <c r="E3022" s="460"/>
      <c r="F3022" s="451">
        <f>SUM(F3002:F3021)</f>
        <v>14475.880000000005</v>
      </c>
    </row>
    <row r="3023" spans="1:6" s="306" customFormat="1" ht="14" thickTop="1" x14ac:dyDescent="0.15">
      <c r="A3023" s="444"/>
      <c r="B3023" s="445"/>
      <c r="C3023" s="445"/>
      <c r="D3023" s="445"/>
      <c r="E3023" s="446"/>
      <c r="F3023" s="447"/>
    </row>
    <row r="3024" spans="1:6" s="306" customFormat="1" x14ac:dyDescent="0.15">
      <c r="A3024" s="444"/>
      <c r="B3024" s="445"/>
      <c r="C3024" s="452" t="s">
        <v>1212</v>
      </c>
      <c r="D3024" s="445"/>
      <c r="E3024" s="446"/>
      <c r="F3024" s="447"/>
    </row>
    <row r="3025" spans="1:6" s="306" customFormat="1" x14ac:dyDescent="0.15">
      <c r="A3025" s="444"/>
      <c r="B3025" s="445"/>
      <c r="C3025" s="452" t="s">
        <v>1139</v>
      </c>
      <c r="D3025" s="445"/>
      <c r="E3025" s="446"/>
      <c r="F3025" s="447"/>
    </row>
    <row r="3026" spans="1:6" s="306" customFormat="1" x14ac:dyDescent="0.15">
      <c r="A3026" s="444"/>
      <c r="B3026" s="445"/>
      <c r="C3026" s="453">
        <v>43181</v>
      </c>
      <c r="D3026" s="445"/>
      <c r="E3026" s="446"/>
      <c r="F3026" s="447"/>
    </row>
    <row r="3027" spans="1:6" s="306" customFormat="1" x14ac:dyDescent="0.15">
      <c r="A3027" s="454"/>
      <c r="B3027" s="455"/>
      <c r="C3027" s="455"/>
      <c r="D3027" s="455"/>
      <c r="E3027" s="456"/>
      <c r="F3027" s="457"/>
    </row>
    <row r="3028" spans="1:6" s="306" customFormat="1" x14ac:dyDescent="0.15">
      <c r="A3028" s="440" t="s">
        <v>1302</v>
      </c>
      <c r="B3028" s="441" t="s">
        <v>1226</v>
      </c>
      <c r="C3028" s="441" t="s">
        <v>1227</v>
      </c>
      <c r="D3028" s="441">
        <v>1433.9</v>
      </c>
      <c r="E3028" s="442">
        <v>43193</v>
      </c>
      <c r="F3028" s="443">
        <v>1584.36</v>
      </c>
    </row>
    <row r="3029" spans="1:6" s="306" customFormat="1" x14ac:dyDescent="0.15">
      <c r="A3029" s="444" t="s">
        <v>1303</v>
      </c>
      <c r="B3029" s="445" t="s">
        <v>1228</v>
      </c>
      <c r="C3029" s="445" t="s">
        <v>1229</v>
      </c>
      <c r="D3029" s="445">
        <v>1231</v>
      </c>
      <c r="E3029" s="446">
        <v>43193</v>
      </c>
      <c r="F3029" s="447">
        <v>1364.15</v>
      </c>
    </row>
    <row r="3030" spans="1:6" s="306" customFormat="1" x14ac:dyDescent="0.15">
      <c r="A3030" s="444" t="s">
        <v>1304</v>
      </c>
      <c r="B3030" s="445" t="s">
        <v>1230</v>
      </c>
      <c r="C3030" s="445" t="s">
        <v>1231</v>
      </c>
      <c r="D3030" s="445">
        <v>831.3</v>
      </c>
      <c r="E3030" s="446">
        <v>43193</v>
      </c>
      <c r="F3030" s="447">
        <v>930.36</v>
      </c>
    </row>
    <row r="3031" spans="1:6" s="306" customFormat="1" x14ac:dyDescent="0.15">
      <c r="A3031" s="444" t="s">
        <v>1305</v>
      </c>
      <c r="B3031" s="445" t="s">
        <v>1306</v>
      </c>
      <c r="C3031" s="445" t="s">
        <v>1233</v>
      </c>
      <c r="D3031" s="445">
        <v>1393.8</v>
      </c>
      <c r="E3031" s="446">
        <v>43193</v>
      </c>
      <c r="F3031" s="447">
        <v>1371.29</v>
      </c>
    </row>
    <row r="3032" spans="1:6" s="306" customFormat="1" x14ac:dyDescent="0.15">
      <c r="A3032" s="444" t="s">
        <v>1307</v>
      </c>
      <c r="B3032" s="445" t="s">
        <v>1234</v>
      </c>
      <c r="C3032" s="445" t="s">
        <v>500</v>
      </c>
      <c r="D3032" s="445">
        <v>1520.5</v>
      </c>
      <c r="E3032" s="446">
        <v>43193</v>
      </c>
      <c r="F3032" s="447">
        <v>1664.64</v>
      </c>
    </row>
    <row r="3033" spans="1:6" s="306" customFormat="1" x14ac:dyDescent="0.15">
      <c r="A3033" s="444" t="s">
        <v>1308</v>
      </c>
      <c r="B3033" s="445" t="s">
        <v>1235</v>
      </c>
      <c r="C3033" s="445" t="s">
        <v>1236</v>
      </c>
      <c r="D3033" s="445">
        <v>1503</v>
      </c>
      <c r="E3033" s="446">
        <v>43193</v>
      </c>
      <c r="F3033" s="447">
        <v>1659.35</v>
      </c>
    </row>
    <row r="3034" spans="1:6" s="306" customFormat="1" x14ac:dyDescent="0.15">
      <c r="A3034" s="444" t="s">
        <v>1318</v>
      </c>
      <c r="B3034" s="445" t="s">
        <v>1238</v>
      </c>
      <c r="C3034" s="445" t="s">
        <v>1239</v>
      </c>
      <c r="D3034" s="445">
        <v>1237.2</v>
      </c>
      <c r="E3034" s="446">
        <v>43193</v>
      </c>
      <c r="F3034" s="447">
        <v>1370.88</v>
      </c>
    </row>
    <row r="3035" spans="1:6" s="306" customFormat="1" x14ac:dyDescent="0.15">
      <c r="A3035" s="444" t="s">
        <v>1309</v>
      </c>
      <c r="B3035" s="445" t="s">
        <v>1240</v>
      </c>
      <c r="C3035" s="445" t="s">
        <v>1241</v>
      </c>
      <c r="D3035" s="445">
        <v>920.9</v>
      </c>
      <c r="E3035" s="446">
        <v>43193</v>
      </c>
      <c r="F3035" s="447">
        <v>1027.5999999999999</v>
      </c>
    </row>
    <row r="3036" spans="1:6" s="306" customFormat="1" x14ac:dyDescent="0.15">
      <c r="A3036" s="444" t="s">
        <v>1310</v>
      </c>
      <c r="B3036" s="445" t="s">
        <v>1282</v>
      </c>
      <c r="C3036" s="445" t="s">
        <v>1283</v>
      </c>
      <c r="D3036" s="445">
        <v>1124.5999999999999</v>
      </c>
      <c r="E3036" s="446">
        <v>43193</v>
      </c>
      <c r="F3036" s="447">
        <v>1248.68</v>
      </c>
    </row>
    <row r="3037" spans="1:6" s="306" customFormat="1" x14ac:dyDescent="0.15">
      <c r="A3037" s="444" t="s">
        <v>1319</v>
      </c>
      <c r="B3037" s="445" t="s">
        <v>1246</v>
      </c>
      <c r="C3037" s="445" t="s">
        <v>1247</v>
      </c>
      <c r="D3037" s="445">
        <v>1076.5</v>
      </c>
      <c r="E3037" s="446">
        <v>43193</v>
      </c>
      <c r="F3037" s="447">
        <v>1196.47</v>
      </c>
    </row>
    <row r="3038" spans="1:6" s="306" customFormat="1" x14ac:dyDescent="0.15">
      <c r="A3038" s="444" t="s">
        <v>1311</v>
      </c>
      <c r="B3038" s="445" t="s">
        <v>1248</v>
      </c>
      <c r="C3038" s="445" t="s">
        <v>1249</v>
      </c>
      <c r="D3038" s="445">
        <v>294.60000000000002</v>
      </c>
      <c r="E3038" s="446">
        <v>43193</v>
      </c>
      <c r="F3038" s="447">
        <v>356.8</v>
      </c>
    </row>
    <row r="3039" spans="1:6" s="306" customFormat="1" x14ac:dyDescent="0.15">
      <c r="A3039" s="444" t="s">
        <v>1320</v>
      </c>
      <c r="B3039" s="445" t="s">
        <v>1288</v>
      </c>
      <c r="C3039" s="445" t="s">
        <v>1289</v>
      </c>
      <c r="D3039" s="448">
        <v>696.4</v>
      </c>
      <c r="E3039" s="456">
        <v>43193</v>
      </c>
      <c r="F3039" s="447">
        <v>783.95</v>
      </c>
    </row>
    <row r="3040" spans="1:6" s="306" customFormat="1" ht="14" thickBot="1" x14ac:dyDescent="0.2">
      <c r="A3040" s="444"/>
      <c r="B3040" s="445"/>
      <c r="C3040" s="313" t="s">
        <v>115</v>
      </c>
      <c r="D3040" s="449">
        <f>SUM(D3028:D3039)</f>
        <v>13263.7</v>
      </c>
      <c r="E3040" s="450"/>
      <c r="F3040" s="451">
        <f>SUM(F3028:F3039)</f>
        <v>14558.529999999999</v>
      </c>
    </row>
    <row r="3041" spans="1:6" s="306" customFormat="1" ht="14" thickTop="1" x14ac:dyDescent="0.15">
      <c r="A3041" s="444"/>
      <c r="B3041" s="445"/>
      <c r="C3041" s="445"/>
      <c r="D3041" s="445"/>
      <c r="E3041" s="446"/>
      <c r="F3041" s="447"/>
    </row>
    <row r="3042" spans="1:6" s="306" customFormat="1" x14ac:dyDescent="0.15">
      <c r="A3042" s="444"/>
      <c r="B3042" s="445"/>
      <c r="C3042" s="452" t="s">
        <v>1212</v>
      </c>
      <c r="D3042" s="445"/>
      <c r="E3042" s="446"/>
      <c r="F3042" s="447"/>
    </row>
    <row r="3043" spans="1:6" s="306" customFormat="1" x14ac:dyDescent="0.15">
      <c r="A3043" s="444"/>
      <c r="B3043" s="445"/>
      <c r="C3043" s="452" t="s">
        <v>1139</v>
      </c>
      <c r="D3043" s="445"/>
      <c r="E3043" s="446"/>
      <c r="F3043" s="447"/>
    </row>
    <row r="3044" spans="1:6" s="306" customFormat="1" x14ac:dyDescent="0.15">
      <c r="A3044" s="444"/>
      <c r="B3044" s="445"/>
      <c r="C3044" s="453">
        <v>43190</v>
      </c>
      <c r="D3044" s="445"/>
      <c r="E3044" s="446"/>
      <c r="F3044" s="447"/>
    </row>
    <row r="3045" spans="1:6" s="306" customFormat="1" x14ac:dyDescent="0.15">
      <c r="A3045" s="454"/>
      <c r="B3045" s="455"/>
      <c r="C3045" s="455"/>
      <c r="D3045" s="455"/>
      <c r="E3045" s="456"/>
      <c r="F3045" s="457"/>
    </row>
    <row r="3046" spans="1:6" s="306" customFormat="1" ht="14" thickBot="1" x14ac:dyDescent="0.2">
      <c r="A3046" s="458"/>
      <c r="B3046" s="459"/>
      <c r="C3046" s="313" t="s">
        <v>1171</v>
      </c>
      <c r="D3046" s="449">
        <f>SUM(D3022,D3040)</f>
        <v>26045</v>
      </c>
      <c r="E3046" s="460"/>
      <c r="F3046" s="451">
        <f>SUM(F3022,F3040)</f>
        <v>29034.410000000003</v>
      </c>
    </row>
    <row r="3047" spans="1:6" s="306" customFormat="1" ht="14" thickTop="1" x14ac:dyDescent="0.15">
      <c r="E3047" s="461"/>
      <c r="F3047" s="309"/>
    </row>
    <row r="3048" spans="1:6" s="306" customFormat="1" x14ac:dyDescent="0.15">
      <c r="A3048" s="440" t="s">
        <v>1299</v>
      </c>
      <c r="B3048" s="441" t="s">
        <v>1269</v>
      </c>
      <c r="C3048" s="441" t="s">
        <v>1270</v>
      </c>
      <c r="D3048" s="441">
        <v>582.9</v>
      </c>
      <c r="E3048" s="442">
        <v>43209</v>
      </c>
      <c r="F3048" s="443">
        <v>660.76</v>
      </c>
    </row>
    <row r="3049" spans="1:6" s="306" customFormat="1" x14ac:dyDescent="0.15">
      <c r="A3049" s="444" t="s">
        <v>1293</v>
      </c>
      <c r="B3049" s="445" t="s">
        <v>1257</v>
      </c>
      <c r="C3049" s="445" t="s">
        <v>1258</v>
      </c>
      <c r="D3049" s="445">
        <v>734.3</v>
      </c>
      <c r="E3049" s="446">
        <v>43209</v>
      </c>
      <c r="F3049" s="447">
        <v>825.08</v>
      </c>
    </row>
    <row r="3050" spans="1:6" s="306" customFormat="1" x14ac:dyDescent="0.15">
      <c r="A3050" s="444" t="s">
        <v>1294</v>
      </c>
      <c r="B3050" s="445" t="s">
        <v>1259</v>
      </c>
      <c r="C3050" s="445" t="s">
        <v>1260</v>
      </c>
      <c r="D3050" s="445">
        <v>250.2</v>
      </c>
      <c r="E3050" s="446">
        <v>43209</v>
      </c>
      <c r="F3050" s="447">
        <v>306.11</v>
      </c>
    </row>
    <row r="3051" spans="1:6" s="306" customFormat="1" x14ac:dyDescent="0.15">
      <c r="A3051" s="444" t="s">
        <v>1296</v>
      </c>
      <c r="B3051" s="445" t="s">
        <v>1278</v>
      </c>
      <c r="C3051" s="445" t="s">
        <v>1264</v>
      </c>
      <c r="D3051" s="445">
        <v>561.20000000000005</v>
      </c>
      <c r="E3051" s="446">
        <v>43209</v>
      </c>
      <c r="F3051" s="447">
        <v>637.21</v>
      </c>
    </row>
    <row r="3052" spans="1:6" s="306" customFormat="1" x14ac:dyDescent="0.15">
      <c r="A3052" s="444" t="s">
        <v>1295</v>
      </c>
      <c r="B3052" s="445" t="s">
        <v>1261</v>
      </c>
      <c r="C3052" s="445" t="s">
        <v>1262</v>
      </c>
      <c r="D3052" s="445">
        <v>376.9</v>
      </c>
      <c r="E3052" s="446">
        <v>43209</v>
      </c>
      <c r="F3052" s="447">
        <v>450.74</v>
      </c>
    </row>
    <row r="3053" spans="1:6" s="306" customFormat="1" x14ac:dyDescent="0.15">
      <c r="A3053" s="444" t="s">
        <v>1301</v>
      </c>
      <c r="B3053" s="445" t="s">
        <v>1286</v>
      </c>
      <c r="C3053" s="445" t="s">
        <v>1287</v>
      </c>
      <c r="D3053" s="445">
        <v>294.5</v>
      </c>
      <c r="E3053" s="446">
        <v>43209</v>
      </c>
      <c r="F3053" s="447">
        <v>347.76</v>
      </c>
    </row>
    <row r="3054" spans="1:6" s="306" customFormat="1" x14ac:dyDescent="0.15">
      <c r="A3054" s="444" t="s">
        <v>1297</v>
      </c>
      <c r="B3054" s="445" t="s">
        <v>1265</v>
      </c>
      <c r="C3054" s="445" t="s">
        <v>1266</v>
      </c>
      <c r="D3054" s="445">
        <v>289.39999999999998</v>
      </c>
      <c r="E3054" s="446">
        <v>43209</v>
      </c>
      <c r="F3054" s="447">
        <v>350.86</v>
      </c>
    </row>
    <row r="3055" spans="1:6" s="306" customFormat="1" x14ac:dyDescent="0.15">
      <c r="A3055" s="444" t="s">
        <v>1298</v>
      </c>
      <c r="B3055" s="445" t="s">
        <v>1267</v>
      </c>
      <c r="C3055" s="445" t="s">
        <v>1268</v>
      </c>
      <c r="D3055" s="445">
        <v>611.70000000000005</v>
      </c>
      <c r="E3055" s="446">
        <v>43209</v>
      </c>
      <c r="F3055" s="447">
        <v>718.77</v>
      </c>
    </row>
    <row r="3056" spans="1:6" s="306" customFormat="1" x14ac:dyDescent="0.15">
      <c r="A3056" s="444" t="s">
        <v>1300</v>
      </c>
      <c r="B3056" s="445" t="s">
        <v>1271</v>
      </c>
      <c r="C3056" s="445" t="s">
        <v>1272</v>
      </c>
      <c r="D3056" s="445">
        <v>526.20000000000005</v>
      </c>
      <c r="E3056" s="446">
        <v>43209</v>
      </c>
      <c r="F3056" s="447">
        <v>599.22</v>
      </c>
    </row>
    <row r="3057" spans="1:6" s="306" customFormat="1" x14ac:dyDescent="0.15">
      <c r="A3057" s="444" t="s">
        <v>1290</v>
      </c>
      <c r="B3057" s="445" t="s">
        <v>1291</v>
      </c>
      <c r="C3057" s="445" t="s">
        <v>1277</v>
      </c>
      <c r="D3057" s="445">
        <v>848.9</v>
      </c>
      <c r="E3057" s="446">
        <v>43209</v>
      </c>
      <c r="F3057" s="447">
        <v>949.45</v>
      </c>
    </row>
    <row r="3058" spans="1:6" s="306" customFormat="1" x14ac:dyDescent="0.15">
      <c r="A3058" s="444" t="s">
        <v>1327</v>
      </c>
      <c r="B3058" s="445" t="s">
        <v>1328</v>
      </c>
      <c r="C3058" s="445" t="s">
        <v>1329</v>
      </c>
      <c r="D3058" s="445">
        <v>169.9</v>
      </c>
      <c r="E3058" s="446">
        <v>43209</v>
      </c>
      <c r="F3058" s="447">
        <v>214.45</v>
      </c>
    </row>
    <row r="3059" spans="1:6" s="306" customFormat="1" x14ac:dyDescent="0.15">
      <c r="A3059" s="444" t="s">
        <v>1292</v>
      </c>
      <c r="B3059" s="445" t="s">
        <v>1255</v>
      </c>
      <c r="C3059" s="445" t="s">
        <v>1256</v>
      </c>
      <c r="D3059" s="445">
        <v>1837.2</v>
      </c>
      <c r="E3059" s="446">
        <v>43209</v>
      </c>
      <c r="F3059" s="447">
        <v>2006.29</v>
      </c>
    </row>
    <row r="3060" spans="1:6" s="306" customFormat="1" x14ac:dyDescent="0.15">
      <c r="A3060" s="444" t="s">
        <v>1312</v>
      </c>
      <c r="B3060" s="445" t="s">
        <v>1313</v>
      </c>
      <c r="C3060" s="445" t="s">
        <v>1313</v>
      </c>
      <c r="D3060" s="445">
        <v>1173</v>
      </c>
      <c r="E3060" s="446">
        <v>43209</v>
      </c>
      <c r="F3060" s="447">
        <v>1301.2</v>
      </c>
    </row>
    <row r="3061" spans="1:6" s="306" customFormat="1" x14ac:dyDescent="0.15">
      <c r="A3061" s="444" t="s">
        <v>1314</v>
      </c>
      <c r="B3061" s="445" t="s">
        <v>1315</v>
      </c>
      <c r="C3061" s="445" t="s">
        <v>1316</v>
      </c>
      <c r="D3061" s="445">
        <v>176.1</v>
      </c>
      <c r="E3061" s="446">
        <v>43209</v>
      </c>
      <c r="F3061" s="447">
        <v>219.26</v>
      </c>
    </row>
    <row r="3062" spans="1:6" s="306" customFormat="1" x14ac:dyDescent="0.15">
      <c r="A3062" s="444" t="s">
        <v>1322</v>
      </c>
      <c r="B3062" s="445" t="s">
        <v>1250</v>
      </c>
      <c r="C3062" s="445" t="s">
        <v>1251</v>
      </c>
      <c r="D3062" s="445">
        <v>55.6</v>
      </c>
      <c r="E3062" s="446">
        <v>43209</v>
      </c>
      <c r="F3062" s="447">
        <v>79.319999999999993</v>
      </c>
    </row>
    <row r="3063" spans="1:6" s="306" customFormat="1" x14ac:dyDescent="0.15">
      <c r="A3063" s="444" t="s">
        <v>1326</v>
      </c>
      <c r="B3063" s="445" t="s">
        <v>1284</v>
      </c>
      <c r="C3063" s="445" t="s">
        <v>1285</v>
      </c>
      <c r="D3063" s="448">
        <v>243</v>
      </c>
      <c r="E3063" s="446">
        <v>43209</v>
      </c>
      <c r="F3063" s="447">
        <v>297.89999999999998</v>
      </c>
    </row>
    <row r="3064" spans="1:6" s="306" customFormat="1" x14ac:dyDescent="0.15">
      <c r="A3064" s="444" t="s">
        <v>1323</v>
      </c>
      <c r="B3064" s="445" t="s">
        <v>1252</v>
      </c>
      <c r="C3064" s="445" t="s">
        <v>1253</v>
      </c>
      <c r="D3064" s="445">
        <v>1026.7</v>
      </c>
      <c r="E3064" s="446">
        <v>43209</v>
      </c>
      <c r="F3064" s="447">
        <v>1142.42</v>
      </c>
    </row>
    <row r="3065" spans="1:6" s="306" customFormat="1" x14ac:dyDescent="0.15">
      <c r="A3065" s="444" t="s">
        <v>1325</v>
      </c>
      <c r="B3065" s="445" t="s">
        <v>1279</v>
      </c>
      <c r="C3065" s="445" t="s">
        <v>1280</v>
      </c>
      <c r="D3065" s="448">
        <v>657</v>
      </c>
      <c r="E3065" s="446">
        <v>43209</v>
      </c>
      <c r="F3065" s="447">
        <v>741.18</v>
      </c>
    </row>
    <row r="3066" spans="1:6" s="306" customFormat="1" x14ac:dyDescent="0.15">
      <c r="A3066" s="444" t="s">
        <v>1324</v>
      </c>
      <c r="B3066" s="445" t="s">
        <v>1275</v>
      </c>
      <c r="C3066" s="445" t="s">
        <v>1276</v>
      </c>
      <c r="D3066" s="448">
        <v>943.3</v>
      </c>
      <c r="E3066" s="446">
        <v>43209</v>
      </c>
      <c r="F3066" s="447">
        <v>1051.9100000000001</v>
      </c>
    </row>
    <row r="3067" spans="1:6" s="306" customFormat="1" x14ac:dyDescent="0.15">
      <c r="A3067" s="444" t="s">
        <v>1321</v>
      </c>
      <c r="B3067" s="445" t="s">
        <v>1244</v>
      </c>
      <c r="C3067" s="445" t="s">
        <v>1245</v>
      </c>
      <c r="D3067" s="445">
        <v>993.8</v>
      </c>
      <c r="E3067" s="446">
        <v>43209</v>
      </c>
      <c r="F3067" s="447">
        <v>1106.72</v>
      </c>
    </row>
    <row r="3068" spans="1:6" s="306" customFormat="1" ht="14" thickBot="1" x14ac:dyDescent="0.2">
      <c r="A3068" s="444"/>
      <c r="B3068" s="445"/>
      <c r="C3068" s="313" t="s">
        <v>115</v>
      </c>
      <c r="D3068" s="462">
        <f>SUM(D3048:D3067)</f>
        <v>12351.8</v>
      </c>
      <c r="E3068" s="460"/>
      <c r="F3068" s="451">
        <f>SUM(F3048:F3067)</f>
        <v>14006.61</v>
      </c>
    </row>
    <row r="3069" spans="1:6" s="306" customFormat="1" ht="14" thickTop="1" x14ac:dyDescent="0.15">
      <c r="A3069" s="444"/>
      <c r="B3069" s="445"/>
      <c r="C3069" s="445"/>
      <c r="D3069" s="445"/>
      <c r="E3069" s="446"/>
      <c r="F3069" s="447"/>
    </row>
    <row r="3070" spans="1:6" s="306" customFormat="1" x14ac:dyDescent="0.15">
      <c r="A3070" s="444"/>
      <c r="B3070" s="445"/>
      <c r="C3070" s="452" t="s">
        <v>1212</v>
      </c>
      <c r="D3070" s="445"/>
      <c r="E3070" s="446"/>
      <c r="F3070" s="447"/>
    </row>
    <row r="3071" spans="1:6" s="306" customFormat="1" x14ac:dyDescent="0.15">
      <c r="A3071" s="444"/>
      <c r="B3071" s="445"/>
      <c r="C3071" s="452" t="s">
        <v>1139</v>
      </c>
      <c r="D3071" s="445"/>
      <c r="E3071" s="446"/>
      <c r="F3071" s="447"/>
    </row>
    <row r="3072" spans="1:6" s="306" customFormat="1" x14ac:dyDescent="0.15">
      <c r="A3072" s="444"/>
      <c r="B3072" s="445"/>
      <c r="C3072" s="453">
        <v>43217</v>
      </c>
      <c r="D3072" s="445"/>
      <c r="E3072" s="446"/>
      <c r="F3072" s="447"/>
    </row>
    <row r="3073" spans="1:6" s="306" customFormat="1" x14ac:dyDescent="0.15">
      <c r="A3073" s="454"/>
      <c r="B3073" s="455"/>
      <c r="C3073" s="455"/>
      <c r="D3073" s="455"/>
      <c r="E3073" s="456"/>
      <c r="F3073" s="457"/>
    </row>
    <row r="3074" spans="1:6" s="306" customFormat="1" x14ac:dyDescent="0.15">
      <c r="A3074" s="440" t="s">
        <v>1302</v>
      </c>
      <c r="B3074" s="441" t="s">
        <v>1226</v>
      </c>
      <c r="C3074" s="441" t="s">
        <v>1227</v>
      </c>
      <c r="D3074" s="441">
        <v>663.9</v>
      </c>
      <c r="E3074" s="442">
        <v>43221</v>
      </c>
      <c r="F3074" s="443">
        <v>748.68</v>
      </c>
    </row>
    <row r="3075" spans="1:6" s="306" customFormat="1" x14ac:dyDescent="0.15">
      <c r="A3075" s="444" t="s">
        <v>1303</v>
      </c>
      <c r="B3075" s="445" t="s">
        <v>1228</v>
      </c>
      <c r="C3075" s="445" t="s">
        <v>1229</v>
      </c>
      <c r="D3075" s="445">
        <v>502.3</v>
      </c>
      <c r="E3075" s="446">
        <v>43221</v>
      </c>
      <c r="F3075" s="447">
        <v>573.29</v>
      </c>
    </row>
    <row r="3076" spans="1:6" s="306" customFormat="1" x14ac:dyDescent="0.15">
      <c r="A3076" s="444" t="s">
        <v>1304</v>
      </c>
      <c r="B3076" s="445" t="s">
        <v>1230</v>
      </c>
      <c r="C3076" s="445" t="s">
        <v>1231</v>
      </c>
      <c r="D3076" s="445">
        <v>400.4</v>
      </c>
      <c r="E3076" s="446">
        <v>43221</v>
      </c>
      <c r="F3076" s="447">
        <v>462.69</v>
      </c>
    </row>
    <row r="3077" spans="1:6" s="306" customFormat="1" x14ac:dyDescent="0.15">
      <c r="A3077" s="444" t="s">
        <v>1305</v>
      </c>
      <c r="B3077" s="445" t="s">
        <v>1306</v>
      </c>
      <c r="C3077" s="445" t="s">
        <v>1233</v>
      </c>
      <c r="D3077" s="445">
        <v>1381.3</v>
      </c>
      <c r="E3077" s="446">
        <v>43221</v>
      </c>
      <c r="F3077" s="447">
        <v>1359.2</v>
      </c>
    </row>
    <row r="3078" spans="1:6" s="306" customFormat="1" x14ac:dyDescent="0.15">
      <c r="A3078" s="444" t="s">
        <v>1307</v>
      </c>
      <c r="B3078" s="445" t="s">
        <v>1234</v>
      </c>
      <c r="C3078" s="445" t="s">
        <v>500</v>
      </c>
      <c r="D3078" s="445">
        <v>797.7</v>
      </c>
      <c r="E3078" s="446">
        <v>43221</v>
      </c>
      <c r="F3078" s="447">
        <v>884.88</v>
      </c>
    </row>
    <row r="3079" spans="1:6" s="306" customFormat="1" x14ac:dyDescent="0.15">
      <c r="A3079" s="444" t="s">
        <v>1308</v>
      </c>
      <c r="B3079" s="445" t="s">
        <v>1235</v>
      </c>
      <c r="C3079" s="445" t="s">
        <v>1236</v>
      </c>
      <c r="D3079" s="445">
        <v>764.7</v>
      </c>
      <c r="E3079" s="446">
        <v>43221</v>
      </c>
      <c r="F3079" s="447">
        <v>858.08</v>
      </c>
    </row>
    <row r="3080" spans="1:6" s="306" customFormat="1" x14ac:dyDescent="0.15">
      <c r="A3080" s="444" t="s">
        <v>1318</v>
      </c>
      <c r="B3080" s="445" t="s">
        <v>1238</v>
      </c>
      <c r="C3080" s="445" t="s">
        <v>1239</v>
      </c>
      <c r="D3080" s="445">
        <v>584.6</v>
      </c>
      <c r="E3080" s="446">
        <v>43221</v>
      </c>
      <c r="F3080" s="447">
        <v>662.62</v>
      </c>
    </row>
    <row r="3081" spans="1:6" s="306" customFormat="1" x14ac:dyDescent="0.15">
      <c r="A3081" s="444" t="s">
        <v>1309</v>
      </c>
      <c r="B3081" s="445" t="s">
        <v>1240</v>
      </c>
      <c r="C3081" s="445" t="s">
        <v>1241</v>
      </c>
      <c r="D3081" s="445">
        <v>459</v>
      </c>
      <c r="E3081" s="446">
        <v>43221</v>
      </c>
      <c r="F3081" s="447">
        <v>526.29</v>
      </c>
    </row>
    <row r="3082" spans="1:6" s="306" customFormat="1" x14ac:dyDescent="0.15">
      <c r="A3082" s="444" t="s">
        <v>1310</v>
      </c>
      <c r="B3082" s="445" t="s">
        <v>1282</v>
      </c>
      <c r="C3082" s="445" t="s">
        <v>1283</v>
      </c>
      <c r="D3082" s="445">
        <v>612.1</v>
      </c>
      <c r="E3082" s="446">
        <v>43221</v>
      </c>
      <c r="F3082" s="447">
        <v>692.46</v>
      </c>
    </row>
    <row r="3083" spans="1:6" s="306" customFormat="1" x14ac:dyDescent="0.15">
      <c r="A3083" s="444" t="s">
        <v>1319</v>
      </c>
      <c r="B3083" s="445" t="s">
        <v>1246</v>
      </c>
      <c r="C3083" s="445" t="s">
        <v>1247</v>
      </c>
      <c r="D3083" s="445">
        <v>628.9</v>
      </c>
      <c r="E3083" s="446">
        <v>43221</v>
      </c>
      <c r="F3083" s="447">
        <v>710.69</v>
      </c>
    </row>
    <row r="3084" spans="1:6" s="306" customFormat="1" x14ac:dyDescent="0.15">
      <c r="A3084" s="444" t="s">
        <v>1311</v>
      </c>
      <c r="B3084" s="445" t="s">
        <v>1248</v>
      </c>
      <c r="C3084" s="445" t="s">
        <v>1249</v>
      </c>
      <c r="D3084" s="445">
        <v>137.9</v>
      </c>
      <c r="E3084" s="446">
        <v>43221</v>
      </c>
      <c r="F3084" s="447">
        <v>177.91</v>
      </c>
    </row>
    <row r="3085" spans="1:6" s="306" customFormat="1" x14ac:dyDescent="0.15">
      <c r="A3085" s="444" t="s">
        <v>1320</v>
      </c>
      <c r="B3085" s="445" t="s">
        <v>1288</v>
      </c>
      <c r="C3085" s="445" t="s">
        <v>1289</v>
      </c>
      <c r="D3085" s="448">
        <v>214.1</v>
      </c>
      <c r="E3085" s="456">
        <v>43221</v>
      </c>
      <c r="F3085" s="447">
        <v>260.51</v>
      </c>
    </row>
    <row r="3086" spans="1:6" s="306" customFormat="1" ht="14" thickBot="1" x14ac:dyDescent="0.2">
      <c r="A3086" s="444"/>
      <c r="B3086" s="445"/>
      <c r="C3086" s="313" t="s">
        <v>115</v>
      </c>
      <c r="D3086" s="449">
        <f>SUM(D3074:D3085)</f>
        <v>7146.9</v>
      </c>
      <c r="E3086" s="450"/>
      <c r="F3086" s="451">
        <f>SUM(F3074:F3085)</f>
        <v>7917.2999999999993</v>
      </c>
    </row>
    <row r="3087" spans="1:6" s="306" customFormat="1" ht="14" thickTop="1" x14ac:dyDescent="0.15">
      <c r="A3087" s="444"/>
      <c r="B3087" s="445"/>
      <c r="C3087" s="445"/>
      <c r="D3087" s="445"/>
      <c r="E3087" s="446"/>
      <c r="F3087" s="447"/>
    </row>
    <row r="3088" spans="1:6" s="306" customFormat="1" x14ac:dyDescent="0.15">
      <c r="A3088" s="444"/>
      <c r="B3088" s="445"/>
      <c r="C3088" s="452" t="s">
        <v>1212</v>
      </c>
      <c r="D3088" s="445"/>
      <c r="E3088" s="446"/>
      <c r="F3088" s="447"/>
    </row>
    <row r="3089" spans="1:6" s="306" customFormat="1" x14ac:dyDescent="0.15">
      <c r="A3089" s="444"/>
      <c r="B3089" s="445"/>
      <c r="C3089" s="452" t="s">
        <v>1139</v>
      </c>
      <c r="D3089" s="445"/>
      <c r="E3089" s="446"/>
      <c r="F3089" s="447"/>
    </row>
    <row r="3090" spans="1:6" s="306" customFormat="1" x14ac:dyDescent="0.15">
      <c r="A3090" s="444"/>
      <c r="B3090" s="445"/>
      <c r="C3090" s="453">
        <v>43220</v>
      </c>
      <c r="D3090" s="445"/>
      <c r="E3090" s="446"/>
      <c r="F3090" s="447"/>
    </row>
    <row r="3091" spans="1:6" s="306" customFormat="1" x14ac:dyDescent="0.15">
      <c r="A3091" s="454"/>
      <c r="B3091" s="455"/>
      <c r="C3091" s="455"/>
      <c r="D3091" s="455"/>
      <c r="E3091" s="456"/>
      <c r="F3091" s="457"/>
    </row>
    <row r="3092" spans="1:6" s="306" customFormat="1" ht="14" thickBot="1" x14ac:dyDescent="0.2">
      <c r="A3092" s="458"/>
      <c r="B3092" s="459"/>
      <c r="C3092" s="313" t="s">
        <v>1172</v>
      </c>
      <c r="D3092" s="449">
        <f>SUM(D3068,D3086)</f>
        <v>19498.699999999997</v>
      </c>
      <c r="E3092" s="460"/>
      <c r="F3092" s="451">
        <f>SUM(F3068,F3086)</f>
        <v>21923.91</v>
      </c>
    </row>
    <row r="3093" spans="1:6" s="306" customFormat="1" ht="14" thickTop="1" x14ac:dyDescent="0.15">
      <c r="A3093" s="440"/>
      <c r="B3093" s="441"/>
      <c r="C3093" s="463"/>
      <c r="D3093" s="464"/>
      <c r="E3093" s="442"/>
      <c r="F3093" s="465"/>
    </row>
    <row r="3094" spans="1:6" s="306" customFormat="1" x14ac:dyDescent="0.15">
      <c r="A3094" s="440" t="s">
        <v>1299</v>
      </c>
      <c r="B3094" s="441" t="s">
        <v>1269</v>
      </c>
      <c r="C3094" s="441" t="s">
        <v>1270</v>
      </c>
      <c r="D3094" s="441">
        <v>232.6</v>
      </c>
      <c r="E3094" s="442">
        <v>43236</v>
      </c>
      <c r="F3094" s="443">
        <v>248.09</v>
      </c>
    </row>
    <row r="3095" spans="1:6" s="306" customFormat="1" x14ac:dyDescent="0.15">
      <c r="A3095" s="444" t="s">
        <v>1293</v>
      </c>
      <c r="B3095" s="445" t="s">
        <v>1257</v>
      </c>
      <c r="C3095" s="445" t="s">
        <v>1258</v>
      </c>
      <c r="D3095" s="445">
        <v>322.10000000000002</v>
      </c>
      <c r="E3095" s="446">
        <v>43236</v>
      </c>
      <c r="F3095" s="447">
        <v>329.24</v>
      </c>
    </row>
    <row r="3096" spans="1:6" s="306" customFormat="1" x14ac:dyDescent="0.15">
      <c r="A3096" s="444" t="s">
        <v>1294</v>
      </c>
      <c r="B3096" s="445" t="s">
        <v>1259</v>
      </c>
      <c r="C3096" s="445" t="s">
        <v>1260</v>
      </c>
      <c r="D3096" s="445">
        <v>60.7</v>
      </c>
      <c r="E3096" s="446">
        <v>43236</v>
      </c>
      <c r="F3096" s="447">
        <v>87.12</v>
      </c>
    </row>
    <row r="3097" spans="1:6" s="306" customFormat="1" x14ac:dyDescent="0.15">
      <c r="A3097" s="444" t="s">
        <v>1296</v>
      </c>
      <c r="B3097" s="445" t="s">
        <v>1278</v>
      </c>
      <c r="C3097" s="445" t="s">
        <v>1264</v>
      </c>
      <c r="D3097" s="445">
        <v>266.5</v>
      </c>
      <c r="E3097" s="446">
        <v>43236</v>
      </c>
      <c r="F3097" s="447">
        <v>279</v>
      </c>
    </row>
    <row r="3098" spans="1:6" s="306" customFormat="1" x14ac:dyDescent="0.15">
      <c r="A3098" s="444" t="s">
        <v>1295</v>
      </c>
      <c r="B3098" s="445" t="s">
        <v>1261</v>
      </c>
      <c r="C3098" s="445" t="s">
        <v>1262</v>
      </c>
      <c r="D3098" s="445">
        <v>134.80000000000001</v>
      </c>
      <c r="E3098" s="446">
        <v>43236</v>
      </c>
      <c r="F3098" s="447">
        <v>158.59</v>
      </c>
    </row>
    <row r="3099" spans="1:6" s="306" customFormat="1" x14ac:dyDescent="0.15">
      <c r="A3099" s="444" t="s">
        <v>1301</v>
      </c>
      <c r="B3099" s="445" t="s">
        <v>1286</v>
      </c>
      <c r="C3099" s="445" t="s">
        <v>1287</v>
      </c>
      <c r="D3099" s="445">
        <v>91.6</v>
      </c>
      <c r="E3099" s="446">
        <v>43236</v>
      </c>
      <c r="F3099" s="447">
        <v>119.49</v>
      </c>
    </row>
    <row r="3100" spans="1:6" s="306" customFormat="1" x14ac:dyDescent="0.15">
      <c r="A3100" s="444" t="s">
        <v>1297</v>
      </c>
      <c r="B3100" s="445" t="s">
        <v>1265</v>
      </c>
      <c r="C3100" s="445" t="s">
        <v>1266</v>
      </c>
      <c r="D3100" s="445">
        <v>86.4</v>
      </c>
      <c r="E3100" s="446">
        <v>43236</v>
      </c>
      <c r="F3100" s="447">
        <v>112.26</v>
      </c>
    </row>
    <row r="3101" spans="1:6" s="306" customFormat="1" ht="12" customHeight="1" x14ac:dyDescent="0.15">
      <c r="A3101" s="444" t="s">
        <v>1298</v>
      </c>
      <c r="B3101" s="445" t="s">
        <v>1267</v>
      </c>
      <c r="C3101" s="445" t="s">
        <v>1268</v>
      </c>
      <c r="D3101" s="445">
        <v>232.6</v>
      </c>
      <c r="E3101" s="446">
        <v>43236</v>
      </c>
      <c r="F3101" s="447">
        <v>253.33</v>
      </c>
    </row>
    <row r="3102" spans="1:6" s="306" customFormat="1" x14ac:dyDescent="0.15">
      <c r="A3102" s="444" t="s">
        <v>1300</v>
      </c>
      <c r="B3102" s="445" t="s">
        <v>1271</v>
      </c>
      <c r="C3102" s="445" t="s">
        <v>1272</v>
      </c>
      <c r="D3102" s="445">
        <v>178</v>
      </c>
      <c r="E3102" s="446">
        <v>43236</v>
      </c>
      <c r="F3102" s="447">
        <v>198.08</v>
      </c>
    </row>
    <row r="3103" spans="1:6" s="306" customFormat="1" x14ac:dyDescent="0.15">
      <c r="A3103" s="444" t="s">
        <v>1290</v>
      </c>
      <c r="B3103" s="445" t="s">
        <v>1291</v>
      </c>
      <c r="C3103" s="445" t="s">
        <v>1277</v>
      </c>
      <c r="D3103" s="445">
        <v>293.8</v>
      </c>
      <c r="E3103" s="446">
        <v>43236</v>
      </c>
      <c r="F3103" s="447">
        <v>303.27</v>
      </c>
    </row>
    <row r="3104" spans="1:6" s="306" customFormat="1" x14ac:dyDescent="0.15">
      <c r="A3104" s="444" t="s">
        <v>1327</v>
      </c>
      <c r="B3104" s="445" t="s">
        <v>1328</v>
      </c>
      <c r="C3104" s="445" t="s">
        <v>1329</v>
      </c>
      <c r="D3104" s="445">
        <v>50.4</v>
      </c>
      <c r="E3104" s="446">
        <v>43236</v>
      </c>
      <c r="F3104" s="447">
        <v>74.72</v>
      </c>
    </row>
    <row r="3105" spans="1:6" s="306" customFormat="1" x14ac:dyDescent="0.15">
      <c r="A3105" s="444" t="s">
        <v>1292</v>
      </c>
      <c r="B3105" s="445" t="s">
        <v>1255</v>
      </c>
      <c r="C3105" s="445" t="s">
        <v>1256</v>
      </c>
      <c r="D3105" s="445">
        <v>872.8</v>
      </c>
      <c r="E3105" s="446">
        <v>43236</v>
      </c>
      <c r="F3105" s="447">
        <v>727.63</v>
      </c>
    </row>
    <row r="3106" spans="1:6" s="306" customFormat="1" x14ac:dyDescent="0.15">
      <c r="A3106" s="444" t="s">
        <v>1312</v>
      </c>
      <c r="B3106" s="445" t="s">
        <v>1313</v>
      </c>
      <c r="C3106" s="445" t="s">
        <v>1313</v>
      </c>
      <c r="D3106" s="445">
        <v>338.6</v>
      </c>
      <c r="E3106" s="446">
        <v>43236</v>
      </c>
      <c r="F3106" s="447">
        <v>344.61</v>
      </c>
    </row>
    <row r="3107" spans="1:6" s="306" customFormat="1" x14ac:dyDescent="0.15">
      <c r="A3107" s="444" t="s">
        <v>1314</v>
      </c>
      <c r="B3107" s="445" t="s">
        <v>1315</v>
      </c>
      <c r="C3107" s="445" t="s">
        <v>1316</v>
      </c>
      <c r="D3107" s="445">
        <v>27.8</v>
      </c>
      <c r="E3107" s="446">
        <v>43236</v>
      </c>
      <c r="F3107" s="447">
        <v>45.05</v>
      </c>
    </row>
    <row r="3108" spans="1:6" s="306" customFormat="1" x14ac:dyDescent="0.15">
      <c r="A3108" s="444" t="s">
        <v>1322</v>
      </c>
      <c r="B3108" s="445" t="s">
        <v>1250</v>
      </c>
      <c r="C3108" s="445" t="s">
        <v>1251</v>
      </c>
      <c r="D3108" s="445">
        <v>8.1999999999999993</v>
      </c>
      <c r="E3108" s="446">
        <v>43236</v>
      </c>
      <c r="F3108" s="447">
        <v>21.92</v>
      </c>
    </row>
    <row r="3109" spans="1:6" s="306" customFormat="1" x14ac:dyDescent="0.15">
      <c r="A3109" s="444" t="s">
        <v>1326</v>
      </c>
      <c r="B3109" s="445" t="s">
        <v>1284</v>
      </c>
      <c r="C3109" s="445" t="s">
        <v>1285</v>
      </c>
      <c r="D3109" s="448">
        <v>81.3</v>
      </c>
      <c r="E3109" s="446">
        <v>43236</v>
      </c>
      <c r="F3109" s="447">
        <v>107.27</v>
      </c>
    </row>
    <row r="3110" spans="1:6" s="306" customFormat="1" x14ac:dyDescent="0.15">
      <c r="A3110" s="444" t="s">
        <v>1323</v>
      </c>
      <c r="B3110" s="445" t="s">
        <v>1252</v>
      </c>
      <c r="C3110" s="445" t="s">
        <v>1253</v>
      </c>
      <c r="D3110" s="445">
        <v>459</v>
      </c>
      <c r="E3110" s="446">
        <v>43236</v>
      </c>
      <c r="F3110" s="447">
        <v>453.81</v>
      </c>
    </row>
    <row r="3111" spans="1:6" s="306" customFormat="1" x14ac:dyDescent="0.15">
      <c r="A3111" s="444" t="s">
        <v>1325</v>
      </c>
      <c r="B3111" s="445" t="s">
        <v>1279</v>
      </c>
      <c r="C3111" s="445" t="s">
        <v>1280</v>
      </c>
      <c r="D3111" s="448">
        <v>287.10000000000002</v>
      </c>
      <c r="E3111" s="446">
        <v>43236</v>
      </c>
      <c r="F3111" s="447">
        <v>297.55</v>
      </c>
    </row>
    <row r="3112" spans="1:6" s="306" customFormat="1" x14ac:dyDescent="0.15">
      <c r="A3112" s="444" t="s">
        <v>1324</v>
      </c>
      <c r="B3112" s="445" t="s">
        <v>1275</v>
      </c>
      <c r="C3112" s="445" t="s">
        <v>1276</v>
      </c>
      <c r="D3112" s="448">
        <v>471.3</v>
      </c>
      <c r="E3112" s="446">
        <v>43236</v>
      </c>
      <c r="F3112" s="447">
        <v>465.06</v>
      </c>
    </row>
    <row r="3113" spans="1:6" s="306" customFormat="1" x14ac:dyDescent="0.15">
      <c r="A3113" s="444" t="s">
        <v>1321</v>
      </c>
      <c r="B3113" s="445" t="s">
        <v>1244</v>
      </c>
      <c r="C3113" s="445" t="s">
        <v>1245</v>
      </c>
      <c r="D3113" s="445">
        <v>307.7</v>
      </c>
      <c r="E3113" s="446">
        <v>43236</v>
      </c>
      <c r="F3113" s="447">
        <v>316.11</v>
      </c>
    </row>
    <row r="3114" spans="1:6" s="306" customFormat="1" ht="14" thickBot="1" x14ac:dyDescent="0.2">
      <c r="A3114" s="444"/>
      <c r="B3114" s="445"/>
      <c r="C3114" s="313" t="s">
        <v>115</v>
      </c>
      <c r="D3114" s="462">
        <f>SUM(D3094:D3113)</f>
        <v>4803.3</v>
      </c>
      <c r="E3114" s="460"/>
      <c r="F3114" s="451">
        <f>SUM(F3094:F3113)</f>
        <v>4942.2</v>
      </c>
    </row>
    <row r="3115" spans="1:6" s="306" customFormat="1" ht="14" thickTop="1" x14ac:dyDescent="0.15">
      <c r="A3115" s="444"/>
      <c r="B3115" s="445"/>
      <c r="C3115" s="445"/>
      <c r="D3115" s="445"/>
      <c r="E3115" s="446"/>
      <c r="F3115" s="447"/>
    </row>
    <row r="3116" spans="1:6" s="306" customFormat="1" x14ac:dyDescent="0.15">
      <c r="A3116" s="444"/>
      <c r="B3116" s="445"/>
      <c r="C3116" s="452" t="s">
        <v>1212</v>
      </c>
      <c r="D3116" s="445"/>
      <c r="E3116" s="446"/>
      <c r="F3116" s="447"/>
    </row>
    <row r="3117" spans="1:6" s="306" customFormat="1" x14ac:dyDescent="0.15">
      <c r="A3117" s="444"/>
      <c r="B3117" s="445"/>
      <c r="C3117" s="452" t="s">
        <v>1139</v>
      </c>
      <c r="D3117" s="445"/>
      <c r="E3117" s="446"/>
      <c r="F3117" s="447"/>
    </row>
    <row r="3118" spans="1:6" s="306" customFormat="1" x14ac:dyDescent="0.15">
      <c r="A3118" s="444"/>
      <c r="B3118" s="445"/>
      <c r="C3118" s="453">
        <v>43239</v>
      </c>
      <c r="D3118" s="445"/>
      <c r="E3118" s="446"/>
      <c r="F3118" s="447"/>
    </row>
    <row r="3119" spans="1:6" s="306" customFormat="1" x14ac:dyDescent="0.15">
      <c r="A3119" s="454"/>
      <c r="B3119" s="455"/>
      <c r="C3119" s="455"/>
      <c r="D3119" s="455"/>
      <c r="E3119" s="456"/>
      <c r="F3119" s="457"/>
    </row>
    <row r="3120" spans="1:6" s="306" customFormat="1" x14ac:dyDescent="0.15">
      <c r="A3120" s="440" t="s">
        <v>1302</v>
      </c>
      <c r="B3120" s="441" t="s">
        <v>1226</v>
      </c>
      <c r="C3120" s="441" t="s">
        <v>1227</v>
      </c>
      <c r="D3120" s="441">
        <v>405.4</v>
      </c>
      <c r="E3120" s="442">
        <v>43252</v>
      </c>
      <c r="F3120" s="443">
        <v>338.01</v>
      </c>
    </row>
    <row r="3121" spans="1:6" s="306" customFormat="1" x14ac:dyDescent="0.15">
      <c r="A3121" s="444" t="s">
        <v>1303</v>
      </c>
      <c r="B3121" s="445" t="s">
        <v>1228</v>
      </c>
      <c r="C3121" s="445" t="s">
        <v>1229</v>
      </c>
      <c r="D3121" s="445">
        <v>221.2</v>
      </c>
      <c r="E3121" s="446">
        <v>43252</v>
      </c>
      <c r="F3121" s="447">
        <v>200.79</v>
      </c>
    </row>
    <row r="3122" spans="1:6" s="306" customFormat="1" x14ac:dyDescent="0.15">
      <c r="A3122" s="444" t="s">
        <v>1304</v>
      </c>
      <c r="B3122" s="445" t="s">
        <v>1230</v>
      </c>
      <c r="C3122" s="445" t="s">
        <v>1231</v>
      </c>
      <c r="D3122" s="445">
        <v>250.1</v>
      </c>
      <c r="E3122" s="446">
        <v>43252</v>
      </c>
      <c r="F3122" s="447">
        <v>222.47</v>
      </c>
    </row>
    <row r="3123" spans="1:6" s="306" customFormat="1" x14ac:dyDescent="0.15">
      <c r="A3123" s="444" t="s">
        <v>1305</v>
      </c>
      <c r="B3123" s="445" t="s">
        <v>1306</v>
      </c>
      <c r="C3123" s="445" t="s">
        <v>1233</v>
      </c>
      <c r="D3123" s="445">
        <v>1281.2</v>
      </c>
      <c r="E3123" s="446">
        <v>43252</v>
      </c>
      <c r="F3123" s="447">
        <v>701.76</v>
      </c>
    </row>
    <row r="3124" spans="1:6" s="306" customFormat="1" x14ac:dyDescent="0.15">
      <c r="A3124" s="444" t="s">
        <v>1307</v>
      </c>
      <c r="B3124" s="445" t="s">
        <v>1234</v>
      </c>
      <c r="C3124" s="445" t="s">
        <v>500</v>
      </c>
      <c r="D3124" s="445">
        <v>506.3</v>
      </c>
      <c r="E3124" s="446">
        <v>43252</v>
      </c>
      <c r="F3124" s="447">
        <v>301.39999999999998</v>
      </c>
    </row>
    <row r="3125" spans="1:6" s="306" customFormat="1" x14ac:dyDescent="0.15">
      <c r="A3125" s="444" t="s">
        <v>1308</v>
      </c>
      <c r="B3125" s="445" t="s">
        <v>1235</v>
      </c>
      <c r="C3125" s="445" t="s">
        <v>1236</v>
      </c>
      <c r="D3125" s="445">
        <v>518.6</v>
      </c>
      <c r="E3125" s="446">
        <v>43252</v>
      </c>
      <c r="F3125" s="447">
        <v>422.54</v>
      </c>
    </row>
    <row r="3126" spans="1:6" s="306" customFormat="1" x14ac:dyDescent="0.15">
      <c r="A3126" s="444" t="s">
        <v>1318</v>
      </c>
      <c r="B3126" s="445" t="s">
        <v>1238</v>
      </c>
      <c r="C3126" s="445" t="s">
        <v>1239</v>
      </c>
      <c r="D3126" s="445">
        <v>390</v>
      </c>
      <c r="E3126" s="446">
        <v>43252</v>
      </c>
      <c r="F3126" s="447">
        <v>326.74</v>
      </c>
    </row>
    <row r="3127" spans="1:6" s="306" customFormat="1" x14ac:dyDescent="0.15">
      <c r="A3127" s="444" t="s">
        <v>1309</v>
      </c>
      <c r="B3127" s="445" t="s">
        <v>1240</v>
      </c>
      <c r="C3127" s="445" t="s">
        <v>1241</v>
      </c>
      <c r="D3127" s="445">
        <v>271.7</v>
      </c>
      <c r="E3127" s="446">
        <v>43252</v>
      </c>
      <c r="F3127" s="447">
        <v>238.74</v>
      </c>
    </row>
    <row r="3128" spans="1:6" s="306" customFormat="1" x14ac:dyDescent="0.15">
      <c r="A3128" s="444" t="s">
        <v>1310</v>
      </c>
      <c r="B3128" s="445" t="s">
        <v>1282</v>
      </c>
      <c r="C3128" s="445" t="s">
        <v>1283</v>
      </c>
      <c r="D3128" s="445">
        <v>511.4</v>
      </c>
      <c r="E3128" s="446">
        <v>43252</v>
      </c>
      <c r="F3128" s="447">
        <v>417.21</v>
      </c>
    </row>
    <row r="3129" spans="1:6" s="306" customFormat="1" x14ac:dyDescent="0.15">
      <c r="A3129" s="444" t="s">
        <v>1319</v>
      </c>
      <c r="B3129" s="445" t="s">
        <v>1246</v>
      </c>
      <c r="C3129" s="445" t="s">
        <v>1247</v>
      </c>
      <c r="D3129" s="445">
        <v>469.2</v>
      </c>
      <c r="E3129" s="446">
        <v>43252</v>
      </c>
      <c r="F3129" s="447">
        <v>385.78</v>
      </c>
    </row>
    <row r="3130" spans="1:6" s="306" customFormat="1" x14ac:dyDescent="0.15">
      <c r="A3130" s="444" t="s">
        <v>1311</v>
      </c>
      <c r="B3130" s="445" t="s">
        <v>1248</v>
      </c>
      <c r="C3130" s="445" t="s">
        <v>1249</v>
      </c>
      <c r="D3130" s="445">
        <v>68.900000000000006</v>
      </c>
      <c r="E3130" s="446">
        <v>43252</v>
      </c>
      <c r="F3130" s="447">
        <v>83.82</v>
      </c>
    </row>
    <row r="3131" spans="1:6" s="306" customFormat="1" x14ac:dyDescent="0.15">
      <c r="A3131" s="444" t="s">
        <v>1320</v>
      </c>
      <c r="B3131" s="445" t="s">
        <v>1288</v>
      </c>
      <c r="C3131" s="445" t="s">
        <v>1289</v>
      </c>
      <c r="D3131" s="448">
        <v>77.2</v>
      </c>
      <c r="E3131" s="446">
        <v>43252</v>
      </c>
      <c r="F3131" s="447">
        <v>90.3</v>
      </c>
    </row>
    <row r="3132" spans="1:6" s="306" customFormat="1" ht="14" thickBot="1" x14ac:dyDescent="0.2">
      <c r="A3132" s="444"/>
      <c r="B3132" s="445"/>
      <c r="C3132" s="313" t="s">
        <v>115</v>
      </c>
      <c r="D3132" s="449">
        <f>SUM(D3120:D3131)</f>
        <v>4971.1999999999989</v>
      </c>
      <c r="E3132" s="450"/>
      <c r="F3132" s="451">
        <f>SUM(F3120:F3131)</f>
        <v>3729.56</v>
      </c>
    </row>
    <row r="3133" spans="1:6" s="306" customFormat="1" ht="14" thickTop="1" x14ac:dyDescent="0.15">
      <c r="A3133" s="444"/>
      <c r="B3133" s="445"/>
      <c r="C3133" s="345"/>
      <c r="D3133" s="466"/>
      <c r="E3133" s="446"/>
      <c r="F3133" s="467"/>
    </row>
    <row r="3134" spans="1:6" s="306" customFormat="1" x14ac:dyDescent="0.15">
      <c r="A3134" s="444"/>
      <c r="B3134" s="445"/>
      <c r="C3134" s="452" t="s">
        <v>1212</v>
      </c>
      <c r="D3134" s="445"/>
      <c r="E3134" s="446"/>
      <c r="F3134" s="447"/>
    </row>
    <row r="3135" spans="1:6" s="306" customFormat="1" x14ac:dyDescent="0.15">
      <c r="A3135" s="444"/>
      <c r="B3135" s="445"/>
      <c r="C3135" s="452" t="s">
        <v>1139</v>
      </c>
      <c r="D3135" s="445"/>
      <c r="E3135" s="446"/>
      <c r="F3135" s="447"/>
    </row>
    <row r="3136" spans="1:6" s="306" customFormat="1" x14ac:dyDescent="0.15">
      <c r="A3136" s="444"/>
      <c r="B3136" s="445"/>
      <c r="C3136" s="453">
        <v>43251</v>
      </c>
      <c r="D3136" s="445"/>
      <c r="E3136" s="446"/>
      <c r="F3136" s="447"/>
    </row>
    <row r="3137" spans="1:6" s="306" customFormat="1" x14ac:dyDescent="0.15">
      <c r="A3137" s="454"/>
      <c r="B3137" s="455"/>
      <c r="C3137" s="455"/>
      <c r="D3137" s="455"/>
      <c r="E3137" s="456"/>
      <c r="F3137" s="457"/>
    </row>
    <row r="3138" spans="1:6" s="306" customFormat="1" ht="14" thickBot="1" x14ac:dyDescent="0.2">
      <c r="A3138" s="458"/>
      <c r="B3138" s="459"/>
      <c r="C3138" s="313" t="s">
        <v>1173</v>
      </c>
      <c r="D3138" s="449">
        <f>SUM(D3114,D3132)</f>
        <v>9774.5</v>
      </c>
      <c r="E3138" s="460"/>
      <c r="F3138" s="451">
        <f>SUM(F3114,F3132)</f>
        <v>8671.76</v>
      </c>
    </row>
    <row r="3139" spans="1:6" s="306" customFormat="1" ht="14" thickTop="1" x14ac:dyDescent="0.15">
      <c r="A3139" s="440"/>
      <c r="B3139" s="441"/>
      <c r="C3139" s="463"/>
      <c r="D3139" s="464"/>
      <c r="E3139" s="442"/>
      <c r="F3139" s="465"/>
    </row>
    <row r="3140" spans="1:6" s="306" customFormat="1" x14ac:dyDescent="0.15">
      <c r="A3140" s="440" t="s">
        <v>1299</v>
      </c>
      <c r="B3140" s="441" t="s">
        <v>1269</v>
      </c>
      <c r="C3140" s="441" t="s">
        <v>1270</v>
      </c>
      <c r="D3140" s="441">
        <v>96.7</v>
      </c>
      <c r="E3140" s="442">
        <v>43267</v>
      </c>
      <c r="F3140" s="443">
        <v>101.87</v>
      </c>
    </row>
    <row r="3141" spans="1:6" s="306" customFormat="1" x14ac:dyDescent="0.15">
      <c r="A3141" s="444" t="s">
        <v>1293</v>
      </c>
      <c r="B3141" s="445" t="s">
        <v>1257</v>
      </c>
      <c r="C3141" s="445" t="s">
        <v>1258</v>
      </c>
      <c r="D3141" s="445">
        <v>148.19999999999999</v>
      </c>
      <c r="E3141" s="446">
        <v>43267</v>
      </c>
      <c r="F3141" s="447">
        <v>136.69999999999999</v>
      </c>
    </row>
    <row r="3142" spans="1:6" s="306" customFormat="1" x14ac:dyDescent="0.15">
      <c r="A3142" s="444" t="s">
        <v>1294</v>
      </c>
      <c r="B3142" s="445" t="s">
        <v>1259</v>
      </c>
      <c r="C3142" s="445" t="s">
        <v>1260</v>
      </c>
      <c r="D3142" s="445">
        <v>17.5</v>
      </c>
      <c r="E3142" s="446">
        <v>43267</v>
      </c>
      <c r="F3142" s="447">
        <v>29.29</v>
      </c>
    </row>
    <row r="3143" spans="1:6" s="306" customFormat="1" x14ac:dyDescent="0.15">
      <c r="A3143" s="444" t="s">
        <v>1296</v>
      </c>
      <c r="B3143" s="445" t="s">
        <v>1278</v>
      </c>
      <c r="C3143" s="445" t="s">
        <v>1264</v>
      </c>
      <c r="D3143" s="445">
        <v>180</v>
      </c>
      <c r="E3143" s="446">
        <v>43267</v>
      </c>
      <c r="F3143" s="447">
        <v>158.21</v>
      </c>
    </row>
    <row r="3144" spans="1:6" s="306" customFormat="1" x14ac:dyDescent="0.15">
      <c r="A3144" s="444" t="s">
        <v>1295</v>
      </c>
      <c r="B3144" s="445" t="s">
        <v>1261</v>
      </c>
      <c r="C3144" s="445" t="s">
        <v>1262</v>
      </c>
      <c r="D3144" s="445">
        <v>37</v>
      </c>
      <c r="E3144" s="446">
        <v>43267</v>
      </c>
      <c r="F3144" s="447">
        <v>49.2</v>
      </c>
    </row>
    <row r="3145" spans="1:6" s="306" customFormat="1" x14ac:dyDescent="0.15">
      <c r="A3145" s="444" t="s">
        <v>1301</v>
      </c>
      <c r="B3145" s="445" t="s">
        <v>1286</v>
      </c>
      <c r="C3145" s="445" t="s">
        <v>1287</v>
      </c>
      <c r="D3145" s="445">
        <v>72</v>
      </c>
      <c r="E3145" s="446">
        <v>43267</v>
      </c>
      <c r="F3145" s="447">
        <v>80.37</v>
      </c>
    </row>
    <row r="3146" spans="1:6" s="306" customFormat="1" x14ac:dyDescent="0.15">
      <c r="A3146" s="444" t="s">
        <v>1297</v>
      </c>
      <c r="B3146" s="445" t="s">
        <v>1265</v>
      </c>
      <c r="C3146" s="445" t="s">
        <v>1266</v>
      </c>
      <c r="D3146" s="445">
        <v>50.4</v>
      </c>
      <c r="E3146" s="446">
        <v>43267</v>
      </c>
      <c r="F3146" s="447">
        <v>62.87</v>
      </c>
    </row>
    <row r="3147" spans="1:6" s="306" customFormat="1" ht="12" customHeight="1" x14ac:dyDescent="0.15">
      <c r="A3147" s="444" t="s">
        <v>1298</v>
      </c>
      <c r="B3147" s="445" t="s">
        <v>1267</v>
      </c>
      <c r="C3147" s="445" t="s">
        <v>1268</v>
      </c>
      <c r="D3147" s="445">
        <v>128.6</v>
      </c>
      <c r="E3147" s="446">
        <v>43267</v>
      </c>
      <c r="F3147" s="447">
        <v>122.79</v>
      </c>
    </row>
    <row r="3148" spans="1:6" s="306" customFormat="1" x14ac:dyDescent="0.15">
      <c r="A3148" s="444" t="s">
        <v>1300</v>
      </c>
      <c r="B3148" s="445" t="s">
        <v>1271</v>
      </c>
      <c r="C3148" s="445" t="s">
        <v>1272</v>
      </c>
      <c r="D3148" s="445">
        <v>72</v>
      </c>
      <c r="E3148" s="446">
        <v>43267</v>
      </c>
      <c r="F3148" s="447">
        <v>80.37</v>
      </c>
    </row>
    <row r="3149" spans="1:6" s="306" customFormat="1" x14ac:dyDescent="0.15">
      <c r="A3149" s="444" t="s">
        <v>1290</v>
      </c>
      <c r="B3149" s="445" t="s">
        <v>1291</v>
      </c>
      <c r="C3149" s="445" t="s">
        <v>1277</v>
      </c>
      <c r="D3149" s="445">
        <f>178.8+14.4+53.3</f>
        <v>246.5</v>
      </c>
      <c r="E3149" s="446">
        <v>43267</v>
      </c>
      <c r="F3149" s="447">
        <v>203.18</v>
      </c>
    </row>
    <row r="3150" spans="1:6" s="306" customFormat="1" x14ac:dyDescent="0.15">
      <c r="A3150" s="444" t="s">
        <v>1292</v>
      </c>
      <c r="B3150" s="445" t="s">
        <v>1255</v>
      </c>
      <c r="C3150" s="445" t="s">
        <v>1256</v>
      </c>
      <c r="D3150" s="445">
        <v>647.70000000000005</v>
      </c>
      <c r="E3150" s="446">
        <v>43267</v>
      </c>
      <c r="F3150" s="447">
        <v>305.45999999999998</v>
      </c>
    </row>
    <row r="3151" spans="1:6" s="306" customFormat="1" x14ac:dyDescent="0.15">
      <c r="A3151" s="444" t="s">
        <v>1312</v>
      </c>
      <c r="B3151" s="445" t="s">
        <v>1313</v>
      </c>
      <c r="C3151" s="445" t="s">
        <v>1313</v>
      </c>
      <c r="D3151" s="445">
        <v>165.6</v>
      </c>
      <c r="E3151" s="446">
        <v>43267</v>
      </c>
      <c r="F3151" s="447">
        <v>148.47</v>
      </c>
    </row>
    <row r="3152" spans="1:6" s="306" customFormat="1" x14ac:dyDescent="0.15">
      <c r="A3152" s="444" t="s">
        <v>1314</v>
      </c>
      <c r="B3152" s="445" t="s">
        <v>1315</v>
      </c>
      <c r="C3152" s="445" t="s">
        <v>1316</v>
      </c>
      <c r="D3152" s="445">
        <v>12.3</v>
      </c>
      <c r="E3152" s="446">
        <v>43267</v>
      </c>
      <c r="F3152" s="447">
        <v>24.1</v>
      </c>
    </row>
    <row r="3153" spans="1:6" s="306" customFormat="1" x14ac:dyDescent="0.15">
      <c r="A3153" s="444" t="s">
        <v>1322</v>
      </c>
      <c r="B3153" s="445" t="s">
        <v>1250</v>
      </c>
      <c r="C3153" s="445" t="s">
        <v>1251</v>
      </c>
      <c r="D3153" s="445">
        <v>10.3</v>
      </c>
      <c r="E3153" s="446">
        <v>43267</v>
      </c>
      <c r="F3153" s="447">
        <v>22.22</v>
      </c>
    </row>
    <row r="3154" spans="1:6" s="306" customFormat="1" x14ac:dyDescent="0.15">
      <c r="A3154" s="444" t="s">
        <v>1326</v>
      </c>
      <c r="B3154" s="445" t="s">
        <v>1284</v>
      </c>
      <c r="C3154" s="445" t="s">
        <v>1285</v>
      </c>
      <c r="D3154" s="448">
        <v>49.4</v>
      </c>
      <c r="E3154" s="446">
        <v>43267</v>
      </c>
      <c r="F3154" s="447">
        <v>61.85</v>
      </c>
    </row>
    <row r="3155" spans="1:6" s="306" customFormat="1" x14ac:dyDescent="0.15">
      <c r="A3155" s="444" t="s">
        <v>1323</v>
      </c>
      <c r="B3155" s="445" t="s">
        <v>1252</v>
      </c>
      <c r="C3155" s="445" t="s">
        <v>1253</v>
      </c>
      <c r="D3155" s="445">
        <v>297.3</v>
      </c>
      <c r="E3155" s="446">
        <v>43267</v>
      </c>
      <c r="F3155" s="447">
        <v>237.54</v>
      </c>
    </row>
    <row r="3156" spans="1:6" s="306" customFormat="1" x14ac:dyDescent="0.15">
      <c r="A3156" s="444" t="s">
        <v>1325</v>
      </c>
      <c r="B3156" s="445" t="s">
        <v>1279</v>
      </c>
      <c r="C3156" s="445" t="s">
        <v>1280</v>
      </c>
      <c r="D3156" s="448">
        <v>220.2</v>
      </c>
      <c r="E3156" s="446">
        <v>43267</v>
      </c>
      <c r="F3156" s="447">
        <v>185.39</v>
      </c>
    </row>
    <row r="3157" spans="1:6" s="306" customFormat="1" x14ac:dyDescent="0.15">
      <c r="A3157" s="444" t="s">
        <v>1324</v>
      </c>
      <c r="B3157" s="445" t="s">
        <v>1275</v>
      </c>
      <c r="C3157" s="445" t="s">
        <v>1276</v>
      </c>
      <c r="D3157" s="448">
        <v>113.2</v>
      </c>
      <c r="E3157" s="446">
        <v>43267</v>
      </c>
      <c r="F3157" s="447">
        <v>113.03</v>
      </c>
    </row>
    <row r="3158" spans="1:6" s="306" customFormat="1" x14ac:dyDescent="0.15">
      <c r="A3158" s="444" t="s">
        <v>1321</v>
      </c>
      <c r="B3158" s="445" t="s">
        <v>1244</v>
      </c>
      <c r="C3158" s="445" t="s">
        <v>1245</v>
      </c>
      <c r="D3158" s="445">
        <v>127.6</v>
      </c>
      <c r="E3158" s="446">
        <v>43267</v>
      </c>
      <c r="F3158" s="447">
        <v>122.77</v>
      </c>
    </row>
    <row r="3159" spans="1:6" s="306" customFormat="1" ht="14" thickBot="1" x14ac:dyDescent="0.2">
      <c r="A3159" s="444"/>
      <c r="B3159" s="445"/>
      <c r="C3159" s="313" t="s">
        <v>115</v>
      </c>
      <c r="D3159" s="462">
        <f>SUM(D3140:D3158)</f>
        <v>2692.4999999999995</v>
      </c>
      <c r="E3159" s="460"/>
      <c r="F3159" s="451">
        <f>SUM(F3140:F3158)</f>
        <v>2245.6800000000003</v>
      </c>
    </row>
    <row r="3160" spans="1:6" s="306" customFormat="1" ht="14" thickTop="1" x14ac:dyDescent="0.15">
      <c r="A3160" s="444"/>
      <c r="B3160" s="445"/>
      <c r="C3160" s="445"/>
      <c r="D3160" s="445"/>
      <c r="E3160" s="446"/>
      <c r="F3160" s="447"/>
    </row>
    <row r="3161" spans="1:6" s="306" customFormat="1" x14ac:dyDescent="0.15">
      <c r="A3161" s="444"/>
      <c r="B3161" s="445"/>
      <c r="C3161" s="452" t="s">
        <v>1212</v>
      </c>
      <c r="D3161" s="445"/>
      <c r="E3161" s="446"/>
      <c r="F3161" s="447"/>
    </row>
    <row r="3162" spans="1:6" s="306" customFormat="1" x14ac:dyDescent="0.15">
      <c r="A3162" s="444"/>
      <c r="B3162" s="445"/>
      <c r="C3162" s="452" t="s">
        <v>1139</v>
      </c>
      <c r="D3162" s="445"/>
      <c r="E3162" s="446"/>
      <c r="F3162" s="447"/>
    </row>
    <row r="3163" spans="1:6" s="306" customFormat="1" x14ac:dyDescent="0.15">
      <c r="A3163" s="444"/>
      <c r="B3163" s="445"/>
      <c r="C3163" s="453">
        <v>43274</v>
      </c>
      <c r="D3163" s="445"/>
      <c r="E3163" s="446"/>
      <c r="F3163" s="447"/>
    </row>
    <row r="3164" spans="1:6" s="306" customFormat="1" x14ac:dyDescent="0.15">
      <c r="A3164" s="454"/>
      <c r="B3164" s="455"/>
      <c r="C3164" s="455"/>
      <c r="D3164" s="455"/>
      <c r="E3164" s="456"/>
      <c r="F3164" s="457"/>
    </row>
    <row r="3165" spans="1:6" s="306" customFormat="1" x14ac:dyDescent="0.15">
      <c r="A3165" s="440" t="s">
        <v>1302</v>
      </c>
      <c r="B3165" s="441" t="s">
        <v>1226</v>
      </c>
      <c r="C3165" s="441" t="s">
        <v>1227</v>
      </c>
      <c r="D3165" s="441">
        <v>141.9</v>
      </c>
      <c r="E3165" s="442">
        <v>43284</v>
      </c>
      <c r="F3165" s="443">
        <v>132.44</v>
      </c>
    </row>
    <row r="3166" spans="1:6" s="306" customFormat="1" x14ac:dyDescent="0.15">
      <c r="A3166" s="444" t="s">
        <v>1303</v>
      </c>
      <c r="B3166" s="445" t="s">
        <v>1228</v>
      </c>
      <c r="C3166" s="445" t="s">
        <v>1229</v>
      </c>
      <c r="D3166" s="445">
        <v>94.6</v>
      </c>
      <c r="E3166" s="446">
        <v>43284</v>
      </c>
      <c r="F3166" s="447">
        <v>100.45</v>
      </c>
    </row>
    <row r="3167" spans="1:6" s="306" customFormat="1" x14ac:dyDescent="0.15">
      <c r="A3167" s="444" t="s">
        <v>1304</v>
      </c>
      <c r="B3167" s="445" t="s">
        <v>1230</v>
      </c>
      <c r="C3167" s="445" t="s">
        <v>1231</v>
      </c>
      <c r="D3167" s="445">
        <v>105.9</v>
      </c>
      <c r="E3167" s="446">
        <v>43284</v>
      </c>
      <c r="F3167" s="447">
        <v>108.09</v>
      </c>
    </row>
    <row r="3168" spans="1:6" s="306" customFormat="1" x14ac:dyDescent="0.15">
      <c r="A3168" s="444" t="s">
        <v>1305</v>
      </c>
      <c r="B3168" s="445" t="s">
        <v>1306</v>
      </c>
      <c r="C3168" s="445" t="s">
        <v>1233</v>
      </c>
      <c r="D3168" s="445">
        <v>713.8</v>
      </c>
      <c r="E3168" s="446">
        <v>43284</v>
      </c>
      <c r="F3168" s="447">
        <v>342.23</v>
      </c>
    </row>
    <row r="3169" spans="1:6" s="306" customFormat="1" x14ac:dyDescent="0.15">
      <c r="A3169" s="444" t="s">
        <v>1307</v>
      </c>
      <c r="B3169" s="445" t="s">
        <v>1234</v>
      </c>
      <c r="C3169" s="445" t="s">
        <v>500</v>
      </c>
      <c r="D3169" s="445">
        <v>272.60000000000002</v>
      </c>
      <c r="E3169" s="446">
        <v>43284</v>
      </c>
      <c r="F3169" s="447">
        <v>147.47999999999999</v>
      </c>
    </row>
    <row r="3170" spans="1:6" s="306" customFormat="1" x14ac:dyDescent="0.15">
      <c r="A3170" s="444" t="s">
        <v>1308</v>
      </c>
      <c r="B3170" s="445" t="s">
        <v>1235</v>
      </c>
      <c r="C3170" s="445" t="s">
        <v>1236</v>
      </c>
      <c r="D3170" s="445">
        <v>231.4</v>
      </c>
      <c r="E3170" s="446">
        <v>43284</v>
      </c>
      <c r="F3170" s="447">
        <v>192.97</v>
      </c>
    </row>
    <row r="3171" spans="1:6" s="306" customFormat="1" x14ac:dyDescent="0.15">
      <c r="A3171" s="444" t="s">
        <v>1318</v>
      </c>
      <c r="B3171" s="445" t="s">
        <v>1238</v>
      </c>
      <c r="C3171" s="445" t="s">
        <v>1239</v>
      </c>
      <c r="D3171" s="445">
        <v>203.7</v>
      </c>
      <c r="E3171" s="446">
        <v>43284</v>
      </c>
      <c r="F3171" s="447">
        <v>174.24</v>
      </c>
    </row>
    <row r="3172" spans="1:6" s="306" customFormat="1" x14ac:dyDescent="0.15">
      <c r="A3172" s="444" t="s">
        <v>1309</v>
      </c>
      <c r="B3172" s="445" t="s">
        <v>1240</v>
      </c>
      <c r="C3172" s="445" t="s">
        <v>1241</v>
      </c>
      <c r="D3172" s="445">
        <v>110.1</v>
      </c>
      <c r="E3172" s="446">
        <v>43284</v>
      </c>
      <c r="F3172" s="447">
        <v>110.93</v>
      </c>
    </row>
    <row r="3173" spans="1:6" s="306" customFormat="1" x14ac:dyDescent="0.15">
      <c r="A3173" s="444" t="s">
        <v>1310</v>
      </c>
      <c r="B3173" s="445" t="s">
        <v>1282</v>
      </c>
      <c r="C3173" s="445" t="s">
        <v>1283</v>
      </c>
      <c r="D3173" s="445">
        <v>238.5</v>
      </c>
      <c r="E3173" s="446">
        <v>43284</v>
      </c>
      <c r="F3173" s="447">
        <v>197.77</v>
      </c>
    </row>
    <row r="3174" spans="1:6" s="306" customFormat="1" x14ac:dyDescent="0.15">
      <c r="A3174" s="444" t="s">
        <v>1319</v>
      </c>
      <c r="B3174" s="445" t="s">
        <v>1246</v>
      </c>
      <c r="C3174" s="445" t="s">
        <v>1247</v>
      </c>
      <c r="D3174" s="445">
        <v>235.5</v>
      </c>
      <c r="E3174" s="446">
        <v>43284</v>
      </c>
      <c r="F3174" s="447">
        <v>195.74</v>
      </c>
    </row>
    <row r="3175" spans="1:6" s="306" customFormat="1" x14ac:dyDescent="0.15">
      <c r="A3175" s="444" t="s">
        <v>1311</v>
      </c>
      <c r="B3175" s="445" t="s">
        <v>1248</v>
      </c>
      <c r="C3175" s="445" t="s">
        <v>1249</v>
      </c>
      <c r="D3175" s="445">
        <v>89.5</v>
      </c>
      <c r="E3175" s="446">
        <v>43284</v>
      </c>
      <c r="F3175" s="447">
        <v>94.22</v>
      </c>
    </row>
    <row r="3176" spans="1:6" s="306" customFormat="1" x14ac:dyDescent="0.15">
      <c r="A3176" s="444" t="s">
        <v>1320</v>
      </c>
      <c r="B3176" s="445" t="s">
        <v>1288</v>
      </c>
      <c r="C3176" s="445" t="s">
        <v>1289</v>
      </c>
      <c r="D3176" s="448">
        <v>22.6</v>
      </c>
      <c r="E3176" s="446">
        <v>43284</v>
      </c>
      <c r="F3176" s="447">
        <v>33.81</v>
      </c>
    </row>
    <row r="3177" spans="1:6" s="306" customFormat="1" ht="14" thickBot="1" x14ac:dyDescent="0.2">
      <c r="A3177" s="444"/>
      <c r="B3177" s="445"/>
      <c r="C3177" s="313" t="s">
        <v>115</v>
      </c>
      <c r="D3177" s="449">
        <f>SUM(D3165:D3176)</f>
        <v>2460.1</v>
      </c>
      <c r="E3177" s="460"/>
      <c r="F3177" s="451">
        <f>SUM(F3165:F3176)</f>
        <v>1830.3700000000001</v>
      </c>
    </row>
    <row r="3178" spans="1:6" s="306" customFormat="1" ht="14" thickTop="1" x14ac:dyDescent="0.15">
      <c r="A3178" s="454"/>
      <c r="B3178" s="455"/>
      <c r="C3178" s="455"/>
      <c r="D3178" s="455"/>
      <c r="E3178" s="456"/>
      <c r="F3178" s="457"/>
    </row>
    <row r="3179" spans="1:6" s="306" customFormat="1" x14ac:dyDescent="0.15">
      <c r="A3179" s="444"/>
      <c r="B3179" s="445"/>
      <c r="C3179" s="452" t="s">
        <v>1212</v>
      </c>
      <c r="D3179" s="445"/>
      <c r="E3179" s="446"/>
      <c r="F3179" s="447"/>
    </row>
    <row r="3180" spans="1:6" s="306" customFormat="1" x14ac:dyDescent="0.15">
      <c r="A3180" s="444"/>
      <c r="B3180" s="445"/>
      <c r="C3180" s="452" t="s">
        <v>1139</v>
      </c>
      <c r="D3180" s="445"/>
      <c r="E3180" s="446"/>
      <c r="F3180" s="447"/>
    </row>
    <row r="3181" spans="1:6" s="306" customFormat="1" x14ac:dyDescent="0.15">
      <c r="A3181" s="444"/>
      <c r="B3181" s="445"/>
      <c r="C3181" s="453">
        <v>43281</v>
      </c>
      <c r="D3181" s="445"/>
      <c r="E3181" s="446"/>
      <c r="F3181" s="447"/>
    </row>
    <row r="3182" spans="1:6" s="306" customFormat="1" x14ac:dyDescent="0.15">
      <c r="A3182" s="454"/>
      <c r="B3182" s="455"/>
      <c r="C3182" s="455"/>
      <c r="D3182" s="455"/>
      <c r="E3182" s="456"/>
      <c r="F3182" s="457"/>
    </row>
    <row r="3183" spans="1:6" s="306" customFormat="1" ht="14" thickBot="1" x14ac:dyDescent="0.2">
      <c r="A3183" s="458"/>
      <c r="B3183" s="459"/>
      <c r="C3183" s="313" t="s">
        <v>1174</v>
      </c>
      <c r="D3183" s="449">
        <f>SUM(D3159,D3177)</f>
        <v>5152.5999999999995</v>
      </c>
      <c r="E3183" s="460"/>
      <c r="F3183" s="451">
        <f>SUM(F3159,F3177)</f>
        <v>4076.05</v>
      </c>
    </row>
    <row r="3184" spans="1:6" ht="14" thickTop="1" x14ac:dyDescent="0.15"/>
  </sheetData>
  <mergeCells count="5">
    <mergeCell ref="A500:F500"/>
    <mergeCell ref="A1011:F1011"/>
    <mergeCell ref="A1551:F1551"/>
    <mergeCell ref="A2084:F2084"/>
    <mergeCell ref="A2635:F2635"/>
  </mergeCells>
  <printOptions horizontalCentered="1"/>
  <pageMargins left="0.25" right="0.25" top="1" bottom="1" header="0.5" footer="0.5"/>
  <pageSetup scale="110" orientation="portrait" r:id="rId1"/>
  <headerFooter alignWithMargins="0">
    <oddHeader>&amp;C&amp;"Arial,Bold"&amp;12***Please pay with next check run***</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sheetPr>
  <dimension ref="A1"/>
  <sheetViews>
    <sheetView workbookViewId="0"/>
  </sheetViews>
  <sheetFormatPr baseColWidth="10" defaultRowHeight="16" x14ac:dyDescent="0.2"/>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pageSetUpPr fitToPage="1"/>
  </sheetPr>
  <dimension ref="A1:H410"/>
  <sheetViews>
    <sheetView workbookViewId="0">
      <pane xSplit="1" ySplit="2" topLeftCell="B291" activePane="bottomRight" state="frozen"/>
      <selection activeCell="E87" sqref="E87"/>
      <selection pane="topRight" activeCell="E87" sqref="E87"/>
      <selection pane="bottomLeft" activeCell="E87" sqref="E87"/>
      <selection pane="bottomRight" activeCell="D295" sqref="D295"/>
    </sheetView>
  </sheetViews>
  <sheetFormatPr baseColWidth="10" defaultColWidth="7.6640625" defaultRowHeight="13" x14ac:dyDescent="0.15"/>
  <cols>
    <col min="1" max="1" width="11" style="319" bestFit="1" customWidth="1"/>
    <col min="2" max="2" width="11" style="330" customWidth="1"/>
    <col min="3" max="3" width="11" style="331" customWidth="1"/>
    <col min="4" max="4" width="35.83203125" style="319" bestFit="1" customWidth="1"/>
    <col min="5" max="5" width="6.6640625" style="319" customWidth="1"/>
    <col min="6" max="6" width="13.33203125" style="319" customWidth="1"/>
    <col min="7" max="7" width="8.83203125" style="319" bestFit="1" customWidth="1"/>
    <col min="8" max="16384" width="7.6640625" style="319"/>
  </cols>
  <sheetData>
    <row r="1" spans="1:7" x14ac:dyDescent="0.15">
      <c r="A1" s="260" t="s">
        <v>1094</v>
      </c>
      <c r="B1" s="319"/>
      <c r="C1" s="261" t="s">
        <v>1139</v>
      </c>
    </row>
    <row r="2" spans="1:7" s="321" customFormat="1" ht="26.5" customHeight="1" x14ac:dyDescent="0.15">
      <c r="A2" s="320" t="s">
        <v>223</v>
      </c>
      <c r="B2" s="320" t="s">
        <v>1140</v>
      </c>
      <c r="C2" s="320" t="s">
        <v>1141</v>
      </c>
      <c r="D2" s="320" t="s">
        <v>1142</v>
      </c>
      <c r="E2" s="320" t="s">
        <v>1123</v>
      </c>
      <c r="F2" s="320" t="s">
        <v>115</v>
      </c>
      <c r="G2" s="320" t="s">
        <v>1143</v>
      </c>
    </row>
    <row r="4" spans="1:7" s="275" customFormat="1" x14ac:dyDescent="0.15">
      <c r="B4" s="322"/>
      <c r="C4" s="323"/>
    </row>
    <row r="5" spans="1:7" s="275" customFormat="1" x14ac:dyDescent="0.15">
      <c r="B5" s="322"/>
      <c r="C5" s="323"/>
    </row>
    <row r="6" spans="1:7" s="275" customFormat="1" x14ac:dyDescent="0.15">
      <c r="A6" s="287">
        <v>200475252</v>
      </c>
      <c r="B6" s="322"/>
      <c r="C6" s="324"/>
      <c r="D6" s="287" t="s">
        <v>1144</v>
      </c>
      <c r="E6" s="287">
        <v>382.9</v>
      </c>
      <c r="F6" s="287"/>
    </row>
    <row r="7" spans="1:7" s="290" customFormat="1" ht="14" thickBot="1" x14ac:dyDescent="0.2">
      <c r="B7" s="322"/>
      <c r="C7" s="325"/>
      <c r="D7" s="326" t="s">
        <v>1145</v>
      </c>
      <c r="E7" s="326">
        <f>SUM(E6:E6)</f>
        <v>382.9</v>
      </c>
      <c r="F7" s="327">
        <v>1034.1600000000001</v>
      </c>
    </row>
    <row r="8" spans="1:7" s="275" customFormat="1" ht="14" thickTop="1" x14ac:dyDescent="0.15">
      <c r="B8" s="322"/>
      <c r="C8" s="323"/>
    </row>
    <row r="9" spans="1:7" s="275" customFormat="1" x14ac:dyDescent="0.15">
      <c r="B9" s="322"/>
      <c r="C9" s="323"/>
    </row>
    <row r="10" spans="1:7" s="275" customFormat="1" x14ac:dyDescent="0.15">
      <c r="A10" s="287">
        <v>200479452</v>
      </c>
      <c r="B10" s="322">
        <v>41171</v>
      </c>
      <c r="C10" s="324" t="s">
        <v>1146</v>
      </c>
      <c r="D10" s="287" t="s">
        <v>1147</v>
      </c>
      <c r="E10" s="287">
        <v>78.099999999999994</v>
      </c>
      <c r="F10" s="287"/>
    </row>
    <row r="11" spans="1:7" s="290" customFormat="1" ht="14" thickBot="1" x14ac:dyDescent="0.2">
      <c r="B11" s="322"/>
      <c r="C11" s="325"/>
      <c r="D11" s="326" t="s">
        <v>1148</v>
      </c>
      <c r="E11" s="326">
        <f>SUM(E10:E10)</f>
        <v>78.099999999999994</v>
      </c>
      <c r="F11" s="327">
        <v>225.67</v>
      </c>
    </row>
    <row r="12" spans="1:7" s="275" customFormat="1" ht="14" thickTop="1" x14ac:dyDescent="0.15">
      <c r="B12" s="322"/>
      <c r="C12" s="323"/>
    </row>
    <row r="13" spans="1:7" s="275" customFormat="1" x14ac:dyDescent="0.15">
      <c r="B13" s="322"/>
      <c r="C13" s="323"/>
    </row>
    <row r="14" spans="1:7" s="275" customFormat="1" x14ac:dyDescent="0.15">
      <c r="A14" s="275">
        <v>200478562</v>
      </c>
      <c r="B14" s="322">
        <v>41176</v>
      </c>
      <c r="C14" s="323" t="s">
        <v>1146</v>
      </c>
      <c r="D14" s="275" t="s">
        <v>1149</v>
      </c>
      <c r="E14" s="275">
        <v>344.4</v>
      </c>
    </row>
    <row r="15" spans="1:7" s="275" customFormat="1" x14ac:dyDescent="0.15">
      <c r="A15" s="275">
        <v>200466344</v>
      </c>
      <c r="B15" s="322">
        <v>41192</v>
      </c>
      <c r="C15" s="323" t="s">
        <v>1146</v>
      </c>
      <c r="D15" s="275" t="s">
        <v>1150</v>
      </c>
      <c r="E15" s="275">
        <v>18.7</v>
      </c>
    </row>
    <row r="16" spans="1:7" s="275" customFormat="1" x14ac:dyDescent="0.15">
      <c r="A16" s="275">
        <v>200478562</v>
      </c>
      <c r="B16" s="328">
        <v>41204</v>
      </c>
      <c r="C16" s="323" t="s">
        <v>1146</v>
      </c>
      <c r="D16" s="275" t="s">
        <v>1149</v>
      </c>
      <c r="E16" s="275">
        <v>140.1</v>
      </c>
    </row>
    <row r="17" spans="1:6" s="275" customFormat="1" x14ac:dyDescent="0.15">
      <c r="A17" s="323" t="s">
        <v>1151</v>
      </c>
      <c r="B17" s="322">
        <v>41179</v>
      </c>
      <c r="C17" s="323" t="s">
        <v>1152</v>
      </c>
      <c r="D17" s="323" t="s">
        <v>1153</v>
      </c>
      <c r="E17" s="275">
        <v>35</v>
      </c>
    </row>
    <row r="18" spans="1:6" s="290" customFormat="1" ht="14" thickBot="1" x14ac:dyDescent="0.2">
      <c r="B18" s="322"/>
      <c r="C18" s="325"/>
      <c r="D18" s="326" t="s">
        <v>1154</v>
      </c>
      <c r="E18" s="326">
        <f>SUM(E14:E17)</f>
        <v>538.19999999999993</v>
      </c>
      <c r="F18" s="327">
        <v>2374</v>
      </c>
    </row>
    <row r="19" spans="1:6" s="275" customFormat="1" ht="14" thickTop="1" x14ac:dyDescent="0.15">
      <c r="B19" s="322"/>
      <c r="C19" s="323"/>
    </row>
    <row r="20" spans="1:6" s="275" customFormat="1" x14ac:dyDescent="0.15">
      <c r="B20" s="322"/>
      <c r="C20" s="323"/>
    </row>
    <row r="21" spans="1:6" s="275" customFormat="1" x14ac:dyDescent="0.15">
      <c r="A21" s="323" t="s">
        <v>1155</v>
      </c>
      <c r="B21" s="322">
        <v>41207</v>
      </c>
      <c r="C21" s="323" t="s">
        <v>1152</v>
      </c>
      <c r="D21" s="323" t="s">
        <v>1156</v>
      </c>
      <c r="E21" s="275">
        <v>0</v>
      </c>
    </row>
    <row r="22" spans="1:6" s="275" customFormat="1" x14ac:dyDescent="0.15">
      <c r="A22" s="323" t="s">
        <v>1157</v>
      </c>
      <c r="B22" s="322">
        <v>41207</v>
      </c>
      <c r="C22" s="323" t="s">
        <v>1152</v>
      </c>
      <c r="D22" s="323" t="s">
        <v>1158</v>
      </c>
      <c r="E22" s="275">
        <v>0</v>
      </c>
    </row>
    <row r="23" spans="1:6" s="275" customFormat="1" x14ac:dyDescent="0.15">
      <c r="A23" s="323" t="s">
        <v>1159</v>
      </c>
      <c r="B23" s="322">
        <v>41207</v>
      </c>
      <c r="C23" s="323" t="s">
        <v>1152</v>
      </c>
      <c r="D23" s="323" t="s">
        <v>1160</v>
      </c>
      <c r="E23" s="275">
        <v>0</v>
      </c>
    </row>
    <row r="24" spans="1:6" s="275" customFormat="1" x14ac:dyDescent="0.15">
      <c r="A24" s="323" t="s">
        <v>1161</v>
      </c>
      <c r="B24" s="322">
        <v>41207</v>
      </c>
      <c r="C24" s="323" t="s">
        <v>1152</v>
      </c>
      <c r="D24" s="323" t="s">
        <v>1162</v>
      </c>
      <c r="E24" s="275">
        <v>0</v>
      </c>
    </row>
    <row r="25" spans="1:6" s="275" customFormat="1" x14ac:dyDescent="0.15">
      <c r="A25" s="323" t="s">
        <v>1159</v>
      </c>
      <c r="B25" s="322">
        <v>41212</v>
      </c>
      <c r="C25" s="323" t="s">
        <v>1152</v>
      </c>
      <c r="D25" s="323" t="s">
        <v>1160</v>
      </c>
      <c r="E25" s="275">
        <v>208</v>
      </c>
    </row>
    <row r="26" spans="1:6" s="275" customFormat="1" x14ac:dyDescent="0.15">
      <c r="A26" s="323">
        <v>200479452</v>
      </c>
      <c r="B26" s="322">
        <v>41222</v>
      </c>
      <c r="C26" s="323" t="s">
        <v>1146</v>
      </c>
      <c r="D26" s="323" t="s">
        <v>1147</v>
      </c>
      <c r="E26" s="275">
        <v>86.2</v>
      </c>
    </row>
    <row r="27" spans="1:6" s="275" customFormat="1" x14ac:dyDescent="0.15">
      <c r="A27" s="323">
        <v>200478562</v>
      </c>
      <c r="B27" s="322">
        <v>41232</v>
      </c>
      <c r="C27" s="323" t="s">
        <v>1146</v>
      </c>
      <c r="D27" s="323" t="s">
        <v>1149</v>
      </c>
      <c r="E27" s="275">
        <v>165.1</v>
      </c>
    </row>
    <row r="28" spans="1:6" s="275" customFormat="1" x14ac:dyDescent="0.15">
      <c r="A28" s="323">
        <v>200471861</v>
      </c>
      <c r="B28" s="322">
        <v>41242</v>
      </c>
      <c r="C28" s="323" t="s">
        <v>1146</v>
      </c>
      <c r="D28" s="323" t="s">
        <v>1163</v>
      </c>
      <c r="E28" s="275">
        <v>43.3</v>
      </c>
    </row>
    <row r="29" spans="1:6" s="290" customFormat="1" ht="14" thickBot="1" x14ac:dyDescent="0.2">
      <c r="B29" s="322"/>
      <c r="C29" s="325"/>
      <c r="D29" s="326" t="s">
        <v>1164</v>
      </c>
      <c r="E29" s="326">
        <f>SUM(E21:E28)</f>
        <v>502.59999999999997</v>
      </c>
      <c r="F29" s="327">
        <v>2491.27</v>
      </c>
    </row>
    <row r="30" spans="1:6" s="275" customFormat="1" ht="14" thickTop="1" x14ac:dyDescent="0.15">
      <c r="B30" s="322"/>
      <c r="C30" s="323"/>
    </row>
    <row r="31" spans="1:6" s="275" customFormat="1" x14ac:dyDescent="0.15">
      <c r="A31" s="323">
        <v>200465946</v>
      </c>
      <c r="B31" s="322">
        <v>41246</v>
      </c>
      <c r="C31" s="323" t="s">
        <v>1146</v>
      </c>
      <c r="D31" s="323" t="s">
        <v>1165</v>
      </c>
      <c r="E31" s="295">
        <v>400.2</v>
      </c>
    </row>
    <row r="32" spans="1:6" s="275" customFormat="1" x14ac:dyDescent="0.15">
      <c r="A32" s="323">
        <v>200466344</v>
      </c>
      <c r="B32" s="322">
        <v>41255</v>
      </c>
      <c r="C32" s="323" t="s">
        <v>1146</v>
      </c>
      <c r="D32" s="323" t="s">
        <v>1166</v>
      </c>
      <c r="E32" s="295">
        <v>73.2</v>
      </c>
    </row>
    <row r="33" spans="1:6" s="275" customFormat="1" x14ac:dyDescent="0.15">
      <c r="A33" s="323">
        <v>200479452</v>
      </c>
      <c r="B33" s="322">
        <v>41255</v>
      </c>
      <c r="C33" s="323" t="s">
        <v>1146</v>
      </c>
      <c r="D33" s="323" t="s">
        <v>1147</v>
      </c>
      <c r="E33" s="295">
        <v>148</v>
      </c>
    </row>
    <row r="34" spans="1:6" s="275" customFormat="1" x14ac:dyDescent="0.15">
      <c r="A34" s="323">
        <v>200478562</v>
      </c>
      <c r="B34" s="322">
        <v>41634</v>
      </c>
      <c r="C34" s="323" t="s">
        <v>1146</v>
      </c>
      <c r="D34" s="323" t="s">
        <v>1149</v>
      </c>
      <c r="E34" s="295">
        <v>133.5</v>
      </c>
    </row>
    <row r="35" spans="1:6" s="290" customFormat="1" ht="14" thickBot="1" x14ac:dyDescent="0.2">
      <c r="B35" s="322"/>
      <c r="C35" s="325"/>
      <c r="D35" s="326" t="s">
        <v>1167</v>
      </c>
      <c r="E35" s="326">
        <f>SUM(E31:E34)</f>
        <v>754.9</v>
      </c>
      <c r="F35" s="327">
        <v>1957.87</v>
      </c>
    </row>
    <row r="36" spans="1:6" s="275" customFormat="1" ht="14" thickTop="1" x14ac:dyDescent="0.15">
      <c r="B36" s="322"/>
      <c r="C36" s="323"/>
    </row>
    <row r="37" spans="1:6" s="295" customFormat="1" x14ac:dyDescent="0.15">
      <c r="A37" s="329">
        <v>200466344</v>
      </c>
      <c r="B37" s="328">
        <v>41290</v>
      </c>
      <c r="C37" s="329" t="s">
        <v>1146</v>
      </c>
      <c r="D37" s="329" t="s">
        <v>1166</v>
      </c>
      <c r="E37" s="295">
        <v>33</v>
      </c>
    </row>
    <row r="38" spans="1:6" s="275" customFormat="1" x14ac:dyDescent="0.15">
      <c r="A38" s="323">
        <v>200479452</v>
      </c>
      <c r="B38" s="328">
        <v>41283</v>
      </c>
      <c r="C38" s="323" t="s">
        <v>1146</v>
      </c>
      <c r="D38" s="323" t="s">
        <v>1147</v>
      </c>
      <c r="E38" s="295">
        <v>190.6</v>
      </c>
    </row>
    <row r="39" spans="1:6" s="290" customFormat="1" ht="14" thickBot="1" x14ac:dyDescent="0.2">
      <c r="B39" s="322"/>
      <c r="C39" s="325"/>
      <c r="D39" s="326" t="s">
        <v>1168</v>
      </c>
      <c r="E39" s="326">
        <f>SUM(E37:E38)</f>
        <v>223.6</v>
      </c>
      <c r="F39" s="327">
        <v>595.35</v>
      </c>
    </row>
    <row r="40" spans="1:6" s="275" customFormat="1" ht="14" thickTop="1" x14ac:dyDescent="0.15">
      <c r="B40" s="322"/>
      <c r="C40" s="323"/>
    </row>
    <row r="41" spans="1:6" s="295" customFormat="1" x14ac:dyDescent="0.15">
      <c r="A41" s="329">
        <v>200479452</v>
      </c>
      <c r="B41" s="328">
        <v>41302</v>
      </c>
      <c r="C41" s="329" t="s">
        <v>1146</v>
      </c>
      <c r="D41" s="329" t="s">
        <v>1147</v>
      </c>
      <c r="E41" s="295">
        <v>153.5</v>
      </c>
    </row>
    <row r="42" spans="1:6" s="295" customFormat="1" ht="12" customHeight="1" x14ac:dyDescent="0.15">
      <c r="A42" s="329">
        <v>200478562</v>
      </c>
      <c r="B42" s="328">
        <v>41297</v>
      </c>
      <c r="C42" s="329" t="s">
        <v>1146</v>
      </c>
      <c r="D42" s="329" t="s">
        <v>1149</v>
      </c>
      <c r="E42" s="295">
        <v>102.8</v>
      </c>
    </row>
    <row r="43" spans="1:6" s="290" customFormat="1" ht="14" thickBot="1" x14ac:dyDescent="0.2">
      <c r="B43" s="322"/>
      <c r="C43" s="325"/>
      <c r="D43" s="326" t="s">
        <v>1169</v>
      </c>
      <c r="E43" s="326">
        <f>SUM(E41:E42)</f>
        <v>256.3</v>
      </c>
      <c r="F43" s="327">
        <v>711.82999999999993</v>
      </c>
    </row>
    <row r="44" spans="1:6" s="275" customFormat="1" ht="14" thickTop="1" x14ac:dyDescent="0.15">
      <c r="B44" s="322"/>
      <c r="C44" s="323"/>
    </row>
    <row r="45" spans="1:6" s="295" customFormat="1" x14ac:dyDescent="0.15">
      <c r="A45" s="329">
        <v>200466344</v>
      </c>
      <c r="B45" s="328">
        <v>41333</v>
      </c>
      <c r="C45" s="329" t="s">
        <v>1146</v>
      </c>
      <c r="D45" s="329" t="s">
        <v>1166</v>
      </c>
      <c r="E45" s="295">
        <v>63.8</v>
      </c>
    </row>
    <row r="46" spans="1:6" s="295" customFormat="1" x14ac:dyDescent="0.15">
      <c r="A46" s="329">
        <v>200479452</v>
      </c>
      <c r="B46" s="328">
        <v>41327</v>
      </c>
      <c r="C46" s="329" t="s">
        <v>1146</v>
      </c>
      <c r="D46" s="329" t="s">
        <v>1147</v>
      </c>
      <c r="E46" s="295">
        <v>200.2</v>
      </c>
    </row>
    <row r="47" spans="1:6" s="295" customFormat="1" ht="12" customHeight="1" x14ac:dyDescent="0.15">
      <c r="A47" s="329">
        <v>200478562</v>
      </c>
      <c r="B47" s="328">
        <v>41325</v>
      </c>
      <c r="C47" s="329" t="s">
        <v>1146</v>
      </c>
      <c r="D47" s="329" t="s">
        <v>1149</v>
      </c>
      <c r="E47" s="295">
        <v>125.3</v>
      </c>
    </row>
    <row r="48" spans="1:6" s="295" customFormat="1" x14ac:dyDescent="0.15">
      <c r="A48" s="329">
        <v>200474608</v>
      </c>
      <c r="B48" s="328">
        <v>41333</v>
      </c>
      <c r="C48" s="329" t="s">
        <v>1146</v>
      </c>
      <c r="D48" s="329" t="s">
        <v>1170</v>
      </c>
      <c r="E48" s="295">
        <v>35.799999999999997</v>
      </c>
    </row>
    <row r="49" spans="1:6" s="290" customFormat="1" ht="14" thickBot="1" x14ac:dyDescent="0.2">
      <c r="B49" s="322"/>
      <c r="C49" s="325"/>
      <c r="D49" s="326" t="s">
        <v>1171</v>
      </c>
      <c r="E49" s="326">
        <f>SUM(E45:E48)</f>
        <v>425.1</v>
      </c>
      <c r="F49" s="327">
        <v>1185</v>
      </c>
    </row>
    <row r="50" spans="1:6" s="275" customFormat="1" ht="14" thickTop="1" x14ac:dyDescent="0.15">
      <c r="B50" s="322"/>
      <c r="C50" s="323"/>
    </row>
    <row r="51" spans="1:6" s="295" customFormat="1" x14ac:dyDescent="0.15">
      <c r="A51" s="329">
        <v>200479452</v>
      </c>
      <c r="B51" s="328">
        <v>41346</v>
      </c>
      <c r="C51" s="329" t="s">
        <v>1146</v>
      </c>
      <c r="D51" s="329" t="s">
        <v>1147</v>
      </c>
      <c r="E51" s="295">
        <v>112.6</v>
      </c>
    </row>
    <row r="52" spans="1:6" s="295" customFormat="1" x14ac:dyDescent="0.15">
      <c r="A52" s="329">
        <v>200479452</v>
      </c>
      <c r="B52" s="328">
        <v>41360</v>
      </c>
      <c r="C52" s="329" t="s">
        <v>1146</v>
      </c>
      <c r="D52" s="329" t="s">
        <v>1147</v>
      </c>
      <c r="E52" s="295">
        <v>90</v>
      </c>
    </row>
    <row r="53" spans="1:6" s="295" customFormat="1" ht="12" customHeight="1" x14ac:dyDescent="0.15">
      <c r="A53" s="329">
        <v>200478562</v>
      </c>
      <c r="B53" s="328">
        <v>41360</v>
      </c>
      <c r="C53" s="329" t="s">
        <v>1146</v>
      </c>
      <c r="D53" s="329" t="s">
        <v>1149</v>
      </c>
      <c r="E53" s="295">
        <v>246.4</v>
      </c>
    </row>
    <row r="54" spans="1:6" s="290" customFormat="1" ht="14" thickBot="1" x14ac:dyDescent="0.2">
      <c r="B54" s="322"/>
      <c r="C54" s="325"/>
      <c r="D54" s="326" t="s">
        <v>1172</v>
      </c>
      <c r="E54" s="326">
        <f>SUM(E51:E53)</f>
        <v>449</v>
      </c>
      <c r="F54" s="327">
        <v>1240.6799999999998</v>
      </c>
    </row>
    <row r="55" spans="1:6" s="275" customFormat="1" ht="14" thickTop="1" x14ac:dyDescent="0.15">
      <c r="B55" s="322"/>
      <c r="C55" s="323"/>
    </row>
    <row r="56" spans="1:6" s="295" customFormat="1" x14ac:dyDescent="0.15">
      <c r="A56" s="329">
        <v>200479452</v>
      </c>
      <c r="B56" s="328">
        <v>41381</v>
      </c>
      <c r="C56" s="329" t="s">
        <v>1146</v>
      </c>
      <c r="D56" s="329" t="s">
        <v>1147</v>
      </c>
      <c r="E56" s="295">
        <v>60.1</v>
      </c>
    </row>
    <row r="57" spans="1:6" s="295" customFormat="1" ht="12" customHeight="1" x14ac:dyDescent="0.15">
      <c r="A57" s="329">
        <v>200478562</v>
      </c>
      <c r="B57" s="328">
        <v>41383</v>
      </c>
      <c r="C57" s="329" t="s">
        <v>1146</v>
      </c>
      <c r="D57" s="329" t="s">
        <v>1149</v>
      </c>
    </row>
    <row r="58" spans="1:6" s="295" customFormat="1" ht="12" customHeight="1" x14ac:dyDescent="0.15">
      <c r="A58" s="329">
        <v>200478562</v>
      </c>
      <c r="B58" s="328">
        <v>41387</v>
      </c>
      <c r="C58" s="329" t="s">
        <v>1146</v>
      </c>
      <c r="D58" s="329" t="s">
        <v>1149</v>
      </c>
      <c r="E58" s="295">
        <v>125.2</v>
      </c>
    </row>
    <row r="59" spans="1:6" s="295" customFormat="1" x14ac:dyDescent="0.15">
      <c r="A59" s="287">
        <v>200475252</v>
      </c>
      <c r="B59" s="328">
        <v>41376</v>
      </c>
      <c r="C59" s="329" t="s">
        <v>1146</v>
      </c>
      <c r="D59" s="324" t="s">
        <v>1144</v>
      </c>
      <c r="E59" s="287"/>
      <c r="F59" s="287"/>
    </row>
    <row r="60" spans="1:6" s="290" customFormat="1" ht="14" thickBot="1" x14ac:dyDescent="0.2">
      <c r="B60" s="322"/>
      <c r="C60" s="325"/>
      <c r="D60" s="326" t="s">
        <v>1173</v>
      </c>
      <c r="E60" s="326">
        <f>SUM(E56:E59)</f>
        <v>185.3</v>
      </c>
      <c r="F60" s="327">
        <v>320.06</v>
      </c>
    </row>
    <row r="61" spans="1:6" s="275" customFormat="1" ht="14" thickTop="1" x14ac:dyDescent="0.15">
      <c r="B61" s="322"/>
      <c r="C61" s="323"/>
    </row>
    <row r="62" spans="1:6" s="295" customFormat="1" x14ac:dyDescent="0.15">
      <c r="A62" s="329">
        <v>200465946</v>
      </c>
      <c r="B62" s="328">
        <v>41401</v>
      </c>
      <c r="C62" s="329" t="s">
        <v>1146</v>
      </c>
      <c r="D62" s="329" t="s">
        <v>1165</v>
      </c>
      <c r="E62" s="295">
        <v>181.2</v>
      </c>
    </row>
    <row r="63" spans="1:6" s="295" customFormat="1" x14ac:dyDescent="0.15">
      <c r="A63" s="329">
        <v>200479452</v>
      </c>
      <c r="B63" s="328">
        <v>41443</v>
      </c>
      <c r="C63" s="329" t="s">
        <v>1146</v>
      </c>
      <c r="D63" s="329" t="s">
        <v>1147</v>
      </c>
      <c r="E63" s="295">
        <v>75</v>
      </c>
    </row>
    <row r="64" spans="1:6" s="295" customFormat="1" x14ac:dyDescent="0.15">
      <c r="A64" s="329">
        <v>200474608</v>
      </c>
      <c r="B64" s="328">
        <v>41455</v>
      </c>
      <c r="C64" s="329" t="s">
        <v>1146</v>
      </c>
      <c r="D64" s="329" t="s">
        <v>1170</v>
      </c>
      <c r="E64" s="295">
        <v>0</v>
      </c>
    </row>
    <row r="65" spans="1:8" s="290" customFormat="1" ht="14" thickBot="1" x14ac:dyDescent="0.2">
      <c r="B65" s="322"/>
      <c r="C65" s="325"/>
      <c r="D65" s="326" t="s">
        <v>1174</v>
      </c>
      <c r="E65" s="326">
        <f>SUM(E62:E64)</f>
        <v>256.2</v>
      </c>
      <c r="F65" s="327">
        <v>782.21</v>
      </c>
    </row>
    <row r="66" spans="1:8" ht="15" thickTop="1" thickBot="1" x14ac:dyDescent="0.2"/>
    <row r="67" spans="1:8" s="275" customFormat="1" ht="31" thickBot="1" x14ac:dyDescent="0.35">
      <c r="A67" s="767" t="s">
        <v>1137</v>
      </c>
      <c r="B67" s="768"/>
      <c r="C67" s="768"/>
      <c r="D67" s="768"/>
      <c r="E67" s="768"/>
      <c r="F67" s="769"/>
      <c r="G67" s="289"/>
      <c r="H67" s="289"/>
    </row>
    <row r="68" spans="1:8" s="275" customFormat="1" x14ac:dyDescent="0.15">
      <c r="B68" s="322"/>
      <c r="C68" s="323"/>
    </row>
    <row r="69" spans="1:8" s="295" customFormat="1" x14ac:dyDescent="0.15">
      <c r="A69" s="329" t="s">
        <v>1175</v>
      </c>
      <c r="B69" s="328">
        <v>41452</v>
      </c>
      <c r="C69" s="329" t="s">
        <v>1152</v>
      </c>
      <c r="D69" s="329" t="s">
        <v>1176</v>
      </c>
      <c r="E69" s="295">
        <v>25</v>
      </c>
    </row>
    <row r="70" spans="1:8" s="295" customFormat="1" x14ac:dyDescent="0.15">
      <c r="A70" s="329" t="s">
        <v>1175</v>
      </c>
      <c r="B70" s="328">
        <v>41477</v>
      </c>
      <c r="C70" s="329" t="s">
        <v>1152</v>
      </c>
      <c r="D70" s="329" t="s">
        <v>1176</v>
      </c>
      <c r="E70" s="295">
        <v>761.4</v>
      </c>
    </row>
    <row r="71" spans="1:8" s="290" customFormat="1" ht="14" thickBot="1" x14ac:dyDescent="0.2">
      <c r="B71" s="322"/>
      <c r="C71" s="325"/>
      <c r="D71" s="326" t="s">
        <v>1177</v>
      </c>
      <c r="E71" s="326">
        <f>SUM(E69:E70)</f>
        <v>786.4</v>
      </c>
      <c r="F71" s="327">
        <v>2279.7800000000002</v>
      </c>
    </row>
    <row r="72" spans="1:8" s="275" customFormat="1" ht="14" thickTop="1" x14ac:dyDescent="0.15">
      <c r="B72" s="322"/>
      <c r="C72" s="323"/>
    </row>
    <row r="73" spans="1:8" s="295" customFormat="1" x14ac:dyDescent="0.15">
      <c r="A73" s="329">
        <v>200471861</v>
      </c>
      <c r="B73" s="328">
        <v>41517</v>
      </c>
      <c r="C73" s="329" t="s">
        <v>1146</v>
      </c>
      <c r="D73" s="329" t="s">
        <v>1163</v>
      </c>
      <c r="E73" s="295">
        <v>0</v>
      </c>
    </row>
    <row r="74" spans="1:8" s="290" customFormat="1" ht="14" thickBot="1" x14ac:dyDescent="0.2">
      <c r="B74" s="322"/>
      <c r="C74" s="325"/>
      <c r="D74" s="326" t="s">
        <v>1145</v>
      </c>
      <c r="E74" s="326">
        <f>SUM(E73:E73)</f>
        <v>0</v>
      </c>
      <c r="F74" s="327">
        <v>87</v>
      </c>
    </row>
    <row r="75" spans="1:8" s="275" customFormat="1" ht="14" thickTop="1" x14ac:dyDescent="0.15">
      <c r="B75" s="322"/>
      <c r="C75" s="323"/>
    </row>
    <row r="76" spans="1:8" s="295" customFormat="1" x14ac:dyDescent="0.15">
      <c r="A76" s="329">
        <v>200466344</v>
      </c>
      <c r="B76" s="328">
        <v>41536</v>
      </c>
      <c r="C76" s="329" t="s">
        <v>1146</v>
      </c>
      <c r="D76" s="329" t="s">
        <v>1166</v>
      </c>
      <c r="E76" s="295">
        <v>93.1</v>
      </c>
    </row>
    <row r="77" spans="1:8" s="295" customFormat="1" ht="12" customHeight="1" x14ac:dyDescent="0.15">
      <c r="A77" s="329">
        <v>200478562</v>
      </c>
      <c r="B77" s="328">
        <v>41536</v>
      </c>
      <c r="C77" s="329" t="s">
        <v>1146</v>
      </c>
      <c r="D77" s="329" t="s">
        <v>1149</v>
      </c>
      <c r="E77" s="295">
        <v>261</v>
      </c>
    </row>
    <row r="78" spans="1:8" s="290" customFormat="1" ht="14" thickBot="1" x14ac:dyDescent="0.2">
      <c r="B78" s="322"/>
      <c r="C78" s="325"/>
      <c r="D78" s="326" t="s">
        <v>1148</v>
      </c>
      <c r="E78" s="326">
        <f>SUM(E76:E77)</f>
        <v>354.1</v>
      </c>
      <c r="F78" s="327">
        <v>964.94</v>
      </c>
    </row>
    <row r="79" spans="1:8" s="275" customFormat="1" ht="14" thickTop="1" x14ac:dyDescent="0.15">
      <c r="B79" s="322"/>
      <c r="C79" s="323"/>
    </row>
    <row r="80" spans="1:8" s="295" customFormat="1" x14ac:dyDescent="0.15">
      <c r="A80" s="329" t="s">
        <v>1155</v>
      </c>
      <c r="B80" s="328">
        <v>41575</v>
      </c>
      <c r="C80" s="329" t="s">
        <v>1152</v>
      </c>
      <c r="D80" s="329" t="s">
        <v>1156</v>
      </c>
      <c r="E80" s="295">
        <v>0</v>
      </c>
    </row>
    <row r="81" spans="1:6" s="295" customFormat="1" x14ac:dyDescent="0.15">
      <c r="A81" s="329" t="s">
        <v>1157</v>
      </c>
      <c r="B81" s="328">
        <v>41575</v>
      </c>
      <c r="C81" s="329" t="s">
        <v>1152</v>
      </c>
      <c r="D81" s="329" t="s">
        <v>1158</v>
      </c>
      <c r="E81" s="295">
        <v>0</v>
      </c>
    </row>
    <row r="82" spans="1:6" s="295" customFormat="1" x14ac:dyDescent="0.15">
      <c r="A82" s="329" t="s">
        <v>1161</v>
      </c>
      <c r="B82" s="328">
        <v>41575</v>
      </c>
      <c r="C82" s="329" t="s">
        <v>1152</v>
      </c>
      <c r="D82" s="329" t="s">
        <v>1162</v>
      </c>
      <c r="E82" s="295">
        <v>0</v>
      </c>
    </row>
    <row r="83" spans="1:6" s="295" customFormat="1" x14ac:dyDescent="0.15">
      <c r="A83" s="329" t="s">
        <v>1159</v>
      </c>
      <c r="B83" s="328">
        <v>41575</v>
      </c>
      <c r="C83" s="329" t="s">
        <v>1152</v>
      </c>
      <c r="D83" s="329" t="s">
        <v>1178</v>
      </c>
      <c r="E83" s="295">
        <v>0</v>
      </c>
    </row>
    <row r="84" spans="1:6" s="295" customFormat="1" x14ac:dyDescent="0.15">
      <c r="A84" s="329"/>
      <c r="B84" s="328">
        <v>41565</v>
      </c>
      <c r="C84" s="329" t="s">
        <v>1179</v>
      </c>
      <c r="D84" s="329"/>
    </row>
    <row r="85" spans="1:6" s="295" customFormat="1" x14ac:dyDescent="0.15">
      <c r="A85" s="329">
        <v>200479452</v>
      </c>
      <c r="B85" s="328">
        <v>41577</v>
      </c>
      <c r="C85" s="329" t="s">
        <v>1146</v>
      </c>
      <c r="D85" s="329" t="s">
        <v>1147</v>
      </c>
      <c r="E85" s="295">
        <v>95.4</v>
      </c>
    </row>
    <row r="86" spans="1:6" s="295" customFormat="1" ht="12" customHeight="1" x14ac:dyDescent="0.15">
      <c r="A86" s="329">
        <v>200478562</v>
      </c>
      <c r="B86" s="328">
        <v>41572</v>
      </c>
      <c r="C86" s="329" t="s">
        <v>1146</v>
      </c>
      <c r="D86" s="329" t="s">
        <v>1149</v>
      </c>
      <c r="E86" s="295">
        <v>179</v>
      </c>
    </row>
    <row r="87" spans="1:6" s="290" customFormat="1" ht="14" thickBot="1" x14ac:dyDescent="0.2">
      <c r="B87" s="322"/>
      <c r="C87" s="325"/>
      <c r="D87" s="326" t="s">
        <v>1154</v>
      </c>
      <c r="E87" s="326">
        <f>SUM(E80:E86)</f>
        <v>274.39999999999998</v>
      </c>
      <c r="F87" s="327">
        <v>1941.37</v>
      </c>
    </row>
    <row r="88" spans="1:6" s="275" customFormat="1" ht="14" thickTop="1" x14ac:dyDescent="0.15">
      <c r="B88" s="322"/>
      <c r="C88" s="323"/>
    </row>
    <row r="89" spans="1:6" s="295" customFormat="1" x14ac:dyDescent="0.15">
      <c r="A89" s="329">
        <v>200466344</v>
      </c>
      <c r="B89" s="328">
        <v>41585</v>
      </c>
      <c r="C89" s="329" t="s">
        <v>1146</v>
      </c>
      <c r="D89" s="329" t="s">
        <v>1166</v>
      </c>
      <c r="E89" s="295">
        <v>19</v>
      </c>
    </row>
    <row r="90" spans="1:6" s="295" customFormat="1" x14ac:dyDescent="0.15">
      <c r="A90" s="329">
        <v>200479452</v>
      </c>
      <c r="B90" s="328">
        <v>41599</v>
      </c>
      <c r="C90" s="329" t="s">
        <v>1146</v>
      </c>
      <c r="D90" s="329" t="s">
        <v>1147</v>
      </c>
      <c r="E90" s="295">
        <v>97.2</v>
      </c>
    </row>
    <row r="91" spans="1:6" s="295" customFormat="1" ht="12" customHeight="1" x14ac:dyDescent="0.15">
      <c r="A91" s="329">
        <v>200478562</v>
      </c>
      <c r="B91" s="328">
        <v>41599</v>
      </c>
      <c r="C91" s="329" t="s">
        <v>1146</v>
      </c>
      <c r="D91" s="329" t="s">
        <v>1149</v>
      </c>
      <c r="E91" s="295">
        <v>131.4</v>
      </c>
    </row>
    <row r="92" spans="1:6" s="290" customFormat="1" ht="14" thickBot="1" x14ac:dyDescent="0.2">
      <c r="B92" s="322"/>
      <c r="C92" s="325"/>
      <c r="D92" s="326" t="s">
        <v>1164</v>
      </c>
      <c r="E92" s="326">
        <f>SUM(E89:E91)</f>
        <v>247.60000000000002</v>
      </c>
      <c r="F92" s="327">
        <v>749.26</v>
      </c>
    </row>
    <row r="93" spans="1:6" s="275" customFormat="1" ht="14" thickTop="1" x14ac:dyDescent="0.15">
      <c r="B93" s="322"/>
      <c r="C93" s="323"/>
    </row>
    <row r="94" spans="1:6" s="295" customFormat="1" x14ac:dyDescent="0.15">
      <c r="A94" s="329" t="s">
        <v>1155</v>
      </c>
      <c r="B94" s="328">
        <v>41619</v>
      </c>
      <c r="C94" s="329" t="s">
        <v>1152</v>
      </c>
      <c r="D94" s="329" t="s">
        <v>1180</v>
      </c>
      <c r="E94" s="295">
        <v>188.5</v>
      </c>
      <c r="F94" s="298">
        <v>603.01</v>
      </c>
    </row>
    <row r="95" spans="1:6" s="295" customFormat="1" x14ac:dyDescent="0.15">
      <c r="A95" s="329"/>
      <c r="B95" s="328">
        <v>41619</v>
      </c>
      <c r="C95" s="329" t="s">
        <v>1152</v>
      </c>
      <c r="D95" s="329" t="s">
        <v>1181</v>
      </c>
      <c r="E95" s="295">
        <v>185.3</v>
      </c>
      <c r="F95" s="298">
        <v>592.77</v>
      </c>
    </row>
    <row r="96" spans="1:6" s="295" customFormat="1" x14ac:dyDescent="0.15">
      <c r="A96" s="329" t="s">
        <v>1157</v>
      </c>
      <c r="B96" s="328">
        <v>41619</v>
      </c>
      <c r="C96" s="329" t="s">
        <v>1152</v>
      </c>
      <c r="D96" s="329" t="s">
        <v>1158</v>
      </c>
      <c r="E96" s="295">
        <v>324.7</v>
      </c>
      <c r="F96" s="298">
        <v>1038.72</v>
      </c>
    </row>
    <row r="97" spans="1:6" s="295" customFormat="1" x14ac:dyDescent="0.15">
      <c r="A97" s="329" t="s">
        <v>1182</v>
      </c>
      <c r="B97" s="328">
        <v>41619</v>
      </c>
      <c r="C97" s="329" t="s">
        <v>1152</v>
      </c>
      <c r="D97" s="329" t="s">
        <v>1183</v>
      </c>
      <c r="E97" s="295">
        <v>279.5</v>
      </c>
      <c r="F97" s="298">
        <v>894.12</v>
      </c>
    </row>
    <row r="98" spans="1:6" s="295" customFormat="1" x14ac:dyDescent="0.15">
      <c r="A98" s="329" t="s">
        <v>1161</v>
      </c>
      <c r="B98" s="328">
        <v>41619</v>
      </c>
      <c r="C98" s="329" t="s">
        <v>1152</v>
      </c>
      <c r="D98" s="329" t="s">
        <v>1162</v>
      </c>
      <c r="E98" s="295">
        <v>208.5</v>
      </c>
      <c r="F98" s="298">
        <v>666.99</v>
      </c>
    </row>
    <row r="99" spans="1:6" s="295" customFormat="1" x14ac:dyDescent="0.15">
      <c r="A99" s="329">
        <v>200466344</v>
      </c>
      <c r="B99" s="328">
        <v>41634</v>
      </c>
      <c r="C99" s="329" t="s">
        <v>1146</v>
      </c>
      <c r="D99" s="329" t="s">
        <v>1166</v>
      </c>
      <c r="E99" s="295">
        <v>28.9</v>
      </c>
      <c r="F99" s="298">
        <v>104.23</v>
      </c>
    </row>
    <row r="100" spans="1:6" s="295" customFormat="1" x14ac:dyDescent="0.15">
      <c r="A100" s="329">
        <v>200479452</v>
      </c>
      <c r="B100" s="328">
        <v>41619</v>
      </c>
      <c r="C100" s="329" t="s">
        <v>1146</v>
      </c>
      <c r="D100" s="329" t="s">
        <v>1147</v>
      </c>
      <c r="E100" s="295">
        <v>147.69999999999999</v>
      </c>
      <c r="F100" s="298">
        <v>458.41</v>
      </c>
    </row>
    <row r="101" spans="1:6" s="295" customFormat="1" x14ac:dyDescent="0.15">
      <c r="A101" s="329">
        <v>200479452</v>
      </c>
      <c r="B101" s="328">
        <v>41634</v>
      </c>
      <c r="C101" s="329" t="s">
        <v>1146</v>
      </c>
      <c r="D101" s="329" t="s">
        <v>1147</v>
      </c>
      <c r="E101" s="295">
        <v>129.5</v>
      </c>
      <c r="F101" s="298">
        <v>407.4</v>
      </c>
    </row>
    <row r="102" spans="1:6" s="295" customFormat="1" ht="12" customHeight="1" x14ac:dyDescent="0.15">
      <c r="A102" s="329">
        <v>200478562</v>
      </c>
      <c r="B102" s="328">
        <v>41626</v>
      </c>
      <c r="C102" s="329" t="s">
        <v>1146</v>
      </c>
      <c r="D102" s="329" t="s">
        <v>1149</v>
      </c>
      <c r="E102" s="295">
        <v>90.7</v>
      </c>
      <c r="F102" s="298">
        <v>289.93</v>
      </c>
    </row>
    <row r="103" spans="1:6" s="295" customFormat="1" x14ac:dyDescent="0.15">
      <c r="A103" s="287">
        <v>200475252</v>
      </c>
      <c r="B103" s="328">
        <v>41626</v>
      </c>
      <c r="C103" s="329" t="s">
        <v>1146</v>
      </c>
      <c r="D103" s="324" t="s">
        <v>1144</v>
      </c>
      <c r="E103" s="295">
        <v>348.6</v>
      </c>
      <c r="F103" s="298">
        <v>1065.3900000000001</v>
      </c>
    </row>
    <row r="104" spans="1:6" s="295" customFormat="1" x14ac:dyDescent="0.15">
      <c r="A104" s="329">
        <v>200471861</v>
      </c>
      <c r="B104" s="328">
        <v>41626</v>
      </c>
      <c r="C104" s="329" t="s">
        <v>1146</v>
      </c>
      <c r="D104" s="329" t="s">
        <v>1163</v>
      </c>
      <c r="E104" s="295">
        <v>46</v>
      </c>
      <c r="F104" s="298">
        <v>155.52000000000001</v>
      </c>
    </row>
    <row r="105" spans="1:6" s="295" customFormat="1" x14ac:dyDescent="0.15">
      <c r="A105" s="329">
        <v>200474608</v>
      </c>
      <c r="B105" s="328">
        <v>41626</v>
      </c>
      <c r="C105" s="329" t="s">
        <v>1146</v>
      </c>
      <c r="D105" s="329" t="s">
        <v>1170</v>
      </c>
      <c r="E105" s="295">
        <v>15.3</v>
      </c>
      <c r="F105" s="298">
        <v>63.21</v>
      </c>
    </row>
    <row r="106" spans="1:6" s="290" customFormat="1" ht="14" thickBot="1" x14ac:dyDescent="0.2">
      <c r="B106" s="322"/>
      <c r="C106" s="325"/>
      <c r="D106" s="326" t="s">
        <v>1167</v>
      </c>
      <c r="E106" s="326">
        <f>SUM(E94:E105)</f>
        <v>1993.2</v>
      </c>
      <c r="F106" s="327">
        <v>6339.7000000000007</v>
      </c>
    </row>
    <row r="107" spans="1:6" s="275" customFormat="1" ht="14" thickTop="1" x14ac:dyDescent="0.15">
      <c r="B107" s="322"/>
      <c r="C107" s="323"/>
    </row>
    <row r="108" spans="1:6" s="295" customFormat="1" x14ac:dyDescent="0.15">
      <c r="A108" s="329"/>
      <c r="B108" s="328">
        <v>41668</v>
      </c>
      <c r="C108" s="329" t="s">
        <v>1152</v>
      </c>
      <c r="D108" s="329" t="s">
        <v>1184</v>
      </c>
      <c r="E108" s="295">
        <v>9.1999999999999993</v>
      </c>
      <c r="F108" s="298">
        <v>42</v>
      </c>
    </row>
    <row r="109" spans="1:6" s="295" customFormat="1" x14ac:dyDescent="0.15">
      <c r="A109" s="329">
        <v>200479452</v>
      </c>
      <c r="B109" s="328">
        <v>41647</v>
      </c>
      <c r="C109" s="329" t="s">
        <v>1146</v>
      </c>
      <c r="D109" s="329" t="s">
        <v>1147</v>
      </c>
      <c r="E109" s="295">
        <v>156.5</v>
      </c>
      <c r="F109" s="298">
        <v>492.68</v>
      </c>
    </row>
    <row r="110" spans="1:6" s="295" customFormat="1" x14ac:dyDescent="0.15">
      <c r="A110" s="329">
        <v>200479452</v>
      </c>
      <c r="B110" s="328">
        <v>41661</v>
      </c>
      <c r="C110" s="329" t="s">
        <v>1146</v>
      </c>
      <c r="D110" s="329" t="s">
        <v>1147</v>
      </c>
      <c r="E110" s="295">
        <v>128.80000000000001</v>
      </c>
      <c r="F110" s="298">
        <v>430.72</v>
      </c>
    </row>
    <row r="111" spans="1:6" s="295" customFormat="1" x14ac:dyDescent="0.15">
      <c r="A111" s="329">
        <v>200479452</v>
      </c>
      <c r="B111" s="328">
        <v>41668</v>
      </c>
      <c r="C111" s="329" t="s">
        <v>1146</v>
      </c>
      <c r="D111" s="329" t="s">
        <v>1147</v>
      </c>
      <c r="E111" s="295">
        <v>110.8</v>
      </c>
      <c r="F111" s="298">
        <v>390.39</v>
      </c>
    </row>
    <row r="112" spans="1:6" s="295" customFormat="1" ht="12" customHeight="1" x14ac:dyDescent="0.15">
      <c r="A112" s="329">
        <v>200478562</v>
      </c>
      <c r="B112" s="328">
        <v>41661</v>
      </c>
      <c r="C112" s="329" t="s">
        <v>1146</v>
      </c>
      <c r="D112" s="329" t="s">
        <v>1149</v>
      </c>
      <c r="E112" s="295">
        <v>105.8</v>
      </c>
      <c r="F112" s="298">
        <v>356.88</v>
      </c>
    </row>
    <row r="113" spans="1:6" s="290" customFormat="1" ht="14" thickBot="1" x14ac:dyDescent="0.2">
      <c r="B113" s="322"/>
      <c r="C113" s="325"/>
      <c r="D113" s="326" t="s">
        <v>1168</v>
      </c>
      <c r="E113" s="326">
        <f>SUM(E108:E112)</f>
        <v>511.1</v>
      </c>
      <c r="F113" s="327">
        <v>1712.67</v>
      </c>
    </row>
    <row r="114" spans="1:6" s="275" customFormat="1" ht="14" thickTop="1" x14ac:dyDescent="0.15">
      <c r="B114" s="322"/>
      <c r="C114" s="323"/>
    </row>
    <row r="115" spans="1:6" s="295" customFormat="1" x14ac:dyDescent="0.15">
      <c r="A115" s="329">
        <v>200466344</v>
      </c>
      <c r="B115" s="328">
        <v>41687</v>
      </c>
      <c r="C115" s="329" t="s">
        <v>1146</v>
      </c>
      <c r="D115" s="329" t="s">
        <v>1166</v>
      </c>
      <c r="E115" s="295">
        <v>33.1</v>
      </c>
      <c r="F115" s="298">
        <v>136.25</v>
      </c>
    </row>
    <row r="116" spans="1:6" s="295" customFormat="1" x14ac:dyDescent="0.15">
      <c r="A116" s="329">
        <v>200479452</v>
      </c>
      <c r="B116" s="328">
        <v>41687</v>
      </c>
      <c r="C116" s="329" t="s">
        <v>1146</v>
      </c>
      <c r="D116" s="329" t="s">
        <v>1147</v>
      </c>
      <c r="E116" s="295">
        <v>202.8</v>
      </c>
      <c r="F116" s="298">
        <v>746.56</v>
      </c>
    </row>
    <row r="117" spans="1:6" s="295" customFormat="1" x14ac:dyDescent="0.15">
      <c r="A117" s="329">
        <v>200479452</v>
      </c>
      <c r="B117" s="328">
        <v>41698</v>
      </c>
      <c r="C117" s="329" t="s">
        <v>1146</v>
      </c>
      <c r="D117" s="329" t="s">
        <v>1147</v>
      </c>
      <c r="E117" s="295">
        <v>146.80000000000001</v>
      </c>
      <c r="F117" s="298">
        <v>513</v>
      </c>
    </row>
    <row r="118" spans="1:6" s="295" customFormat="1" ht="12" customHeight="1" x14ac:dyDescent="0.15">
      <c r="A118" s="329">
        <v>200478562</v>
      </c>
      <c r="B118" s="328">
        <v>41698</v>
      </c>
      <c r="C118" s="329" t="s">
        <v>1146</v>
      </c>
      <c r="D118" s="329" t="s">
        <v>1149</v>
      </c>
      <c r="E118" s="295">
        <v>150.19999999999999</v>
      </c>
      <c r="F118" s="298">
        <v>524.48</v>
      </c>
    </row>
    <row r="119" spans="1:6" s="290" customFormat="1" ht="14" thickBot="1" x14ac:dyDescent="0.2">
      <c r="B119" s="322"/>
      <c r="C119" s="325"/>
      <c r="D119" s="326" t="s">
        <v>1169</v>
      </c>
      <c r="E119" s="326">
        <f>SUM(E115:E118)</f>
        <v>532.90000000000009</v>
      </c>
      <c r="F119" s="327">
        <v>1920.29</v>
      </c>
    </row>
    <row r="120" spans="1:6" s="275" customFormat="1" ht="14" thickTop="1" x14ac:dyDescent="0.15">
      <c r="B120" s="322"/>
      <c r="C120" s="323"/>
    </row>
    <row r="121" spans="1:6" s="295" customFormat="1" x14ac:dyDescent="0.15">
      <c r="A121" s="329">
        <v>200479452</v>
      </c>
      <c r="B121" s="328">
        <v>41710</v>
      </c>
      <c r="C121" s="329" t="s">
        <v>1146</v>
      </c>
      <c r="D121" s="329" t="s">
        <v>1147</v>
      </c>
      <c r="E121" s="295">
        <v>115.4</v>
      </c>
      <c r="F121" s="298">
        <v>407.59</v>
      </c>
    </row>
    <row r="122" spans="1:6" s="295" customFormat="1" x14ac:dyDescent="0.15">
      <c r="A122" s="329">
        <v>200479452</v>
      </c>
      <c r="B122" s="328">
        <v>41722</v>
      </c>
      <c r="C122" s="329" t="s">
        <v>1146</v>
      </c>
      <c r="D122" s="329" t="s">
        <v>1147</v>
      </c>
      <c r="E122" s="295">
        <v>81.400000000000006</v>
      </c>
      <c r="F122" s="298">
        <v>296.94</v>
      </c>
    </row>
    <row r="123" spans="1:6" s="295" customFormat="1" ht="12" customHeight="1" x14ac:dyDescent="0.15">
      <c r="A123" s="329">
        <v>200478562</v>
      </c>
      <c r="B123" s="328">
        <v>41718</v>
      </c>
      <c r="C123" s="329" t="s">
        <v>1146</v>
      </c>
      <c r="D123" s="329" t="s">
        <v>1149</v>
      </c>
      <c r="E123" s="295">
        <v>76</v>
      </c>
      <c r="F123" s="298">
        <v>278.39999999999998</v>
      </c>
    </row>
    <row r="124" spans="1:6" s="290" customFormat="1" ht="14" thickBot="1" x14ac:dyDescent="0.2">
      <c r="B124" s="322"/>
      <c r="C124" s="325"/>
      <c r="D124" s="326" t="s">
        <v>1171</v>
      </c>
      <c r="E124" s="326">
        <f>SUM(E121:E123)</f>
        <v>272.8</v>
      </c>
      <c r="F124" s="327">
        <v>982.93</v>
      </c>
    </row>
    <row r="125" spans="1:6" s="275" customFormat="1" ht="14" thickTop="1" x14ac:dyDescent="0.15">
      <c r="B125" s="322"/>
      <c r="C125" s="323"/>
    </row>
    <row r="126" spans="1:6" s="295" customFormat="1" x14ac:dyDescent="0.15">
      <c r="A126" s="329">
        <v>200479452</v>
      </c>
      <c r="B126" s="328">
        <v>41746</v>
      </c>
      <c r="C126" s="329" t="s">
        <v>1146</v>
      </c>
      <c r="D126" s="329" t="s">
        <v>1147</v>
      </c>
      <c r="E126" s="295">
        <v>98.5</v>
      </c>
      <c r="F126" s="298">
        <v>325.16000000000003</v>
      </c>
    </row>
    <row r="127" spans="1:6" s="295" customFormat="1" ht="12" customHeight="1" x14ac:dyDescent="0.15">
      <c r="A127" s="329">
        <v>200478562</v>
      </c>
      <c r="B127" s="328">
        <v>41752</v>
      </c>
      <c r="C127" s="329" t="s">
        <v>1146</v>
      </c>
      <c r="D127" s="329" t="s">
        <v>1149</v>
      </c>
      <c r="E127" s="295">
        <v>44.8</v>
      </c>
      <c r="F127" s="298">
        <v>158.65</v>
      </c>
    </row>
    <row r="128" spans="1:6" s="290" customFormat="1" ht="14" thickBot="1" x14ac:dyDescent="0.2">
      <c r="B128" s="322"/>
      <c r="C128" s="325"/>
      <c r="D128" s="326" t="s">
        <v>1172</v>
      </c>
      <c r="E128" s="326">
        <f>SUM(E126:E127)</f>
        <v>143.30000000000001</v>
      </c>
      <c r="F128" s="327">
        <v>483.81000000000006</v>
      </c>
    </row>
    <row r="129" spans="1:8" s="275" customFormat="1" ht="14" thickTop="1" x14ac:dyDescent="0.15">
      <c r="B129" s="322"/>
      <c r="C129" s="323"/>
    </row>
    <row r="130" spans="1:8" s="295" customFormat="1" x14ac:dyDescent="0.15">
      <c r="A130" s="329"/>
      <c r="B130" s="328">
        <v>41809</v>
      </c>
      <c r="C130" s="329" t="s">
        <v>1152</v>
      </c>
      <c r="D130" s="329" t="s">
        <v>1184</v>
      </c>
      <c r="E130" s="295">
        <v>4.5</v>
      </c>
      <c r="F130" s="298">
        <v>15.97</v>
      </c>
    </row>
    <row r="131" spans="1:8" s="295" customFormat="1" x14ac:dyDescent="0.15">
      <c r="A131" s="329">
        <v>200465946</v>
      </c>
      <c r="B131" s="328">
        <v>41820</v>
      </c>
      <c r="C131" s="329" t="s">
        <v>1146</v>
      </c>
      <c r="D131" s="329" t="s">
        <v>1165</v>
      </c>
      <c r="E131" s="295">
        <v>0</v>
      </c>
      <c r="F131" s="298">
        <v>102</v>
      </c>
    </row>
    <row r="132" spans="1:8" s="295" customFormat="1" x14ac:dyDescent="0.15">
      <c r="A132" s="329">
        <v>200474608</v>
      </c>
      <c r="B132" s="328">
        <v>41820</v>
      </c>
      <c r="C132" s="329" t="s">
        <v>1146</v>
      </c>
      <c r="D132" s="329" t="s">
        <v>1170</v>
      </c>
      <c r="E132" s="295">
        <v>0</v>
      </c>
      <c r="F132" s="298">
        <v>90</v>
      </c>
    </row>
    <row r="133" spans="1:8" s="290" customFormat="1" ht="14" thickBot="1" x14ac:dyDescent="0.2">
      <c r="B133" s="322"/>
      <c r="C133" s="325"/>
      <c r="D133" s="326" t="s">
        <v>1174</v>
      </c>
      <c r="E133" s="326">
        <f>SUM(E130:E132)</f>
        <v>4.5</v>
      </c>
      <c r="F133" s="327">
        <v>207.97</v>
      </c>
    </row>
    <row r="134" spans="1:8" ht="15" thickTop="1" thickBot="1" x14ac:dyDescent="0.2"/>
    <row r="135" spans="1:8" s="275" customFormat="1" ht="31" thickBot="1" x14ac:dyDescent="0.35">
      <c r="A135" s="767" t="s">
        <v>1103</v>
      </c>
      <c r="B135" s="768"/>
      <c r="C135" s="768"/>
      <c r="D135" s="768"/>
      <c r="E135" s="768"/>
      <c r="F135" s="769"/>
      <c r="G135" s="289"/>
      <c r="H135" s="289"/>
    </row>
    <row r="136" spans="1:8" s="275" customFormat="1" x14ac:dyDescent="0.15">
      <c r="B136" s="322"/>
      <c r="C136" s="323"/>
    </row>
    <row r="137" spans="1:8" s="295" customFormat="1" x14ac:dyDescent="0.15">
      <c r="A137" s="329" t="s">
        <v>1175</v>
      </c>
      <c r="B137" s="328">
        <v>41848</v>
      </c>
      <c r="C137" s="329" t="s">
        <v>1152</v>
      </c>
      <c r="D137" s="329" t="s">
        <v>1176</v>
      </c>
      <c r="E137" s="295">
        <v>170.3</v>
      </c>
      <c r="F137" s="298">
        <v>553.29999999999995</v>
      </c>
    </row>
    <row r="138" spans="1:8" s="295" customFormat="1" x14ac:dyDescent="0.15">
      <c r="A138" s="329" t="s">
        <v>1185</v>
      </c>
      <c r="B138" s="328">
        <v>41834</v>
      </c>
      <c r="C138" s="329" t="s">
        <v>1152</v>
      </c>
      <c r="D138" s="329" t="s">
        <v>1186</v>
      </c>
      <c r="E138" s="295">
        <v>393.2</v>
      </c>
      <c r="F138" s="298">
        <v>962.95</v>
      </c>
    </row>
    <row r="139" spans="1:8" s="295" customFormat="1" x14ac:dyDescent="0.15">
      <c r="A139" s="329">
        <v>200465946</v>
      </c>
      <c r="B139" s="328">
        <v>41850</v>
      </c>
      <c r="C139" s="329" t="s">
        <v>1146</v>
      </c>
      <c r="D139" s="329" t="s">
        <v>1165</v>
      </c>
      <c r="E139" s="295">
        <v>70.099999999999994</v>
      </c>
      <c r="F139" s="298">
        <v>227.93</v>
      </c>
    </row>
    <row r="140" spans="1:8" s="290" customFormat="1" ht="14" thickBot="1" x14ac:dyDescent="0.2">
      <c r="B140" s="322"/>
      <c r="C140" s="325"/>
      <c r="D140" s="326" t="s">
        <v>1177</v>
      </c>
      <c r="E140" s="326">
        <f>SUM(E137:E139)</f>
        <v>633.6</v>
      </c>
      <c r="F140" s="327">
        <v>1744.18</v>
      </c>
    </row>
    <row r="141" spans="1:8" s="275" customFormat="1" ht="14" thickTop="1" x14ac:dyDescent="0.15">
      <c r="B141" s="322"/>
      <c r="C141" s="323"/>
    </row>
    <row r="142" spans="1:8" s="295" customFormat="1" x14ac:dyDescent="0.15">
      <c r="A142" s="329">
        <v>200471861</v>
      </c>
      <c r="B142" s="328">
        <v>41882</v>
      </c>
      <c r="C142" s="329" t="s">
        <v>1146</v>
      </c>
      <c r="D142" s="329" t="s">
        <v>1163</v>
      </c>
      <c r="E142" s="295">
        <v>0</v>
      </c>
      <c r="F142" s="298">
        <v>90</v>
      </c>
    </row>
    <row r="143" spans="1:8" s="290" customFormat="1" ht="14" thickBot="1" x14ac:dyDescent="0.2">
      <c r="B143" s="322"/>
      <c r="C143" s="325"/>
      <c r="D143" s="326" t="s">
        <v>1145</v>
      </c>
      <c r="E143" s="326">
        <f>SUM(E142:E142)</f>
        <v>0</v>
      </c>
      <c r="F143" s="327">
        <v>90</v>
      </c>
    </row>
    <row r="144" spans="1:8" s="275" customFormat="1" ht="14" thickTop="1" x14ac:dyDescent="0.15">
      <c r="B144" s="322"/>
      <c r="C144" s="323"/>
    </row>
    <row r="145" spans="1:6" s="295" customFormat="1" x14ac:dyDescent="0.15">
      <c r="A145" s="329">
        <v>200465946</v>
      </c>
      <c r="B145" s="328">
        <v>41885</v>
      </c>
      <c r="C145" s="329" t="s">
        <v>1146</v>
      </c>
      <c r="D145" s="329" t="s">
        <v>1165</v>
      </c>
      <c r="E145" s="295">
        <v>161.6</v>
      </c>
      <c r="F145" s="298">
        <v>493.26</v>
      </c>
    </row>
    <row r="146" spans="1:6" s="295" customFormat="1" x14ac:dyDescent="0.15">
      <c r="A146" s="329">
        <v>200479452</v>
      </c>
      <c r="B146" s="328">
        <v>41906</v>
      </c>
      <c r="C146" s="329" t="s">
        <v>1146</v>
      </c>
      <c r="D146" s="329" t="s">
        <v>1147</v>
      </c>
      <c r="E146" s="295">
        <v>139.5</v>
      </c>
      <c r="F146" s="298">
        <v>431.29</v>
      </c>
    </row>
    <row r="147" spans="1:6" s="295" customFormat="1" ht="12" customHeight="1" x14ac:dyDescent="0.15">
      <c r="A147" s="329">
        <v>200478562</v>
      </c>
      <c r="B147" s="328">
        <v>41906</v>
      </c>
      <c r="C147" s="329" t="s">
        <v>1146</v>
      </c>
      <c r="D147" s="329" t="s">
        <v>1149</v>
      </c>
      <c r="E147" s="295">
        <v>180.9</v>
      </c>
      <c r="F147" s="298">
        <v>553.91</v>
      </c>
    </row>
    <row r="148" spans="1:6" s="290" customFormat="1" ht="14" thickBot="1" x14ac:dyDescent="0.2">
      <c r="B148" s="322"/>
      <c r="C148" s="325"/>
      <c r="D148" s="326" t="s">
        <v>1187</v>
      </c>
      <c r="E148" s="326">
        <f>SUM(E145:E147)</f>
        <v>482</v>
      </c>
      <c r="F148" s="327">
        <v>1478.46</v>
      </c>
    </row>
    <row r="149" spans="1:6" s="275" customFormat="1" ht="14" thickTop="1" x14ac:dyDescent="0.15">
      <c r="B149" s="322"/>
      <c r="C149" s="323"/>
    </row>
    <row r="150" spans="1:6" s="295" customFormat="1" x14ac:dyDescent="0.15">
      <c r="A150" s="329" t="s">
        <v>1155</v>
      </c>
      <c r="B150" s="328">
        <v>41933</v>
      </c>
      <c r="C150" s="329" t="s">
        <v>1152</v>
      </c>
      <c r="D150" s="329" t="s">
        <v>1180</v>
      </c>
      <c r="E150" s="295">
        <v>0</v>
      </c>
      <c r="F150" s="298">
        <v>285</v>
      </c>
    </row>
    <row r="151" spans="1:6" s="295" customFormat="1" x14ac:dyDescent="0.15">
      <c r="A151" s="329" t="s">
        <v>1157</v>
      </c>
      <c r="B151" s="328">
        <v>41933</v>
      </c>
      <c r="C151" s="329" t="s">
        <v>1152</v>
      </c>
      <c r="D151" s="329" t="s">
        <v>1158</v>
      </c>
      <c r="E151" s="295">
        <v>0</v>
      </c>
      <c r="F151" s="298">
        <v>285</v>
      </c>
    </row>
    <row r="152" spans="1:6" s="295" customFormat="1" x14ac:dyDescent="0.15">
      <c r="A152" s="329" t="s">
        <v>1161</v>
      </c>
      <c r="B152" s="328">
        <v>41933</v>
      </c>
      <c r="C152" s="329" t="s">
        <v>1152</v>
      </c>
      <c r="D152" s="329" t="s">
        <v>1162</v>
      </c>
      <c r="E152" s="295">
        <v>0</v>
      </c>
      <c r="F152" s="298">
        <v>285</v>
      </c>
    </row>
    <row r="153" spans="1:6" s="295" customFormat="1" x14ac:dyDescent="0.15">
      <c r="A153" s="329" t="s">
        <v>1188</v>
      </c>
      <c r="B153" s="328">
        <v>41912</v>
      </c>
      <c r="C153" s="329" t="s">
        <v>1152</v>
      </c>
      <c r="D153" s="329" t="s">
        <v>1189</v>
      </c>
      <c r="E153" s="295">
        <v>100</v>
      </c>
      <c r="F153" s="298">
        <v>374.9</v>
      </c>
    </row>
    <row r="154" spans="1:6" s="295" customFormat="1" x14ac:dyDescent="0.15">
      <c r="A154" s="329" t="s">
        <v>1188</v>
      </c>
      <c r="B154" s="328">
        <v>41919</v>
      </c>
      <c r="C154" s="329" t="s">
        <v>1152</v>
      </c>
      <c r="D154" s="329" t="s">
        <v>1189</v>
      </c>
      <c r="E154" s="295">
        <v>754</v>
      </c>
      <c r="F154" s="298">
        <v>2826.75</v>
      </c>
    </row>
    <row r="155" spans="1:6" s="295" customFormat="1" x14ac:dyDescent="0.15">
      <c r="A155" s="329" t="s">
        <v>1159</v>
      </c>
      <c r="B155" s="328">
        <v>41933</v>
      </c>
      <c r="C155" s="329" t="s">
        <v>1152</v>
      </c>
      <c r="D155" s="329" t="s">
        <v>1178</v>
      </c>
      <c r="E155" s="295">
        <v>0</v>
      </c>
      <c r="F155" s="298">
        <v>285</v>
      </c>
    </row>
    <row r="156" spans="1:6" s="295" customFormat="1" x14ac:dyDescent="0.15">
      <c r="A156" s="329" t="s">
        <v>1175</v>
      </c>
      <c r="B156" s="328">
        <v>41936</v>
      </c>
      <c r="C156" s="329" t="s">
        <v>1152</v>
      </c>
      <c r="D156" s="329" t="s">
        <v>1176</v>
      </c>
      <c r="F156" s="298">
        <v>-136.24</v>
      </c>
    </row>
    <row r="157" spans="1:6" s="295" customFormat="1" x14ac:dyDescent="0.15">
      <c r="A157" s="329" t="s">
        <v>1175</v>
      </c>
      <c r="B157" s="328">
        <v>41933</v>
      </c>
      <c r="C157" s="329" t="s">
        <v>1152</v>
      </c>
      <c r="D157" s="329" t="s">
        <v>1176</v>
      </c>
      <c r="F157" s="298">
        <v>285</v>
      </c>
    </row>
    <row r="158" spans="1:6" s="295" customFormat="1" x14ac:dyDescent="0.15">
      <c r="A158" s="329">
        <v>200466344</v>
      </c>
      <c r="B158" s="328">
        <v>41919</v>
      </c>
      <c r="C158" s="329" t="s">
        <v>1146</v>
      </c>
      <c r="D158" s="329" t="s">
        <v>1166</v>
      </c>
      <c r="E158" s="295">
        <v>46.6</v>
      </c>
      <c r="F158" s="298">
        <v>158.66999999999999</v>
      </c>
    </row>
    <row r="159" spans="1:6" s="295" customFormat="1" ht="12" customHeight="1" x14ac:dyDescent="0.15">
      <c r="A159" s="329">
        <v>200478562</v>
      </c>
      <c r="B159" s="328">
        <v>41933</v>
      </c>
      <c r="C159" s="329" t="s">
        <v>1146</v>
      </c>
      <c r="D159" s="329" t="s">
        <v>1149</v>
      </c>
      <c r="E159" s="295">
        <v>100.2</v>
      </c>
      <c r="F159" s="298">
        <v>313.8</v>
      </c>
    </row>
    <row r="160" spans="1:6" s="290" customFormat="1" ht="14" thickBot="1" x14ac:dyDescent="0.2">
      <c r="B160" s="322"/>
      <c r="C160" s="325"/>
      <c r="D160" s="326" t="s">
        <v>1190</v>
      </c>
      <c r="E160" s="326">
        <f>SUM(E150:E159)</f>
        <v>1000.8000000000001</v>
      </c>
      <c r="F160" s="327">
        <v>4962.88</v>
      </c>
    </row>
    <row r="161" spans="1:6" s="275" customFormat="1" ht="14" thickTop="1" x14ac:dyDescent="0.15">
      <c r="B161" s="322"/>
      <c r="C161" s="323"/>
    </row>
    <row r="162" spans="1:6" s="295" customFormat="1" x14ac:dyDescent="0.15">
      <c r="A162" s="329" t="s">
        <v>1185</v>
      </c>
      <c r="B162" s="328">
        <v>41967</v>
      </c>
      <c r="C162" s="329" t="s">
        <v>1152</v>
      </c>
      <c r="D162" s="329" t="s">
        <v>1186</v>
      </c>
      <c r="E162" s="295">
        <v>142.4</v>
      </c>
      <c r="F162" s="298">
        <v>348.74</v>
      </c>
    </row>
    <row r="163" spans="1:6" s="295" customFormat="1" x14ac:dyDescent="0.15">
      <c r="A163" s="329">
        <v>200479452</v>
      </c>
      <c r="B163" s="328">
        <v>41948</v>
      </c>
      <c r="C163" s="329" t="s">
        <v>1146</v>
      </c>
      <c r="D163" s="329" t="s">
        <v>1147</v>
      </c>
      <c r="E163" s="295">
        <v>75.7</v>
      </c>
      <c r="F163" s="298">
        <v>240.75</v>
      </c>
    </row>
    <row r="164" spans="1:6" s="295" customFormat="1" x14ac:dyDescent="0.15">
      <c r="A164" s="329">
        <v>200479452</v>
      </c>
      <c r="B164" s="328">
        <v>41969</v>
      </c>
      <c r="C164" s="329" t="s">
        <v>1146</v>
      </c>
      <c r="D164" s="329" t="s">
        <v>1147</v>
      </c>
      <c r="E164" s="295">
        <v>95.1</v>
      </c>
      <c r="F164" s="298">
        <v>305.58</v>
      </c>
    </row>
    <row r="165" spans="1:6" s="295" customFormat="1" ht="12" customHeight="1" x14ac:dyDescent="0.15">
      <c r="A165" s="329">
        <v>200478562</v>
      </c>
      <c r="B165" s="328">
        <v>41969</v>
      </c>
      <c r="C165" s="329" t="s">
        <v>1146</v>
      </c>
      <c r="D165" s="329" t="s">
        <v>1149</v>
      </c>
      <c r="E165" s="295">
        <v>126.2</v>
      </c>
      <c r="F165" s="298">
        <v>387.08</v>
      </c>
    </row>
    <row r="166" spans="1:6" s="290" customFormat="1" ht="14" thickBot="1" x14ac:dyDescent="0.2">
      <c r="B166" s="322"/>
      <c r="C166" s="325"/>
      <c r="D166" s="326" t="s">
        <v>1191</v>
      </c>
      <c r="E166" s="326">
        <f>SUM(E162:E165)</f>
        <v>439.40000000000003</v>
      </c>
      <c r="F166" s="327">
        <v>1282.1499999999999</v>
      </c>
    </row>
    <row r="167" spans="1:6" s="275" customFormat="1" ht="14" thickTop="1" x14ac:dyDescent="0.15">
      <c r="B167" s="322"/>
      <c r="C167" s="323"/>
    </row>
    <row r="168" spans="1:6" s="295" customFormat="1" x14ac:dyDescent="0.15">
      <c r="A168" s="329">
        <v>200466344</v>
      </c>
      <c r="B168" s="328">
        <v>41990</v>
      </c>
      <c r="C168" s="329" t="s">
        <v>1146</v>
      </c>
      <c r="D168" s="329" t="s">
        <v>1166</v>
      </c>
      <c r="E168" s="295">
        <v>34.700000000000003</v>
      </c>
      <c r="F168" s="298">
        <v>121.83</v>
      </c>
    </row>
    <row r="169" spans="1:6" s="295" customFormat="1" x14ac:dyDescent="0.15">
      <c r="A169" s="329">
        <v>200479452</v>
      </c>
      <c r="B169" s="328">
        <v>41984</v>
      </c>
      <c r="C169" s="329" t="s">
        <v>1146</v>
      </c>
      <c r="D169" s="329" t="s">
        <v>1147</v>
      </c>
      <c r="E169" s="295">
        <v>96.3</v>
      </c>
      <c r="F169" s="298">
        <v>308.32</v>
      </c>
    </row>
    <row r="170" spans="1:6" s="295" customFormat="1" x14ac:dyDescent="0.15">
      <c r="A170" s="329">
        <v>200479452</v>
      </c>
      <c r="B170" s="328">
        <v>41995</v>
      </c>
      <c r="C170" s="329" t="s">
        <v>1146</v>
      </c>
      <c r="D170" s="329" t="s">
        <v>1147</v>
      </c>
      <c r="E170" s="295">
        <v>66.900000000000006</v>
      </c>
      <c r="F170" s="298">
        <v>223.25</v>
      </c>
    </row>
    <row r="171" spans="1:6" s="295" customFormat="1" x14ac:dyDescent="0.15">
      <c r="A171" s="329">
        <v>200479452</v>
      </c>
      <c r="B171" s="328">
        <v>42369</v>
      </c>
      <c r="C171" s="329" t="s">
        <v>1146</v>
      </c>
      <c r="D171" s="329" t="s">
        <v>1147</v>
      </c>
      <c r="E171" s="295">
        <v>62.4</v>
      </c>
      <c r="F171" s="298">
        <v>208.4</v>
      </c>
    </row>
    <row r="172" spans="1:6" s="290" customFormat="1" ht="14" thickBot="1" x14ac:dyDescent="0.2">
      <c r="B172" s="322"/>
      <c r="C172" s="325"/>
      <c r="D172" s="326" t="s">
        <v>1192</v>
      </c>
      <c r="E172" s="326">
        <f>SUM(E168:E171)</f>
        <v>260.3</v>
      </c>
      <c r="F172" s="327">
        <v>861.8</v>
      </c>
    </row>
    <row r="173" spans="1:6" s="275" customFormat="1" ht="14" thickTop="1" x14ac:dyDescent="0.15">
      <c r="B173" s="322"/>
      <c r="C173" s="323"/>
    </row>
    <row r="174" spans="1:6" s="295" customFormat="1" x14ac:dyDescent="0.15">
      <c r="A174" s="329" t="s">
        <v>1185</v>
      </c>
      <c r="B174" s="328">
        <v>42010</v>
      </c>
      <c r="C174" s="329" t="s">
        <v>1152</v>
      </c>
      <c r="D174" s="329" t="s">
        <v>1186</v>
      </c>
      <c r="E174" s="295">
        <v>197.2</v>
      </c>
      <c r="F174" s="298">
        <v>423.78</v>
      </c>
    </row>
    <row r="175" spans="1:6" s="295" customFormat="1" x14ac:dyDescent="0.15">
      <c r="A175" s="329">
        <v>200479452</v>
      </c>
      <c r="B175" s="328">
        <v>42018</v>
      </c>
      <c r="C175" s="329" t="s">
        <v>1146</v>
      </c>
      <c r="D175" s="329" t="s">
        <v>1147</v>
      </c>
      <c r="E175" s="295">
        <v>146.69999999999999</v>
      </c>
      <c r="F175" s="298">
        <v>493.81</v>
      </c>
    </row>
    <row r="176" spans="1:6" s="290" customFormat="1" ht="14" thickBot="1" x14ac:dyDescent="0.2">
      <c r="B176" s="322"/>
      <c r="C176" s="325"/>
      <c r="D176" s="326" t="s">
        <v>1193</v>
      </c>
      <c r="E176" s="326">
        <f>SUM(E174:E175)</f>
        <v>343.9</v>
      </c>
      <c r="F176" s="327">
        <v>917.58999999999992</v>
      </c>
    </row>
    <row r="177" spans="1:6" s="275" customFormat="1" ht="14" thickTop="1" x14ac:dyDescent="0.15">
      <c r="B177" s="322"/>
      <c r="C177" s="323"/>
    </row>
    <row r="178" spans="1:6" s="295" customFormat="1" x14ac:dyDescent="0.15">
      <c r="A178" s="329" t="s">
        <v>1185</v>
      </c>
      <c r="B178" s="328">
        <v>42039</v>
      </c>
      <c r="C178" s="329" t="s">
        <v>1152</v>
      </c>
      <c r="D178" s="329" t="s">
        <v>1186</v>
      </c>
      <c r="E178" s="295">
        <v>420.9</v>
      </c>
      <c r="F178" s="298">
        <v>904.51</v>
      </c>
    </row>
    <row r="179" spans="1:6" s="295" customFormat="1" x14ac:dyDescent="0.15">
      <c r="A179" s="329">
        <v>200479452</v>
      </c>
      <c r="B179" s="328">
        <v>42039</v>
      </c>
      <c r="C179" s="329" t="s">
        <v>1146</v>
      </c>
      <c r="D179" s="329" t="s">
        <v>1147</v>
      </c>
      <c r="E179" s="295">
        <v>126.4</v>
      </c>
      <c r="F179" s="298">
        <v>410.86</v>
      </c>
    </row>
    <row r="180" spans="1:6" s="295" customFormat="1" x14ac:dyDescent="0.15">
      <c r="A180" s="329">
        <v>200479452</v>
      </c>
      <c r="B180" s="328">
        <v>42045</v>
      </c>
      <c r="C180" s="329" t="s">
        <v>1146</v>
      </c>
      <c r="D180" s="329" t="s">
        <v>1147</v>
      </c>
      <c r="E180" s="295">
        <v>147.80000000000001</v>
      </c>
      <c r="F180" s="298">
        <v>471.04</v>
      </c>
    </row>
    <row r="181" spans="1:6" s="295" customFormat="1" x14ac:dyDescent="0.15">
      <c r="A181" s="329">
        <v>200479452</v>
      </c>
      <c r="B181" s="328">
        <v>42060</v>
      </c>
      <c r="C181" s="329" t="s">
        <v>1146</v>
      </c>
      <c r="D181" s="329" t="s">
        <v>1147</v>
      </c>
      <c r="E181" s="295">
        <v>167.8</v>
      </c>
      <c r="F181" s="298">
        <v>551.04999999999995</v>
      </c>
    </row>
    <row r="182" spans="1:6" s="290" customFormat="1" ht="14" thickBot="1" x14ac:dyDescent="0.2">
      <c r="B182" s="322"/>
      <c r="C182" s="325"/>
      <c r="D182" s="326" t="s">
        <v>1194</v>
      </c>
      <c r="E182" s="326">
        <f>SUM(E178:E181)</f>
        <v>862.89999999999986</v>
      </c>
      <c r="F182" s="327">
        <v>2337.46</v>
      </c>
    </row>
    <row r="183" spans="1:6" s="275" customFormat="1" ht="14" thickTop="1" x14ac:dyDescent="0.15">
      <c r="B183" s="322"/>
      <c r="C183" s="323"/>
    </row>
    <row r="184" spans="1:6" s="295" customFormat="1" x14ac:dyDescent="0.15">
      <c r="A184" s="329" t="s">
        <v>1185</v>
      </c>
      <c r="B184" s="328">
        <v>42066</v>
      </c>
      <c r="C184" s="329" t="s">
        <v>1152</v>
      </c>
      <c r="D184" s="329" t="s">
        <v>1186</v>
      </c>
      <c r="E184" s="295">
        <v>416.6</v>
      </c>
      <c r="F184" s="298">
        <v>936.93</v>
      </c>
    </row>
    <row r="185" spans="1:6" s="295" customFormat="1" x14ac:dyDescent="0.15">
      <c r="A185" s="329" t="s">
        <v>1185</v>
      </c>
      <c r="B185" s="328">
        <v>42093</v>
      </c>
      <c r="C185" s="329" t="s">
        <v>1152</v>
      </c>
      <c r="D185" s="329" t="s">
        <v>1186</v>
      </c>
      <c r="E185" s="295">
        <v>99.1</v>
      </c>
      <c r="F185" s="298">
        <v>222.88</v>
      </c>
    </row>
    <row r="186" spans="1:6" s="295" customFormat="1" x14ac:dyDescent="0.15">
      <c r="A186" s="329">
        <v>200479452</v>
      </c>
      <c r="B186" s="328">
        <v>42074</v>
      </c>
      <c r="C186" s="329" t="s">
        <v>1146</v>
      </c>
      <c r="D186" s="329" t="s">
        <v>1147</v>
      </c>
      <c r="E186" s="295">
        <v>121</v>
      </c>
      <c r="F186" s="298">
        <v>376.73</v>
      </c>
    </row>
    <row r="187" spans="1:6" s="295" customFormat="1" ht="12" customHeight="1" x14ac:dyDescent="0.15">
      <c r="A187" s="329">
        <v>200478562</v>
      </c>
      <c r="B187" s="328">
        <v>42075</v>
      </c>
      <c r="C187" s="329" t="s">
        <v>1146</v>
      </c>
      <c r="D187" s="329" t="s">
        <v>1149</v>
      </c>
      <c r="E187" s="295">
        <v>310.2</v>
      </c>
      <c r="F187" s="298">
        <v>938.74</v>
      </c>
    </row>
    <row r="188" spans="1:6" s="295" customFormat="1" x14ac:dyDescent="0.15">
      <c r="A188" s="287">
        <v>200475252</v>
      </c>
      <c r="B188" s="328">
        <v>42075</v>
      </c>
      <c r="C188" s="329" t="s">
        <v>1146</v>
      </c>
      <c r="D188" s="324" t="s">
        <v>1144</v>
      </c>
      <c r="E188" s="295">
        <v>243.9</v>
      </c>
      <c r="F188" s="298">
        <v>776.05</v>
      </c>
    </row>
    <row r="189" spans="1:6" s="295" customFormat="1" ht="12" customHeight="1" x14ac:dyDescent="0.15">
      <c r="A189" s="329">
        <v>200471861</v>
      </c>
      <c r="B189" s="328">
        <v>42075</v>
      </c>
      <c r="C189" s="329" t="s">
        <v>1146</v>
      </c>
      <c r="D189" s="329" t="s">
        <v>1163</v>
      </c>
      <c r="E189" s="295">
        <v>46.8</v>
      </c>
      <c r="F189" s="298">
        <v>162.12</v>
      </c>
    </row>
    <row r="190" spans="1:6" s="295" customFormat="1" x14ac:dyDescent="0.15">
      <c r="A190" s="329">
        <v>200474608</v>
      </c>
      <c r="B190" s="328">
        <v>42075</v>
      </c>
      <c r="C190" s="329" t="s">
        <v>1146</v>
      </c>
      <c r="D190" s="329" t="s">
        <v>1170</v>
      </c>
      <c r="E190" s="295">
        <v>16.899999999999999</v>
      </c>
      <c r="F190" s="298">
        <v>68.98</v>
      </c>
    </row>
    <row r="191" spans="1:6" s="290" customFormat="1" ht="14" thickBot="1" x14ac:dyDescent="0.2">
      <c r="B191" s="322"/>
      <c r="C191" s="325"/>
      <c r="D191" s="326" t="s">
        <v>1195</v>
      </c>
      <c r="E191" s="326">
        <f>SUM(E184:E190)</f>
        <v>1254.5000000000002</v>
      </c>
      <c r="F191" s="327">
        <v>3482.43</v>
      </c>
    </row>
    <row r="192" spans="1:6" s="275" customFormat="1" ht="14" thickTop="1" x14ac:dyDescent="0.15">
      <c r="B192" s="322"/>
      <c r="C192" s="323"/>
    </row>
    <row r="193" spans="1:8" s="295" customFormat="1" x14ac:dyDescent="0.15">
      <c r="A193" s="329">
        <v>200465946</v>
      </c>
      <c r="B193" s="328">
        <v>42124</v>
      </c>
      <c r="C193" s="329" t="s">
        <v>1146</v>
      </c>
      <c r="D193" s="329" t="s">
        <v>1165</v>
      </c>
      <c r="E193" s="295">
        <v>87.6</v>
      </c>
      <c r="F193" s="298">
        <v>267.57</v>
      </c>
    </row>
    <row r="194" spans="1:8" s="295" customFormat="1" x14ac:dyDescent="0.15">
      <c r="A194" s="329">
        <v>200479452</v>
      </c>
      <c r="B194" s="328">
        <v>42095</v>
      </c>
      <c r="C194" s="329" t="s">
        <v>1146</v>
      </c>
      <c r="D194" s="329" t="s">
        <v>1147</v>
      </c>
      <c r="E194" s="295">
        <v>145.9</v>
      </c>
      <c r="F194" s="298">
        <v>443.14</v>
      </c>
    </row>
    <row r="195" spans="1:8" s="290" customFormat="1" ht="14" thickBot="1" x14ac:dyDescent="0.2">
      <c r="B195" s="322"/>
      <c r="C195" s="325"/>
      <c r="D195" s="326" t="s">
        <v>1196</v>
      </c>
      <c r="E195" s="326">
        <f>SUM(E193:E194)</f>
        <v>233.5</v>
      </c>
      <c r="F195" s="327">
        <v>710.71</v>
      </c>
    </row>
    <row r="196" spans="1:8" s="275" customFormat="1" ht="14" thickTop="1" x14ac:dyDescent="0.15">
      <c r="B196" s="322"/>
      <c r="C196" s="323"/>
    </row>
    <row r="197" spans="1:8" s="295" customFormat="1" x14ac:dyDescent="0.15">
      <c r="A197" s="329">
        <v>200474608</v>
      </c>
      <c r="B197" s="328">
        <v>42185</v>
      </c>
      <c r="C197" s="329" t="s">
        <v>1146</v>
      </c>
      <c r="D197" s="329" t="s">
        <v>1170</v>
      </c>
      <c r="E197" s="295">
        <v>0</v>
      </c>
      <c r="F197" s="298">
        <v>90</v>
      </c>
    </row>
    <row r="198" spans="1:8" s="290" customFormat="1" ht="14" thickBot="1" x14ac:dyDescent="0.2">
      <c r="B198" s="322"/>
      <c r="C198" s="325"/>
      <c r="D198" s="326" t="s">
        <v>1174</v>
      </c>
      <c r="E198" s="326">
        <f>SUM(E197:E197)</f>
        <v>0</v>
      </c>
      <c r="F198" s="327">
        <v>90</v>
      </c>
    </row>
    <row r="199" spans="1:8" ht="15" thickTop="1" thickBot="1" x14ac:dyDescent="0.2"/>
    <row r="200" spans="1:8" s="275" customFormat="1" ht="31" thickBot="1" x14ac:dyDescent="0.35">
      <c r="A200" s="767" t="s">
        <v>1106</v>
      </c>
      <c r="B200" s="768"/>
      <c r="C200" s="768"/>
      <c r="D200" s="768"/>
      <c r="E200" s="768"/>
      <c r="F200" s="769"/>
      <c r="G200" s="289"/>
      <c r="H200" s="289"/>
    </row>
    <row r="201" spans="1:8" s="275" customFormat="1" x14ac:dyDescent="0.15">
      <c r="B201" s="322"/>
      <c r="C201" s="323"/>
    </row>
    <row r="202" spans="1:8" s="295" customFormat="1" x14ac:dyDescent="0.15">
      <c r="A202" s="329" t="s">
        <v>1175</v>
      </c>
      <c r="B202" s="328">
        <v>42206</v>
      </c>
      <c r="C202" s="329" t="s">
        <v>1152</v>
      </c>
      <c r="D202" s="329" t="s">
        <v>1176</v>
      </c>
      <c r="E202" s="295">
        <v>40.5</v>
      </c>
      <c r="F202" s="298">
        <v>95.13</v>
      </c>
    </row>
    <row r="203" spans="1:8" s="299" customFormat="1" ht="14" thickBot="1" x14ac:dyDescent="0.2">
      <c r="B203" s="328"/>
      <c r="C203" s="332"/>
      <c r="D203" s="291" t="s">
        <v>1177</v>
      </c>
      <c r="E203" s="291">
        <f>SUM(E202:E202)</f>
        <v>40.5</v>
      </c>
      <c r="F203" s="285">
        <v>95.13</v>
      </c>
    </row>
    <row r="204" spans="1:8" s="295" customFormat="1" ht="14" thickTop="1" x14ac:dyDescent="0.15">
      <c r="B204" s="328"/>
      <c r="C204" s="329"/>
    </row>
    <row r="205" spans="1:8" s="295" customFormat="1" x14ac:dyDescent="0.15">
      <c r="A205" s="329">
        <v>200471861</v>
      </c>
      <c r="B205" s="328">
        <v>42247</v>
      </c>
      <c r="C205" s="329" t="s">
        <v>1146</v>
      </c>
      <c r="D205" s="329" t="s">
        <v>1163</v>
      </c>
      <c r="E205" s="295">
        <v>0</v>
      </c>
      <c r="F205" s="298">
        <v>90</v>
      </c>
    </row>
    <row r="206" spans="1:8" s="299" customFormat="1" ht="14" thickBot="1" x14ac:dyDescent="0.2">
      <c r="B206" s="328"/>
      <c r="C206" s="332"/>
      <c r="D206" s="291" t="s">
        <v>1145</v>
      </c>
      <c r="E206" s="291">
        <f>SUM(E205:E205)</f>
        <v>0</v>
      </c>
      <c r="F206" s="285">
        <v>90</v>
      </c>
    </row>
    <row r="207" spans="1:8" s="295" customFormat="1" ht="14" thickTop="1" x14ac:dyDescent="0.15">
      <c r="B207" s="328"/>
      <c r="C207" s="329"/>
    </row>
    <row r="208" spans="1:8" s="295" customFormat="1" x14ac:dyDescent="0.15">
      <c r="A208" s="329">
        <v>200479452</v>
      </c>
      <c r="B208" s="328">
        <v>42248</v>
      </c>
      <c r="C208" s="329" t="s">
        <v>1146</v>
      </c>
      <c r="D208" s="329" t="s">
        <v>1147</v>
      </c>
      <c r="E208" s="295">
        <v>124.9</v>
      </c>
      <c r="F208" s="298">
        <v>343.69</v>
      </c>
    </row>
    <row r="209" spans="1:6" s="295" customFormat="1" ht="12" customHeight="1" x14ac:dyDescent="0.15">
      <c r="A209" s="329">
        <v>200478562</v>
      </c>
      <c r="B209" s="328">
        <v>42269</v>
      </c>
      <c r="C209" s="329" t="s">
        <v>1146</v>
      </c>
      <c r="D209" s="329" t="s">
        <v>1149</v>
      </c>
      <c r="E209" s="295">
        <v>183.8</v>
      </c>
      <c r="F209" s="298">
        <v>503.33</v>
      </c>
    </row>
    <row r="210" spans="1:6" s="299" customFormat="1" ht="14" thickBot="1" x14ac:dyDescent="0.2">
      <c r="B210" s="328"/>
      <c r="C210" s="332"/>
      <c r="D210" s="291" t="s">
        <v>1187</v>
      </c>
      <c r="E210" s="291">
        <f>SUM(E208:E209)</f>
        <v>308.70000000000005</v>
      </c>
      <c r="F210" s="285">
        <v>847.02</v>
      </c>
    </row>
    <row r="211" spans="1:6" s="295" customFormat="1" ht="14" thickTop="1" x14ac:dyDescent="0.15">
      <c r="B211" s="328"/>
      <c r="C211" s="329"/>
    </row>
    <row r="212" spans="1:6" s="295" customFormat="1" x14ac:dyDescent="0.15">
      <c r="A212" s="329" t="s">
        <v>1197</v>
      </c>
      <c r="B212" s="328">
        <v>42304</v>
      </c>
      <c r="C212" s="329" t="s">
        <v>1152</v>
      </c>
      <c r="D212" s="329" t="s">
        <v>1198</v>
      </c>
      <c r="E212" s="295">
        <v>142.9</v>
      </c>
      <c r="F212" s="298">
        <v>321.38</v>
      </c>
    </row>
    <row r="213" spans="1:6" s="295" customFormat="1" x14ac:dyDescent="0.15">
      <c r="A213" s="329" t="s">
        <v>1199</v>
      </c>
      <c r="B213" s="328">
        <v>42304</v>
      </c>
      <c r="C213" s="329" t="s">
        <v>1152</v>
      </c>
      <c r="D213" s="329" t="s">
        <v>1200</v>
      </c>
      <c r="E213" s="295">
        <v>278.3</v>
      </c>
      <c r="F213" s="298">
        <v>625.9</v>
      </c>
    </row>
    <row r="214" spans="1:6" s="295" customFormat="1" x14ac:dyDescent="0.15">
      <c r="A214" s="329" t="s">
        <v>1201</v>
      </c>
      <c r="B214" s="328">
        <v>42304</v>
      </c>
      <c r="C214" s="329" t="s">
        <v>1152</v>
      </c>
      <c r="D214" s="329" t="s">
        <v>1158</v>
      </c>
      <c r="E214" s="295">
        <v>247</v>
      </c>
      <c r="F214" s="298">
        <v>555.5</v>
      </c>
    </row>
    <row r="215" spans="1:6" s="295" customFormat="1" x14ac:dyDescent="0.15">
      <c r="A215" s="329" t="s">
        <v>1202</v>
      </c>
      <c r="B215" s="328">
        <v>42304</v>
      </c>
      <c r="C215" s="329" t="s">
        <v>1152</v>
      </c>
      <c r="D215" s="329" t="s">
        <v>1162</v>
      </c>
      <c r="E215" s="295">
        <v>150.9</v>
      </c>
      <c r="F215" s="298">
        <v>339.37</v>
      </c>
    </row>
    <row r="216" spans="1:6" s="295" customFormat="1" x14ac:dyDescent="0.15">
      <c r="A216" s="329" t="s">
        <v>1203</v>
      </c>
      <c r="B216" s="328">
        <v>42304</v>
      </c>
      <c r="C216" s="329" t="s">
        <v>1152</v>
      </c>
      <c r="D216" s="329" t="s">
        <v>1183</v>
      </c>
      <c r="E216" s="295">
        <v>260.2</v>
      </c>
      <c r="F216" s="298">
        <v>585.19000000000005</v>
      </c>
    </row>
    <row r="217" spans="1:6" s="295" customFormat="1" x14ac:dyDescent="0.15">
      <c r="A217" s="329" t="s">
        <v>1204</v>
      </c>
      <c r="B217" s="328">
        <v>42296</v>
      </c>
      <c r="C217" s="329" t="s">
        <v>1152</v>
      </c>
      <c r="D217" s="329" t="s">
        <v>1186</v>
      </c>
      <c r="E217" s="295">
        <v>30.2</v>
      </c>
      <c r="F217" s="298">
        <v>60.37</v>
      </c>
    </row>
    <row r="218" spans="1:6" s="295" customFormat="1" x14ac:dyDescent="0.15">
      <c r="A218" s="329" t="s">
        <v>1205</v>
      </c>
      <c r="B218" s="328">
        <v>42303</v>
      </c>
      <c r="C218" s="329" t="s">
        <v>1152</v>
      </c>
      <c r="D218" s="329" t="s">
        <v>1206</v>
      </c>
      <c r="E218" s="295">
        <v>50</v>
      </c>
      <c r="F218" s="298">
        <v>112.45</v>
      </c>
    </row>
    <row r="219" spans="1:6" s="295" customFormat="1" x14ac:dyDescent="0.15">
      <c r="A219" s="329" t="s">
        <v>1205</v>
      </c>
      <c r="B219" s="328">
        <v>42304</v>
      </c>
      <c r="C219" s="329" t="s">
        <v>1152</v>
      </c>
      <c r="D219" s="329" t="s">
        <v>1206</v>
      </c>
      <c r="E219" s="295">
        <v>824.7</v>
      </c>
      <c r="F219" s="298">
        <v>1854.75</v>
      </c>
    </row>
    <row r="220" spans="1:6" s="295" customFormat="1" x14ac:dyDescent="0.15">
      <c r="A220" s="329">
        <v>200466344</v>
      </c>
      <c r="B220" s="328">
        <v>42297</v>
      </c>
      <c r="C220" s="329" t="s">
        <v>1146</v>
      </c>
      <c r="D220" s="329" t="s">
        <v>1166</v>
      </c>
      <c r="E220" s="295">
        <v>88.7</v>
      </c>
      <c r="F220" s="298">
        <v>187.93</v>
      </c>
    </row>
    <row r="221" spans="1:6" s="295" customFormat="1" x14ac:dyDescent="0.15">
      <c r="A221" s="287">
        <v>200475252</v>
      </c>
      <c r="B221" s="328">
        <v>42306</v>
      </c>
      <c r="C221" s="329" t="s">
        <v>1146</v>
      </c>
      <c r="D221" s="324" t="s">
        <v>1144</v>
      </c>
      <c r="E221" s="295">
        <v>140.5</v>
      </c>
      <c r="F221" s="298">
        <v>291.11</v>
      </c>
    </row>
    <row r="222" spans="1:6" s="295" customFormat="1" x14ac:dyDescent="0.15">
      <c r="A222" s="329">
        <v>200474608</v>
      </c>
      <c r="B222" s="328">
        <v>42306</v>
      </c>
      <c r="C222" s="329" t="s">
        <v>1146</v>
      </c>
      <c r="D222" s="329" t="s">
        <v>1170</v>
      </c>
      <c r="E222" s="295">
        <v>2.9</v>
      </c>
      <c r="F222" s="298">
        <v>21.28</v>
      </c>
    </row>
    <row r="223" spans="1:6" s="295" customFormat="1" x14ac:dyDescent="0.15">
      <c r="A223" s="329">
        <v>200471861</v>
      </c>
      <c r="B223" s="328">
        <v>42306</v>
      </c>
      <c r="C223" s="329" t="s">
        <v>1146</v>
      </c>
      <c r="D223" s="329" t="s">
        <v>1163</v>
      </c>
      <c r="E223" s="295">
        <v>23.8</v>
      </c>
      <c r="F223" s="298">
        <v>62.26</v>
      </c>
    </row>
    <row r="224" spans="1:6" s="299" customFormat="1" ht="14" thickBot="1" x14ac:dyDescent="0.2">
      <c r="B224" s="328"/>
      <c r="C224" s="332"/>
      <c r="D224" s="291" t="s">
        <v>1190</v>
      </c>
      <c r="E224" s="291">
        <f>SUM(E212:E223)</f>
        <v>2240.1000000000004</v>
      </c>
      <c r="F224" s="285">
        <v>5017.4900000000007</v>
      </c>
    </row>
    <row r="225" spans="1:6" s="295" customFormat="1" ht="14" thickTop="1" x14ac:dyDescent="0.15">
      <c r="B225" s="328"/>
      <c r="C225" s="329"/>
    </row>
    <row r="226" spans="1:6" s="295" customFormat="1" x14ac:dyDescent="0.15">
      <c r="A226" s="329">
        <v>200479452</v>
      </c>
      <c r="B226" s="328">
        <v>42311</v>
      </c>
      <c r="C226" s="329" t="s">
        <v>1146</v>
      </c>
      <c r="D226" s="329" t="s">
        <v>1147</v>
      </c>
      <c r="E226" s="295">
        <v>96.1</v>
      </c>
      <c r="F226" s="298">
        <v>204.04</v>
      </c>
    </row>
    <row r="227" spans="1:6" s="295" customFormat="1" x14ac:dyDescent="0.15">
      <c r="A227" s="329">
        <v>200465946</v>
      </c>
      <c r="B227" s="328">
        <v>42324</v>
      </c>
      <c r="C227" s="329" t="s">
        <v>1146</v>
      </c>
      <c r="D227" s="329" t="s">
        <v>1165</v>
      </c>
      <c r="E227" s="295">
        <v>63.9</v>
      </c>
      <c r="F227" s="298">
        <v>141.52000000000001</v>
      </c>
    </row>
    <row r="228" spans="1:6" s="299" customFormat="1" ht="14" thickBot="1" x14ac:dyDescent="0.2">
      <c r="B228" s="328"/>
      <c r="C228" s="332"/>
      <c r="D228" s="291" t="s">
        <v>1191</v>
      </c>
      <c r="E228" s="291">
        <f>SUM(E226:E227)</f>
        <v>160</v>
      </c>
      <c r="F228" s="285">
        <v>345.56</v>
      </c>
    </row>
    <row r="229" spans="1:6" s="295" customFormat="1" ht="14" thickTop="1" x14ac:dyDescent="0.15">
      <c r="B229" s="328"/>
      <c r="C229" s="329"/>
    </row>
    <row r="230" spans="1:6" s="295" customFormat="1" ht="12" customHeight="1" x14ac:dyDescent="0.15">
      <c r="A230" s="329">
        <v>200478562</v>
      </c>
      <c r="B230" s="328">
        <v>42347</v>
      </c>
      <c r="C230" s="329" t="s">
        <v>1146</v>
      </c>
      <c r="D230" s="329" t="s">
        <v>1149</v>
      </c>
      <c r="E230" s="295">
        <v>261</v>
      </c>
      <c r="F230" s="298">
        <v>556.54999999999995</v>
      </c>
    </row>
    <row r="231" spans="1:6" s="295" customFormat="1" x14ac:dyDescent="0.15">
      <c r="A231" s="329" t="s">
        <v>1207</v>
      </c>
      <c r="B231" s="328">
        <v>42353</v>
      </c>
      <c r="C231" s="329" t="s">
        <v>1152</v>
      </c>
      <c r="D231" s="329" t="s">
        <v>1186</v>
      </c>
      <c r="E231" s="295">
        <v>58.7</v>
      </c>
      <c r="F231" s="298">
        <v>117.34</v>
      </c>
    </row>
    <row r="232" spans="1:6" s="295" customFormat="1" x14ac:dyDescent="0.15">
      <c r="A232" s="329">
        <v>200479452</v>
      </c>
      <c r="B232" s="328">
        <v>42340</v>
      </c>
      <c r="C232" s="329" t="s">
        <v>1146</v>
      </c>
      <c r="D232" s="329" t="s">
        <v>1147</v>
      </c>
      <c r="E232" s="295">
        <v>103.8</v>
      </c>
      <c r="F232" s="298">
        <v>230.94</v>
      </c>
    </row>
    <row r="233" spans="1:6" s="295" customFormat="1" x14ac:dyDescent="0.15">
      <c r="A233" s="329">
        <v>200479452</v>
      </c>
      <c r="B233" s="328">
        <v>42346</v>
      </c>
      <c r="C233" s="329" t="s">
        <v>1146</v>
      </c>
      <c r="D233" s="329" t="s">
        <v>1147</v>
      </c>
      <c r="E233" s="295">
        <v>-200</v>
      </c>
      <c r="F233" s="298">
        <v>-416</v>
      </c>
    </row>
    <row r="234" spans="1:6" s="295" customFormat="1" x14ac:dyDescent="0.15">
      <c r="A234" s="329">
        <v>200479452</v>
      </c>
      <c r="B234" s="328">
        <v>42346</v>
      </c>
      <c r="C234" s="329" t="s">
        <v>1146</v>
      </c>
      <c r="D234" s="329" t="s">
        <v>1147</v>
      </c>
      <c r="E234" s="295">
        <v>48</v>
      </c>
      <c r="F234" s="298">
        <v>117.43</v>
      </c>
    </row>
    <row r="235" spans="1:6" s="295" customFormat="1" x14ac:dyDescent="0.15">
      <c r="A235" s="329">
        <v>200479452</v>
      </c>
      <c r="B235" s="328">
        <v>42347</v>
      </c>
      <c r="C235" s="329" t="s">
        <v>1146</v>
      </c>
      <c r="D235" s="329" t="s">
        <v>1147</v>
      </c>
      <c r="E235" s="295">
        <v>180.4</v>
      </c>
      <c r="F235" s="298">
        <v>398.49</v>
      </c>
    </row>
    <row r="236" spans="1:6" s="295" customFormat="1" x14ac:dyDescent="0.15">
      <c r="A236" s="329">
        <v>200479452</v>
      </c>
      <c r="B236" s="328">
        <v>42361</v>
      </c>
      <c r="C236" s="329" t="s">
        <v>1146</v>
      </c>
      <c r="D236" s="329" t="s">
        <v>1147</v>
      </c>
      <c r="E236" s="295">
        <v>51.4</v>
      </c>
      <c r="F236" s="298">
        <v>129.47</v>
      </c>
    </row>
    <row r="237" spans="1:6" s="299" customFormat="1" ht="14" thickBot="1" x14ac:dyDescent="0.2">
      <c r="B237" s="328"/>
      <c r="C237" s="332"/>
      <c r="D237" s="291" t="s">
        <v>1192</v>
      </c>
      <c r="E237" s="291">
        <f>SUM(E230:E236)</f>
        <v>503.29999999999995</v>
      </c>
      <c r="F237" s="285">
        <v>1134.22</v>
      </c>
    </row>
    <row r="238" spans="1:6" s="295" customFormat="1" ht="14" thickTop="1" x14ac:dyDescent="0.15">
      <c r="B238" s="328"/>
      <c r="C238" s="329"/>
    </row>
    <row r="239" spans="1:6" s="295" customFormat="1" x14ac:dyDescent="0.15">
      <c r="A239" s="329" t="s">
        <v>1207</v>
      </c>
      <c r="B239" s="328">
        <v>42388</v>
      </c>
      <c r="C239" s="329" t="s">
        <v>1152</v>
      </c>
      <c r="D239" s="329" t="s">
        <v>1186</v>
      </c>
      <c r="E239" s="295">
        <v>170.6</v>
      </c>
      <c r="F239" s="298">
        <v>358.09</v>
      </c>
    </row>
    <row r="240" spans="1:6" s="295" customFormat="1" ht="12" customHeight="1" x14ac:dyDescent="0.15">
      <c r="A240" s="329">
        <v>200478562</v>
      </c>
      <c r="B240" s="328">
        <v>42390</v>
      </c>
      <c r="C240" s="329" t="s">
        <v>1146</v>
      </c>
      <c r="D240" s="329" t="s">
        <v>1149</v>
      </c>
      <c r="E240" s="295">
        <v>112.7</v>
      </c>
      <c r="F240" s="298">
        <v>273.45999999999998</v>
      </c>
    </row>
    <row r="241" spans="1:8" s="295" customFormat="1" x14ac:dyDescent="0.15">
      <c r="A241" s="329">
        <v>200479452</v>
      </c>
      <c r="B241" s="328">
        <v>42375</v>
      </c>
      <c r="C241" s="329" t="s">
        <v>1146</v>
      </c>
      <c r="D241" s="329" t="s">
        <v>1147</v>
      </c>
      <c r="E241" s="295">
        <v>92.3</v>
      </c>
      <c r="F241" s="298">
        <v>228.47</v>
      </c>
    </row>
    <row r="242" spans="1:8" s="295" customFormat="1" x14ac:dyDescent="0.15">
      <c r="A242" s="329">
        <v>200479452</v>
      </c>
      <c r="B242" s="328">
        <v>42390</v>
      </c>
      <c r="C242" s="329" t="s">
        <v>1146</v>
      </c>
      <c r="D242" s="329" t="s">
        <v>1147</v>
      </c>
      <c r="E242" s="295">
        <v>118.3</v>
      </c>
      <c r="F242" s="298">
        <v>286.29000000000002</v>
      </c>
    </row>
    <row r="243" spans="1:8" s="299" customFormat="1" ht="14" thickBot="1" x14ac:dyDescent="0.2">
      <c r="B243" s="328"/>
      <c r="C243" s="332"/>
      <c r="D243" s="291" t="s">
        <v>1193</v>
      </c>
      <c r="E243" s="291">
        <f>SUM(E239:E242)</f>
        <v>493.90000000000003</v>
      </c>
      <c r="F243" s="285">
        <v>1146.31</v>
      </c>
    </row>
    <row r="244" spans="1:8" s="295" customFormat="1" ht="14" thickTop="1" x14ac:dyDescent="0.15">
      <c r="B244" s="328"/>
      <c r="C244" s="329"/>
    </row>
    <row r="245" spans="1:8" s="295" customFormat="1" x14ac:dyDescent="0.15">
      <c r="A245" s="329" t="s">
        <v>1207</v>
      </c>
      <c r="B245" s="328">
        <v>42416</v>
      </c>
      <c r="C245" s="329" t="s">
        <v>1152</v>
      </c>
      <c r="D245" s="329" t="s">
        <v>1186</v>
      </c>
      <c r="E245" s="295">
        <v>141.5</v>
      </c>
      <c r="F245" s="298">
        <v>311.16000000000003</v>
      </c>
    </row>
    <row r="246" spans="1:8" s="295" customFormat="1" x14ac:dyDescent="0.15">
      <c r="A246" s="329">
        <v>200479452</v>
      </c>
      <c r="B246" s="328">
        <v>42402</v>
      </c>
      <c r="C246" s="329" t="s">
        <v>1146</v>
      </c>
      <c r="D246" s="329" t="s">
        <v>1147</v>
      </c>
      <c r="E246" s="295">
        <v>76.5</v>
      </c>
      <c r="F246" s="298">
        <v>187.6</v>
      </c>
    </row>
    <row r="247" spans="1:8" s="295" customFormat="1" x14ac:dyDescent="0.15">
      <c r="A247" s="329">
        <v>200479452</v>
      </c>
      <c r="B247" s="328">
        <v>42410</v>
      </c>
      <c r="C247" s="329" t="s">
        <v>1146</v>
      </c>
      <c r="D247" s="329" t="s">
        <v>1147</v>
      </c>
      <c r="E247" s="295">
        <v>56.8</v>
      </c>
      <c r="F247" s="298">
        <v>148.04</v>
      </c>
    </row>
    <row r="248" spans="1:8" s="295" customFormat="1" x14ac:dyDescent="0.15">
      <c r="A248" s="329">
        <v>200479452</v>
      </c>
      <c r="B248" s="328">
        <v>42424</v>
      </c>
      <c r="C248" s="329" t="s">
        <v>1146</v>
      </c>
      <c r="D248" s="329" t="s">
        <v>1147</v>
      </c>
      <c r="E248" s="295">
        <v>109.1</v>
      </c>
      <c r="F248" s="298">
        <v>266.7</v>
      </c>
    </row>
    <row r="249" spans="1:8" s="299" customFormat="1" ht="14" thickBot="1" x14ac:dyDescent="0.2">
      <c r="B249" s="328"/>
      <c r="C249" s="332"/>
      <c r="D249" s="291" t="s">
        <v>1194</v>
      </c>
      <c r="E249" s="291">
        <f>SUM(E245:E248)</f>
        <v>383.9</v>
      </c>
      <c r="F249" s="285">
        <v>913.5</v>
      </c>
    </row>
    <row r="250" spans="1:8" s="295" customFormat="1" ht="14" thickTop="1" x14ac:dyDescent="0.15">
      <c r="B250" s="328"/>
      <c r="C250" s="329"/>
    </row>
    <row r="251" spans="1:8" s="295" customFormat="1" x14ac:dyDescent="0.15">
      <c r="A251" s="329">
        <v>200479452</v>
      </c>
      <c r="B251" s="328">
        <v>42445</v>
      </c>
      <c r="C251" s="329" t="s">
        <v>1146</v>
      </c>
      <c r="D251" s="329" t="s">
        <v>1147</v>
      </c>
      <c r="E251" s="295">
        <v>90.1</v>
      </c>
      <c r="F251" s="298">
        <v>220.67</v>
      </c>
    </row>
    <row r="252" spans="1:8" s="299" customFormat="1" ht="14" thickBot="1" x14ac:dyDescent="0.2">
      <c r="B252" s="328"/>
      <c r="C252" s="332"/>
      <c r="D252" s="291" t="s">
        <v>1195</v>
      </c>
      <c r="E252" s="291">
        <f>SUM(E251:E251)</f>
        <v>90.1</v>
      </c>
      <c r="F252" s="285">
        <v>220.67</v>
      </c>
    </row>
    <row r="253" spans="1:8" s="295" customFormat="1" ht="14" thickTop="1" x14ac:dyDescent="0.15">
      <c r="B253" s="328"/>
      <c r="C253" s="329"/>
    </row>
    <row r="254" spans="1:8" s="295" customFormat="1" x14ac:dyDescent="0.15">
      <c r="A254" s="329">
        <v>200466344</v>
      </c>
      <c r="B254" s="328">
        <v>42468</v>
      </c>
      <c r="C254" s="329" t="s">
        <v>1146</v>
      </c>
      <c r="D254" s="329" t="s">
        <v>1166</v>
      </c>
      <c r="E254" s="295">
        <v>101.4</v>
      </c>
      <c r="F254" s="298">
        <v>249.69</v>
      </c>
      <c r="H254" s="298"/>
    </row>
    <row r="255" spans="1:8" s="295" customFormat="1" ht="12" customHeight="1" x14ac:dyDescent="0.15">
      <c r="A255" s="329">
        <v>200478562</v>
      </c>
      <c r="B255" s="328">
        <v>42473</v>
      </c>
      <c r="C255" s="329" t="s">
        <v>1146</v>
      </c>
      <c r="D255" s="329" t="s">
        <v>1149</v>
      </c>
      <c r="E255" s="295">
        <v>211.3</v>
      </c>
      <c r="F255" s="298">
        <v>502.49</v>
      </c>
      <c r="H255" s="298"/>
    </row>
    <row r="256" spans="1:8" s="295" customFormat="1" x14ac:dyDescent="0.15">
      <c r="A256" s="329">
        <v>200479452</v>
      </c>
      <c r="B256" s="328">
        <v>42473</v>
      </c>
      <c r="C256" s="329" t="s">
        <v>1146</v>
      </c>
      <c r="D256" s="329" t="s">
        <v>1147</v>
      </c>
      <c r="E256" s="295">
        <v>107.6</v>
      </c>
      <c r="F256" s="298">
        <v>263.14999999999998</v>
      </c>
      <c r="H256" s="298"/>
    </row>
    <row r="257" spans="1:8" s="299" customFormat="1" ht="14" thickBot="1" x14ac:dyDescent="0.2">
      <c r="B257" s="328"/>
      <c r="C257" s="332"/>
      <c r="D257" s="291" t="s">
        <v>1196</v>
      </c>
      <c r="E257" s="291">
        <f>SUM(E254:E256)</f>
        <v>420.30000000000007</v>
      </c>
      <c r="F257" s="285">
        <v>1015.33</v>
      </c>
    </row>
    <row r="258" spans="1:8" s="295" customFormat="1" ht="14" thickTop="1" x14ac:dyDescent="0.15">
      <c r="B258" s="328"/>
      <c r="C258" s="329"/>
    </row>
    <row r="259" spans="1:8" s="295" customFormat="1" x14ac:dyDescent="0.15">
      <c r="A259" s="329">
        <v>200465946</v>
      </c>
      <c r="B259" s="328">
        <v>42493</v>
      </c>
      <c r="C259" s="329" t="s">
        <v>1146</v>
      </c>
      <c r="D259" s="329" t="s">
        <v>1165</v>
      </c>
      <c r="E259" s="295">
        <v>26.3</v>
      </c>
      <c r="F259" s="298">
        <v>75.239999999999995</v>
      </c>
    </row>
    <row r="260" spans="1:8" s="299" customFormat="1" ht="14" thickBot="1" x14ac:dyDescent="0.2">
      <c r="B260" s="328"/>
      <c r="C260" s="332"/>
      <c r="D260" s="291" t="s">
        <v>1173</v>
      </c>
      <c r="E260" s="291">
        <f>SUM(E259:E259)</f>
        <v>26.3</v>
      </c>
      <c r="F260" s="285">
        <v>75.239999999999995</v>
      </c>
    </row>
    <row r="261" spans="1:8" s="299" customFormat="1" ht="14" thickTop="1" x14ac:dyDescent="0.15">
      <c r="B261" s="328"/>
      <c r="C261" s="332"/>
      <c r="D261" s="293"/>
      <c r="E261" s="293"/>
      <c r="F261" s="333"/>
    </row>
    <row r="262" spans="1:8" s="295" customFormat="1" x14ac:dyDescent="0.15">
      <c r="A262" s="329">
        <v>3011066</v>
      </c>
      <c r="B262" s="328">
        <v>42466</v>
      </c>
      <c r="C262" s="329" t="s">
        <v>1152</v>
      </c>
      <c r="D262" s="329" t="s">
        <v>1189</v>
      </c>
      <c r="E262" s="295">
        <v>59.9</v>
      </c>
      <c r="F262" s="298">
        <v>155.68</v>
      </c>
    </row>
    <row r="263" spans="1:8" s="295" customFormat="1" ht="12" customHeight="1" x14ac:dyDescent="0.15">
      <c r="A263" s="329">
        <v>200471861</v>
      </c>
      <c r="B263" s="328">
        <v>42550</v>
      </c>
      <c r="C263" s="329" t="s">
        <v>1146</v>
      </c>
      <c r="D263" s="329" t="s">
        <v>1163</v>
      </c>
      <c r="E263" s="295">
        <v>21.8</v>
      </c>
      <c r="F263" s="298">
        <v>70.56</v>
      </c>
    </row>
    <row r="264" spans="1:8" s="295" customFormat="1" x14ac:dyDescent="0.15">
      <c r="A264" s="329">
        <v>200474608</v>
      </c>
      <c r="B264" s="328">
        <v>42523</v>
      </c>
      <c r="C264" s="329" t="s">
        <v>1146</v>
      </c>
      <c r="D264" s="329" t="s">
        <v>1170</v>
      </c>
      <c r="E264" s="295">
        <v>0</v>
      </c>
      <c r="F264" s="298">
        <v>-86.41</v>
      </c>
    </row>
    <row r="265" spans="1:8" s="299" customFormat="1" ht="14" thickBot="1" x14ac:dyDescent="0.2">
      <c r="B265" s="328"/>
      <c r="C265" s="332"/>
      <c r="D265" s="291" t="s">
        <v>1174</v>
      </c>
      <c r="E265" s="291">
        <f>SUM(E262:E264)</f>
        <v>81.7</v>
      </c>
      <c r="F265" s="285">
        <v>139.83000000000001</v>
      </c>
    </row>
    <row r="266" spans="1:8" ht="15" thickTop="1" thickBot="1" x14ac:dyDescent="0.2"/>
    <row r="267" spans="1:8" s="275" customFormat="1" ht="31" thickBot="1" x14ac:dyDescent="0.35">
      <c r="A267" s="767" t="s">
        <v>1110</v>
      </c>
      <c r="B267" s="768"/>
      <c r="C267" s="768"/>
      <c r="D267" s="768"/>
      <c r="E267" s="768"/>
      <c r="F267" s="769"/>
      <c r="G267" s="289"/>
      <c r="H267" s="289"/>
    </row>
    <row r="268" spans="1:8" s="295" customFormat="1" x14ac:dyDescent="0.15">
      <c r="B268" s="328"/>
      <c r="C268" s="329"/>
    </row>
    <row r="269" spans="1:8" s="295" customFormat="1" x14ac:dyDescent="0.15">
      <c r="A269" s="329">
        <v>200465946</v>
      </c>
      <c r="B269" s="328">
        <v>42593</v>
      </c>
      <c r="C269" s="329" t="s">
        <v>1146</v>
      </c>
      <c r="D269" s="329" t="s">
        <v>1165</v>
      </c>
      <c r="E269" s="295">
        <v>10.199999999999999</v>
      </c>
      <c r="F269" s="298">
        <v>38.590000000000003</v>
      </c>
      <c r="G269" s="298">
        <f>F269/E269</f>
        <v>3.7833333333333341</v>
      </c>
    </row>
    <row r="270" spans="1:8" s="299" customFormat="1" ht="14" thickBot="1" x14ac:dyDescent="0.2">
      <c r="B270" s="328"/>
      <c r="C270" s="332"/>
      <c r="D270" s="291" t="s">
        <v>1145</v>
      </c>
      <c r="E270" s="291">
        <f>SUM(E269:E269)</f>
        <v>10.199999999999999</v>
      </c>
      <c r="F270" s="285">
        <v>38.590000000000003</v>
      </c>
    </row>
    <row r="271" spans="1:8" s="295" customFormat="1" ht="14" thickTop="1" x14ac:dyDescent="0.15">
      <c r="B271" s="328"/>
      <c r="C271" s="329"/>
    </row>
    <row r="272" spans="1:8" s="295" customFormat="1" x14ac:dyDescent="0.15">
      <c r="A272" s="329">
        <v>200479452</v>
      </c>
      <c r="B272" s="328">
        <v>42633</v>
      </c>
      <c r="C272" s="329" t="s">
        <v>1146</v>
      </c>
      <c r="D272" s="329" t="s">
        <v>1147</v>
      </c>
      <c r="E272" s="295">
        <v>76.2</v>
      </c>
      <c r="F272" s="298">
        <v>187.51</v>
      </c>
      <c r="G272" s="298">
        <f>F272/E272</f>
        <v>2.4607611548556427</v>
      </c>
    </row>
    <row r="273" spans="1:7" s="299" customFormat="1" ht="14" thickBot="1" x14ac:dyDescent="0.2">
      <c r="B273" s="328"/>
      <c r="C273" s="332"/>
      <c r="D273" s="291" t="s">
        <v>1187</v>
      </c>
      <c r="E273" s="291">
        <f>SUM(E272:E272)</f>
        <v>76.2</v>
      </c>
      <c r="F273" s="285">
        <v>187.51</v>
      </c>
    </row>
    <row r="274" spans="1:7" s="295" customFormat="1" ht="14" thickTop="1" x14ac:dyDescent="0.15">
      <c r="B274" s="328"/>
      <c r="C274" s="329"/>
    </row>
    <row r="275" spans="1:7" s="295" customFormat="1" x14ac:dyDescent="0.15">
      <c r="A275" s="329" t="s">
        <v>1204</v>
      </c>
      <c r="B275" s="328">
        <v>42646</v>
      </c>
      <c r="C275" s="329" t="s">
        <v>1152</v>
      </c>
      <c r="D275" s="329" t="s">
        <v>1186</v>
      </c>
      <c r="E275" s="295">
        <v>70.900000000000006</v>
      </c>
      <c r="F275" s="298">
        <v>170.09</v>
      </c>
      <c r="G275" s="298">
        <f t="shared" ref="G275:G276" si="0">F275/E275</f>
        <v>2.39901269393512</v>
      </c>
    </row>
    <row r="276" spans="1:7" s="295" customFormat="1" x14ac:dyDescent="0.15">
      <c r="A276" s="329">
        <v>200465946</v>
      </c>
      <c r="B276" s="328">
        <v>42669</v>
      </c>
      <c r="C276" s="329" t="s">
        <v>1146</v>
      </c>
      <c r="D276" s="329" t="s">
        <v>1165</v>
      </c>
      <c r="E276" s="295">
        <v>24.9</v>
      </c>
      <c r="F276" s="298">
        <v>75.17</v>
      </c>
      <c r="G276" s="298">
        <f t="shared" si="0"/>
        <v>3.0188755020080325</v>
      </c>
    </row>
    <row r="277" spans="1:7" s="299" customFormat="1" ht="14" thickBot="1" x14ac:dyDescent="0.2">
      <c r="B277" s="328"/>
      <c r="C277" s="332"/>
      <c r="D277" s="291" t="s">
        <v>1190</v>
      </c>
      <c r="E277" s="291">
        <f>SUM(E275:E276)</f>
        <v>95.800000000000011</v>
      </c>
      <c r="F277" s="285">
        <v>245.26</v>
      </c>
    </row>
    <row r="278" spans="1:7" s="295" customFormat="1" ht="14" thickTop="1" x14ac:dyDescent="0.15">
      <c r="B278" s="328"/>
      <c r="C278" s="329"/>
    </row>
    <row r="279" spans="1:7" s="295" customFormat="1" x14ac:dyDescent="0.15">
      <c r="A279" s="329">
        <v>200479452</v>
      </c>
      <c r="B279" s="328">
        <v>42675</v>
      </c>
      <c r="C279" s="329" t="s">
        <v>1146</v>
      </c>
      <c r="D279" s="329" t="s">
        <v>1147</v>
      </c>
      <c r="E279" s="295">
        <v>76.8</v>
      </c>
      <c r="F279" s="298">
        <v>203.57</v>
      </c>
      <c r="G279" s="298">
        <f t="shared" ref="G279:G290" si="1">F279/E279</f>
        <v>2.6506510416666669</v>
      </c>
    </row>
    <row r="280" spans="1:7" s="295" customFormat="1" ht="12" customHeight="1" x14ac:dyDescent="0.15">
      <c r="A280" s="329">
        <v>200478562</v>
      </c>
      <c r="B280" s="328">
        <v>42683</v>
      </c>
      <c r="C280" s="329" t="s">
        <v>1146</v>
      </c>
      <c r="D280" s="329" t="s">
        <v>1149</v>
      </c>
      <c r="E280" s="295">
        <v>448.8</v>
      </c>
      <c r="F280" s="298">
        <v>1139.01</v>
      </c>
      <c r="G280" s="298">
        <f t="shared" si="1"/>
        <v>2.5379010695187163</v>
      </c>
    </row>
    <row r="281" spans="1:7" s="295" customFormat="1" x14ac:dyDescent="0.15">
      <c r="A281" s="329">
        <v>300911801</v>
      </c>
      <c r="B281" s="328">
        <v>42683</v>
      </c>
      <c r="C281" s="329" t="s">
        <v>1152</v>
      </c>
      <c r="D281" s="329" t="s">
        <v>1198</v>
      </c>
      <c r="E281" s="295">
        <v>38</v>
      </c>
      <c r="F281" s="298">
        <v>113.96</v>
      </c>
      <c r="G281" s="298">
        <f t="shared" si="1"/>
        <v>2.9989473684210526</v>
      </c>
    </row>
    <row r="282" spans="1:7" s="295" customFormat="1" x14ac:dyDescent="0.15">
      <c r="A282" s="329">
        <v>300179801</v>
      </c>
      <c r="B282" s="328">
        <v>42683</v>
      </c>
      <c r="C282" s="329" t="s">
        <v>1152</v>
      </c>
      <c r="D282" s="329" t="s">
        <v>1200</v>
      </c>
      <c r="E282" s="295">
        <v>152</v>
      </c>
      <c r="F282" s="298">
        <v>455.85</v>
      </c>
      <c r="G282" s="298">
        <f t="shared" si="1"/>
        <v>2.999013157894737</v>
      </c>
    </row>
    <row r="283" spans="1:7" s="295" customFormat="1" x14ac:dyDescent="0.15">
      <c r="A283" s="329">
        <v>300195301</v>
      </c>
      <c r="B283" s="328">
        <v>42683</v>
      </c>
      <c r="C283" s="329" t="s">
        <v>1152</v>
      </c>
      <c r="D283" s="329" t="s">
        <v>1208</v>
      </c>
      <c r="E283" s="295">
        <v>168.9</v>
      </c>
      <c r="F283" s="298">
        <v>506.53</v>
      </c>
      <c r="G283" s="298">
        <f t="shared" si="1"/>
        <v>2.9989934872705741</v>
      </c>
    </row>
    <row r="284" spans="1:7" s="295" customFormat="1" x14ac:dyDescent="0.15">
      <c r="A284" s="329">
        <v>300452701</v>
      </c>
      <c r="B284" s="328">
        <v>42683</v>
      </c>
      <c r="C284" s="329" t="s">
        <v>1152</v>
      </c>
      <c r="D284" s="329" t="s">
        <v>1162</v>
      </c>
      <c r="E284" s="295">
        <v>82.4</v>
      </c>
      <c r="F284" s="298">
        <v>247.12</v>
      </c>
      <c r="G284" s="298">
        <f t="shared" si="1"/>
        <v>2.9990291262135922</v>
      </c>
    </row>
    <row r="285" spans="1:7" s="295" customFormat="1" x14ac:dyDescent="0.15">
      <c r="A285" s="329">
        <v>300982001</v>
      </c>
      <c r="B285" s="328">
        <v>42683</v>
      </c>
      <c r="C285" s="329" t="s">
        <v>1152</v>
      </c>
      <c r="D285" s="329" t="s">
        <v>1176</v>
      </c>
      <c r="E285" s="295">
        <v>41.6</v>
      </c>
      <c r="F285" s="298">
        <v>124.76</v>
      </c>
      <c r="G285" s="298">
        <f t="shared" si="1"/>
        <v>2.9990384615384618</v>
      </c>
    </row>
    <row r="286" spans="1:7" s="295" customFormat="1" x14ac:dyDescent="0.15">
      <c r="A286" s="329">
        <v>301106601</v>
      </c>
      <c r="B286" s="328">
        <v>42683</v>
      </c>
      <c r="C286" s="329" t="s">
        <v>1152</v>
      </c>
      <c r="D286" s="329" t="s">
        <v>1189</v>
      </c>
      <c r="E286" s="295">
        <v>64.2</v>
      </c>
      <c r="F286" s="298">
        <v>192.54</v>
      </c>
      <c r="G286" s="298">
        <f t="shared" si="1"/>
        <v>2.9990654205607474</v>
      </c>
    </row>
    <row r="287" spans="1:7" s="295" customFormat="1" x14ac:dyDescent="0.15">
      <c r="A287" s="329">
        <v>300163801</v>
      </c>
      <c r="B287" s="328">
        <v>42683</v>
      </c>
      <c r="C287" s="329" t="s">
        <v>1152</v>
      </c>
      <c r="D287" s="329" t="s">
        <v>1181</v>
      </c>
      <c r="E287" s="295">
        <v>135.80000000000001</v>
      </c>
      <c r="F287" s="298">
        <v>407.26</v>
      </c>
      <c r="G287" s="298">
        <f t="shared" si="1"/>
        <v>2.998969072164948</v>
      </c>
    </row>
    <row r="288" spans="1:7" s="295" customFormat="1" x14ac:dyDescent="0.15">
      <c r="A288" s="329">
        <v>356419401</v>
      </c>
      <c r="B288" s="328">
        <v>42683</v>
      </c>
      <c r="C288" s="329" t="s">
        <v>1152</v>
      </c>
      <c r="D288" s="329" t="s">
        <v>1178</v>
      </c>
      <c r="E288" s="295">
        <v>49.5</v>
      </c>
      <c r="F288" s="298">
        <v>148.44999999999999</v>
      </c>
      <c r="G288" s="298">
        <f t="shared" si="1"/>
        <v>2.9989898989898989</v>
      </c>
    </row>
    <row r="289" spans="1:7" s="295" customFormat="1" x14ac:dyDescent="0.15">
      <c r="A289" s="329">
        <v>300343001</v>
      </c>
      <c r="B289" s="328">
        <v>42683</v>
      </c>
      <c r="C289" s="329" t="s">
        <v>1152</v>
      </c>
      <c r="D289" s="329" t="s">
        <v>1183</v>
      </c>
      <c r="E289" s="295">
        <v>140.80000000000001</v>
      </c>
      <c r="F289" s="298">
        <v>422.26</v>
      </c>
      <c r="G289" s="298">
        <f t="shared" si="1"/>
        <v>2.9990056818181814</v>
      </c>
    </row>
    <row r="290" spans="1:7" s="295" customFormat="1" x14ac:dyDescent="0.15">
      <c r="A290" s="329">
        <v>200479452</v>
      </c>
      <c r="B290" s="328">
        <v>42702</v>
      </c>
      <c r="C290" s="329" t="s">
        <v>1146</v>
      </c>
      <c r="D290" s="329" t="s">
        <v>1147</v>
      </c>
      <c r="E290" s="295">
        <v>112.6</v>
      </c>
      <c r="F290" s="298">
        <v>297.06</v>
      </c>
      <c r="G290" s="298">
        <f t="shared" si="1"/>
        <v>2.6381882770870337</v>
      </c>
    </row>
    <row r="291" spans="1:7" s="299" customFormat="1" ht="14" thickBot="1" x14ac:dyDescent="0.2">
      <c r="B291" s="328"/>
      <c r="C291" s="332"/>
      <c r="D291" s="291" t="s">
        <v>1191</v>
      </c>
      <c r="E291" s="291">
        <f>SUM(E279:E290)</f>
        <v>1511.3999999999999</v>
      </c>
      <c r="F291" s="285">
        <v>4258.37</v>
      </c>
    </row>
    <row r="292" spans="1:7" s="295" customFormat="1" ht="14" thickTop="1" x14ac:dyDescent="0.15">
      <c r="B292" s="328"/>
      <c r="C292" s="329"/>
    </row>
    <row r="293" spans="1:7" s="295" customFormat="1" ht="12" customHeight="1" x14ac:dyDescent="0.15">
      <c r="A293" s="329">
        <v>200478562</v>
      </c>
      <c r="B293" s="328">
        <v>42732</v>
      </c>
      <c r="C293" s="329" t="s">
        <v>1146</v>
      </c>
      <c r="D293" s="329" t="s">
        <v>1149</v>
      </c>
      <c r="E293" s="295">
        <v>302.2</v>
      </c>
      <c r="F293" s="298">
        <v>838.92</v>
      </c>
      <c r="G293" s="298">
        <f t="shared" ref="G293:G297" si="2">F293/E293</f>
        <v>2.7760423560555925</v>
      </c>
    </row>
    <row r="294" spans="1:7" s="295" customFormat="1" x14ac:dyDescent="0.15">
      <c r="A294" s="329">
        <v>200479452</v>
      </c>
      <c r="B294" s="328">
        <v>42705</v>
      </c>
      <c r="C294" s="329" t="s">
        <v>1146</v>
      </c>
      <c r="D294" s="329" t="s">
        <v>1147</v>
      </c>
      <c r="E294" s="295">
        <v>4.7</v>
      </c>
      <c r="F294" s="298">
        <v>28.28</v>
      </c>
      <c r="G294" s="298">
        <f t="shared" si="2"/>
        <v>6.0170212765957443</v>
      </c>
    </row>
    <row r="295" spans="1:7" s="295" customFormat="1" x14ac:dyDescent="0.15">
      <c r="A295" s="329">
        <v>200479452</v>
      </c>
      <c r="B295" s="328">
        <v>42710</v>
      </c>
      <c r="C295" s="329" t="s">
        <v>1146</v>
      </c>
      <c r="D295" s="329" t="s">
        <v>1147</v>
      </c>
      <c r="E295" s="295">
        <v>37.4</v>
      </c>
      <c r="F295" s="298">
        <v>115.71</v>
      </c>
      <c r="G295" s="298">
        <f t="shared" si="2"/>
        <v>3.0938502673796791</v>
      </c>
    </row>
    <row r="296" spans="1:7" s="295" customFormat="1" x14ac:dyDescent="0.15">
      <c r="A296" s="329">
        <v>200479452</v>
      </c>
      <c r="B296" s="328">
        <v>42720</v>
      </c>
      <c r="C296" s="329" t="s">
        <v>1146</v>
      </c>
      <c r="D296" s="329" t="s">
        <v>1147</v>
      </c>
      <c r="E296" s="295">
        <v>84.4</v>
      </c>
      <c r="F296" s="298">
        <v>245.02</v>
      </c>
      <c r="G296" s="298">
        <f t="shared" si="2"/>
        <v>2.9030805687203789</v>
      </c>
    </row>
    <row r="297" spans="1:7" s="295" customFormat="1" x14ac:dyDescent="0.15">
      <c r="A297" s="329">
        <v>200479452</v>
      </c>
      <c r="B297" s="328">
        <v>42732</v>
      </c>
      <c r="C297" s="329" t="s">
        <v>1146</v>
      </c>
      <c r="D297" s="329" t="s">
        <v>1147</v>
      </c>
      <c r="E297" s="295">
        <v>92.5</v>
      </c>
      <c r="F297" s="298">
        <v>267.74</v>
      </c>
      <c r="G297" s="298">
        <f t="shared" si="2"/>
        <v>2.8944864864864868</v>
      </c>
    </row>
    <row r="298" spans="1:7" s="299" customFormat="1" ht="14" thickBot="1" x14ac:dyDescent="0.2">
      <c r="B298" s="328"/>
      <c r="C298" s="332"/>
      <c r="D298" s="291" t="s">
        <v>1192</v>
      </c>
      <c r="E298" s="291">
        <f>SUM(E293:E297)</f>
        <v>521.19999999999993</v>
      </c>
      <c r="F298" s="285">
        <v>1495.67</v>
      </c>
    </row>
    <row r="299" spans="1:7" s="295" customFormat="1" ht="14" thickTop="1" x14ac:dyDescent="0.15">
      <c r="B299" s="328"/>
      <c r="C299" s="329"/>
    </row>
    <row r="300" spans="1:7" s="295" customFormat="1" x14ac:dyDescent="0.15">
      <c r="A300" s="329">
        <v>200479452</v>
      </c>
      <c r="B300" s="328">
        <v>42737</v>
      </c>
      <c r="C300" s="329" t="s">
        <v>1146</v>
      </c>
      <c r="D300" s="329" t="s">
        <v>1147</v>
      </c>
      <c r="E300" s="295">
        <v>38.6</v>
      </c>
      <c r="F300" s="298">
        <v>122.61</v>
      </c>
      <c r="G300" s="298">
        <f t="shared" ref="G300:G303" si="3">F300/E300</f>
        <v>3.1764248704663212</v>
      </c>
    </row>
    <row r="301" spans="1:7" s="295" customFormat="1" x14ac:dyDescent="0.15">
      <c r="A301" s="329">
        <v>200479452</v>
      </c>
      <c r="B301" s="328">
        <v>42744</v>
      </c>
      <c r="C301" s="329" t="s">
        <v>1146</v>
      </c>
      <c r="D301" s="329" t="s">
        <v>1147</v>
      </c>
      <c r="E301" s="295">
        <v>59.8</v>
      </c>
      <c r="F301" s="298">
        <v>182.89</v>
      </c>
      <c r="G301" s="298">
        <f t="shared" si="3"/>
        <v>3.0583612040133779</v>
      </c>
    </row>
    <row r="302" spans="1:7" s="295" customFormat="1" x14ac:dyDescent="0.15">
      <c r="A302" s="329">
        <v>200479452</v>
      </c>
      <c r="B302" s="328">
        <v>42751</v>
      </c>
      <c r="C302" s="329" t="s">
        <v>1146</v>
      </c>
      <c r="D302" s="329" t="s">
        <v>1147</v>
      </c>
      <c r="E302" s="295">
        <v>52.2</v>
      </c>
      <c r="F302" s="298">
        <v>169.9</v>
      </c>
      <c r="G302" s="298">
        <f t="shared" si="3"/>
        <v>3.2547892720306515</v>
      </c>
    </row>
    <row r="303" spans="1:7" s="295" customFormat="1" x14ac:dyDescent="0.15">
      <c r="A303" s="329">
        <v>200479452</v>
      </c>
      <c r="B303" s="328">
        <v>42759</v>
      </c>
      <c r="C303" s="329" t="s">
        <v>1146</v>
      </c>
      <c r="D303" s="329" t="s">
        <v>1147</v>
      </c>
      <c r="E303" s="295">
        <v>47.7</v>
      </c>
      <c r="F303" s="298">
        <v>158.61000000000001</v>
      </c>
      <c r="G303" s="298">
        <f t="shared" si="3"/>
        <v>3.3251572327044028</v>
      </c>
    </row>
    <row r="304" spans="1:7" s="299" customFormat="1" ht="14" thickBot="1" x14ac:dyDescent="0.2">
      <c r="B304" s="328"/>
      <c r="C304" s="332"/>
      <c r="D304" s="291" t="s">
        <v>1193</v>
      </c>
      <c r="E304" s="291">
        <f>SUM(E300:E303)</f>
        <v>198.3</v>
      </c>
      <c r="F304" s="285">
        <v>634.01</v>
      </c>
    </row>
    <row r="305" spans="1:8" s="295" customFormat="1" ht="14" thickTop="1" x14ac:dyDescent="0.15">
      <c r="B305" s="328"/>
      <c r="C305" s="329"/>
    </row>
    <row r="306" spans="1:8" s="295" customFormat="1" x14ac:dyDescent="0.15">
      <c r="A306" s="329" t="s">
        <v>1207</v>
      </c>
      <c r="B306" s="328">
        <v>42773</v>
      </c>
      <c r="C306" s="329" t="s">
        <v>1152</v>
      </c>
      <c r="D306" s="329" t="s">
        <v>1186</v>
      </c>
      <c r="E306" s="295">
        <v>184.5</v>
      </c>
      <c r="F306" s="298">
        <v>560.70000000000005</v>
      </c>
      <c r="G306" s="298">
        <f t="shared" ref="G306:G314" si="4">F306/E306</f>
        <v>3.0390243902439025</v>
      </c>
    </row>
    <row r="307" spans="1:8" s="295" customFormat="1" ht="12" customHeight="1" x14ac:dyDescent="0.15">
      <c r="A307" s="329">
        <v>200478562</v>
      </c>
      <c r="B307" s="328">
        <v>42767</v>
      </c>
      <c r="C307" s="329" t="s">
        <v>1146</v>
      </c>
      <c r="D307" s="329" t="s">
        <v>1149</v>
      </c>
      <c r="E307" s="295">
        <v>218.2</v>
      </c>
      <c r="F307" s="298">
        <v>715.69</v>
      </c>
      <c r="G307" s="298">
        <f t="shared" si="4"/>
        <v>3.2799725022914763</v>
      </c>
    </row>
    <row r="308" spans="1:8" s="295" customFormat="1" ht="12" customHeight="1" x14ac:dyDescent="0.15">
      <c r="A308" s="329">
        <v>200466344</v>
      </c>
      <c r="B308" s="328">
        <v>42787</v>
      </c>
      <c r="C308" s="329" t="s">
        <v>1146</v>
      </c>
      <c r="D308" s="329" t="s">
        <v>1166</v>
      </c>
      <c r="E308" s="295">
        <v>106.7</v>
      </c>
      <c r="F308" s="298">
        <v>358.34</v>
      </c>
      <c r="G308" s="298">
        <f t="shared" si="4"/>
        <v>3.3583880037488281</v>
      </c>
    </row>
    <row r="309" spans="1:8" s="295" customFormat="1" x14ac:dyDescent="0.15">
      <c r="A309" s="329">
        <v>200479452</v>
      </c>
      <c r="B309" s="328">
        <v>42782</v>
      </c>
      <c r="C309" s="329" t="s">
        <v>1146</v>
      </c>
      <c r="D309" s="329" t="s">
        <v>1209</v>
      </c>
      <c r="E309" s="295">
        <v>48</v>
      </c>
      <c r="F309" s="298">
        <v>170.14</v>
      </c>
      <c r="G309" s="298">
        <f t="shared" si="4"/>
        <v>3.5445833333333332</v>
      </c>
    </row>
    <row r="310" spans="1:8" s="295" customFormat="1" x14ac:dyDescent="0.15">
      <c r="A310" s="329">
        <v>200479452</v>
      </c>
      <c r="B310" s="328">
        <v>42787</v>
      </c>
      <c r="C310" s="329" t="s">
        <v>1146</v>
      </c>
      <c r="D310" s="329" t="s">
        <v>1209</v>
      </c>
      <c r="E310" s="295">
        <v>149.19999999999999</v>
      </c>
      <c r="F310" s="298">
        <v>494.74</v>
      </c>
      <c r="G310" s="298">
        <f t="shared" si="4"/>
        <v>3.3159517426273464</v>
      </c>
    </row>
    <row r="311" spans="1:8" s="295" customFormat="1" x14ac:dyDescent="0.15">
      <c r="A311" s="329">
        <v>200479452</v>
      </c>
      <c r="B311" s="328">
        <v>42767</v>
      </c>
      <c r="C311" s="329" t="s">
        <v>1146</v>
      </c>
      <c r="D311" s="329" t="s">
        <v>1147</v>
      </c>
      <c r="E311" s="295">
        <v>57.8</v>
      </c>
      <c r="F311" s="298">
        <v>201.28</v>
      </c>
      <c r="G311" s="298">
        <f t="shared" si="4"/>
        <v>3.4823529411764707</v>
      </c>
    </row>
    <row r="312" spans="1:8" s="295" customFormat="1" x14ac:dyDescent="0.15">
      <c r="A312" s="329">
        <v>200479452</v>
      </c>
      <c r="B312" s="328">
        <v>42772</v>
      </c>
      <c r="C312" s="329" t="s">
        <v>1146</v>
      </c>
      <c r="D312" s="329" t="s">
        <v>1147</v>
      </c>
      <c r="E312" s="295">
        <v>30.5</v>
      </c>
      <c r="F312" s="298">
        <v>113.73</v>
      </c>
      <c r="G312" s="298">
        <f t="shared" si="4"/>
        <v>3.7288524590163936</v>
      </c>
    </row>
    <row r="313" spans="1:8" s="295" customFormat="1" x14ac:dyDescent="0.15">
      <c r="A313" s="329">
        <v>200479452</v>
      </c>
      <c r="B313" s="328">
        <v>42780</v>
      </c>
      <c r="C313" s="329" t="s">
        <v>1146</v>
      </c>
      <c r="D313" s="329" t="s">
        <v>1147</v>
      </c>
      <c r="E313" s="295">
        <v>82.4</v>
      </c>
      <c r="F313" s="298">
        <v>281.08</v>
      </c>
      <c r="G313" s="298">
        <f t="shared" si="4"/>
        <v>3.4111650485436891</v>
      </c>
    </row>
    <row r="314" spans="1:8" s="295" customFormat="1" x14ac:dyDescent="0.15">
      <c r="A314" s="329">
        <v>200479452</v>
      </c>
      <c r="B314" s="328">
        <v>42787</v>
      </c>
      <c r="C314" s="329" t="s">
        <v>1146</v>
      </c>
      <c r="D314" s="329" t="s">
        <v>1147</v>
      </c>
      <c r="E314" s="295">
        <v>47.7</v>
      </c>
      <c r="F314" s="298">
        <v>168.99</v>
      </c>
      <c r="G314" s="298">
        <f t="shared" si="4"/>
        <v>3.5427672955974843</v>
      </c>
    </row>
    <row r="315" spans="1:8" s="299" customFormat="1" ht="14" thickBot="1" x14ac:dyDescent="0.2">
      <c r="B315" s="328"/>
      <c r="C315" s="332"/>
      <c r="D315" s="291" t="s">
        <v>1194</v>
      </c>
      <c r="E315" s="291">
        <f>SUM(E306:E314)</f>
        <v>924.99999999999989</v>
      </c>
      <c r="F315" s="285">
        <v>3064.6899999999996</v>
      </c>
    </row>
    <row r="316" spans="1:8" s="295" customFormat="1" ht="14" thickTop="1" x14ac:dyDescent="0.15">
      <c r="B316" s="328"/>
      <c r="C316" s="329"/>
    </row>
    <row r="317" spans="1:8" s="295" customFormat="1" ht="12" customHeight="1" x14ac:dyDescent="0.15">
      <c r="A317" s="329">
        <v>200478562</v>
      </c>
      <c r="B317" s="328">
        <v>42796</v>
      </c>
      <c r="C317" s="329" t="s">
        <v>1146</v>
      </c>
      <c r="D317" s="329" t="s">
        <v>1149</v>
      </c>
      <c r="E317" s="295">
        <v>205.5</v>
      </c>
      <c r="F317" s="298">
        <v>716.54</v>
      </c>
      <c r="G317" s="298">
        <f t="shared" ref="G317:G323" si="5">F317/E317</f>
        <v>3.4868126520681262</v>
      </c>
      <c r="H317" s="298"/>
    </row>
    <row r="318" spans="1:8" s="295" customFormat="1" ht="12" customHeight="1" x14ac:dyDescent="0.15">
      <c r="A318" s="329">
        <v>200478562</v>
      </c>
      <c r="B318" s="328">
        <v>42817</v>
      </c>
      <c r="C318" s="329" t="s">
        <v>1146</v>
      </c>
      <c r="D318" s="329" t="s">
        <v>1149</v>
      </c>
      <c r="E318" s="295">
        <v>106.5</v>
      </c>
      <c r="F318" s="298">
        <v>385.33</v>
      </c>
      <c r="G318" s="298">
        <f t="shared" si="5"/>
        <v>3.6181220657276993</v>
      </c>
      <c r="H318" s="298"/>
    </row>
    <row r="319" spans="1:8" s="295" customFormat="1" x14ac:dyDescent="0.15">
      <c r="A319" s="329">
        <v>200479452</v>
      </c>
      <c r="B319" s="328">
        <v>42811</v>
      </c>
      <c r="C319" s="329" t="s">
        <v>1146</v>
      </c>
      <c r="D319" s="329" t="s">
        <v>1209</v>
      </c>
      <c r="E319" s="295">
        <v>148.9</v>
      </c>
      <c r="F319" s="298">
        <v>534.54</v>
      </c>
      <c r="G319" s="298">
        <f t="shared" si="5"/>
        <v>3.5899261249160506</v>
      </c>
    </row>
    <row r="320" spans="1:8" s="295" customFormat="1" x14ac:dyDescent="0.15">
      <c r="A320" s="329">
        <v>200479452</v>
      </c>
      <c r="B320" s="328">
        <v>42796</v>
      </c>
      <c r="C320" s="329" t="s">
        <v>1146</v>
      </c>
      <c r="D320" s="329" t="s">
        <v>1147</v>
      </c>
      <c r="E320" s="295">
        <v>30.7</v>
      </c>
      <c r="F320" s="298">
        <v>120.58</v>
      </c>
      <c r="G320" s="298">
        <f t="shared" si="5"/>
        <v>3.9276872964169383</v>
      </c>
      <c r="H320" s="298"/>
    </row>
    <row r="321" spans="1:8" s="295" customFormat="1" x14ac:dyDescent="0.15">
      <c r="A321" s="329">
        <v>200479452</v>
      </c>
      <c r="B321" s="328">
        <v>42801</v>
      </c>
      <c r="C321" s="329" t="s">
        <v>1146</v>
      </c>
      <c r="D321" s="329" t="s">
        <v>1147</v>
      </c>
      <c r="E321" s="295">
        <v>28.1</v>
      </c>
      <c r="F321" s="298">
        <v>111.71</v>
      </c>
      <c r="G321" s="298">
        <f t="shared" si="5"/>
        <v>3.975444839857651</v>
      </c>
      <c r="H321" s="298"/>
    </row>
    <row r="322" spans="1:8" s="295" customFormat="1" x14ac:dyDescent="0.15">
      <c r="A322" s="329">
        <v>200479452</v>
      </c>
      <c r="B322" s="328">
        <v>42810</v>
      </c>
      <c r="C322" s="329" t="s">
        <v>1146</v>
      </c>
      <c r="D322" s="329" t="s">
        <v>1147</v>
      </c>
      <c r="E322" s="295">
        <v>74.2</v>
      </c>
      <c r="F322" s="298">
        <v>271.39</v>
      </c>
      <c r="G322" s="298">
        <f t="shared" si="5"/>
        <v>3.6575471698113202</v>
      </c>
      <c r="H322" s="298"/>
    </row>
    <row r="323" spans="1:8" s="295" customFormat="1" x14ac:dyDescent="0.15">
      <c r="A323" s="329">
        <v>200479452</v>
      </c>
      <c r="B323" s="328">
        <v>42824</v>
      </c>
      <c r="C323" s="329" t="s">
        <v>1146</v>
      </c>
      <c r="D323" s="329" t="s">
        <v>1147</v>
      </c>
      <c r="E323" s="295">
        <v>74.5</v>
      </c>
      <c r="F323" s="298">
        <v>264.11</v>
      </c>
      <c r="G323" s="298">
        <f t="shared" si="5"/>
        <v>3.5451006711409399</v>
      </c>
      <c r="H323" s="298"/>
    </row>
    <row r="324" spans="1:8" s="299" customFormat="1" ht="14" thickBot="1" x14ac:dyDescent="0.2">
      <c r="B324" s="328"/>
      <c r="C324" s="332"/>
      <c r="D324" s="291" t="s">
        <v>1195</v>
      </c>
      <c r="E324" s="291">
        <f>SUM(E317:E323)</f>
        <v>668.4</v>
      </c>
      <c r="F324" s="285">
        <v>2404.1999999999998</v>
      </c>
    </row>
    <row r="325" spans="1:8" s="295" customFormat="1" ht="14" thickTop="1" x14ac:dyDescent="0.15">
      <c r="B325" s="328"/>
      <c r="C325" s="329"/>
    </row>
    <row r="326" spans="1:8" s="295" customFormat="1" ht="12" customHeight="1" x14ac:dyDescent="0.15">
      <c r="A326" s="329">
        <v>200478562</v>
      </c>
      <c r="B326" s="328">
        <v>42849</v>
      </c>
      <c r="C326" s="329" t="s">
        <v>1146</v>
      </c>
      <c r="D326" s="329" t="s">
        <v>1149</v>
      </c>
      <c r="E326" s="295">
        <v>100.5</v>
      </c>
      <c r="F326" s="298">
        <v>354.61</v>
      </c>
      <c r="G326" s="298">
        <f t="shared" ref="G326:G328" si="6">F326/E326</f>
        <v>3.5284577114427864</v>
      </c>
      <c r="H326" s="298"/>
    </row>
    <row r="327" spans="1:8" s="295" customFormat="1" x14ac:dyDescent="0.15">
      <c r="A327" s="329">
        <v>200479452</v>
      </c>
      <c r="B327" s="328">
        <v>42830</v>
      </c>
      <c r="C327" s="329" t="s">
        <v>1146</v>
      </c>
      <c r="D327" s="329" t="s">
        <v>1209</v>
      </c>
      <c r="E327" s="295">
        <v>165.6</v>
      </c>
      <c r="F327" s="298">
        <v>567.44000000000005</v>
      </c>
      <c r="G327" s="298">
        <f t="shared" si="6"/>
        <v>3.4265700483091792</v>
      </c>
    </row>
    <row r="328" spans="1:8" s="295" customFormat="1" x14ac:dyDescent="0.15">
      <c r="A328" s="329">
        <v>200479452</v>
      </c>
      <c r="B328" s="328">
        <v>42849</v>
      </c>
      <c r="C328" s="329" t="s">
        <v>1146</v>
      </c>
      <c r="D328" s="329" t="s">
        <v>1147</v>
      </c>
      <c r="E328" s="295">
        <v>66</v>
      </c>
      <c r="F328" s="298">
        <v>238.38</v>
      </c>
      <c r="G328" s="298">
        <f t="shared" si="6"/>
        <v>3.6118181818181818</v>
      </c>
      <c r="H328" s="298"/>
    </row>
    <row r="329" spans="1:8" s="299" customFormat="1" ht="14" thickBot="1" x14ac:dyDescent="0.2">
      <c r="B329" s="328"/>
      <c r="C329" s="332"/>
      <c r="D329" s="291" t="s">
        <v>1196</v>
      </c>
      <c r="E329" s="291">
        <f>SUM(E326:E328)</f>
        <v>332.1</v>
      </c>
      <c r="F329" s="285">
        <v>1160.43</v>
      </c>
    </row>
    <row r="330" spans="1:8" s="295" customFormat="1" ht="14" thickTop="1" x14ac:dyDescent="0.15">
      <c r="B330" s="328"/>
      <c r="C330" s="329"/>
    </row>
    <row r="331" spans="1:8" s="295" customFormat="1" x14ac:dyDescent="0.15">
      <c r="A331" s="329">
        <v>200479452</v>
      </c>
      <c r="B331" s="328">
        <v>42856</v>
      </c>
      <c r="C331" s="329" t="s">
        <v>1146</v>
      </c>
      <c r="D331" s="329" t="s">
        <v>1147</v>
      </c>
      <c r="E331" s="295">
        <v>123.2</v>
      </c>
      <c r="F331" s="298">
        <v>428.41</v>
      </c>
      <c r="G331" s="298">
        <f>F331/E331</f>
        <v>3.4773538961038963</v>
      </c>
      <c r="H331" s="298"/>
    </row>
    <row r="332" spans="1:8" s="299" customFormat="1" ht="14" thickBot="1" x14ac:dyDescent="0.2">
      <c r="B332" s="328"/>
      <c r="C332" s="332"/>
      <c r="D332" s="291" t="s">
        <v>1173</v>
      </c>
      <c r="E332" s="291">
        <f>SUM(E331:E331)</f>
        <v>123.2</v>
      </c>
      <c r="F332" s="285">
        <v>428.41</v>
      </c>
    </row>
    <row r="333" spans="1:8" s="299" customFormat="1" ht="14" thickTop="1" x14ac:dyDescent="0.15">
      <c r="B333" s="328"/>
      <c r="C333" s="332"/>
      <c r="D333" s="293"/>
      <c r="E333" s="293"/>
      <c r="F333" s="333"/>
    </row>
    <row r="334" spans="1:8" s="295" customFormat="1" ht="12" customHeight="1" x14ac:dyDescent="0.15">
      <c r="A334" s="329">
        <v>200478562</v>
      </c>
      <c r="B334" s="328">
        <v>42894</v>
      </c>
      <c r="C334" s="329" t="s">
        <v>1146</v>
      </c>
      <c r="D334" s="329" t="s">
        <v>1149</v>
      </c>
      <c r="E334" s="295">
        <v>88.5</v>
      </c>
      <c r="F334" s="298">
        <v>310.08999999999997</v>
      </c>
      <c r="G334" s="298">
        <f>F334/E334</f>
        <v>3.5038418079096041</v>
      </c>
      <c r="H334" s="298"/>
    </row>
    <row r="335" spans="1:8" s="299" customFormat="1" ht="14" thickBot="1" x14ac:dyDescent="0.2">
      <c r="B335" s="328"/>
      <c r="C335" s="332"/>
      <c r="D335" s="291" t="s">
        <v>1174</v>
      </c>
      <c r="E335" s="291">
        <f>SUM(E334:E334)</f>
        <v>88.5</v>
      </c>
      <c r="F335" s="285">
        <v>310.08999999999997</v>
      </c>
    </row>
    <row r="336" spans="1:8" s="310" customFormat="1" ht="15" thickTop="1" thickBot="1" x14ac:dyDescent="0.2">
      <c r="B336" s="334"/>
      <c r="C336" s="335"/>
    </row>
    <row r="337" spans="1:8" ht="31" thickBot="1" x14ac:dyDescent="0.35">
      <c r="A337" s="770" t="s">
        <v>1112</v>
      </c>
      <c r="B337" s="771"/>
      <c r="C337" s="771"/>
      <c r="D337" s="771"/>
      <c r="E337" s="771"/>
      <c r="F337" s="772"/>
      <c r="G337" s="304"/>
      <c r="H337" s="304"/>
    </row>
    <row r="338" spans="1:8" s="310" customFormat="1" x14ac:dyDescent="0.15">
      <c r="B338" s="334"/>
      <c r="C338" s="335"/>
    </row>
    <row r="339" spans="1:8" s="310" customFormat="1" ht="12" customHeight="1" x14ac:dyDescent="0.15">
      <c r="A339" s="335">
        <v>200471861</v>
      </c>
      <c r="B339" s="334">
        <v>42941</v>
      </c>
      <c r="C339" s="335" t="s">
        <v>1146</v>
      </c>
      <c r="D339" s="335" t="s">
        <v>1163</v>
      </c>
      <c r="E339" s="310">
        <v>45.9</v>
      </c>
      <c r="F339" s="336">
        <v>160.75</v>
      </c>
      <c r="G339" s="336">
        <f>F339/E339</f>
        <v>3.5021786492374729</v>
      </c>
    </row>
    <row r="340" spans="1:8" s="310" customFormat="1" x14ac:dyDescent="0.15">
      <c r="A340" s="337">
        <v>200475252</v>
      </c>
      <c r="B340" s="334">
        <v>42941</v>
      </c>
      <c r="C340" s="335" t="s">
        <v>1146</v>
      </c>
      <c r="D340" s="338" t="s">
        <v>1144</v>
      </c>
      <c r="E340" s="310">
        <v>362.9</v>
      </c>
      <c r="F340" s="336">
        <v>1199.81</v>
      </c>
      <c r="G340" s="336">
        <f>F340/E340</f>
        <v>3.306172499311105</v>
      </c>
    </row>
    <row r="341" spans="1:8" s="318" customFormat="1" ht="14" thickBot="1" x14ac:dyDescent="0.2">
      <c r="B341" s="334"/>
      <c r="C341" s="339"/>
      <c r="D341" s="340" t="s">
        <v>1177</v>
      </c>
      <c r="E341" s="340">
        <f>SUM(E339:E340)</f>
        <v>408.79999999999995</v>
      </c>
      <c r="F341" s="341">
        <f>SUM(F339:F340)</f>
        <v>1360.56</v>
      </c>
    </row>
    <row r="342" spans="1:8" s="299" customFormat="1" ht="14" thickTop="1" x14ac:dyDescent="0.15">
      <c r="B342" s="328"/>
      <c r="C342" s="332"/>
      <c r="D342" s="293"/>
      <c r="E342" s="293"/>
      <c r="F342" s="333"/>
    </row>
    <row r="343" spans="1:8" s="310" customFormat="1" x14ac:dyDescent="0.15">
      <c r="A343" s="342">
        <v>200465946</v>
      </c>
      <c r="B343" s="343">
        <v>42958</v>
      </c>
      <c r="C343" s="342" t="s">
        <v>1146</v>
      </c>
      <c r="D343" s="342" t="s">
        <v>1165</v>
      </c>
      <c r="E343" s="306">
        <v>10.199999999999999</v>
      </c>
      <c r="F343" s="309">
        <v>38.590000000000003</v>
      </c>
      <c r="G343" s="309">
        <f>F343/E343</f>
        <v>3.7833333333333341</v>
      </c>
    </row>
    <row r="344" spans="1:8" s="318" customFormat="1" ht="14" thickBot="1" x14ac:dyDescent="0.2">
      <c r="A344" s="311"/>
      <c r="B344" s="343"/>
      <c r="C344" s="344"/>
      <c r="D344" s="313" t="s">
        <v>1145</v>
      </c>
      <c r="E344" s="313">
        <f>SUM(E343:E343)</f>
        <v>10.199999999999999</v>
      </c>
      <c r="F344" s="316">
        <f>SUM(F343)</f>
        <v>38.590000000000003</v>
      </c>
      <c r="G344" s="311"/>
    </row>
    <row r="345" spans="1:8" s="310" customFormat="1" ht="14" thickTop="1" x14ac:dyDescent="0.15">
      <c r="A345" s="306"/>
      <c r="B345" s="343"/>
      <c r="C345" s="342"/>
      <c r="D345" s="306"/>
      <c r="E345" s="306"/>
      <c r="F345" s="306"/>
      <c r="G345" s="306"/>
    </row>
    <row r="346" spans="1:8" s="310" customFormat="1" x14ac:dyDescent="0.15">
      <c r="A346" s="342">
        <v>200479452</v>
      </c>
      <c r="B346" s="343">
        <v>42998</v>
      </c>
      <c r="C346" s="342" t="s">
        <v>1146</v>
      </c>
      <c r="D346" s="342" t="s">
        <v>1147</v>
      </c>
      <c r="E346" s="306">
        <v>76.2</v>
      </c>
      <c r="F346" s="309">
        <v>187.51</v>
      </c>
      <c r="G346" s="309">
        <f>F346/E346</f>
        <v>2.4607611548556427</v>
      </c>
    </row>
    <row r="347" spans="1:8" s="318" customFormat="1" ht="14" thickBot="1" x14ac:dyDescent="0.2">
      <c r="A347" s="311"/>
      <c r="B347" s="343"/>
      <c r="C347" s="344"/>
      <c r="D347" s="313" t="s">
        <v>1187</v>
      </c>
      <c r="E347" s="313">
        <f>SUM(E346:E346)</f>
        <v>76.2</v>
      </c>
      <c r="F347" s="316">
        <f>SUM(F346)</f>
        <v>187.51</v>
      </c>
      <c r="G347" s="311"/>
    </row>
    <row r="348" spans="1:8" s="310" customFormat="1" ht="14" thickTop="1" x14ac:dyDescent="0.15">
      <c r="A348" s="306"/>
      <c r="B348" s="343"/>
      <c r="C348" s="342"/>
      <c r="D348" s="306"/>
      <c r="E348" s="306"/>
      <c r="F348" s="306"/>
      <c r="G348" s="306"/>
    </row>
    <row r="349" spans="1:8" s="310" customFormat="1" x14ac:dyDescent="0.15">
      <c r="A349" s="342" t="s">
        <v>1204</v>
      </c>
      <c r="B349" s="343">
        <v>43011</v>
      </c>
      <c r="C349" s="342" t="s">
        <v>1152</v>
      </c>
      <c r="D349" s="342" t="s">
        <v>1186</v>
      </c>
      <c r="E349" s="306">
        <v>70.900000000000006</v>
      </c>
      <c r="F349" s="309">
        <v>170.09</v>
      </c>
      <c r="G349" s="309">
        <f t="shared" ref="G349:G350" si="7">F349/E349</f>
        <v>2.39901269393512</v>
      </c>
    </row>
    <row r="350" spans="1:8" s="310" customFormat="1" x14ac:dyDescent="0.15">
      <c r="A350" s="342">
        <v>200465946</v>
      </c>
      <c r="B350" s="343">
        <v>43034</v>
      </c>
      <c r="C350" s="342" t="s">
        <v>1146</v>
      </c>
      <c r="D350" s="342" t="s">
        <v>1165</v>
      </c>
      <c r="E350" s="306">
        <v>24.9</v>
      </c>
      <c r="F350" s="309">
        <v>75.17</v>
      </c>
      <c r="G350" s="309">
        <f t="shared" si="7"/>
        <v>3.0188755020080325</v>
      </c>
    </row>
    <row r="351" spans="1:8" s="318" customFormat="1" ht="14" thickBot="1" x14ac:dyDescent="0.2">
      <c r="A351" s="311"/>
      <c r="B351" s="343"/>
      <c r="C351" s="344"/>
      <c r="D351" s="313" t="s">
        <v>1190</v>
      </c>
      <c r="E351" s="313">
        <f>SUM(E349:E350)</f>
        <v>95.800000000000011</v>
      </c>
      <c r="F351" s="316">
        <f>SUM(F349:F350)</f>
        <v>245.26</v>
      </c>
      <c r="G351" s="311"/>
    </row>
    <row r="352" spans="1:8" s="310" customFormat="1" ht="14" thickTop="1" x14ac:dyDescent="0.15">
      <c r="A352" s="306"/>
      <c r="B352" s="343"/>
      <c r="C352" s="342"/>
      <c r="D352" s="306"/>
      <c r="E352" s="306"/>
      <c r="F352" s="306"/>
      <c r="G352" s="306"/>
    </row>
    <row r="353" spans="1:7" s="310" customFormat="1" x14ac:dyDescent="0.15">
      <c r="A353" s="342">
        <v>200479452</v>
      </c>
      <c r="B353" s="343">
        <v>43040</v>
      </c>
      <c r="C353" s="342" t="s">
        <v>1146</v>
      </c>
      <c r="D353" s="342" t="s">
        <v>1147</v>
      </c>
      <c r="E353" s="306">
        <v>76.8</v>
      </c>
      <c r="F353" s="309">
        <v>203.57</v>
      </c>
      <c r="G353" s="309">
        <f t="shared" ref="G353:G364" si="8">F353/E353</f>
        <v>2.6506510416666669</v>
      </c>
    </row>
    <row r="354" spans="1:7" s="310" customFormat="1" ht="12" customHeight="1" x14ac:dyDescent="0.15">
      <c r="A354" s="342">
        <v>200478562</v>
      </c>
      <c r="B354" s="343">
        <v>43048</v>
      </c>
      <c r="C354" s="342" t="s">
        <v>1146</v>
      </c>
      <c r="D354" s="342" t="s">
        <v>1149</v>
      </c>
      <c r="E354" s="306">
        <v>448.8</v>
      </c>
      <c r="F354" s="309">
        <v>1139.01</v>
      </c>
      <c r="G354" s="309">
        <f t="shared" si="8"/>
        <v>2.5379010695187163</v>
      </c>
    </row>
    <row r="355" spans="1:7" s="310" customFormat="1" x14ac:dyDescent="0.15">
      <c r="A355" s="342">
        <v>300911801</v>
      </c>
      <c r="B355" s="343">
        <v>43048</v>
      </c>
      <c r="C355" s="342" t="s">
        <v>1152</v>
      </c>
      <c r="D355" s="342" t="s">
        <v>1198</v>
      </c>
      <c r="E355" s="306">
        <v>38</v>
      </c>
      <c r="F355" s="309">
        <v>113.96</v>
      </c>
      <c r="G355" s="309">
        <f t="shared" si="8"/>
        <v>2.9989473684210526</v>
      </c>
    </row>
    <row r="356" spans="1:7" s="310" customFormat="1" x14ac:dyDescent="0.15">
      <c r="A356" s="342">
        <v>300179801</v>
      </c>
      <c r="B356" s="343">
        <v>43048</v>
      </c>
      <c r="C356" s="342" t="s">
        <v>1152</v>
      </c>
      <c r="D356" s="342" t="s">
        <v>1200</v>
      </c>
      <c r="E356" s="306">
        <v>152</v>
      </c>
      <c r="F356" s="309">
        <v>455.85</v>
      </c>
      <c r="G356" s="309">
        <f t="shared" si="8"/>
        <v>2.999013157894737</v>
      </c>
    </row>
    <row r="357" spans="1:7" s="310" customFormat="1" x14ac:dyDescent="0.15">
      <c r="A357" s="342">
        <v>300195301</v>
      </c>
      <c r="B357" s="343">
        <v>43048</v>
      </c>
      <c r="C357" s="342" t="s">
        <v>1152</v>
      </c>
      <c r="D357" s="342" t="s">
        <v>1208</v>
      </c>
      <c r="E357" s="306">
        <v>168.9</v>
      </c>
      <c r="F357" s="309">
        <v>506.53</v>
      </c>
      <c r="G357" s="309">
        <f t="shared" si="8"/>
        <v>2.9989934872705741</v>
      </c>
    </row>
    <row r="358" spans="1:7" s="310" customFormat="1" x14ac:dyDescent="0.15">
      <c r="A358" s="342">
        <v>300452701</v>
      </c>
      <c r="B358" s="343">
        <v>43048</v>
      </c>
      <c r="C358" s="342" t="s">
        <v>1152</v>
      </c>
      <c r="D358" s="342" t="s">
        <v>1162</v>
      </c>
      <c r="E358" s="306">
        <v>82.4</v>
      </c>
      <c r="F358" s="309">
        <v>247.12</v>
      </c>
      <c r="G358" s="309">
        <f t="shared" si="8"/>
        <v>2.9990291262135922</v>
      </c>
    </row>
    <row r="359" spans="1:7" s="310" customFormat="1" x14ac:dyDescent="0.15">
      <c r="A359" s="342">
        <v>300982001</v>
      </c>
      <c r="B359" s="343">
        <v>43048</v>
      </c>
      <c r="C359" s="342" t="s">
        <v>1152</v>
      </c>
      <c r="D359" s="342" t="s">
        <v>1176</v>
      </c>
      <c r="E359" s="306">
        <v>41.6</v>
      </c>
      <c r="F359" s="309">
        <v>124.76</v>
      </c>
      <c r="G359" s="309">
        <f t="shared" si="8"/>
        <v>2.9990384615384618</v>
      </c>
    </row>
    <row r="360" spans="1:7" s="310" customFormat="1" x14ac:dyDescent="0.15">
      <c r="A360" s="342">
        <v>301106601</v>
      </c>
      <c r="B360" s="343">
        <v>43048</v>
      </c>
      <c r="C360" s="342" t="s">
        <v>1152</v>
      </c>
      <c r="D360" s="342" t="s">
        <v>1189</v>
      </c>
      <c r="E360" s="306">
        <v>64.2</v>
      </c>
      <c r="F360" s="309">
        <v>192.54</v>
      </c>
      <c r="G360" s="309">
        <f t="shared" si="8"/>
        <v>2.9990654205607474</v>
      </c>
    </row>
    <row r="361" spans="1:7" s="310" customFormat="1" x14ac:dyDescent="0.15">
      <c r="A361" s="342">
        <v>300163801</v>
      </c>
      <c r="B361" s="343">
        <v>43048</v>
      </c>
      <c r="C361" s="342" t="s">
        <v>1152</v>
      </c>
      <c r="D361" s="342" t="s">
        <v>1181</v>
      </c>
      <c r="E361" s="306">
        <v>135.80000000000001</v>
      </c>
      <c r="F361" s="309">
        <v>407.26</v>
      </c>
      <c r="G361" s="309">
        <f t="shared" si="8"/>
        <v>2.998969072164948</v>
      </c>
    </row>
    <row r="362" spans="1:7" s="310" customFormat="1" x14ac:dyDescent="0.15">
      <c r="A362" s="342">
        <v>356419401</v>
      </c>
      <c r="B362" s="343">
        <v>43048</v>
      </c>
      <c r="C362" s="342" t="s">
        <v>1152</v>
      </c>
      <c r="D362" s="342" t="s">
        <v>1178</v>
      </c>
      <c r="E362" s="306">
        <v>49.5</v>
      </c>
      <c r="F362" s="309">
        <v>148.44999999999999</v>
      </c>
      <c r="G362" s="309">
        <f t="shared" si="8"/>
        <v>2.9989898989898989</v>
      </c>
    </row>
    <row r="363" spans="1:7" s="310" customFormat="1" x14ac:dyDescent="0.15">
      <c r="A363" s="342">
        <v>300343001</v>
      </c>
      <c r="B363" s="343">
        <v>43048</v>
      </c>
      <c r="C363" s="342" t="s">
        <v>1152</v>
      </c>
      <c r="D363" s="342" t="s">
        <v>1183</v>
      </c>
      <c r="E363" s="306">
        <v>140.80000000000001</v>
      </c>
      <c r="F363" s="309">
        <v>422.26</v>
      </c>
      <c r="G363" s="309">
        <f t="shared" si="8"/>
        <v>2.9990056818181814</v>
      </c>
    </row>
    <row r="364" spans="1:7" s="310" customFormat="1" x14ac:dyDescent="0.15">
      <c r="A364" s="342">
        <v>200479452</v>
      </c>
      <c r="B364" s="343">
        <v>43067</v>
      </c>
      <c r="C364" s="342" t="s">
        <v>1146</v>
      </c>
      <c r="D364" s="342" t="s">
        <v>1147</v>
      </c>
      <c r="E364" s="306">
        <v>112.6</v>
      </c>
      <c r="F364" s="309">
        <v>297.06</v>
      </c>
      <c r="G364" s="309">
        <f t="shared" si="8"/>
        <v>2.6381882770870337</v>
      </c>
    </row>
    <row r="365" spans="1:7" s="318" customFormat="1" ht="14" thickBot="1" x14ac:dyDescent="0.2">
      <c r="A365" s="311"/>
      <c r="B365" s="343"/>
      <c r="C365" s="344"/>
      <c r="D365" s="313" t="s">
        <v>1191</v>
      </c>
      <c r="E365" s="313">
        <f>SUM(E353:E364)</f>
        <v>1511.3999999999999</v>
      </c>
      <c r="F365" s="316">
        <f>SUM(F353:F364)</f>
        <v>4258.3700000000008</v>
      </c>
      <c r="G365" s="311"/>
    </row>
    <row r="366" spans="1:7" s="310" customFormat="1" ht="14" thickTop="1" x14ac:dyDescent="0.15">
      <c r="A366" s="306"/>
      <c r="B366" s="343"/>
      <c r="C366" s="342"/>
      <c r="D366" s="306"/>
      <c r="E366" s="306"/>
      <c r="F366" s="306"/>
      <c r="G366" s="306"/>
    </row>
    <row r="367" spans="1:7" s="310" customFormat="1" ht="12" customHeight="1" x14ac:dyDescent="0.15">
      <c r="A367" s="342">
        <v>200478562</v>
      </c>
      <c r="B367" s="343">
        <v>43097</v>
      </c>
      <c r="C367" s="342" t="s">
        <v>1146</v>
      </c>
      <c r="D367" s="342" t="s">
        <v>1149</v>
      </c>
      <c r="E367" s="306">
        <v>302.2</v>
      </c>
      <c r="F367" s="309">
        <v>838.92</v>
      </c>
      <c r="G367" s="309">
        <f t="shared" ref="G367:G371" si="9">F367/E367</f>
        <v>2.7760423560555925</v>
      </c>
    </row>
    <row r="368" spans="1:7" s="310" customFormat="1" x14ac:dyDescent="0.15">
      <c r="A368" s="342">
        <v>200479452</v>
      </c>
      <c r="B368" s="343">
        <v>43070</v>
      </c>
      <c r="C368" s="342" t="s">
        <v>1146</v>
      </c>
      <c r="D368" s="342" t="s">
        <v>1147</v>
      </c>
      <c r="E368" s="306">
        <v>4.7</v>
      </c>
      <c r="F368" s="309">
        <v>28.28</v>
      </c>
      <c r="G368" s="309">
        <f t="shared" si="9"/>
        <v>6.0170212765957443</v>
      </c>
    </row>
    <row r="369" spans="1:7" s="310" customFormat="1" x14ac:dyDescent="0.15">
      <c r="A369" s="342">
        <v>200479452</v>
      </c>
      <c r="B369" s="343">
        <v>43075</v>
      </c>
      <c r="C369" s="342" t="s">
        <v>1146</v>
      </c>
      <c r="D369" s="342" t="s">
        <v>1147</v>
      </c>
      <c r="E369" s="306">
        <v>37.4</v>
      </c>
      <c r="F369" s="309">
        <v>115.71</v>
      </c>
      <c r="G369" s="309">
        <f t="shared" si="9"/>
        <v>3.0938502673796791</v>
      </c>
    </row>
    <row r="370" spans="1:7" s="310" customFormat="1" x14ac:dyDescent="0.15">
      <c r="A370" s="342">
        <v>200479452</v>
      </c>
      <c r="B370" s="343">
        <v>43085</v>
      </c>
      <c r="C370" s="342" t="s">
        <v>1146</v>
      </c>
      <c r="D370" s="342" t="s">
        <v>1147</v>
      </c>
      <c r="E370" s="306">
        <v>84.4</v>
      </c>
      <c r="F370" s="309">
        <v>245.02</v>
      </c>
      <c r="G370" s="309">
        <f t="shared" si="9"/>
        <v>2.9030805687203789</v>
      </c>
    </row>
    <row r="371" spans="1:7" s="310" customFormat="1" x14ac:dyDescent="0.15">
      <c r="A371" s="342">
        <v>200479452</v>
      </c>
      <c r="B371" s="343">
        <v>43097</v>
      </c>
      <c r="C371" s="342" t="s">
        <v>1146</v>
      </c>
      <c r="D371" s="342" t="s">
        <v>1147</v>
      </c>
      <c r="E371" s="306">
        <v>92.5</v>
      </c>
      <c r="F371" s="309">
        <v>267.74</v>
      </c>
      <c r="G371" s="309">
        <f t="shared" si="9"/>
        <v>2.8944864864864868</v>
      </c>
    </row>
    <row r="372" spans="1:7" s="318" customFormat="1" ht="14" thickBot="1" x14ac:dyDescent="0.2">
      <c r="A372" s="311"/>
      <c r="B372" s="343"/>
      <c r="C372" s="344"/>
      <c r="D372" s="313" t="s">
        <v>1192</v>
      </c>
      <c r="E372" s="313">
        <f>SUM(E367:E371)</f>
        <v>521.19999999999993</v>
      </c>
      <c r="F372" s="316">
        <f>SUM(F367:F371)</f>
        <v>1495.67</v>
      </c>
      <c r="G372" s="311"/>
    </row>
    <row r="373" spans="1:7" s="310" customFormat="1" ht="14" thickTop="1" x14ac:dyDescent="0.15">
      <c r="A373" s="306"/>
      <c r="B373" s="343"/>
      <c r="C373" s="342"/>
      <c r="D373" s="306"/>
      <c r="E373" s="306"/>
      <c r="F373" s="306"/>
      <c r="G373" s="306"/>
    </row>
    <row r="374" spans="1:7" s="310" customFormat="1" x14ac:dyDescent="0.15">
      <c r="A374" s="342">
        <v>200479452</v>
      </c>
      <c r="B374" s="343">
        <v>43102</v>
      </c>
      <c r="C374" s="342" t="s">
        <v>1146</v>
      </c>
      <c r="D374" s="342" t="s">
        <v>1147</v>
      </c>
      <c r="E374" s="306">
        <v>38.6</v>
      </c>
      <c r="F374" s="309">
        <v>122.61</v>
      </c>
      <c r="G374" s="309">
        <f t="shared" ref="G374:G377" si="10">F374/E374</f>
        <v>3.1764248704663212</v>
      </c>
    </row>
    <row r="375" spans="1:7" s="310" customFormat="1" x14ac:dyDescent="0.15">
      <c r="A375" s="342">
        <v>200479452</v>
      </c>
      <c r="B375" s="343">
        <v>43109</v>
      </c>
      <c r="C375" s="342" t="s">
        <v>1146</v>
      </c>
      <c r="D375" s="342" t="s">
        <v>1147</v>
      </c>
      <c r="E375" s="306">
        <v>59.8</v>
      </c>
      <c r="F375" s="309">
        <v>182.89</v>
      </c>
      <c r="G375" s="309">
        <f t="shared" si="10"/>
        <v>3.0583612040133779</v>
      </c>
    </row>
    <row r="376" spans="1:7" s="310" customFormat="1" x14ac:dyDescent="0.15">
      <c r="A376" s="342">
        <v>200479452</v>
      </c>
      <c r="B376" s="343">
        <v>43116</v>
      </c>
      <c r="C376" s="342" t="s">
        <v>1146</v>
      </c>
      <c r="D376" s="342" t="s">
        <v>1147</v>
      </c>
      <c r="E376" s="306">
        <v>52.2</v>
      </c>
      <c r="F376" s="309">
        <v>169.9</v>
      </c>
      <c r="G376" s="309">
        <f t="shared" si="10"/>
        <v>3.2547892720306515</v>
      </c>
    </row>
    <row r="377" spans="1:7" s="310" customFormat="1" x14ac:dyDescent="0.15">
      <c r="A377" s="342">
        <v>200479452</v>
      </c>
      <c r="B377" s="343">
        <v>43124</v>
      </c>
      <c r="C377" s="342" t="s">
        <v>1146</v>
      </c>
      <c r="D377" s="342" t="s">
        <v>1147</v>
      </c>
      <c r="E377" s="306">
        <v>47.7</v>
      </c>
      <c r="F377" s="309">
        <v>158.61000000000001</v>
      </c>
      <c r="G377" s="309">
        <f t="shared" si="10"/>
        <v>3.3251572327044028</v>
      </c>
    </row>
    <row r="378" spans="1:7" s="318" customFormat="1" ht="14" thickBot="1" x14ac:dyDescent="0.2">
      <c r="A378" s="311"/>
      <c r="B378" s="343"/>
      <c r="C378" s="344"/>
      <c r="D378" s="313" t="s">
        <v>1193</v>
      </c>
      <c r="E378" s="313">
        <f>SUM(E374:E377)</f>
        <v>198.3</v>
      </c>
      <c r="F378" s="316">
        <f>SUM(F374:F377)</f>
        <v>634.01</v>
      </c>
      <c r="G378" s="311"/>
    </row>
    <row r="379" spans="1:7" s="310" customFormat="1" ht="14" thickTop="1" x14ac:dyDescent="0.15">
      <c r="A379" s="306"/>
      <c r="B379" s="343"/>
      <c r="C379" s="342"/>
      <c r="D379" s="306"/>
      <c r="E379" s="306"/>
      <c r="F379" s="306"/>
      <c r="G379" s="306"/>
    </row>
    <row r="380" spans="1:7" s="310" customFormat="1" x14ac:dyDescent="0.15">
      <c r="A380" s="342" t="s">
        <v>1207</v>
      </c>
      <c r="B380" s="343">
        <v>43138</v>
      </c>
      <c r="C380" s="342" t="s">
        <v>1152</v>
      </c>
      <c r="D380" s="342" t="s">
        <v>1186</v>
      </c>
      <c r="E380" s="306">
        <v>184.5</v>
      </c>
      <c r="F380" s="309">
        <v>560.70000000000005</v>
      </c>
      <c r="G380" s="309">
        <f t="shared" ref="G380:G388" si="11">F380/E380</f>
        <v>3.0390243902439025</v>
      </c>
    </row>
    <row r="381" spans="1:7" s="310" customFormat="1" ht="12" customHeight="1" x14ac:dyDescent="0.15">
      <c r="A381" s="342">
        <v>200478562</v>
      </c>
      <c r="B381" s="343">
        <v>43132</v>
      </c>
      <c r="C381" s="342" t="s">
        <v>1146</v>
      </c>
      <c r="D381" s="342" t="s">
        <v>1149</v>
      </c>
      <c r="E381" s="306">
        <v>218.2</v>
      </c>
      <c r="F381" s="309">
        <v>715.69</v>
      </c>
      <c r="G381" s="309">
        <f t="shared" si="11"/>
        <v>3.2799725022914763</v>
      </c>
    </row>
    <row r="382" spans="1:7" s="310" customFormat="1" ht="12" customHeight="1" x14ac:dyDescent="0.15">
      <c r="A382" s="342">
        <v>200466344</v>
      </c>
      <c r="B382" s="343">
        <v>43152</v>
      </c>
      <c r="C382" s="342" t="s">
        <v>1146</v>
      </c>
      <c r="D382" s="342" t="s">
        <v>1166</v>
      </c>
      <c r="E382" s="306">
        <v>106.7</v>
      </c>
      <c r="F382" s="309">
        <v>358.34</v>
      </c>
      <c r="G382" s="309">
        <f t="shared" si="11"/>
        <v>3.3583880037488281</v>
      </c>
    </row>
    <row r="383" spans="1:7" s="310" customFormat="1" x14ac:dyDescent="0.15">
      <c r="A383" s="342">
        <v>200479452</v>
      </c>
      <c r="B383" s="343">
        <v>43147</v>
      </c>
      <c r="C383" s="342" t="s">
        <v>1146</v>
      </c>
      <c r="D383" s="342" t="s">
        <v>1209</v>
      </c>
      <c r="E383" s="306">
        <v>48</v>
      </c>
      <c r="F383" s="309">
        <v>170.14</v>
      </c>
      <c r="G383" s="309">
        <f t="shared" si="11"/>
        <v>3.5445833333333332</v>
      </c>
    </row>
    <row r="384" spans="1:7" s="310" customFormat="1" x14ac:dyDescent="0.15">
      <c r="A384" s="342">
        <v>200479452</v>
      </c>
      <c r="B384" s="343">
        <v>43152</v>
      </c>
      <c r="C384" s="342" t="s">
        <v>1146</v>
      </c>
      <c r="D384" s="342" t="s">
        <v>1209</v>
      </c>
      <c r="E384" s="306">
        <v>149.19999999999999</v>
      </c>
      <c r="F384" s="309">
        <v>494.74</v>
      </c>
      <c r="G384" s="309">
        <f t="shared" si="11"/>
        <v>3.3159517426273464</v>
      </c>
    </row>
    <row r="385" spans="1:8" s="310" customFormat="1" x14ac:dyDescent="0.15">
      <c r="A385" s="342">
        <v>200479452</v>
      </c>
      <c r="B385" s="343">
        <v>43132</v>
      </c>
      <c r="C385" s="342" t="s">
        <v>1146</v>
      </c>
      <c r="D385" s="342" t="s">
        <v>1147</v>
      </c>
      <c r="E385" s="306">
        <v>57.8</v>
      </c>
      <c r="F385" s="309">
        <v>201.28</v>
      </c>
      <c r="G385" s="309">
        <f t="shared" si="11"/>
        <v>3.4823529411764707</v>
      </c>
    </row>
    <row r="386" spans="1:8" s="310" customFormat="1" x14ac:dyDescent="0.15">
      <c r="A386" s="342">
        <v>200479452</v>
      </c>
      <c r="B386" s="343">
        <v>43137</v>
      </c>
      <c r="C386" s="342" t="s">
        <v>1146</v>
      </c>
      <c r="D386" s="342" t="s">
        <v>1147</v>
      </c>
      <c r="E386" s="306">
        <v>30.5</v>
      </c>
      <c r="F386" s="309">
        <v>113.73</v>
      </c>
      <c r="G386" s="309">
        <f t="shared" si="11"/>
        <v>3.7288524590163936</v>
      </c>
    </row>
    <row r="387" spans="1:8" s="310" customFormat="1" x14ac:dyDescent="0.15">
      <c r="A387" s="342">
        <v>200479452</v>
      </c>
      <c r="B387" s="343">
        <v>43145</v>
      </c>
      <c r="C387" s="342" t="s">
        <v>1146</v>
      </c>
      <c r="D387" s="342" t="s">
        <v>1147</v>
      </c>
      <c r="E387" s="306">
        <v>82.4</v>
      </c>
      <c r="F387" s="309">
        <v>281.08</v>
      </c>
      <c r="G387" s="309">
        <f t="shared" si="11"/>
        <v>3.4111650485436891</v>
      </c>
    </row>
    <row r="388" spans="1:8" s="310" customFormat="1" x14ac:dyDescent="0.15">
      <c r="A388" s="342">
        <v>200479452</v>
      </c>
      <c r="B388" s="343">
        <v>43152</v>
      </c>
      <c r="C388" s="342" t="s">
        <v>1146</v>
      </c>
      <c r="D388" s="342" t="s">
        <v>1147</v>
      </c>
      <c r="E388" s="306">
        <v>47.7</v>
      </c>
      <c r="F388" s="309">
        <v>168.99</v>
      </c>
      <c r="G388" s="309">
        <f t="shared" si="11"/>
        <v>3.5427672955974843</v>
      </c>
    </row>
    <row r="389" spans="1:8" s="318" customFormat="1" ht="14" thickBot="1" x14ac:dyDescent="0.2">
      <c r="A389" s="311"/>
      <c r="B389" s="343"/>
      <c r="C389" s="344"/>
      <c r="D389" s="313" t="s">
        <v>1194</v>
      </c>
      <c r="E389" s="313">
        <f>SUM(E380:E388)</f>
        <v>924.99999999999989</v>
      </c>
      <c r="F389" s="316">
        <f>SUM(F380:F388)</f>
        <v>3064.6899999999996</v>
      </c>
      <c r="G389" s="311"/>
    </row>
    <row r="390" spans="1:8" s="310" customFormat="1" ht="14" thickTop="1" x14ac:dyDescent="0.15">
      <c r="A390" s="306"/>
      <c r="B390" s="343"/>
      <c r="C390" s="342"/>
      <c r="D390" s="306"/>
      <c r="E390" s="306"/>
      <c r="F390" s="306"/>
      <c r="G390" s="306"/>
    </row>
    <row r="391" spans="1:8" s="310" customFormat="1" ht="12" customHeight="1" x14ac:dyDescent="0.15">
      <c r="A391" s="342">
        <v>200478562</v>
      </c>
      <c r="B391" s="343">
        <v>43161</v>
      </c>
      <c r="C391" s="342" t="s">
        <v>1146</v>
      </c>
      <c r="D391" s="342" t="s">
        <v>1149</v>
      </c>
      <c r="E391" s="306">
        <v>205.5</v>
      </c>
      <c r="F391" s="309">
        <v>716.54</v>
      </c>
      <c r="G391" s="309">
        <f t="shared" ref="G391:G397" si="12">F391/E391</f>
        <v>3.4868126520681262</v>
      </c>
      <c r="H391" s="336"/>
    </row>
    <row r="392" spans="1:8" s="310" customFormat="1" ht="12" customHeight="1" x14ac:dyDescent="0.15">
      <c r="A392" s="342">
        <v>200478562</v>
      </c>
      <c r="B392" s="343">
        <v>43182</v>
      </c>
      <c r="C392" s="342" t="s">
        <v>1146</v>
      </c>
      <c r="D392" s="342" t="s">
        <v>1149</v>
      </c>
      <c r="E392" s="306">
        <v>106.5</v>
      </c>
      <c r="F392" s="309">
        <v>385.33</v>
      </c>
      <c r="G392" s="309">
        <f t="shared" si="12"/>
        <v>3.6181220657276993</v>
      </c>
      <c r="H392" s="336"/>
    </row>
    <row r="393" spans="1:8" s="310" customFormat="1" x14ac:dyDescent="0.15">
      <c r="A393" s="342">
        <v>200479452</v>
      </c>
      <c r="B393" s="343">
        <v>43176</v>
      </c>
      <c r="C393" s="342" t="s">
        <v>1146</v>
      </c>
      <c r="D393" s="342" t="s">
        <v>1209</v>
      </c>
      <c r="E393" s="306">
        <v>148.9</v>
      </c>
      <c r="F393" s="309">
        <v>534.54</v>
      </c>
      <c r="G393" s="309">
        <f t="shared" si="12"/>
        <v>3.5899261249160506</v>
      </c>
    </row>
    <row r="394" spans="1:8" s="310" customFormat="1" x14ac:dyDescent="0.15">
      <c r="A394" s="342">
        <v>200479452</v>
      </c>
      <c r="B394" s="343">
        <v>43161</v>
      </c>
      <c r="C394" s="342" t="s">
        <v>1146</v>
      </c>
      <c r="D394" s="342" t="s">
        <v>1147</v>
      </c>
      <c r="E394" s="306">
        <v>30.7</v>
      </c>
      <c r="F394" s="309">
        <v>120.58</v>
      </c>
      <c r="G394" s="309">
        <f t="shared" si="12"/>
        <v>3.9276872964169383</v>
      </c>
      <c r="H394" s="336"/>
    </row>
    <row r="395" spans="1:8" s="310" customFormat="1" x14ac:dyDescent="0.15">
      <c r="A395" s="342">
        <v>200479452</v>
      </c>
      <c r="B395" s="343">
        <v>43166</v>
      </c>
      <c r="C395" s="342" t="s">
        <v>1146</v>
      </c>
      <c r="D395" s="342" t="s">
        <v>1147</v>
      </c>
      <c r="E395" s="306">
        <v>28.1</v>
      </c>
      <c r="F395" s="309">
        <v>111.71</v>
      </c>
      <c r="G395" s="309">
        <f t="shared" si="12"/>
        <v>3.975444839857651</v>
      </c>
      <c r="H395" s="336"/>
    </row>
    <row r="396" spans="1:8" s="310" customFormat="1" x14ac:dyDescent="0.15">
      <c r="A396" s="342">
        <v>200479452</v>
      </c>
      <c r="B396" s="343">
        <v>43175</v>
      </c>
      <c r="C396" s="342" t="s">
        <v>1146</v>
      </c>
      <c r="D396" s="342" t="s">
        <v>1147</v>
      </c>
      <c r="E396" s="306">
        <v>74.2</v>
      </c>
      <c r="F396" s="309">
        <v>271.39</v>
      </c>
      <c r="G396" s="309">
        <f t="shared" si="12"/>
        <v>3.6575471698113202</v>
      </c>
      <c r="H396" s="336"/>
    </row>
    <row r="397" spans="1:8" s="310" customFormat="1" x14ac:dyDescent="0.15">
      <c r="A397" s="342">
        <v>200479452</v>
      </c>
      <c r="B397" s="343">
        <v>43189</v>
      </c>
      <c r="C397" s="342" t="s">
        <v>1146</v>
      </c>
      <c r="D397" s="342" t="s">
        <v>1147</v>
      </c>
      <c r="E397" s="306">
        <v>74.5</v>
      </c>
      <c r="F397" s="309">
        <v>264.11</v>
      </c>
      <c r="G397" s="309">
        <f t="shared" si="12"/>
        <v>3.5451006711409399</v>
      </c>
      <c r="H397" s="336"/>
    </row>
    <row r="398" spans="1:8" s="318" customFormat="1" ht="14" thickBot="1" x14ac:dyDescent="0.2">
      <c r="A398" s="311"/>
      <c r="B398" s="343"/>
      <c r="C398" s="344"/>
      <c r="D398" s="313" t="s">
        <v>1195</v>
      </c>
      <c r="E398" s="313">
        <f>SUM(E391:E397)</f>
        <v>668.4</v>
      </c>
      <c r="F398" s="316">
        <f>SUM(F391:F397)</f>
        <v>2404.1999999999998</v>
      </c>
      <c r="G398" s="311"/>
    </row>
    <row r="399" spans="1:8" s="310" customFormat="1" ht="14" thickTop="1" x14ac:dyDescent="0.15">
      <c r="A399" s="306"/>
      <c r="B399" s="343"/>
      <c r="C399" s="342"/>
      <c r="D399" s="306"/>
      <c r="E399" s="306"/>
      <c r="F399" s="306"/>
      <c r="G399" s="306"/>
    </row>
    <row r="400" spans="1:8" s="310" customFormat="1" ht="12" customHeight="1" x14ac:dyDescent="0.15">
      <c r="A400" s="342">
        <v>200478562</v>
      </c>
      <c r="B400" s="343">
        <v>43214</v>
      </c>
      <c r="C400" s="342" t="s">
        <v>1146</v>
      </c>
      <c r="D400" s="342" t="s">
        <v>1149</v>
      </c>
      <c r="E400" s="306">
        <v>100.5</v>
      </c>
      <c r="F400" s="309">
        <v>354.61</v>
      </c>
      <c r="G400" s="309">
        <f t="shared" ref="G400:G402" si="13">F400/E400</f>
        <v>3.5284577114427864</v>
      </c>
      <c r="H400" s="336"/>
    </row>
    <row r="401" spans="1:8" s="310" customFormat="1" x14ac:dyDescent="0.15">
      <c r="A401" s="342">
        <v>200479452</v>
      </c>
      <c r="B401" s="343">
        <v>43195</v>
      </c>
      <c r="C401" s="342" t="s">
        <v>1146</v>
      </c>
      <c r="D401" s="342" t="s">
        <v>1209</v>
      </c>
      <c r="E401" s="306">
        <v>165.6</v>
      </c>
      <c r="F401" s="309">
        <v>567.44000000000005</v>
      </c>
      <c r="G401" s="309">
        <f t="shared" si="13"/>
        <v>3.4265700483091792</v>
      </c>
    </row>
    <row r="402" spans="1:8" s="310" customFormat="1" x14ac:dyDescent="0.15">
      <c r="A402" s="342">
        <v>200479452</v>
      </c>
      <c r="B402" s="343">
        <v>43214</v>
      </c>
      <c r="C402" s="342" t="s">
        <v>1146</v>
      </c>
      <c r="D402" s="342" t="s">
        <v>1147</v>
      </c>
      <c r="E402" s="306">
        <v>66</v>
      </c>
      <c r="F402" s="309">
        <v>238.38</v>
      </c>
      <c r="G402" s="309">
        <f t="shared" si="13"/>
        <v>3.6118181818181818</v>
      </c>
      <c r="H402" s="336"/>
    </row>
    <row r="403" spans="1:8" s="318" customFormat="1" ht="14" thickBot="1" x14ac:dyDescent="0.2">
      <c r="A403" s="311"/>
      <c r="B403" s="343"/>
      <c r="C403" s="344"/>
      <c r="D403" s="313" t="s">
        <v>1196</v>
      </c>
      <c r="E403" s="313">
        <f>SUM(E400:E402)</f>
        <v>332.1</v>
      </c>
      <c r="F403" s="316">
        <f>SUM(F400:F402)</f>
        <v>1160.43</v>
      </c>
      <c r="G403" s="311"/>
    </row>
    <row r="404" spans="1:8" s="310" customFormat="1" ht="14" thickTop="1" x14ac:dyDescent="0.15">
      <c r="A404" s="306"/>
      <c r="B404" s="343"/>
      <c r="C404" s="342"/>
      <c r="D404" s="306"/>
      <c r="E404" s="306"/>
      <c r="F404" s="306"/>
      <c r="G404" s="306"/>
    </row>
    <row r="405" spans="1:8" s="310" customFormat="1" x14ac:dyDescent="0.15">
      <c r="A405" s="342">
        <v>200479452</v>
      </c>
      <c r="B405" s="343">
        <v>43221</v>
      </c>
      <c r="C405" s="342" t="s">
        <v>1146</v>
      </c>
      <c r="D405" s="342" t="s">
        <v>1147</v>
      </c>
      <c r="E405" s="306">
        <v>123.2</v>
      </c>
      <c r="F405" s="309">
        <v>428.41</v>
      </c>
      <c r="G405" s="309">
        <f>F405/E405</f>
        <v>3.4773538961038963</v>
      </c>
      <c r="H405" s="336"/>
    </row>
    <row r="406" spans="1:8" s="318" customFormat="1" ht="14" thickBot="1" x14ac:dyDescent="0.2">
      <c r="A406" s="311"/>
      <c r="B406" s="343"/>
      <c r="C406" s="344"/>
      <c r="D406" s="313" t="s">
        <v>1173</v>
      </c>
      <c r="E406" s="313">
        <f>SUM(E405:E405)</f>
        <v>123.2</v>
      </c>
      <c r="F406" s="316">
        <f>SUM(F405)</f>
        <v>428.41</v>
      </c>
      <c r="G406" s="311"/>
    </row>
    <row r="407" spans="1:8" s="318" customFormat="1" ht="14" thickTop="1" x14ac:dyDescent="0.15">
      <c r="A407" s="311"/>
      <c r="B407" s="343"/>
      <c r="C407" s="344"/>
      <c r="D407" s="345"/>
      <c r="E407" s="345"/>
      <c r="F407" s="346"/>
      <c r="G407" s="311"/>
    </row>
    <row r="408" spans="1:8" s="310" customFormat="1" ht="12" customHeight="1" x14ac:dyDescent="0.15">
      <c r="A408" s="342">
        <v>200478562</v>
      </c>
      <c r="B408" s="343">
        <v>43259</v>
      </c>
      <c r="C408" s="342" t="s">
        <v>1146</v>
      </c>
      <c r="D408" s="342" t="s">
        <v>1149</v>
      </c>
      <c r="E408" s="306">
        <v>88.5</v>
      </c>
      <c r="F408" s="309">
        <v>310.08999999999997</v>
      </c>
      <c r="G408" s="309">
        <f>F408/E408</f>
        <v>3.5038418079096041</v>
      </c>
      <c r="H408" s="336"/>
    </row>
    <row r="409" spans="1:8" s="318" customFormat="1" ht="14" thickBot="1" x14ac:dyDescent="0.2">
      <c r="A409" s="311"/>
      <c r="B409" s="343"/>
      <c r="C409" s="344"/>
      <c r="D409" s="313" t="s">
        <v>1174</v>
      </c>
      <c r="E409" s="313">
        <f>SUM(E408:E408)</f>
        <v>88.5</v>
      </c>
      <c r="F409" s="316">
        <f>SUM(F408)</f>
        <v>310.08999999999997</v>
      </c>
    </row>
    <row r="410" spans="1:8" ht="14" thickTop="1" x14ac:dyDescent="0.15"/>
  </sheetData>
  <mergeCells count="5">
    <mergeCell ref="A67:F67"/>
    <mergeCell ref="A135:F135"/>
    <mergeCell ref="A200:F200"/>
    <mergeCell ref="A267:F267"/>
    <mergeCell ref="A337:F337"/>
  </mergeCells>
  <pageMargins left="0.75" right="0.75" top="1" bottom="1" header="0.5" footer="0.5"/>
  <pageSetup scale="60" orientation="landscape" r:id="rId1"/>
  <headerFooter alignWithMargins="0">
    <oddHeader>&amp;C&amp;"Arial,Bold"&amp;14 30-700500-570202</oddHeader>
    <oddFooter>&amp;L&amp;D</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pageSetUpPr fitToPage="1"/>
  </sheetPr>
  <dimension ref="A1:V111"/>
  <sheetViews>
    <sheetView workbookViewId="0">
      <pane ySplit="2" topLeftCell="A79" activePane="bottomLeft" state="frozen"/>
      <selection pane="bottomLeft" activeCell="D82" activeCellId="3" sqref="D55 D68 D75 D82"/>
    </sheetView>
  </sheetViews>
  <sheetFormatPr baseColWidth="10" defaultColWidth="8.83203125" defaultRowHeight="13" x14ac:dyDescent="0.15"/>
  <cols>
    <col min="1" max="1" width="11.33203125" style="259" customWidth="1"/>
    <col min="2" max="2" width="18.1640625" style="259" customWidth="1"/>
    <col min="3" max="3" width="9.83203125" style="259" bestFit="1" customWidth="1"/>
    <col min="4" max="4" width="8" style="262" customWidth="1"/>
    <col min="5" max="5" width="16.6640625" style="263" customWidth="1"/>
    <col min="6" max="6" width="10.5" style="264" customWidth="1"/>
    <col min="7" max="7" width="11.5" style="264" customWidth="1"/>
    <col min="8" max="8" width="11.6640625" style="259" customWidth="1"/>
    <col min="9" max="9" width="10.6640625" style="259" bestFit="1" customWidth="1"/>
    <col min="10" max="10" width="12.1640625" style="259" bestFit="1" customWidth="1"/>
    <col min="11" max="11" width="9.83203125" style="259" bestFit="1" customWidth="1"/>
    <col min="12" max="12" width="9" style="259" bestFit="1" customWidth="1"/>
    <col min="13" max="13" width="9.1640625" style="259" bestFit="1" customWidth="1"/>
    <col min="14" max="14" width="9" style="259" bestFit="1" customWidth="1"/>
    <col min="15" max="15" width="8.83203125" style="259"/>
    <col min="16" max="16" width="10.6640625" style="264" bestFit="1" customWidth="1"/>
    <col min="17" max="16384" width="8.83203125" style="259"/>
  </cols>
  <sheetData>
    <row r="1" spans="1:22" x14ac:dyDescent="0.15">
      <c r="B1" s="260" t="s">
        <v>1094</v>
      </c>
      <c r="C1" s="261" t="s">
        <v>1121</v>
      </c>
    </row>
    <row r="2" spans="1:22" ht="24" x14ac:dyDescent="0.15">
      <c r="A2" s="265" t="s">
        <v>1096</v>
      </c>
      <c r="B2" s="266"/>
      <c r="C2" s="267" t="s">
        <v>1122</v>
      </c>
      <c r="D2" s="268" t="s">
        <v>1123</v>
      </c>
      <c r="E2" s="269" t="s">
        <v>1099</v>
      </c>
      <c r="F2" s="270" t="s">
        <v>1124</v>
      </c>
      <c r="G2" s="270" t="s">
        <v>1125</v>
      </c>
      <c r="H2" s="271" t="s">
        <v>1126</v>
      </c>
      <c r="I2" s="272" t="s">
        <v>1127</v>
      </c>
      <c r="J2" s="272" t="s">
        <v>1128</v>
      </c>
      <c r="K2" s="272" t="s">
        <v>1129</v>
      </c>
      <c r="L2" s="272" t="s">
        <v>1130</v>
      </c>
      <c r="M2" s="271" t="s">
        <v>1131</v>
      </c>
      <c r="N2" s="271" t="s">
        <v>1132</v>
      </c>
      <c r="O2" s="273" t="s">
        <v>1133</v>
      </c>
      <c r="P2" s="274"/>
    </row>
    <row r="3" spans="1:22" s="275" customFormat="1" x14ac:dyDescent="0.15">
      <c r="D3" s="276"/>
      <c r="E3" s="277"/>
      <c r="F3" s="278"/>
      <c r="G3" s="278"/>
      <c r="P3" s="278"/>
    </row>
    <row r="4" spans="1:22" s="275" customFormat="1" x14ac:dyDescent="0.15">
      <c r="D4" s="276"/>
      <c r="E4" s="277"/>
      <c r="F4" s="278"/>
      <c r="G4" s="278"/>
      <c r="P4" s="278"/>
    </row>
    <row r="5" spans="1:22" s="275" customFormat="1" x14ac:dyDescent="0.15">
      <c r="A5" s="279">
        <v>40896</v>
      </c>
      <c r="B5" s="275" t="s">
        <v>1134</v>
      </c>
      <c r="C5" s="275">
        <v>520368</v>
      </c>
      <c r="D5" s="276">
        <v>6322</v>
      </c>
      <c r="E5" s="277">
        <v>905389951</v>
      </c>
      <c r="F5" s="278">
        <f>2.6036+0.0019</f>
        <v>2.6055000000000001</v>
      </c>
      <c r="G5" s="278">
        <v>16307.37</v>
      </c>
      <c r="P5" s="278"/>
    </row>
    <row r="6" spans="1:22" s="275" customFormat="1" x14ac:dyDescent="0.15">
      <c r="A6" s="279">
        <v>40897</v>
      </c>
      <c r="B6" s="275" t="s">
        <v>1134</v>
      </c>
      <c r="C6" s="275">
        <v>520496</v>
      </c>
      <c r="D6" s="276">
        <v>7290</v>
      </c>
      <c r="E6" s="277">
        <v>905397948</v>
      </c>
      <c r="F6" s="278">
        <f>2.612+0.0019</f>
        <v>2.6139000000000001</v>
      </c>
      <c r="G6" s="278">
        <v>18864.919999999998</v>
      </c>
      <c r="P6" s="278"/>
    </row>
    <row r="7" spans="1:22" s="275" customFormat="1" x14ac:dyDescent="0.15">
      <c r="A7" s="279">
        <v>40897</v>
      </c>
      <c r="B7" s="275" t="s">
        <v>1134</v>
      </c>
      <c r="C7" s="275">
        <v>520639</v>
      </c>
      <c r="D7" s="276">
        <v>8277</v>
      </c>
      <c r="E7" s="277">
        <v>905401362</v>
      </c>
      <c r="F7" s="278">
        <f>2.4941+0.0019</f>
        <v>2.496</v>
      </c>
      <c r="G7" s="278">
        <v>20452.96</v>
      </c>
      <c r="P7" s="278"/>
    </row>
    <row r="8" spans="1:22" s="275" customFormat="1" x14ac:dyDescent="0.15">
      <c r="A8" s="279">
        <v>40904</v>
      </c>
      <c r="B8" s="275" t="s">
        <v>1134</v>
      </c>
      <c r="C8" s="275">
        <v>520840</v>
      </c>
      <c r="D8" s="276">
        <v>7315</v>
      </c>
      <c r="E8" s="277">
        <v>905412676</v>
      </c>
      <c r="F8" s="278">
        <f>2.4727+0.0019</f>
        <v>2.4746000000000001</v>
      </c>
      <c r="G8" s="278">
        <v>17920.82</v>
      </c>
      <c r="P8" s="278"/>
    </row>
    <row r="9" spans="1:22" s="275" customFormat="1" x14ac:dyDescent="0.15">
      <c r="A9" s="279">
        <v>40904</v>
      </c>
      <c r="B9" s="275" t="s">
        <v>1134</v>
      </c>
      <c r="C9" s="275">
        <v>521065</v>
      </c>
      <c r="D9" s="276">
        <v>8271</v>
      </c>
      <c r="E9" s="277">
        <v>905420782</v>
      </c>
      <c r="F9" s="278">
        <f>2.5763+0.0019</f>
        <v>2.5781999999999998</v>
      </c>
      <c r="G9" s="278">
        <v>21111.200000000001</v>
      </c>
      <c r="P9" s="278"/>
    </row>
    <row r="10" spans="1:22" s="275" customFormat="1" x14ac:dyDescent="0.15">
      <c r="A10" s="279">
        <v>40904</v>
      </c>
      <c r="B10" s="275" t="s">
        <v>1134</v>
      </c>
      <c r="C10" s="275">
        <v>521182</v>
      </c>
      <c r="D10" s="276">
        <v>8310</v>
      </c>
      <c r="E10" s="277">
        <v>905424603</v>
      </c>
      <c r="F10" s="278">
        <f>2.5858+0.0019</f>
        <v>2.5876999999999999</v>
      </c>
      <c r="G10" s="278">
        <v>21288.91</v>
      </c>
      <c r="P10" s="278"/>
    </row>
    <row r="11" spans="1:22" s="275" customFormat="1" ht="14" thickBot="1" x14ac:dyDescent="0.2">
      <c r="B11" s="280" t="s">
        <v>1111</v>
      </c>
      <c r="C11" s="281"/>
      <c r="D11" s="282">
        <f>SUM(D5:D10)</f>
        <v>45785</v>
      </c>
      <c r="E11" s="283"/>
      <c r="F11" s="284"/>
      <c r="G11" s="285">
        <f>SUM(G5:G10)</f>
        <v>115946.18000000001</v>
      </c>
      <c r="H11" s="286">
        <f>G11-SUM(I11:N11)</f>
        <v>80002.864200000011</v>
      </c>
      <c r="I11" s="286">
        <f>G11*20%</f>
        <v>23189.236000000004</v>
      </c>
      <c r="J11" s="286">
        <f>G11*3%</f>
        <v>3478.3854000000001</v>
      </c>
      <c r="K11" s="286">
        <f>G11*3%</f>
        <v>3478.3854000000001</v>
      </c>
      <c r="L11" s="286">
        <f>G11*1%</f>
        <v>1159.4618</v>
      </c>
      <c r="M11" s="286">
        <f>G11*3%</f>
        <v>3478.3854000000001</v>
      </c>
      <c r="N11" s="286">
        <f>G11*1%</f>
        <v>1159.4618</v>
      </c>
      <c r="O11" s="286"/>
      <c r="P11" s="286">
        <f>SUM(H11:O11)</f>
        <v>115946.18000000002</v>
      </c>
      <c r="Q11" s="287"/>
      <c r="R11" s="287"/>
      <c r="S11" s="287"/>
      <c r="T11" s="287"/>
      <c r="U11" s="287"/>
      <c r="V11" s="287"/>
    </row>
    <row r="12" spans="1:22" s="275" customFormat="1" ht="14" thickTop="1" x14ac:dyDescent="0.15">
      <c r="D12" s="276"/>
      <c r="E12" s="277"/>
      <c r="F12" s="278"/>
      <c r="G12" s="278"/>
      <c r="P12" s="278"/>
    </row>
    <row r="13" spans="1:22" s="275" customFormat="1" x14ac:dyDescent="0.15">
      <c r="D13" s="276"/>
      <c r="E13" s="277"/>
      <c r="F13" s="278"/>
      <c r="G13" s="278"/>
      <c r="P13" s="278"/>
    </row>
    <row r="14" spans="1:22" s="275" customFormat="1" x14ac:dyDescent="0.15">
      <c r="A14" s="279">
        <v>40896</v>
      </c>
      <c r="B14" s="275" t="s">
        <v>1134</v>
      </c>
      <c r="C14" s="275">
        <v>521655</v>
      </c>
      <c r="D14" s="276">
        <v>8272</v>
      </c>
      <c r="E14" s="277">
        <v>905446521</v>
      </c>
      <c r="F14" s="278">
        <f>2.5582+0.0019</f>
        <v>2.5600999999999998</v>
      </c>
      <c r="G14" s="278">
        <v>20965.54</v>
      </c>
      <c r="P14" s="278"/>
    </row>
    <row r="15" spans="1:22" s="275" customFormat="1" x14ac:dyDescent="0.15">
      <c r="A15" s="279">
        <v>40917</v>
      </c>
      <c r="B15" s="275" t="s">
        <v>1134</v>
      </c>
      <c r="C15" s="275">
        <v>521848</v>
      </c>
      <c r="D15" s="276">
        <v>8283</v>
      </c>
      <c r="E15" s="277">
        <v>905462937</v>
      </c>
      <c r="F15" s="278">
        <f>2.5832+0.0019</f>
        <v>2.5851000000000002</v>
      </c>
      <c r="G15" s="278">
        <v>21198.42</v>
      </c>
      <c r="P15" s="278"/>
    </row>
    <row r="16" spans="1:22" s="275" customFormat="1" x14ac:dyDescent="0.15">
      <c r="A16" s="288">
        <v>40919</v>
      </c>
      <c r="B16" s="275" t="s">
        <v>1134</v>
      </c>
      <c r="C16" s="275">
        <v>522169</v>
      </c>
      <c r="D16" s="276">
        <v>7328</v>
      </c>
      <c r="E16" s="277">
        <v>905468972</v>
      </c>
      <c r="F16" s="278">
        <f>2.6998+0.0019</f>
        <v>2.7017000000000002</v>
      </c>
      <c r="G16" s="278">
        <v>19600.21</v>
      </c>
      <c r="P16" s="278"/>
    </row>
    <row r="17" spans="1:22" s="275" customFormat="1" x14ac:dyDescent="0.15">
      <c r="A17" s="279">
        <v>40919</v>
      </c>
      <c r="B17" s="275" t="s">
        <v>1134</v>
      </c>
      <c r="C17" s="275">
        <v>522294</v>
      </c>
      <c r="D17" s="276">
        <v>8283</v>
      </c>
      <c r="E17" s="277">
        <v>905480517</v>
      </c>
      <c r="F17" s="278">
        <f>2.6784+0.0019</f>
        <v>2.6802999999999999</v>
      </c>
      <c r="G17" s="278">
        <v>21979.08</v>
      </c>
      <c r="P17" s="278"/>
    </row>
    <row r="18" spans="1:22" s="275" customFormat="1" x14ac:dyDescent="0.15">
      <c r="A18" s="279">
        <v>40925</v>
      </c>
      <c r="B18" s="275" t="s">
        <v>1134</v>
      </c>
      <c r="C18" s="275">
        <v>522505</v>
      </c>
      <c r="D18" s="276">
        <v>8274</v>
      </c>
      <c r="E18" s="277">
        <v>905488426</v>
      </c>
      <c r="F18" s="278">
        <f>2.6784+0.0019</f>
        <v>2.6802999999999999</v>
      </c>
      <c r="G18" s="278">
        <v>21955.19</v>
      </c>
      <c r="P18" s="278"/>
    </row>
    <row r="19" spans="1:22" s="275" customFormat="1" x14ac:dyDescent="0.15">
      <c r="A19" s="279">
        <v>40931</v>
      </c>
      <c r="B19" s="275" t="s">
        <v>1134</v>
      </c>
      <c r="C19" s="275">
        <v>523180</v>
      </c>
      <c r="D19" s="276">
        <v>8256</v>
      </c>
      <c r="E19" s="277">
        <v>905511424</v>
      </c>
      <c r="F19" s="278">
        <f>2.6879+0.0019</f>
        <v>2.6898</v>
      </c>
      <c r="G19" s="278">
        <v>21986.36</v>
      </c>
      <c r="P19" s="278"/>
    </row>
    <row r="20" spans="1:22" s="275" customFormat="1" x14ac:dyDescent="0.15">
      <c r="A20" s="279">
        <v>40932</v>
      </c>
      <c r="B20" s="275" t="s">
        <v>1134</v>
      </c>
      <c r="C20" s="275">
        <v>523361</v>
      </c>
      <c r="D20" s="276">
        <v>8282</v>
      </c>
      <c r="E20" s="277">
        <v>905525339</v>
      </c>
      <c r="F20" s="278">
        <f>2.6808+0.0019</f>
        <v>2.6827000000000001</v>
      </c>
      <c r="G20" s="278">
        <v>21996.11</v>
      </c>
      <c r="P20" s="278"/>
    </row>
    <row r="21" spans="1:22" s="275" customFormat="1" x14ac:dyDescent="0.15">
      <c r="A21" s="279">
        <v>40935</v>
      </c>
      <c r="B21" s="275" t="s">
        <v>1134</v>
      </c>
      <c r="C21" s="275">
        <v>523543</v>
      </c>
      <c r="D21" s="276">
        <v>8283</v>
      </c>
      <c r="E21" s="277">
        <v>905535219</v>
      </c>
      <c r="F21" s="278">
        <f>2.6713+0.0019</f>
        <v>2.6732</v>
      </c>
      <c r="G21" s="278">
        <v>21920.86</v>
      </c>
      <c r="P21" s="278"/>
    </row>
    <row r="22" spans="1:22" s="275" customFormat="1" x14ac:dyDescent="0.15">
      <c r="A22" s="279">
        <v>40935</v>
      </c>
      <c r="B22" s="275" t="s">
        <v>1134</v>
      </c>
      <c r="C22" s="275">
        <v>523744</v>
      </c>
      <c r="D22" s="276">
        <v>8284</v>
      </c>
      <c r="E22" s="277">
        <v>905535220</v>
      </c>
      <c r="F22" s="278">
        <f>2.6713+0.0019</f>
        <v>2.6732</v>
      </c>
      <c r="G22" s="278">
        <v>21923.5</v>
      </c>
      <c r="P22" s="278"/>
    </row>
    <row r="23" spans="1:22" s="275" customFormat="1" x14ac:dyDescent="0.15">
      <c r="A23" s="279">
        <v>40939</v>
      </c>
      <c r="B23" s="275" t="s">
        <v>1134</v>
      </c>
      <c r="C23" s="275">
        <v>523864</v>
      </c>
      <c r="D23" s="276">
        <v>8268</v>
      </c>
      <c r="E23" s="277">
        <v>905543876</v>
      </c>
      <c r="F23" s="278">
        <f>2.6939+0.0019</f>
        <v>2.6958000000000002</v>
      </c>
      <c r="G23" s="278">
        <v>22066.15</v>
      </c>
      <c r="P23" s="278"/>
    </row>
    <row r="24" spans="1:22" s="275" customFormat="1" ht="14" thickBot="1" x14ac:dyDescent="0.2">
      <c r="B24" s="280" t="s">
        <v>1111</v>
      </c>
      <c r="C24" s="281"/>
      <c r="D24" s="282">
        <f>SUM(D14:D23)</f>
        <v>81813</v>
      </c>
      <c r="E24" s="283"/>
      <c r="F24" s="284"/>
      <c r="G24" s="285">
        <f>SUM(G14:G23)</f>
        <v>215591.42</v>
      </c>
      <c r="H24" s="286">
        <f>G24-SUM(I24:N24)</f>
        <v>148758.07980000001</v>
      </c>
      <c r="I24" s="286">
        <f>G24*20%</f>
        <v>43118.284000000007</v>
      </c>
      <c r="J24" s="286">
        <f>G24*3%</f>
        <v>6467.7426000000005</v>
      </c>
      <c r="K24" s="286">
        <f>G24*3%</f>
        <v>6467.7426000000005</v>
      </c>
      <c r="L24" s="286">
        <f>G24*1%</f>
        <v>2155.9142000000002</v>
      </c>
      <c r="M24" s="286">
        <f>G24*3%</f>
        <v>6467.7426000000005</v>
      </c>
      <c r="N24" s="286">
        <f>G24*1%</f>
        <v>2155.9142000000002</v>
      </c>
      <c r="O24" s="286"/>
      <c r="P24" s="286">
        <f>SUM(H24:O24)</f>
        <v>215591.42</v>
      </c>
      <c r="Q24" s="287"/>
      <c r="R24" s="287"/>
      <c r="S24" s="287"/>
      <c r="T24" s="287"/>
      <c r="U24" s="287"/>
      <c r="V24" s="287"/>
    </row>
    <row r="25" spans="1:22" s="275" customFormat="1" ht="14" thickTop="1" x14ac:dyDescent="0.15">
      <c r="D25" s="276"/>
      <c r="E25" s="277"/>
      <c r="F25" s="278"/>
      <c r="G25" s="278"/>
      <c r="P25" s="278"/>
    </row>
    <row r="26" spans="1:22" s="275" customFormat="1" x14ac:dyDescent="0.15">
      <c r="A26" s="279">
        <v>40945</v>
      </c>
      <c r="B26" s="275" t="s">
        <v>1134</v>
      </c>
      <c r="C26" s="275">
        <v>524335</v>
      </c>
      <c r="D26" s="276">
        <v>8294</v>
      </c>
      <c r="E26" s="277">
        <v>905564227</v>
      </c>
      <c r="F26" s="278">
        <f>2.7129+0.0019</f>
        <v>2.7147999999999999</v>
      </c>
      <c r="G26" s="278">
        <v>22291.54</v>
      </c>
      <c r="P26" s="278"/>
    </row>
    <row r="27" spans="1:22" s="275" customFormat="1" x14ac:dyDescent="0.15">
      <c r="A27" s="288">
        <v>40953</v>
      </c>
      <c r="B27" s="275" t="s">
        <v>1134</v>
      </c>
      <c r="C27" s="275">
        <v>524863</v>
      </c>
      <c r="D27" s="276">
        <v>8273</v>
      </c>
      <c r="E27" s="277">
        <v>905592579</v>
      </c>
      <c r="F27" s="278">
        <f>2.7784+0.0019</f>
        <v>2.7803</v>
      </c>
      <c r="G27" s="278">
        <v>23001.42</v>
      </c>
      <c r="P27" s="278"/>
    </row>
    <row r="28" spans="1:22" s="275" customFormat="1" x14ac:dyDescent="0.15">
      <c r="A28" s="279">
        <v>40953</v>
      </c>
      <c r="B28" s="275" t="s">
        <v>1134</v>
      </c>
      <c r="C28" s="275">
        <v>524914</v>
      </c>
      <c r="D28" s="276">
        <v>8280</v>
      </c>
      <c r="E28" s="277">
        <v>905596972</v>
      </c>
      <c r="F28" s="278">
        <f>2.832+0.0019</f>
        <v>2.8338999999999999</v>
      </c>
      <c r="G28" s="278">
        <v>23464.69</v>
      </c>
      <c r="P28" s="278"/>
    </row>
    <row r="29" spans="1:22" s="275" customFormat="1" x14ac:dyDescent="0.15">
      <c r="A29" s="279">
        <v>40953</v>
      </c>
      <c r="B29" s="275" t="s">
        <v>1134</v>
      </c>
      <c r="C29" s="275">
        <v>525531</v>
      </c>
      <c r="D29" s="276">
        <v>8276</v>
      </c>
      <c r="E29" s="277">
        <v>905619876</v>
      </c>
      <c r="F29" s="278">
        <f>2.8915+0.0019</f>
        <v>2.8934000000000002</v>
      </c>
      <c r="G29" s="278">
        <v>23945.77</v>
      </c>
      <c r="P29" s="278"/>
    </row>
    <row r="30" spans="1:22" s="275" customFormat="1" x14ac:dyDescent="0.15">
      <c r="A30" s="279">
        <v>40954</v>
      </c>
      <c r="B30" s="275" t="s">
        <v>1134</v>
      </c>
      <c r="D30" s="276"/>
      <c r="E30" s="277">
        <v>1405141242</v>
      </c>
      <c r="F30" s="278"/>
      <c r="G30" s="278">
        <v>577.73</v>
      </c>
      <c r="H30" s="275" t="s">
        <v>1135</v>
      </c>
      <c r="P30" s="278"/>
    </row>
    <row r="31" spans="1:22" s="275" customFormat="1" x14ac:dyDescent="0.15">
      <c r="A31" s="279">
        <v>40962</v>
      </c>
      <c r="B31" s="275" t="s">
        <v>1134</v>
      </c>
      <c r="C31" s="275">
        <v>525713</v>
      </c>
      <c r="D31" s="276">
        <v>8266</v>
      </c>
      <c r="E31" s="277">
        <v>905627629</v>
      </c>
      <c r="F31" s="278">
        <f>2.8832+0.0019</f>
        <v>2.8851</v>
      </c>
      <c r="G31" s="278">
        <v>23848.240000000002</v>
      </c>
      <c r="P31" s="278"/>
    </row>
    <row r="32" spans="1:22" s="275" customFormat="1" ht="14" thickBot="1" x14ac:dyDescent="0.2">
      <c r="B32" s="280" t="s">
        <v>1136</v>
      </c>
      <c r="C32" s="281"/>
      <c r="D32" s="282">
        <f>SUM(D25:D31)</f>
        <v>41389</v>
      </c>
      <c r="E32" s="283"/>
      <c r="F32" s="284"/>
      <c r="G32" s="285">
        <f>SUM(G25:G31)</f>
        <v>117129.39</v>
      </c>
      <c r="H32" s="286">
        <f>G32-SUM(I32:N32)</f>
        <v>80819.2791</v>
      </c>
      <c r="I32" s="286">
        <f>G32*20%</f>
        <v>23425.878000000001</v>
      </c>
      <c r="J32" s="286">
        <f>G32*3%</f>
        <v>3513.8816999999999</v>
      </c>
      <c r="K32" s="286">
        <f>G32*3%</f>
        <v>3513.8816999999999</v>
      </c>
      <c r="L32" s="286">
        <f>G32*1%</f>
        <v>1171.2939000000001</v>
      </c>
      <c r="M32" s="286">
        <f>G32*3%</f>
        <v>3513.8816999999999</v>
      </c>
      <c r="N32" s="286">
        <f>G32*1%</f>
        <v>1171.2939000000001</v>
      </c>
      <c r="O32" s="286"/>
      <c r="P32" s="286">
        <f>SUM(H32:O32)</f>
        <v>117129.39</v>
      </c>
      <c r="Q32" s="287"/>
      <c r="R32" s="287"/>
      <c r="S32" s="287"/>
      <c r="T32" s="287"/>
      <c r="U32" s="287"/>
      <c r="V32" s="287"/>
    </row>
    <row r="33" spans="1:22" s="275" customFormat="1" ht="14" thickTop="1" x14ac:dyDescent="0.15">
      <c r="D33" s="276"/>
      <c r="E33" s="277"/>
      <c r="F33" s="278"/>
      <c r="G33" s="278"/>
      <c r="P33" s="278"/>
    </row>
    <row r="34" spans="1:22" s="275" customFormat="1" x14ac:dyDescent="0.15">
      <c r="D34" s="276"/>
      <c r="E34" s="277"/>
      <c r="F34" s="278"/>
      <c r="G34" s="278"/>
      <c r="P34" s="278"/>
    </row>
    <row r="35" spans="1:22" s="275" customFormat="1" x14ac:dyDescent="0.15">
      <c r="A35" s="279">
        <v>40987</v>
      </c>
      <c r="B35" s="275" t="s">
        <v>1134</v>
      </c>
      <c r="C35" s="275">
        <v>527490</v>
      </c>
      <c r="D35" s="276">
        <v>8266</v>
      </c>
      <c r="E35" s="277">
        <v>905564227</v>
      </c>
      <c r="F35" s="278">
        <f>3.0308+0.0019</f>
        <v>3.0327000000000002</v>
      </c>
      <c r="G35" s="278">
        <v>25068.3</v>
      </c>
      <c r="P35" s="278"/>
    </row>
    <row r="36" spans="1:22" s="275" customFormat="1" ht="14" thickBot="1" x14ac:dyDescent="0.2">
      <c r="B36" s="280" t="s">
        <v>1105</v>
      </c>
      <c r="C36" s="281"/>
      <c r="D36" s="282">
        <f>SUM(D35)</f>
        <v>8266</v>
      </c>
      <c r="E36" s="283"/>
      <c r="F36" s="284"/>
      <c r="G36" s="285">
        <f>SUM(G35)</f>
        <v>25068.3</v>
      </c>
      <c r="H36" s="286">
        <f>G36-SUM(I36:N36)</f>
        <v>17297.127</v>
      </c>
      <c r="I36" s="286">
        <f>G36*20%</f>
        <v>5013.66</v>
      </c>
      <c r="J36" s="286">
        <f>G36*3%</f>
        <v>752.04899999999998</v>
      </c>
      <c r="K36" s="286">
        <f>G36*3%</f>
        <v>752.04899999999998</v>
      </c>
      <c r="L36" s="286">
        <f>G36*1%</f>
        <v>250.68299999999999</v>
      </c>
      <c r="M36" s="286">
        <f>G36*3%</f>
        <v>752.04899999999998</v>
      </c>
      <c r="N36" s="286">
        <f>G36*1%</f>
        <v>250.68299999999999</v>
      </c>
      <c r="O36" s="286"/>
      <c r="P36" s="286">
        <f>SUM(H36:O36)</f>
        <v>25068.3</v>
      </c>
      <c r="Q36" s="287"/>
      <c r="R36" s="287"/>
      <c r="S36" s="287"/>
      <c r="T36" s="287"/>
      <c r="U36" s="287"/>
      <c r="V36" s="287"/>
    </row>
    <row r="37" spans="1:22" s="275" customFormat="1" ht="14" thickTop="1" x14ac:dyDescent="0.15">
      <c r="D37" s="276"/>
      <c r="E37" s="277"/>
      <c r="F37" s="278"/>
      <c r="G37" s="278"/>
      <c r="P37" s="278"/>
    </row>
    <row r="38" spans="1:22" s="275" customFormat="1" x14ac:dyDescent="0.15">
      <c r="D38" s="276"/>
      <c r="E38" s="277"/>
      <c r="F38" s="278"/>
      <c r="G38" s="278"/>
      <c r="P38" s="278"/>
    </row>
    <row r="39" spans="1:22" s="275" customFormat="1" ht="14" thickBot="1" x14ac:dyDescent="0.2">
      <c r="D39" s="276"/>
      <c r="E39" s="277"/>
      <c r="F39" s="278"/>
      <c r="G39" s="278"/>
      <c r="P39" s="278"/>
    </row>
    <row r="40" spans="1:22" s="275" customFormat="1" ht="26" thickBot="1" x14ac:dyDescent="0.3">
      <c r="A40" s="798" t="s">
        <v>4</v>
      </c>
      <c r="B40" s="799"/>
      <c r="C40" s="799"/>
      <c r="D40" s="799"/>
      <c r="E40" s="799"/>
      <c r="F40" s="799"/>
      <c r="G40" s="799"/>
      <c r="H40" s="799"/>
      <c r="I40" s="799"/>
      <c r="J40" s="799"/>
      <c r="K40" s="799"/>
      <c r="L40" s="799"/>
      <c r="M40" s="799"/>
      <c r="N40" s="799"/>
      <c r="O40" s="799"/>
      <c r="P40" s="800"/>
    </row>
    <row r="41" spans="1:22" s="275" customFormat="1" x14ac:dyDescent="0.15">
      <c r="D41" s="276"/>
      <c r="E41" s="277"/>
      <c r="F41" s="278"/>
      <c r="G41" s="278"/>
      <c r="P41" s="278"/>
    </row>
    <row r="42" spans="1:22" s="275" customFormat="1" x14ac:dyDescent="0.15">
      <c r="A42" s="279">
        <v>41282</v>
      </c>
      <c r="B42" s="275" t="s">
        <v>1134</v>
      </c>
      <c r="C42" s="275">
        <v>550656</v>
      </c>
      <c r="D42" s="276">
        <v>8287</v>
      </c>
      <c r="E42" s="277">
        <v>906579632</v>
      </c>
      <c r="F42" s="278">
        <f>2.7924+0.0019</f>
        <v>2.7943000000000002</v>
      </c>
      <c r="G42" s="278">
        <v>23156.37</v>
      </c>
      <c r="P42" s="278"/>
    </row>
    <row r="43" spans="1:22" s="275" customFormat="1" x14ac:dyDescent="0.15">
      <c r="A43" s="279">
        <v>41303</v>
      </c>
      <c r="B43" s="275" t="s">
        <v>1134</v>
      </c>
      <c r="C43" s="275">
        <v>552084</v>
      </c>
      <c r="D43" s="276">
        <v>8300</v>
      </c>
      <c r="E43" s="277">
        <v>906626463</v>
      </c>
      <c r="F43" s="278">
        <f>2.7877+0.0019</f>
        <v>2.7896000000000001</v>
      </c>
      <c r="G43" s="278">
        <v>23153.68</v>
      </c>
      <c r="P43" s="278"/>
    </row>
    <row r="44" spans="1:22" s="275" customFormat="1" ht="14" thickBot="1" x14ac:dyDescent="0.2">
      <c r="B44" s="280" t="s">
        <v>1108</v>
      </c>
      <c r="C44" s="281"/>
      <c r="D44" s="282">
        <f>SUM(D42:D43)</f>
        <v>16587</v>
      </c>
      <c r="E44" s="283"/>
      <c r="F44" s="284"/>
      <c r="G44" s="285">
        <f>SUM(G42:G43)</f>
        <v>46310.05</v>
      </c>
      <c r="H44" s="286">
        <f>G44-SUM(I44:N44)</f>
        <v>31953.934500000003</v>
      </c>
      <c r="I44" s="286">
        <f>G44*20%</f>
        <v>9262.01</v>
      </c>
      <c r="J44" s="286">
        <f>G44*3%</f>
        <v>1389.3015</v>
      </c>
      <c r="K44" s="286">
        <f>G44*3%</f>
        <v>1389.3015</v>
      </c>
      <c r="L44" s="286">
        <f>G44*1%</f>
        <v>463.10050000000001</v>
      </c>
      <c r="M44" s="286">
        <f>G44*3%</f>
        <v>1389.3015</v>
      </c>
      <c r="N44" s="286">
        <f>G44*1%</f>
        <v>463.10050000000001</v>
      </c>
      <c r="O44" s="286"/>
      <c r="P44" s="286">
        <f>SUM(H44:O44)</f>
        <v>46310.05000000001</v>
      </c>
      <c r="Q44" s="287"/>
      <c r="R44" s="287"/>
      <c r="S44" s="287"/>
      <c r="T44" s="287"/>
      <c r="U44" s="287"/>
      <c r="V44" s="287"/>
    </row>
    <row r="45" spans="1:22" s="275" customFormat="1" ht="14" thickTop="1" x14ac:dyDescent="0.15">
      <c r="D45" s="276"/>
      <c r="E45" s="277"/>
      <c r="F45" s="278"/>
      <c r="G45" s="278"/>
      <c r="P45" s="278"/>
    </row>
    <row r="46" spans="1:22" s="275" customFormat="1" x14ac:dyDescent="0.15">
      <c r="A46" s="279">
        <v>41299</v>
      </c>
      <c r="B46" s="275" t="s">
        <v>1134</v>
      </c>
      <c r="C46" s="275">
        <v>552386</v>
      </c>
      <c r="D46" s="276">
        <v>8299</v>
      </c>
      <c r="E46" s="277">
        <v>906641950</v>
      </c>
      <c r="F46" s="278">
        <f>2.8247+0.0019</f>
        <v>2.8266</v>
      </c>
      <c r="G46" s="278">
        <v>23223.54</v>
      </c>
      <c r="P46" s="278"/>
    </row>
    <row r="47" spans="1:22" s="275" customFormat="1" x14ac:dyDescent="0.15">
      <c r="A47" s="279">
        <v>41300</v>
      </c>
      <c r="B47" s="275" t="s">
        <v>1134</v>
      </c>
      <c r="C47" s="275">
        <v>552487</v>
      </c>
      <c r="D47" s="276">
        <v>8303</v>
      </c>
      <c r="E47" s="277">
        <v>906641951</v>
      </c>
      <c r="F47" s="278">
        <f>2.8791+0.0019</f>
        <v>2.8810000000000002</v>
      </c>
      <c r="G47" s="278">
        <v>23681.9</v>
      </c>
      <c r="P47" s="278"/>
    </row>
    <row r="48" spans="1:22" s="275" customFormat="1" x14ac:dyDescent="0.15">
      <c r="A48" s="279">
        <v>41305</v>
      </c>
      <c r="B48" s="275" t="s">
        <v>1134</v>
      </c>
      <c r="C48" s="275">
        <v>552859</v>
      </c>
      <c r="D48" s="276">
        <v>8307</v>
      </c>
      <c r="E48" s="277">
        <v>906655226</v>
      </c>
      <c r="F48" s="278">
        <f>2.9588+0.0019</f>
        <v>2.9607000000000001</v>
      </c>
      <c r="G48" s="278">
        <v>24348.74</v>
      </c>
      <c r="P48" s="278"/>
    </row>
    <row r="49" spans="1:22" s="275" customFormat="1" ht="14" thickBot="1" x14ac:dyDescent="0.2">
      <c r="B49" s="280" t="s">
        <v>1136</v>
      </c>
      <c r="C49" s="281"/>
      <c r="D49" s="282">
        <f>SUM(D46:D48)</f>
        <v>24909</v>
      </c>
      <c r="E49" s="283"/>
      <c r="F49" s="284"/>
      <c r="G49" s="285">
        <f>SUM(G46:G48)</f>
        <v>71254.180000000008</v>
      </c>
      <c r="H49" s="286">
        <f>G49-SUM(I49:N49)</f>
        <v>49165.3842</v>
      </c>
      <c r="I49" s="286">
        <f>G49*20%</f>
        <v>14250.836000000003</v>
      </c>
      <c r="J49" s="286">
        <f>G49*3%</f>
        <v>2137.6254000000004</v>
      </c>
      <c r="K49" s="286">
        <f>G49*3%</f>
        <v>2137.6254000000004</v>
      </c>
      <c r="L49" s="286">
        <f>G49*1%</f>
        <v>712.54180000000008</v>
      </c>
      <c r="M49" s="286">
        <f>G49*3%</f>
        <v>2137.6254000000004</v>
      </c>
      <c r="N49" s="286">
        <f>G49*1%</f>
        <v>712.54180000000008</v>
      </c>
      <c r="O49" s="286"/>
      <c r="P49" s="286">
        <f>SUM(H49:O49)</f>
        <v>71254.180000000022</v>
      </c>
      <c r="Q49" s="287"/>
      <c r="R49" s="287"/>
      <c r="S49" s="287"/>
      <c r="T49" s="287"/>
      <c r="U49" s="287"/>
      <c r="V49" s="287"/>
    </row>
    <row r="50" spans="1:22" s="275" customFormat="1" ht="15" thickTop="1" thickBot="1" x14ac:dyDescent="0.2">
      <c r="D50" s="276"/>
      <c r="E50" s="277"/>
      <c r="F50" s="278"/>
      <c r="G50" s="278"/>
      <c r="P50" s="278"/>
    </row>
    <row r="51" spans="1:22" s="275" customFormat="1" ht="31" thickBot="1" x14ac:dyDescent="0.35">
      <c r="A51" s="767" t="s">
        <v>1137</v>
      </c>
      <c r="B51" s="768"/>
      <c r="C51" s="768"/>
      <c r="D51" s="768"/>
      <c r="E51" s="768"/>
      <c r="F51" s="768"/>
      <c r="G51" s="768"/>
      <c r="H51" s="768"/>
      <c r="I51" s="768"/>
      <c r="J51" s="768"/>
      <c r="K51" s="768"/>
      <c r="L51" s="768"/>
      <c r="M51" s="768"/>
      <c r="N51" s="768"/>
      <c r="O51" s="768"/>
      <c r="P51" s="769"/>
      <c r="Q51" s="289"/>
      <c r="R51" s="289"/>
      <c r="S51" s="289"/>
      <c r="T51" s="289"/>
    </row>
    <row r="52" spans="1:22" s="275" customFormat="1" x14ac:dyDescent="0.15">
      <c r="D52" s="276"/>
      <c r="E52" s="277"/>
      <c r="F52" s="278"/>
      <c r="G52" s="278"/>
      <c r="P52" s="278"/>
    </row>
    <row r="53" spans="1:22" s="275" customFormat="1" x14ac:dyDescent="0.15">
      <c r="A53" s="279">
        <v>41624</v>
      </c>
      <c r="B53" s="275" t="s">
        <v>1138</v>
      </c>
      <c r="D53" s="276">
        <v>7253</v>
      </c>
      <c r="E53" s="277">
        <v>13227577</v>
      </c>
      <c r="F53" s="278">
        <f>G53/D53</f>
        <v>2.5277540328140078</v>
      </c>
      <c r="G53" s="278">
        <v>18333.8</v>
      </c>
      <c r="P53" s="278"/>
    </row>
    <row r="54" spans="1:22" s="275" customFormat="1" x14ac:dyDescent="0.15">
      <c r="A54" s="279">
        <v>41626</v>
      </c>
      <c r="B54" s="275" t="s">
        <v>1138</v>
      </c>
      <c r="D54" s="276">
        <v>7262</v>
      </c>
      <c r="E54" s="277">
        <v>13227597</v>
      </c>
      <c r="F54" s="278">
        <f>G54/D54</f>
        <v>2.5426934728724873</v>
      </c>
      <c r="G54" s="278">
        <v>18465.04</v>
      </c>
      <c r="P54" s="278"/>
    </row>
    <row r="55" spans="1:22" s="290" customFormat="1" ht="14" thickBot="1" x14ac:dyDescent="0.2">
      <c r="B55" s="280" t="s">
        <v>1111</v>
      </c>
      <c r="C55" s="291"/>
      <c r="D55" s="292">
        <f>SUM(D53:D54)</f>
        <v>14515</v>
      </c>
      <c r="E55" s="283"/>
      <c r="F55" s="285"/>
      <c r="G55" s="285">
        <f>SUM(G53:G54)</f>
        <v>36798.839999999997</v>
      </c>
      <c r="H55" s="286">
        <f>G55-SUM(I55:N55)</f>
        <v>25391.199599999993</v>
      </c>
      <c r="I55" s="286">
        <f>G55*20%</f>
        <v>7359.768</v>
      </c>
      <c r="J55" s="286">
        <f>G55*3%</f>
        <v>1103.9651999999999</v>
      </c>
      <c r="K55" s="286">
        <f>G55*3%</f>
        <v>1103.9651999999999</v>
      </c>
      <c r="L55" s="286">
        <f>G55*1%</f>
        <v>367.98839999999996</v>
      </c>
      <c r="M55" s="286">
        <f>G55*3%</f>
        <v>1103.9651999999999</v>
      </c>
      <c r="N55" s="286">
        <f>G55*1%</f>
        <v>367.98839999999996</v>
      </c>
      <c r="O55" s="286"/>
      <c r="P55" s="286">
        <f>SUM(H55:O55)</f>
        <v>36798.839999999997</v>
      </c>
      <c r="Q55" s="293"/>
      <c r="R55" s="293"/>
      <c r="S55" s="293"/>
      <c r="T55" s="293"/>
      <c r="U55" s="293"/>
      <c r="V55" s="293"/>
    </row>
    <row r="56" spans="1:22" s="275" customFormat="1" ht="14" thickTop="1" x14ac:dyDescent="0.15">
      <c r="D56" s="276"/>
      <c r="E56" s="277"/>
      <c r="F56" s="278"/>
      <c r="G56" s="278"/>
      <c r="P56" s="278"/>
    </row>
    <row r="57" spans="1:22" s="275" customFormat="1" x14ac:dyDescent="0.15">
      <c r="A57" s="279">
        <v>41645</v>
      </c>
      <c r="B57" s="275" t="s">
        <v>1138</v>
      </c>
      <c r="D57" s="276">
        <v>7252</v>
      </c>
      <c r="E57" s="277">
        <v>14040683</v>
      </c>
      <c r="F57" s="278">
        <f t="shared" ref="F57:F67" si="0">G57/D57</f>
        <v>2.5073331494760067</v>
      </c>
      <c r="G57" s="278">
        <v>18183.18</v>
      </c>
      <c r="P57" s="278"/>
    </row>
    <row r="58" spans="1:22" s="275" customFormat="1" x14ac:dyDescent="0.15">
      <c r="A58" s="279">
        <v>41647</v>
      </c>
      <c r="B58" s="275" t="s">
        <v>1138</v>
      </c>
      <c r="D58" s="276">
        <v>7296</v>
      </c>
      <c r="E58" s="277">
        <v>14041561</v>
      </c>
      <c r="F58" s="278">
        <f t="shared" si="0"/>
        <v>2.5388911732456139</v>
      </c>
      <c r="G58" s="278">
        <v>18523.75</v>
      </c>
      <c r="P58" s="278"/>
    </row>
    <row r="59" spans="1:22" s="275" customFormat="1" x14ac:dyDescent="0.15">
      <c r="A59" s="279">
        <v>41649</v>
      </c>
      <c r="B59" s="275" t="s">
        <v>1138</v>
      </c>
      <c r="D59" s="276">
        <v>7248</v>
      </c>
      <c r="E59" s="277">
        <v>14039379</v>
      </c>
      <c r="F59" s="278">
        <f t="shared" si="0"/>
        <v>2.5213120860927152</v>
      </c>
      <c r="G59" s="278">
        <v>18274.47</v>
      </c>
      <c r="P59" s="278"/>
    </row>
    <row r="60" spans="1:22" s="275" customFormat="1" x14ac:dyDescent="0.15">
      <c r="A60" s="279">
        <v>41656</v>
      </c>
      <c r="B60" s="275" t="s">
        <v>1138</v>
      </c>
      <c r="D60" s="276">
        <v>4850</v>
      </c>
      <c r="E60" s="277">
        <v>14042561</v>
      </c>
      <c r="F60" s="278">
        <f t="shared" si="0"/>
        <v>2.5672948453608244</v>
      </c>
      <c r="G60" s="278">
        <v>12451.38</v>
      </c>
      <c r="P60" s="278"/>
    </row>
    <row r="61" spans="1:22" s="275" customFormat="1" x14ac:dyDescent="0.15">
      <c r="A61" s="279">
        <v>41662</v>
      </c>
      <c r="B61" s="275" t="s">
        <v>1138</v>
      </c>
      <c r="D61" s="276">
        <v>7267</v>
      </c>
      <c r="E61" s="277">
        <v>14049719</v>
      </c>
      <c r="F61" s="278">
        <f t="shared" si="0"/>
        <v>2.5855648823448463</v>
      </c>
      <c r="G61" s="278">
        <v>18789.3</v>
      </c>
      <c r="P61" s="278"/>
    </row>
    <row r="62" spans="1:22" s="275" customFormat="1" x14ac:dyDescent="0.15">
      <c r="A62" s="279">
        <v>41663</v>
      </c>
      <c r="B62" s="275" t="s">
        <v>1138</v>
      </c>
      <c r="D62" s="276">
        <v>7298</v>
      </c>
      <c r="E62" s="277">
        <v>14051601</v>
      </c>
      <c r="F62" s="278">
        <f>G62/D62</f>
        <v>2.5760674157303369</v>
      </c>
      <c r="G62" s="278">
        <v>18800.14</v>
      </c>
      <c r="P62" s="278"/>
    </row>
    <row r="63" spans="1:22" s="275" customFormat="1" x14ac:dyDescent="0.15">
      <c r="A63" s="279">
        <v>41664</v>
      </c>
      <c r="B63" s="275" t="s">
        <v>1138</v>
      </c>
      <c r="D63" s="276">
        <f>7488+6798</f>
        <v>14286</v>
      </c>
      <c r="E63" s="277">
        <v>14053080</v>
      </c>
      <c r="F63" s="278">
        <f>G63/D63</f>
        <v>2.6303205935881282</v>
      </c>
      <c r="G63" s="278">
        <v>37576.76</v>
      </c>
      <c r="P63" s="278"/>
    </row>
    <row r="64" spans="1:22" s="275" customFormat="1" x14ac:dyDescent="0.15">
      <c r="A64" s="279">
        <v>41666</v>
      </c>
      <c r="B64" s="275" t="s">
        <v>1138</v>
      </c>
      <c r="D64" s="276">
        <v>7283</v>
      </c>
      <c r="E64" s="277">
        <v>14053079</v>
      </c>
      <c r="F64" s="278">
        <f>G64/D64</f>
        <v>2.6291212412467391</v>
      </c>
      <c r="G64" s="278">
        <v>19147.89</v>
      </c>
      <c r="P64" s="278"/>
    </row>
    <row r="65" spans="1:22" s="275" customFormat="1" x14ac:dyDescent="0.15">
      <c r="A65" s="279">
        <v>41667</v>
      </c>
      <c r="B65" s="275" t="s">
        <v>1138</v>
      </c>
      <c r="D65" s="276">
        <v>7269</v>
      </c>
      <c r="E65" s="277">
        <v>14054271</v>
      </c>
      <c r="F65" s="278">
        <f>G65/D65</f>
        <v>2.6351203741917733</v>
      </c>
      <c r="G65" s="278">
        <v>19154.689999999999</v>
      </c>
      <c r="P65" s="278"/>
    </row>
    <row r="66" spans="1:22" s="275" customFormat="1" x14ac:dyDescent="0.15">
      <c r="A66" s="279">
        <v>41668</v>
      </c>
      <c r="B66" s="275" t="s">
        <v>1138</v>
      </c>
      <c r="D66" s="276">
        <v>7308</v>
      </c>
      <c r="E66" s="277">
        <v>14055450</v>
      </c>
      <c r="F66" s="278">
        <f>G66/D66</f>
        <v>2.6689532019704432</v>
      </c>
      <c r="G66" s="278">
        <v>19504.71</v>
      </c>
      <c r="P66" s="278"/>
    </row>
    <row r="67" spans="1:22" s="275" customFormat="1" x14ac:dyDescent="0.15">
      <c r="A67" s="279">
        <v>41670</v>
      </c>
      <c r="B67" s="275" t="s">
        <v>1138</v>
      </c>
      <c r="D67" s="276">
        <v>8247</v>
      </c>
      <c r="E67" s="277">
        <v>14058721</v>
      </c>
      <c r="F67" s="278">
        <f t="shared" si="0"/>
        <v>2.6806559961198011</v>
      </c>
      <c r="G67" s="278">
        <v>22107.37</v>
      </c>
      <c r="P67" s="278"/>
    </row>
    <row r="68" spans="1:22" s="290" customFormat="1" ht="14" thickBot="1" x14ac:dyDescent="0.2">
      <c r="B68" s="280" t="s">
        <v>1108</v>
      </c>
      <c r="C68" s="291"/>
      <c r="D68" s="292">
        <f>SUM(D57:D67)</f>
        <v>85604</v>
      </c>
      <c r="E68" s="283"/>
      <c r="F68" s="285"/>
      <c r="G68" s="285">
        <f>SUM(G57:G67)</f>
        <v>222513.63999999998</v>
      </c>
      <c r="H68" s="286">
        <f>G68-SUM(I68:N68)</f>
        <v>153534.41159999999</v>
      </c>
      <c r="I68" s="286">
        <f>G68*20%</f>
        <v>44502.728000000003</v>
      </c>
      <c r="J68" s="286">
        <f>G68*3%</f>
        <v>6675.4091999999991</v>
      </c>
      <c r="K68" s="286">
        <f>G68*3%</f>
        <v>6675.4091999999991</v>
      </c>
      <c r="L68" s="286">
        <f>G68*1%</f>
        <v>2225.1363999999999</v>
      </c>
      <c r="M68" s="286">
        <f>G68*3%</f>
        <v>6675.4091999999991</v>
      </c>
      <c r="N68" s="286">
        <f>G68*1%</f>
        <v>2225.1363999999999</v>
      </c>
      <c r="O68" s="286"/>
      <c r="P68" s="286">
        <f>SUM(H68:O68)</f>
        <v>222513.63999999996</v>
      </c>
      <c r="Q68" s="293"/>
      <c r="R68" s="293"/>
      <c r="S68" s="293"/>
      <c r="T68" s="293"/>
      <c r="U68" s="293"/>
      <c r="V68" s="293"/>
    </row>
    <row r="69" spans="1:22" s="275" customFormat="1" ht="14" thickTop="1" x14ac:dyDescent="0.15">
      <c r="D69" s="276"/>
      <c r="E69" s="277"/>
      <c r="F69" s="278"/>
      <c r="G69" s="278"/>
      <c r="P69" s="278"/>
    </row>
    <row r="70" spans="1:22" s="275" customFormat="1" x14ac:dyDescent="0.15">
      <c r="A70" s="279">
        <v>41678</v>
      </c>
      <c r="B70" s="275" t="s">
        <v>1138</v>
      </c>
      <c r="D70" s="276">
        <v>8259</v>
      </c>
      <c r="E70" s="277">
        <v>14066820</v>
      </c>
      <c r="F70" s="278">
        <f>G70/D70</f>
        <v>2.715342051095774</v>
      </c>
      <c r="G70" s="278">
        <v>22426.01</v>
      </c>
      <c r="P70" s="278"/>
    </row>
    <row r="71" spans="1:22" s="275" customFormat="1" x14ac:dyDescent="0.15">
      <c r="A71" s="279">
        <v>41682</v>
      </c>
      <c r="B71" s="275" t="s">
        <v>1138</v>
      </c>
      <c r="D71" s="276">
        <v>8237</v>
      </c>
      <c r="E71" s="277">
        <v>14069718</v>
      </c>
      <c r="F71" s="278">
        <f>G71/D71</f>
        <v>2.6872975597911863</v>
      </c>
      <c r="G71" s="278">
        <v>22135.27</v>
      </c>
      <c r="P71" s="278"/>
    </row>
    <row r="72" spans="1:22" s="295" customFormat="1" x14ac:dyDescent="0.15">
      <c r="A72" s="294">
        <v>41688</v>
      </c>
      <c r="B72" s="295" t="s">
        <v>1138</v>
      </c>
      <c r="D72" s="296">
        <v>7717</v>
      </c>
      <c r="E72" s="297">
        <v>14077651</v>
      </c>
      <c r="F72" s="298">
        <f>G72/D72</f>
        <v>2.7982648697680443</v>
      </c>
      <c r="G72" s="298">
        <v>21594.21</v>
      </c>
      <c r="P72" s="298"/>
    </row>
    <row r="73" spans="1:22" s="295" customFormat="1" x14ac:dyDescent="0.15">
      <c r="A73" s="294">
        <v>41696</v>
      </c>
      <c r="B73" s="295" t="s">
        <v>1138</v>
      </c>
      <c r="D73" s="296">
        <v>6806</v>
      </c>
      <c r="E73" s="297">
        <v>14084271</v>
      </c>
      <c r="F73" s="298">
        <f>G73/D73</f>
        <v>2.7637790185130764</v>
      </c>
      <c r="G73" s="298">
        <v>18810.28</v>
      </c>
      <c r="P73" s="298"/>
    </row>
    <row r="74" spans="1:22" s="295" customFormat="1" x14ac:dyDescent="0.15">
      <c r="A74" s="294">
        <v>41698</v>
      </c>
      <c r="B74" s="295" t="s">
        <v>1138</v>
      </c>
      <c r="D74" s="296">
        <v>8266</v>
      </c>
      <c r="E74" s="297">
        <v>14087166</v>
      </c>
      <c r="F74" s="298">
        <f>G74/D74</f>
        <v>2.7806254536656185</v>
      </c>
      <c r="G74" s="298">
        <v>22984.65</v>
      </c>
      <c r="P74" s="298"/>
    </row>
    <row r="75" spans="1:22" s="290" customFormat="1" ht="14" thickBot="1" x14ac:dyDescent="0.2">
      <c r="B75" s="280" t="s">
        <v>1136</v>
      </c>
      <c r="C75" s="291"/>
      <c r="D75" s="292">
        <f>SUM(D70:D74)</f>
        <v>39285</v>
      </c>
      <c r="E75" s="283"/>
      <c r="F75" s="285"/>
      <c r="G75" s="285">
        <f>SUM(G70:G74)</f>
        <v>107950.41999999998</v>
      </c>
      <c r="H75" s="286">
        <f>G75-SUM(I75:N75)</f>
        <v>74485.789799999999</v>
      </c>
      <c r="I75" s="286">
        <f>G75*20%</f>
        <v>21590.083999999999</v>
      </c>
      <c r="J75" s="286">
        <f>G75*3%</f>
        <v>3238.5125999999996</v>
      </c>
      <c r="K75" s="286">
        <f>G75*3%</f>
        <v>3238.5125999999996</v>
      </c>
      <c r="L75" s="286">
        <f>G75*1%</f>
        <v>1079.5041999999999</v>
      </c>
      <c r="M75" s="286">
        <f>G75*3%</f>
        <v>3238.5125999999996</v>
      </c>
      <c r="N75" s="286">
        <f>G75*1%</f>
        <v>1079.5041999999999</v>
      </c>
      <c r="O75" s="286"/>
      <c r="P75" s="286">
        <f>SUM(H75:O75)</f>
        <v>107950.42</v>
      </c>
      <c r="Q75" s="293"/>
      <c r="R75" s="293"/>
      <c r="S75" s="293"/>
      <c r="T75" s="293"/>
      <c r="U75" s="293"/>
      <c r="V75" s="293"/>
    </row>
    <row r="76" spans="1:22" s="275" customFormat="1" ht="14" thickTop="1" x14ac:dyDescent="0.15">
      <c r="D76" s="276"/>
      <c r="E76" s="277"/>
      <c r="F76" s="278"/>
      <c r="G76" s="278"/>
      <c r="P76" s="278"/>
    </row>
    <row r="77" spans="1:22" s="275" customFormat="1" x14ac:dyDescent="0.15">
      <c r="A77" s="294">
        <v>41699</v>
      </c>
      <c r="B77" s="295" t="s">
        <v>1138</v>
      </c>
      <c r="C77" s="295"/>
      <c r="D77" s="296">
        <v>7788</v>
      </c>
      <c r="E77" s="297">
        <v>14089146</v>
      </c>
      <c r="F77" s="298">
        <f>G77/D77</f>
        <v>2.7763546481766821</v>
      </c>
      <c r="G77" s="298">
        <v>21622.25</v>
      </c>
      <c r="P77" s="278"/>
    </row>
    <row r="78" spans="1:22" s="275" customFormat="1" x14ac:dyDescent="0.15">
      <c r="A78" s="294">
        <v>41702</v>
      </c>
      <c r="B78" s="295" t="s">
        <v>1138</v>
      </c>
      <c r="C78" s="295"/>
      <c r="D78" s="296">
        <v>8273</v>
      </c>
      <c r="E78" s="297">
        <v>14090609</v>
      </c>
      <c r="F78" s="298">
        <f>G78/D78</f>
        <v>2.8401958177202951</v>
      </c>
      <c r="G78" s="298">
        <f>22841.8+629.58+15.72+9.84</f>
        <v>23496.940000000002</v>
      </c>
      <c r="P78" s="278"/>
    </row>
    <row r="79" spans="1:22" s="295" customFormat="1" x14ac:dyDescent="0.15">
      <c r="A79" s="294">
        <v>41703</v>
      </c>
      <c r="B79" s="295" t="s">
        <v>1138</v>
      </c>
      <c r="D79" s="296">
        <v>8289</v>
      </c>
      <c r="E79" s="297">
        <v>14091711</v>
      </c>
      <c r="F79" s="298">
        <f>G79/D79</f>
        <v>2.7697044275545908</v>
      </c>
      <c r="G79" s="298">
        <v>22958.080000000002</v>
      </c>
      <c r="P79" s="298"/>
    </row>
    <row r="80" spans="1:22" s="295" customFormat="1" x14ac:dyDescent="0.15">
      <c r="A80" s="294">
        <v>41705</v>
      </c>
      <c r="B80" s="295" t="s">
        <v>1138</v>
      </c>
      <c r="D80" s="296">
        <v>7312</v>
      </c>
      <c r="E80" s="297">
        <v>14093263</v>
      </c>
      <c r="F80" s="298">
        <f>G80/D80</f>
        <v>2.7464045404814001</v>
      </c>
      <c r="G80" s="298">
        <v>20081.71</v>
      </c>
      <c r="P80" s="298"/>
    </row>
    <row r="81" spans="1:22" s="295" customFormat="1" x14ac:dyDescent="0.15">
      <c r="A81" s="294">
        <v>41716</v>
      </c>
      <c r="B81" s="295" t="s">
        <v>1138</v>
      </c>
      <c r="D81" s="296">
        <v>8283</v>
      </c>
      <c r="E81" s="297">
        <v>14101949</v>
      </c>
      <c r="F81" s="298">
        <f>G81/D81</f>
        <v>2.6786586985391767</v>
      </c>
      <c r="G81" s="298">
        <v>22187.33</v>
      </c>
      <c r="P81" s="298"/>
    </row>
    <row r="82" spans="1:22" s="290" customFormat="1" ht="14" thickBot="1" x14ac:dyDescent="0.2">
      <c r="B82" s="280" t="s">
        <v>1105</v>
      </c>
      <c r="C82" s="291"/>
      <c r="D82" s="292">
        <f>SUM(D77:D81)</f>
        <v>39945</v>
      </c>
      <c r="E82" s="283"/>
      <c r="F82" s="285"/>
      <c r="G82" s="285">
        <f>SUM(G77:G81)</f>
        <v>110346.31000000001</v>
      </c>
      <c r="H82" s="286">
        <f>G82-SUM(I82:N82)</f>
        <v>76138.953900000008</v>
      </c>
      <c r="I82" s="286">
        <f>G82*20%</f>
        <v>22069.262000000002</v>
      </c>
      <c r="J82" s="286">
        <f>G82*3%</f>
        <v>3310.3893000000003</v>
      </c>
      <c r="K82" s="286">
        <f>G82*3%</f>
        <v>3310.3893000000003</v>
      </c>
      <c r="L82" s="286">
        <f>G82*1%</f>
        <v>1103.4631000000002</v>
      </c>
      <c r="M82" s="286">
        <f>G82*3%</f>
        <v>3310.3893000000003</v>
      </c>
      <c r="N82" s="286">
        <f>G82*1%</f>
        <v>1103.4631000000002</v>
      </c>
      <c r="O82" s="286"/>
      <c r="P82" s="286">
        <f>SUM(H82:O82)</f>
        <v>110346.30999999998</v>
      </c>
      <c r="Q82" s="293"/>
      <c r="R82" s="293"/>
      <c r="S82" s="293"/>
      <c r="T82" s="293"/>
      <c r="U82" s="293"/>
      <c r="V82" s="293"/>
    </row>
    <row r="83" spans="1:22" ht="15" thickTop="1" thickBot="1" x14ac:dyDescent="0.2"/>
    <row r="84" spans="1:22" s="275" customFormat="1" ht="31" thickBot="1" x14ac:dyDescent="0.35">
      <c r="A84" s="767" t="s">
        <v>1103</v>
      </c>
      <c r="B84" s="768"/>
      <c r="C84" s="768"/>
      <c r="D84" s="768"/>
      <c r="E84" s="768"/>
      <c r="F84" s="768"/>
      <c r="G84" s="768"/>
      <c r="H84" s="768"/>
      <c r="I84" s="768"/>
      <c r="J84" s="768"/>
      <c r="K84" s="768"/>
      <c r="L84" s="768"/>
      <c r="M84" s="768"/>
      <c r="N84" s="768"/>
      <c r="O84" s="768"/>
      <c r="P84" s="769"/>
      <c r="Q84" s="289"/>
      <c r="R84" s="289"/>
      <c r="S84" s="289"/>
      <c r="T84" s="289"/>
    </row>
    <row r="85" spans="1:22" s="275" customFormat="1" x14ac:dyDescent="0.15">
      <c r="D85" s="276"/>
      <c r="E85" s="277"/>
      <c r="F85" s="278"/>
      <c r="G85" s="278"/>
      <c r="P85" s="278"/>
    </row>
    <row r="86" spans="1:22" s="275" customFormat="1" x14ac:dyDescent="0.15">
      <c r="A86" s="279">
        <v>42049</v>
      </c>
      <c r="B86" s="275" t="s">
        <v>1138</v>
      </c>
      <c r="D86" s="276">
        <v>7770</v>
      </c>
      <c r="E86" s="277">
        <v>15071856</v>
      </c>
      <c r="F86" s="278">
        <f t="shared" ref="F86:F94" si="1">G86/D86</f>
        <v>1.5668095238095239</v>
      </c>
      <c r="G86" s="278">
        <v>12174.11</v>
      </c>
      <c r="P86" s="278"/>
    </row>
    <row r="87" spans="1:22" s="295" customFormat="1" x14ac:dyDescent="0.15">
      <c r="A87" s="294">
        <v>42051</v>
      </c>
      <c r="B87" s="295" t="s">
        <v>1138</v>
      </c>
      <c r="D87" s="296">
        <v>7938</v>
      </c>
      <c r="E87" s="297">
        <v>15073231</v>
      </c>
      <c r="F87" s="298">
        <f t="shared" si="1"/>
        <v>1.5668090199042579</v>
      </c>
      <c r="G87" s="298">
        <v>12437.33</v>
      </c>
      <c r="P87" s="298"/>
    </row>
    <row r="88" spans="1:22" s="295" customFormat="1" x14ac:dyDescent="0.15">
      <c r="A88" s="294">
        <v>42052</v>
      </c>
      <c r="B88" s="295" t="s">
        <v>1138</v>
      </c>
      <c r="D88" s="296">
        <v>8127</v>
      </c>
      <c r="E88" s="297">
        <v>15074485</v>
      </c>
      <c r="F88" s="298">
        <f t="shared" si="1"/>
        <v>1.6442807924203273</v>
      </c>
      <c r="G88" s="298">
        <v>13363.07</v>
      </c>
      <c r="P88" s="298"/>
    </row>
    <row r="89" spans="1:22" s="295" customFormat="1" x14ac:dyDescent="0.15">
      <c r="A89" s="294">
        <v>42053</v>
      </c>
      <c r="B89" s="295" t="s">
        <v>1138</v>
      </c>
      <c r="D89" s="296">
        <v>8125</v>
      </c>
      <c r="E89" s="297">
        <v>15075874</v>
      </c>
      <c r="F89" s="298">
        <f t="shared" si="1"/>
        <v>1.6578326153846152</v>
      </c>
      <c r="G89" s="298">
        <v>13469.89</v>
      </c>
      <c r="P89" s="298"/>
    </row>
    <row r="90" spans="1:22" s="295" customFormat="1" x14ac:dyDescent="0.15">
      <c r="A90" s="294">
        <v>42054</v>
      </c>
      <c r="B90" s="295" t="s">
        <v>1138</v>
      </c>
      <c r="D90" s="296">
        <v>8197</v>
      </c>
      <c r="E90" s="297">
        <v>15077059</v>
      </c>
      <c r="F90" s="298">
        <f t="shared" si="1"/>
        <v>1.6033548859338784</v>
      </c>
      <c r="G90" s="298">
        <v>13142.7</v>
      </c>
      <c r="P90" s="298"/>
    </row>
    <row r="91" spans="1:22" s="295" customFormat="1" x14ac:dyDescent="0.15">
      <c r="A91" s="294">
        <v>42056</v>
      </c>
      <c r="B91" s="295" t="s">
        <v>1138</v>
      </c>
      <c r="D91" s="296">
        <v>8197</v>
      </c>
      <c r="E91" s="297">
        <v>15078375</v>
      </c>
      <c r="F91" s="298">
        <f>G91/D91</f>
        <v>1.618355495913139</v>
      </c>
      <c r="G91" s="298">
        <v>13265.66</v>
      </c>
      <c r="P91" s="298"/>
    </row>
    <row r="92" spans="1:22" s="295" customFormat="1" x14ac:dyDescent="0.15">
      <c r="A92" s="294">
        <v>42059</v>
      </c>
      <c r="B92" s="295" t="s">
        <v>1138</v>
      </c>
      <c r="D92" s="296">
        <v>8206</v>
      </c>
      <c r="E92" s="297">
        <v>15080983</v>
      </c>
      <c r="F92" s="298">
        <f>G92/D92</f>
        <v>1.5947489641725567</v>
      </c>
      <c r="G92" s="298">
        <v>13086.51</v>
      </c>
      <c r="P92" s="298"/>
    </row>
    <row r="93" spans="1:22" s="295" customFormat="1" x14ac:dyDescent="0.15">
      <c r="A93" s="294">
        <v>42061</v>
      </c>
      <c r="B93" s="295" t="s">
        <v>1138</v>
      </c>
      <c r="D93" s="296">
        <v>8184</v>
      </c>
      <c r="E93" s="297">
        <v>15083830</v>
      </c>
      <c r="F93" s="298">
        <f>G93/D93</f>
        <v>1.6300195503421311</v>
      </c>
      <c r="G93" s="298">
        <v>13340.08</v>
      </c>
      <c r="P93" s="298"/>
    </row>
    <row r="94" spans="1:22" s="295" customFormat="1" x14ac:dyDescent="0.15">
      <c r="A94" s="294">
        <v>42062</v>
      </c>
      <c r="B94" s="295" t="s">
        <v>1138</v>
      </c>
      <c r="D94" s="296">
        <v>8190</v>
      </c>
      <c r="E94" s="297">
        <v>15086118</v>
      </c>
      <c r="F94" s="298">
        <f t="shared" si="1"/>
        <v>1.6030903540903541</v>
      </c>
      <c r="G94" s="298">
        <v>13129.31</v>
      </c>
      <c r="P94" s="298"/>
    </row>
    <row r="95" spans="1:22" s="290" customFormat="1" ht="14" thickBot="1" x14ac:dyDescent="0.2">
      <c r="B95" s="280" t="s">
        <v>1136</v>
      </c>
      <c r="C95" s="291"/>
      <c r="D95" s="292">
        <f>SUM(D86:D94)</f>
        <v>72934</v>
      </c>
      <c r="E95" s="283"/>
      <c r="F95" s="285"/>
      <c r="G95" s="285">
        <f>SUM(G86:G94)</f>
        <v>117408.66</v>
      </c>
      <c r="H95" s="286">
        <f>G95-SUM(I95:N95)</f>
        <v>82186.062000000005</v>
      </c>
      <c r="I95" s="286">
        <f>G95*20%</f>
        <v>23481.732000000004</v>
      </c>
      <c r="J95" s="286">
        <f>G95*3%</f>
        <v>3522.2597999999998</v>
      </c>
      <c r="K95" s="286">
        <f>G95*3%</f>
        <v>3522.2597999999998</v>
      </c>
      <c r="L95" s="286">
        <f>G95*1%</f>
        <v>1174.0866000000001</v>
      </c>
      <c r="M95" s="286">
        <f>G95*3%</f>
        <v>3522.2597999999998</v>
      </c>
      <c r="N95" s="286"/>
      <c r="O95" s="286"/>
      <c r="P95" s="286">
        <f>SUM(H95:O95)</f>
        <v>117408.66</v>
      </c>
      <c r="Q95" s="293"/>
      <c r="R95" s="293"/>
      <c r="S95" s="293"/>
      <c r="T95" s="293"/>
      <c r="U95" s="293"/>
      <c r="V95" s="293"/>
    </row>
    <row r="96" spans="1:22" s="275" customFormat="1" ht="14" thickTop="1" x14ac:dyDescent="0.15">
      <c r="D96" s="276"/>
      <c r="E96" s="277"/>
      <c r="F96" s="278"/>
      <c r="G96" s="278"/>
      <c r="P96" s="278"/>
    </row>
    <row r="97" spans="1:22" s="275" customFormat="1" x14ac:dyDescent="0.15">
      <c r="A97" s="294">
        <v>42067</v>
      </c>
      <c r="B97" s="295" t="s">
        <v>1138</v>
      </c>
      <c r="C97" s="295"/>
      <c r="D97" s="296">
        <v>7759</v>
      </c>
      <c r="E97" s="297">
        <v>15089596</v>
      </c>
      <c r="F97" s="298">
        <f>G97/D97</f>
        <v>1.5823907720067019</v>
      </c>
      <c r="G97" s="298">
        <v>12277.77</v>
      </c>
      <c r="P97" s="278"/>
    </row>
    <row r="98" spans="1:22" s="290" customFormat="1" ht="14" thickBot="1" x14ac:dyDescent="0.2">
      <c r="B98" s="280" t="s">
        <v>1105</v>
      </c>
      <c r="C98" s="291"/>
      <c r="D98" s="292">
        <f>SUM(D97:D97)</f>
        <v>7759</v>
      </c>
      <c r="E98" s="283"/>
      <c r="F98" s="285"/>
      <c r="G98" s="285">
        <f>SUM(G97:G97)</f>
        <v>12277.77</v>
      </c>
      <c r="H98" s="286">
        <f>G98-SUM(I98:N98)</f>
        <v>8594.4390000000003</v>
      </c>
      <c r="I98" s="286">
        <f>G98*20%</f>
        <v>2455.5540000000001</v>
      </c>
      <c r="J98" s="286">
        <f>G98*3%</f>
        <v>368.3331</v>
      </c>
      <c r="K98" s="286">
        <f>G98*3%</f>
        <v>368.3331</v>
      </c>
      <c r="L98" s="286">
        <f>G98*1%</f>
        <v>122.77770000000001</v>
      </c>
      <c r="M98" s="286">
        <f>G98*3%</f>
        <v>368.3331</v>
      </c>
      <c r="N98" s="286"/>
      <c r="O98" s="286"/>
      <c r="P98" s="286">
        <f>SUM(H98:O98)</f>
        <v>12277.77</v>
      </c>
      <c r="Q98" s="293"/>
      <c r="R98" s="293"/>
      <c r="S98" s="293"/>
      <c r="T98" s="293"/>
      <c r="U98" s="293"/>
      <c r="V98" s="293"/>
    </row>
    <row r="99" spans="1:22" ht="15" thickTop="1" thickBot="1" x14ac:dyDescent="0.2"/>
    <row r="100" spans="1:22" s="275" customFormat="1" ht="31" thickBot="1" x14ac:dyDescent="0.35">
      <c r="A100" s="767" t="s">
        <v>1106</v>
      </c>
      <c r="B100" s="768"/>
      <c r="C100" s="768"/>
      <c r="D100" s="768"/>
      <c r="E100" s="768"/>
      <c r="F100" s="768"/>
      <c r="G100" s="768"/>
      <c r="H100" s="768"/>
      <c r="I100" s="768"/>
      <c r="J100" s="768"/>
      <c r="K100" s="768"/>
      <c r="L100" s="768"/>
      <c r="M100" s="768"/>
      <c r="N100" s="768"/>
      <c r="O100" s="768"/>
      <c r="P100" s="769"/>
      <c r="Q100" s="289"/>
      <c r="R100" s="289"/>
      <c r="S100" s="289"/>
      <c r="T100" s="289"/>
    </row>
    <row r="101" spans="1:22" s="275" customFormat="1" x14ac:dyDescent="0.15">
      <c r="D101" s="276"/>
      <c r="E101" s="277"/>
      <c r="F101" s="278"/>
      <c r="G101" s="278"/>
      <c r="P101" s="278"/>
    </row>
    <row r="102" spans="1:22" s="295" customFormat="1" x14ac:dyDescent="0.15">
      <c r="A102" s="294">
        <v>42415</v>
      </c>
      <c r="B102" s="295" t="s">
        <v>1138</v>
      </c>
      <c r="D102" s="296">
        <f>7313+4875</f>
        <v>12188</v>
      </c>
      <c r="E102" s="297">
        <v>16066378</v>
      </c>
      <c r="F102" s="298">
        <f t="shared" ref="F102:F103" si="2">G102/D102</f>
        <v>1.002942238267148</v>
      </c>
      <c r="G102" s="298">
        <v>12223.86</v>
      </c>
      <c r="P102" s="298"/>
    </row>
    <row r="103" spans="1:22" s="295" customFormat="1" x14ac:dyDescent="0.15">
      <c r="A103" s="294">
        <v>42418</v>
      </c>
      <c r="B103" s="295" t="s">
        <v>1138</v>
      </c>
      <c r="D103" s="296">
        <v>5855</v>
      </c>
      <c r="E103" s="297">
        <v>16069644</v>
      </c>
      <c r="F103" s="298">
        <f t="shared" si="2"/>
        <v>1.0201058923996584</v>
      </c>
      <c r="G103" s="298">
        <v>5972.72</v>
      </c>
      <c r="P103" s="298"/>
    </row>
    <row r="104" spans="1:22" s="299" customFormat="1" ht="14" thickBot="1" x14ac:dyDescent="0.2">
      <c r="B104" s="280" t="s">
        <v>1136</v>
      </c>
      <c r="C104" s="291"/>
      <c r="D104" s="292">
        <f>SUM(D102:D103)</f>
        <v>18043</v>
      </c>
      <c r="E104" s="283"/>
      <c r="F104" s="285"/>
      <c r="G104" s="285">
        <f>SUM(G102:G103)</f>
        <v>18196.580000000002</v>
      </c>
      <c r="H104" s="286">
        <f>G104-SUM(I104:N104)</f>
        <v>12737.606000000002</v>
      </c>
      <c r="I104" s="286">
        <f>G104*20%</f>
        <v>3639.3160000000007</v>
      </c>
      <c r="J104" s="286">
        <f>G104*3%</f>
        <v>545.89740000000006</v>
      </c>
      <c r="K104" s="286">
        <f>G104*3%</f>
        <v>545.89740000000006</v>
      </c>
      <c r="L104" s="286">
        <f>G104*1%</f>
        <v>181.96580000000003</v>
      </c>
      <c r="M104" s="286">
        <f>G104*3%</f>
        <v>545.89740000000006</v>
      </c>
      <c r="N104" s="286"/>
      <c r="O104" s="286"/>
      <c r="P104" s="286">
        <f>SUM(H104:O104)</f>
        <v>18196.580000000009</v>
      </c>
      <c r="Q104" s="293"/>
      <c r="R104" s="293"/>
      <c r="S104" s="293"/>
      <c r="T104" s="293"/>
      <c r="U104" s="293"/>
      <c r="V104" s="293"/>
    </row>
    <row r="105" spans="1:22" s="300" customFormat="1" ht="15" thickTop="1" thickBot="1" x14ac:dyDescent="0.2">
      <c r="D105" s="301"/>
      <c r="E105" s="302"/>
      <c r="F105" s="303"/>
      <c r="G105" s="303"/>
      <c r="P105" s="303"/>
    </row>
    <row r="106" spans="1:22" ht="31" thickBot="1" x14ac:dyDescent="0.35">
      <c r="A106" s="770" t="s">
        <v>1112</v>
      </c>
      <c r="B106" s="771"/>
      <c r="C106" s="771"/>
      <c r="D106" s="771"/>
      <c r="E106" s="771"/>
      <c r="F106" s="771"/>
      <c r="G106" s="771"/>
      <c r="H106" s="771"/>
      <c r="I106" s="771"/>
      <c r="J106" s="771"/>
      <c r="K106" s="771"/>
      <c r="L106" s="771"/>
      <c r="M106" s="771"/>
      <c r="N106" s="771"/>
      <c r="O106" s="771"/>
      <c r="P106" s="772"/>
      <c r="Q106" s="304"/>
      <c r="R106" s="304"/>
      <c r="S106" s="304"/>
      <c r="T106" s="304"/>
    </row>
    <row r="107" spans="1:22" s="275" customFormat="1" x14ac:dyDescent="0.15">
      <c r="D107" s="276"/>
      <c r="E107" s="277"/>
      <c r="F107" s="278"/>
      <c r="G107" s="278"/>
      <c r="P107" s="278"/>
    </row>
    <row r="108" spans="1:22" s="310" customFormat="1" x14ac:dyDescent="0.15">
      <c r="A108" s="305">
        <v>42415</v>
      </c>
      <c r="B108" s="306" t="s">
        <v>1138</v>
      </c>
      <c r="C108" s="306"/>
      <c r="D108" s="307">
        <f>7313+4875</f>
        <v>12188</v>
      </c>
      <c r="E108" s="308">
        <v>16066378</v>
      </c>
      <c r="F108" s="309">
        <f t="shared" ref="F108:F109" si="3">G108/D108</f>
        <v>1.002942238267148</v>
      </c>
      <c r="G108" s="309">
        <v>12223.86</v>
      </c>
      <c r="H108" s="306"/>
      <c r="I108" s="306"/>
      <c r="J108" s="306"/>
      <c r="K108" s="306"/>
      <c r="L108" s="306"/>
      <c r="M108" s="306"/>
      <c r="N108" s="306"/>
      <c r="O108" s="306"/>
      <c r="P108" s="309"/>
    </row>
    <row r="109" spans="1:22" s="310" customFormat="1" x14ac:dyDescent="0.15">
      <c r="A109" s="305">
        <v>42418</v>
      </c>
      <c r="B109" s="306" t="s">
        <v>1138</v>
      </c>
      <c r="C109" s="306"/>
      <c r="D109" s="307">
        <v>5855</v>
      </c>
      <c r="E109" s="308">
        <v>16069644</v>
      </c>
      <c r="F109" s="309">
        <f t="shared" si="3"/>
        <v>1.0201058923996584</v>
      </c>
      <c r="G109" s="309">
        <v>5972.72</v>
      </c>
      <c r="H109" s="306"/>
      <c r="I109" s="306"/>
      <c r="J109" s="306"/>
      <c r="K109" s="306"/>
      <c r="L109" s="306"/>
      <c r="M109" s="306"/>
      <c r="N109" s="306"/>
      <c r="O109" s="306"/>
      <c r="P109" s="309"/>
    </row>
    <row r="110" spans="1:22" s="318" customFormat="1" ht="14" thickBot="1" x14ac:dyDescent="0.2">
      <c r="A110" s="311"/>
      <c r="B110" s="312" t="s">
        <v>1136</v>
      </c>
      <c r="C110" s="313"/>
      <c r="D110" s="314">
        <f>SUM(D108:D109)</f>
        <v>18043</v>
      </c>
      <c r="E110" s="315"/>
      <c r="F110" s="316"/>
      <c r="G110" s="316">
        <f>SUM(G108:G109)</f>
        <v>18196.580000000002</v>
      </c>
      <c r="H110" s="317">
        <f>G110-SUM(I110:N110)</f>
        <v>12737.606000000002</v>
      </c>
      <c r="I110" s="317">
        <f>G110*20%</f>
        <v>3639.3160000000007</v>
      </c>
      <c r="J110" s="317">
        <f>G110*3%</f>
        <v>545.89740000000006</v>
      </c>
      <c r="K110" s="317">
        <f>G110*3%</f>
        <v>545.89740000000006</v>
      </c>
      <c r="L110" s="317">
        <f>G110*1%</f>
        <v>181.96580000000003</v>
      </c>
      <c r="M110" s="317">
        <f>G110*3%</f>
        <v>545.89740000000006</v>
      </c>
      <c r="N110" s="317"/>
      <c r="O110" s="317"/>
      <c r="P110" s="317">
        <f>SUM(H110:O110)</f>
        <v>18196.580000000009</v>
      </c>
      <c r="Q110" s="261"/>
      <c r="R110" s="261"/>
      <c r="S110" s="261"/>
      <c r="T110" s="261"/>
      <c r="U110" s="261"/>
      <c r="V110" s="261"/>
    </row>
    <row r="111" spans="1:22" ht="14" thickTop="1" x14ac:dyDescent="0.15"/>
  </sheetData>
  <mergeCells count="5">
    <mergeCell ref="A40:P40"/>
    <mergeCell ref="A51:P51"/>
    <mergeCell ref="A84:P84"/>
    <mergeCell ref="A100:P100"/>
    <mergeCell ref="A106:P106"/>
  </mergeCells>
  <pageMargins left="0.75" right="0.75" top="1" bottom="1" header="0.5" footer="0.5"/>
  <pageSetup scale="61" orientation="landscape" r:id="rId1"/>
  <headerFooter alignWithMargins="0">
    <oddFooter>&amp;L&amp;D&amp;CHeat Plant Oil</oddFoot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pageSetUpPr fitToPage="1"/>
  </sheetPr>
  <dimension ref="A1:M45"/>
  <sheetViews>
    <sheetView workbookViewId="0">
      <pane ySplit="2" topLeftCell="A3" activePane="bottomLeft" state="frozen"/>
      <selection pane="bottomLeft" activeCell="F35" sqref="F35"/>
    </sheetView>
  </sheetViews>
  <sheetFormatPr baseColWidth="10" defaultColWidth="8.83203125" defaultRowHeight="13" x14ac:dyDescent="0.15"/>
  <cols>
    <col min="1" max="1" width="11.33203125" style="103" customWidth="1"/>
    <col min="2" max="2" width="18.1640625" style="103" customWidth="1"/>
    <col min="3" max="3" width="8" style="213" customWidth="1"/>
    <col min="4" max="4" width="16.6640625" style="236" customWidth="1"/>
    <col min="5" max="6" width="10.5" style="106" customWidth="1"/>
    <col min="7" max="7" width="11.5" style="106" customWidth="1"/>
    <col min="8" max="8" width="8.83203125" style="103"/>
    <col min="9" max="9" width="9" style="103" bestFit="1" customWidth="1"/>
    <col min="10" max="16384" width="8.83203125" style="103"/>
  </cols>
  <sheetData>
    <row r="1" spans="1:13" x14ac:dyDescent="0.15">
      <c r="B1" s="212" t="s">
        <v>1094</v>
      </c>
      <c r="D1" s="214" t="s">
        <v>1095</v>
      </c>
      <c r="E1" s="213"/>
      <c r="F1" s="213"/>
    </row>
    <row r="2" spans="1:13" x14ac:dyDescent="0.15">
      <c r="A2" s="215" t="s">
        <v>1096</v>
      </c>
      <c r="B2" s="216" t="s">
        <v>1097</v>
      </c>
      <c r="C2" s="217" t="s">
        <v>1098</v>
      </c>
      <c r="D2" s="218" t="s">
        <v>1099</v>
      </c>
      <c r="E2" s="219" t="s">
        <v>1100</v>
      </c>
      <c r="F2" s="219" t="s">
        <v>1101</v>
      </c>
      <c r="G2" s="219" t="s">
        <v>1102</v>
      </c>
    </row>
    <row r="3" spans="1:13" s="220" customFormat="1" ht="14" thickBot="1" x14ac:dyDescent="0.2">
      <c r="C3" s="221"/>
      <c r="D3" s="222"/>
      <c r="E3" s="223"/>
      <c r="F3" s="223"/>
      <c r="G3" s="223"/>
    </row>
    <row r="4" spans="1:13" s="220" customFormat="1" ht="31" thickBot="1" x14ac:dyDescent="0.35">
      <c r="A4" s="801" t="s">
        <v>1103</v>
      </c>
      <c r="B4" s="802"/>
      <c r="C4" s="802"/>
      <c r="D4" s="802"/>
      <c r="E4" s="802"/>
      <c r="F4" s="802"/>
      <c r="G4" s="803"/>
      <c r="H4" s="224"/>
      <c r="I4" s="224"/>
      <c r="J4" s="224"/>
      <c r="K4" s="224"/>
    </row>
    <row r="5" spans="1:13" s="220" customFormat="1" x14ac:dyDescent="0.15">
      <c r="C5" s="221"/>
      <c r="D5" s="222"/>
      <c r="E5" s="223"/>
      <c r="F5" s="223"/>
      <c r="G5" s="223"/>
    </row>
    <row r="6" spans="1:13" s="220" customFormat="1" x14ac:dyDescent="0.15">
      <c r="C6" s="221"/>
      <c r="D6" s="222"/>
      <c r="E6" s="223"/>
      <c r="F6" s="223"/>
      <c r="G6" s="223"/>
    </row>
    <row r="7" spans="1:13" s="220" customFormat="1" x14ac:dyDescent="0.15">
      <c r="A7" s="225">
        <v>42097</v>
      </c>
      <c r="B7" s="226" t="s">
        <v>1104</v>
      </c>
      <c r="C7" s="227">
        <v>15.036</v>
      </c>
      <c r="D7" s="228">
        <v>617468</v>
      </c>
      <c r="E7" s="229">
        <f>(G7-F7)/C7</f>
        <v>224.71002926310189</v>
      </c>
      <c r="F7" s="229">
        <v>336</v>
      </c>
      <c r="G7" s="229">
        <v>3714.74</v>
      </c>
    </row>
    <row r="8" spans="1:13" s="230" customFormat="1" ht="14" thickBot="1" x14ac:dyDescent="0.2">
      <c r="B8" s="231" t="s">
        <v>1105</v>
      </c>
      <c r="C8" s="232">
        <f>SUM(C7:C7)</f>
        <v>15.036</v>
      </c>
      <c r="D8" s="233"/>
      <c r="E8" s="234"/>
      <c r="F8" s="234"/>
      <c r="G8" s="234">
        <f>SUM(G7:G7)</f>
        <v>3714.74</v>
      </c>
      <c r="H8" s="235"/>
      <c r="I8" s="235"/>
      <c r="J8" s="235"/>
      <c r="K8" s="235"/>
      <c r="L8" s="235"/>
      <c r="M8" s="235"/>
    </row>
    <row r="9" spans="1:13" ht="15" thickTop="1" thickBot="1" x14ac:dyDescent="0.2"/>
    <row r="10" spans="1:13" s="220" customFormat="1" ht="31" thickBot="1" x14ac:dyDescent="0.35">
      <c r="A10" s="801" t="s">
        <v>1106</v>
      </c>
      <c r="B10" s="802"/>
      <c r="C10" s="802"/>
      <c r="D10" s="802"/>
      <c r="E10" s="802"/>
      <c r="F10" s="802"/>
      <c r="G10" s="803"/>
      <c r="H10" s="224"/>
      <c r="I10" s="224"/>
      <c r="J10" s="224"/>
      <c r="K10" s="224"/>
    </row>
    <row r="11" spans="1:13" s="220" customFormat="1" x14ac:dyDescent="0.15">
      <c r="C11" s="221"/>
      <c r="D11" s="222"/>
      <c r="E11" s="223"/>
      <c r="F11" s="223"/>
      <c r="G11" s="223"/>
    </row>
    <row r="12" spans="1:13" s="220" customFormat="1" x14ac:dyDescent="0.15">
      <c r="C12" s="221"/>
      <c r="D12" s="222"/>
      <c r="E12" s="223"/>
      <c r="F12" s="223"/>
      <c r="G12" s="223"/>
    </row>
    <row r="13" spans="1:13" s="226" customFormat="1" x14ac:dyDescent="0.15">
      <c r="A13" s="225">
        <v>42235</v>
      </c>
      <c r="B13" s="226" t="s">
        <v>1104</v>
      </c>
      <c r="C13" s="227">
        <v>11.246</v>
      </c>
      <c r="D13" s="228">
        <v>624722</v>
      </c>
      <c r="E13" s="229">
        <v>224.71</v>
      </c>
      <c r="F13" s="229">
        <v>336</v>
      </c>
      <c r="G13" s="229">
        <v>2863.09</v>
      </c>
    </row>
    <row r="14" spans="1:13" s="237" customFormat="1" ht="14" thickBot="1" x14ac:dyDescent="0.2">
      <c r="B14" s="231" t="s">
        <v>1107</v>
      </c>
      <c r="C14" s="232">
        <f>SUM(C13:C13)</f>
        <v>11.246</v>
      </c>
      <c r="D14" s="233"/>
      <c r="E14" s="234"/>
      <c r="F14" s="234"/>
      <c r="G14" s="234">
        <f>SUM(G13:G13)</f>
        <v>2863.09</v>
      </c>
      <c r="H14" s="235"/>
      <c r="I14" s="235"/>
      <c r="J14" s="235"/>
      <c r="K14" s="235"/>
      <c r="L14" s="235"/>
      <c r="M14" s="235"/>
    </row>
    <row r="15" spans="1:13" s="220" customFormat="1" ht="14" thickTop="1" x14ac:dyDescent="0.15">
      <c r="C15" s="221"/>
      <c r="D15" s="222"/>
      <c r="E15" s="223"/>
      <c r="F15" s="223"/>
      <c r="G15" s="223"/>
    </row>
    <row r="16" spans="1:13" s="226" customFormat="1" x14ac:dyDescent="0.15">
      <c r="A16" s="225">
        <v>42374</v>
      </c>
      <c r="B16" s="226" t="s">
        <v>1104</v>
      </c>
      <c r="C16" s="227">
        <v>9.8330000000000002</v>
      </c>
      <c r="D16" s="228">
        <v>638877</v>
      </c>
      <c r="E16" s="229">
        <v>224.71</v>
      </c>
      <c r="F16" s="229">
        <v>336</v>
      </c>
      <c r="G16" s="229">
        <v>2545.5700000000002</v>
      </c>
    </row>
    <row r="17" spans="1:13" s="237" customFormat="1" ht="14" thickBot="1" x14ac:dyDescent="0.2">
      <c r="B17" s="231" t="s">
        <v>1108</v>
      </c>
      <c r="C17" s="232">
        <f>SUM(C16:C16)</f>
        <v>9.8330000000000002</v>
      </c>
      <c r="D17" s="233"/>
      <c r="E17" s="234"/>
      <c r="F17" s="234"/>
      <c r="G17" s="234">
        <f>SUM(G16:G16)</f>
        <v>2545.5700000000002</v>
      </c>
      <c r="H17" s="235"/>
      <c r="I17" s="235"/>
      <c r="J17" s="235"/>
      <c r="K17" s="235"/>
      <c r="L17" s="235"/>
      <c r="M17" s="235"/>
    </row>
    <row r="18" spans="1:13" s="220" customFormat="1" ht="14" thickTop="1" x14ac:dyDescent="0.15">
      <c r="C18" s="221"/>
      <c r="D18" s="222"/>
      <c r="E18" s="223"/>
      <c r="F18" s="223"/>
      <c r="G18" s="223"/>
    </row>
    <row r="19" spans="1:13" s="226" customFormat="1" x14ac:dyDescent="0.15">
      <c r="A19" s="225">
        <v>42437</v>
      </c>
      <c r="B19" s="226" t="s">
        <v>1104</v>
      </c>
      <c r="C19" s="227">
        <v>11.516999999999999</v>
      </c>
      <c r="D19" s="228">
        <v>646930</v>
      </c>
      <c r="E19" s="229">
        <v>224.71</v>
      </c>
      <c r="F19" s="229">
        <v>336</v>
      </c>
      <c r="G19" s="229">
        <v>2923.99</v>
      </c>
    </row>
    <row r="20" spans="1:13" s="237" customFormat="1" ht="14" thickBot="1" x14ac:dyDescent="0.2">
      <c r="B20" s="231" t="s">
        <v>1105</v>
      </c>
      <c r="C20" s="232">
        <f>SUM(C19:C19)</f>
        <v>11.516999999999999</v>
      </c>
      <c r="D20" s="233"/>
      <c r="E20" s="234"/>
      <c r="F20" s="234"/>
      <c r="G20" s="234">
        <f>SUM(G19:G19)</f>
        <v>2923.99</v>
      </c>
      <c r="H20" s="235"/>
      <c r="I20" s="235"/>
      <c r="J20" s="235"/>
      <c r="K20" s="235"/>
      <c r="L20" s="235"/>
      <c r="M20" s="235"/>
    </row>
    <row r="21" spans="1:13" s="220" customFormat="1" ht="14" thickTop="1" x14ac:dyDescent="0.15">
      <c r="C21" s="221"/>
      <c r="D21" s="222"/>
      <c r="E21" s="223"/>
      <c r="F21" s="223"/>
      <c r="G21" s="223"/>
    </row>
    <row r="22" spans="1:13" s="226" customFormat="1" x14ac:dyDescent="0.15">
      <c r="A22" s="225">
        <v>42545</v>
      </c>
      <c r="B22" s="226" t="s">
        <v>1104</v>
      </c>
      <c r="C22" s="227">
        <v>10.461</v>
      </c>
      <c r="D22" s="228">
        <v>654261</v>
      </c>
      <c r="E22" s="229">
        <v>224.71</v>
      </c>
      <c r="F22" s="229">
        <v>336</v>
      </c>
      <c r="G22" s="229">
        <v>2686.69</v>
      </c>
    </row>
    <row r="23" spans="1:13" s="237" customFormat="1" ht="14" thickBot="1" x14ac:dyDescent="0.2">
      <c r="B23" s="231" t="s">
        <v>1109</v>
      </c>
      <c r="C23" s="232">
        <f>SUM(C22:C22)</f>
        <v>10.461</v>
      </c>
      <c r="D23" s="233"/>
      <c r="E23" s="234"/>
      <c r="F23" s="234"/>
      <c r="G23" s="234">
        <f>SUM(G22:G22)</f>
        <v>2686.69</v>
      </c>
      <c r="H23" s="235"/>
      <c r="I23" s="235"/>
      <c r="J23" s="235"/>
      <c r="K23" s="235"/>
      <c r="L23" s="235"/>
      <c r="M23" s="235"/>
    </row>
    <row r="24" spans="1:13" s="220" customFormat="1" ht="15" thickTop="1" thickBot="1" x14ac:dyDescent="0.2">
      <c r="C24" s="221"/>
      <c r="D24" s="222"/>
      <c r="E24" s="223"/>
      <c r="F24" s="223"/>
      <c r="G24" s="223"/>
    </row>
    <row r="25" spans="1:13" ht="31" thickBot="1" x14ac:dyDescent="0.35">
      <c r="A25" s="801" t="s">
        <v>1110</v>
      </c>
      <c r="B25" s="802"/>
      <c r="C25" s="802"/>
      <c r="D25" s="802"/>
      <c r="E25" s="802"/>
      <c r="F25" s="802"/>
      <c r="G25" s="803"/>
    </row>
    <row r="26" spans="1:13" x14ac:dyDescent="0.15">
      <c r="A26" s="220"/>
      <c r="B26" s="220"/>
      <c r="C26" s="221"/>
      <c r="D26" s="222"/>
      <c r="E26" s="223"/>
      <c r="F26" s="223"/>
      <c r="G26" s="223"/>
    </row>
    <row r="28" spans="1:13" s="120" customFormat="1" x14ac:dyDescent="0.15">
      <c r="A28" s="225">
        <v>42713</v>
      </c>
      <c r="B28" s="226" t="s">
        <v>1104</v>
      </c>
      <c r="C28" s="227">
        <v>12.551</v>
      </c>
      <c r="D28" s="228">
        <v>666529</v>
      </c>
      <c r="E28" s="229">
        <v>224.71</v>
      </c>
      <c r="F28" s="229">
        <v>336</v>
      </c>
      <c r="G28" s="229">
        <v>3156.34</v>
      </c>
    </row>
    <row r="29" spans="1:13" s="120" customFormat="1" ht="14" thickBot="1" x14ac:dyDescent="0.2">
      <c r="A29" s="237"/>
      <c r="B29" s="231" t="s">
        <v>1111</v>
      </c>
      <c r="C29" s="232">
        <f t="shared" ref="C29" si="0">SUM(C28:C28)</f>
        <v>12.551</v>
      </c>
      <c r="D29" s="233"/>
      <c r="E29" s="234"/>
      <c r="F29" s="234"/>
      <c r="G29" s="234">
        <f t="shared" ref="G29" si="1">SUM(G28:G28)</f>
        <v>3156.34</v>
      </c>
    </row>
    <row r="30" spans="1:13" s="120" customFormat="1" ht="14" thickTop="1" x14ac:dyDescent="0.15">
      <c r="A30" s="226"/>
      <c r="B30" s="226"/>
      <c r="C30" s="238"/>
      <c r="D30" s="228"/>
      <c r="E30" s="229"/>
      <c r="F30" s="229"/>
      <c r="G30" s="229"/>
    </row>
    <row r="31" spans="1:13" x14ac:dyDescent="0.15">
      <c r="A31" s="225">
        <v>42810</v>
      </c>
      <c r="B31" s="226" t="s">
        <v>1104</v>
      </c>
      <c r="C31" s="227">
        <v>5.4320000000000004</v>
      </c>
      <c r="D31" s="228">
        <v>679302</v>
      </c>
      <c r="E31" s="229">
        <v>224.71</v>
      </c>
      <c r="F31" s="229">
        <v>336</v>
      </c>
      <c r="G31" s="229">
        <v>1556.62</v>
      </c>
    </row>
    <row r="32" spans="1:13" x14ac:dyDescent="0.15">
      <c r="A32" s="225">
        <v>42810</v>
      </c>
      <c r="B32" s="226" t="s">
        <v>1104</v>
      </c>
      <c r="C32" s="227">
        <v>11.278</v>
      </c>
      <c r="D32" s="228">
        <v>680199</v>
      </c>
      <c r="E32" s="229">
        <v>224.71</v>
      </c>
      <c r="F32" s="229">
        <v>336</v>
      </c>
      <c r="G32" s="229">
        <v>2870.28</v>
      </c>
    </row>
    <row r="33" spans="1:9" ht="14" thickBot="1" x14ac:dyDescent="0.2">
      <c r="A33" s="237"/>
      <c r="B33" s="231" t="s">
        <v>1105</v>
      </c>
      <c r="C33" s="232">
        <f>SUM(C31:C32)</f>
        <v>16.71</v>
      </c>
      <c r="D33" s="233"/>
      <c r="E33" s="234"/>
      <c r="F33" s="234"/>
      <c r="G33" s="234">
        <f>SUM(G31:G32)</f>
        <v>4426.8999999999996</v>
      </c>
    </row>
    <row r="34" spans="1:9" ht="14" thickTop="1" x14ac:dyDescent="0.15">
      <c r="A34" s="120"/>
      <c r="B34" s="120"/>
      <c r="C34" s="239"/>
      <c r="D34" s="240"/>
      <c r="E34" s="181"/>
      <c r="F34" s="181"/>
      <c r="G34" s="181"/>
    </row>
    <row r="35" spans="1:9" ht="14" thickBot="1" x14ac:dyDescent="0.2"/>
    <row r="36" spans="1:9" ht="31" thickBot="1" x14ac:dyDescent="0.35">
      <c r="A36" s="804" t="s">
        <v>1112</v>
      </c>
      <c r="B36" s="805"/>
      <c r="C36" s="805"/>
      <c r="D36" s="805"/>
      <c r="E36" s="805"/>
      <c r="F36" s="805"/>
      <c r="G36" s="806"/>
    </row>
    <row r="37" spans="1:9" x14ac:dyDescent="0.15">
      <c r="A37" s="220"/>
      <c r="B37" s="220"/>
      <c r="C37" s="221"/>
      <c r="D37" s="222"/>
      <c r="E37" s="223"/>
      <c r="F37" s="223"/>
      <c r="G37" s="223"/>
    </row>
    <row r="39" spans="1:9" s="120" customFormat="1" x14ac:dyDescent="0.15">
      <c r="A39" s="241">
        <v>42930</v>
      </c>
      <c r="B39" s="242" t="s">
        <v>1104</v>
      </c>
      <c r="C39" s="243">
        <v>10.475</v>
      </c>
      <c r="D39" s="240">
        <v>687613</v>
      </c>
      <c r="E39" s="166">
        <v>224.71</v>
      </c>
      <c r="F39" s="166">
        <v>336</v>
      </c>
      <c r="G39" s="166">
        <v>2689.84</v>
      </c>
      <c r="I39" s="181"/>
    </row>
    <row r="40" spans="1:9" s="120" customFormat="1" ht="14" thickBot="1" x14ac:dyDescent="0.2">
      <c r="A40" s="244"/>
      <c r="B40" s="245" t="s">
        <v>1113</v>
      </c>
      <c r="C40" s="246">
        <f t="shared" ref="C40" si="2">SUM(C39:C39)</f>
        <v>10.475</v>
      </c>
      <c r="D40" s="247"/>
      <c r="E40" s="248"/>
      <c r="F40" s="248"/>
      <c r="G40" s="248">
        <f t="shared" ref="G40" si="3">SUM(G39:G39)</f>
        <v>2689.84</v>
      </c>
    </row>
    <row r="41" spans="1:9" s="120" customFormat="1" ht="14" thickTop="1" x14ac:dyDescent="0.15">
      <c r="C41" s="239"/>
      <c r="D41" s="240"/>
      <c r="E41" s="181"/>
      <c r="F41" s="181"/>
      <c r="G41" s="181"/>
    </row>
    <row r="42" spans="1:9" x14ac:dyDescent="0.15">
      <c r="A42" s="249">
        <v>42810</v>
      </c>
      <c r="B42" s="250" t="s">
        <v>1104</v>
      </c>
      <c r="C42" s="251">
        <v>5.4320000000000004</v>
      </c>
      <c r="D42" s="252">
        <v>679302</v>
      </c>
      <c r="E42" s="253">
        <v>224.71</v>
      </c>
      <c r="F42" s="253">
        <v>336</v>
      </c>
      <c r="G42" s="253">
        <v>1556.62</v>
      </c>
    </row>
    <row r="43" spans="1:9" x14ac:dyDescent="0.15">
      <c r="A43" s="249">
        <v>42810</v>
      </c>
      <c r="B43" s="250" t="s">
        <v>1104</v>
      </c>
      <c r="C43" s="251">
        <v>11.278</v>
      </c>
      <c r="D43" s="252">
        <v>680199</v>
      </c>
      <c r="E43" s="253">
        <v>224.71</v>
      </c>
      <c r="F43" s="253">
        <v>336</v>
      </c>
      <c r="G43" s="253">
        <v>2870.28</v>
      </c>
    </row>
    <row r="44" spans="1:9" ht="14" thickBot="1" x14ac:dyDescent="0.2">
      <c r="A44" s="254"/>
      <c r="B44" s="255" t="s">
        <v>1105</v>
      </c>
      <c r="C44" s="256">
        <f>SUM(C42:C43)</f>
        <v>16.71</v>
      </c>
      <c r="D44" s="257"/>
      <c r="E44" s="258"/>
      <c r="F44" s="258"/>
      <c r="G44" s="258">
        <f>SUM(G42:G43)</f>
        <v>4426.8999999999996</v>
      </c>
    </row>
    <row r="45" spans="1:9" ht="14" thickTop="1" x14ac:dyDescent="0.15">
      <c r="A45" s="120"/>
      <c r="B45" s="120"/>
      <c r="C45" s="239"/>
      <c r="D45" s="240"/>
      <c r="E45" s="181"/>
      <c r="F45" s="181"/>
      <c r="G45" s="181"/>
    </row>
  </sheetData>
  <mergeCells count="4">
    <mergeCell ref="A4:G4"/>
    <mergeCell ref="A10:G10"/>
    <mergeCell ref="A25:G25"/>
    <mergeCell ref="A36:G36"/>
  </mergeCells>
  <pageMargins left="0.75" right="0.75" top="1" bottom="1" header="0.5" footer="0.5"/>
  <pageSetup scale="61" orientation="landscape" r:id="rId1"/>
  <headerFooter alignWithMargins="0">
    <oddFooter>&amp;L&amp;D&amp;CHeat Plant Oil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52"/>
  <sheetViews>
    <sheetView topLeftCell="A17" workbookViewId="0">
      <selection activeCell="A40" sqref="A40"/>
    </sheetView>
  </sheetViews>
  <sheetFormatPr baseColWidth="10" defaultColWidth="8.83203125" defaultRowHeight="16" x14ac:dyDescent="0.2"/>
  <cols>
    <col min="1" max="1" width="54.83203125" style="82" bestFit="1" customWidth="1"/>
    <col min="2" max="27" width="13.6640625" style="82" bestFit="1" customWidth="1"/>
    <col min="28" max="16384" width="8.83203125" style="82"/>
  </cols>
  <sheetData>
    <row r="1" spans="1:27" x14ac:dyDescent="0.2">
      <c r="A1" s="82" t="s">
        <v>1789</v>
      </c>
    </row>
    <row r="2" spans="1:27" x14ac:dyDescent="0.2">
      <c r="A2" s="95" t="s">
        <v>93</v>
      </c>
    </row>
    <row r="3" spans="1:27" x14ac:dyDescent="0.2">
      <c r="A3" s="764" t="s">
        <v>33</v>
      </c>
      <c r="B3" s="764"/>
      <c r="C3" s="764"/>
      <c r="D3" s="764"/>
      <c r="E3" s="764"/>
      <c r="F3" s="764"/>
      <c r="G3" s="764"/>
      <c r="H3" s="764"/>
      <c r="I3" s="764"/>
      <c r="J3" s="764"/>
      <c r="K3" s="764"/>
      <c r="L3" s="764"/>
      <c r="M3" s="764"/>
      <c r="N3" s="764"/>
      <c r="O3" s="764"/>
      <c r="P3" s="764"/>
      <c r="Q3" s="764"/>
      <c r="R3" s="764"/>
      <c r="S3" s="764"/>
      <c r="T3" s="764"/>
      <c r="U3" s="764"/>
      <c r="V3" s="764"/>
      <c r="W3" s="764"/>
      <c r="X3" s="764"/>
      <c r="Y3" s="764"/>
      <c r="Z3" s="764"/>
      <c r="AA3" s="764"/>
    </row>
    <row r="4" spans="1:27" x14ac:dyDescent="0.2">
      <c r="A4" s="764" t="s">
        <v>34</v>
      </c>
      <c r="B4" s="764"/>
      <c r="C4" s="764"/>
      <c r="D4" s="764"/>
      <c r="E4" s="764"/>
      <c r="F4" s="764"/>
      <c r="G4" s="764"/>
      <c r="H4" s="764"/>
      <c r="I4" s="764"/>
      <c r="J4" s="764"/>
      <c r="K4" s="764"/>
      <c r="L4" s="764"/>
      <c r="M4" s="764"/>
      <c r="N4" s="764"/>
      <c r="O4" s="764"/>
      <c r="P4" s="764"/>
      <c r="Q4" s="764"/>
      <c r="R4" s="764"/>
      <c r="S4" s="764"/>
      <c r="T4" s="764"/>
      <c r="U4" s="764"/>
      <c r="V4" s="764"/>
      <c r="W4" s="764"/>
      <c r="X4" s="764"/>
      <c r="Y4" s="764"/>
      <c r="Z4" s="764"/>
      <c r="AA4" s="764"/>
    </row>
    <row r="5" spans="1:27" x14ac:dyDescent="0.2">
      <c r="A5" s="765" t="s">
        <v>35</v>
      </c>
      <c r="B5" s="765"/>
      <c r="C5" s="765"/>
      <c r="D5" s="765"/>
      <c r="E5" s="765"/>
      <c r="F5" s="765"/>
      <c r="G5" s="765"/>
      <c r="H5" s="765"/>
      <c r="I5" s="765"/>
      <c r="J5" s="765"/>
      <c r="K5" s="765"/>
      <c r="L5" s="765"/>
      <c r="M5" s="765"/>
      <c r="N5" s="765"/>
      <c r="O5" s="765"/>
      <c r="P5" s="765"/>
      <c r="Q5" s="765"/>
      <c r="R5" s="765"/>
      <c r="S5" s="765"/>
      <c r="T5" s="765"/>
      <c r="U5" s="765"/>
      <c r="V5" s="765"/>
      <c r="W5" s="765"/>
      <c r="X5" s="765"/>
      <c r="Y5" s="765"/>
      <c r="Z5" s="765"/>
      <c r="AA5" s="765"/>
    </row>
    <row r="6" spans="1:27" ht="26" x14ac:dyDescent="0.2">
      <c r="A6" s="83" t="s">
        <v>36</v>
      </c>
      <c r="B6" s="83" t="s">
        <v>37</v>
      </c>
      <c r="C6" s="83" t="s">
        <v>38</v>
      </c>
      <c r="D6" s="83" t="s">
        <v>39</v>
      </c>
      <c r="E6" s="83" t="s">
        <v>40</v>
      </c>
      <c r="F6" s="83" t="s">
        <v>41</v>
      </c>
      <c r="G6" s="83" t="s">
        <v>42</v>
      </c>
      <c r="H6" s="83" t="s">
        <v>43</v>
      </c>
      <c r="I6" s="83" t="s">
        <v>44</v>
      </c>
      <c r="J6" s="83" t="s">
        <v>45</v>
      </c>
      <c r="K6" s="83" t="s">
        <v>46</v>
      </c>
      <c r="L6" s="83" t="s">
        <v>47</v>
      </c>
      <c r="M6" s="83" t="s">
        <v>48</v>
      </c>
      <c r="N6" s="83" t="s">
        <v>49</v>
      </c>
      <c r="O6" s="83" t="s">
        <v>50</v>
      </c>
      <c r="P6" s="83" t="s">
        <v>51</v>
      </c>
      <c r="Q6" s="83" t="s">
        <v>52</v>
      </c>
      <c r="R6" s="83" t="s">
        <v>53</v>
      </c>
      <c r="S6" s="83" t="s">
        <v>54</v>
      </c>
      <c r="T6" s="83" t="s">
        <v>55</v>
      </c>
      <c r="U6" s="83" t="s">
        <v>56</v>
      </c>
      <c r="V6" s="83" t="s">
        <v>57</v>
      </c>
      <c r="W6" s="83" t="s">
        <v>58</v>
      </c>
      <c r="X6" s="83" t="s">
        <v>59</v>
      </c>
      <c r="Y6" s="83" t="s">
        <v>60</v>
      </c>
      <c r="Z6" s="83" t="s">
        <v>61</v>
      </c>
      <c r="AA6" s="83" t="s">
        <v>62</v>
      </c>
    </row>
    <row r="7" spans="1:27" x14ac:dyDescent="0.2">
      <c r="A7" s="84" t="s">
        <v>63</v>
      </c>
      <c r="B7" s="85" t="s">
        <v>64</v>
      </c>
      <c r="C7" s="85" t="s">
        <v>64</v>
      </c>
      <c r="D7" s="85" t="s">
        <v>64</v>
      </c>
      <c r="E7" s="85" t="s">
        <v>64</v>
      </c>
      <c r="F7" s="85" t="s">
        <v>64</v>
      </c>
      <c r="G7" s="85" t="s">
        <v>64</v>
      </c>
      <c r="H7" s="85" t="s">
        <v>64</v>
      </c>
      <c r="I7" s="85" t="s">
        <v>64</v>
      </c>
      <c r="J7" s="85" t="s">
        <v>64</v>
      </c>
      <c r="K7" s="85" t="s">
        <v>64</v>
      </c>
      <c r="L7" s="85" t="s">
        <v>64</v>
      </c>
      <c r="M7" s="85" t="s">
        <v>64</v>
      </c>
      <c r="N7" s="85" t="s">
        <v>64</v>
      </c>
      <c r="O7" s="85" t="s">
        <v>64</v>
      </c>
      <c r="P7" s="85" t="s">
        <v>64</v>
      </c>
      <c r="Q7" s="85" t="s">
        <v>64</v>
      </c>
      <c r="R7" s="85" t="s">
        <v>64</v>
      </c>
      <c r="S7" s="85" t="s">
        <v>64</v>
      </c>
      <c r="T7" s="85" t="s">
        <v>64</v>
      </c>
      <c r="U7" s="85" t="s">
        <v>64</v>
      </c>
      <c r="V7" s="85" t="s">
        <v>64</v>
      </c>
      <c r="W7" s="85" t="s">
        <v>64</v>
      </c>
      <c r="X7" s="85" t="s">
        <v>64</v>
      </c>
      <c r="Y7" s="85" t="s">
        <v>64</v>
      </c>
      <c r="Z7" s="85" t="s">
        <v>64</v>
      </c>
      <c r="AA7" s="85" t="s">
        <v>64</v>
      </c>
    </row>
    <row r="8" spans="1:27" x14ac:dyDescent="0.2">
      <c r="A8" s="84" t="s">
        <v>65</v>
      </c>
      <c r="B8" s="85" t="s">
        <v>64</v>
      </c>
      <c r="C8" s="85" t="s">
        <v>64</v>
      </c>
      <c r="D8" s="85" t="s">
        <v>64</v>
      </c>
      <c r="E8" s="85" t="s">
        <v>64</v>
      </c>
      <c r="F8" s="85" t="s">
        <v>64</v>
      </c>
      <c r="G8" s="85" t="s">
        <v>64</v>
      </c>
      <c r="H8" s="85" t="s">
        <v>64</v>
      </c>
      <c r="I8" s="85" t="s">
        <v>64</v>
      </c>
      <c r="J8" s="85" t="s">
        <v>64</v>
      </c>
      <c r="K8" s="85" t="s">
        <v>64</v>
      </c>
      <c r="L8" s="85" t="s">
        <v>64</v>
      </c>
      <c r="M8" s="85" t="s">
        <v>64</v>
      </c>
      <c r="N8" s="85" t="s">
        <v>64</v>
      </c>
      <c r="O8" s="85" t="s">
        <v>64</v>
      </c>
      <c r="P8" s="85" t="s">
        <v>64</v>
      </c>
      <c r="Q8" s="85" t="s">
        <v>64</v>
      </c>
      <c r="R8" s="85" t="s">
        <v>64</v>
      </c>
      <c r="S8" s="85" t="s">
        <v>64</v>
      </c>
      <c r="T8" s="85" t="s">
        <v>64</v>
      </c>
      <c r="U8" s="85" t="s">
        <v>64</v>
      </c>
      <c r="V8" s="85" t="s">
        <v>64</v>
      </c>
      <c r="W8" s="85" t="s">
        <v>64</v>
      </c>
      <c r="X8" s="85" t="s">
        <v>64</v>
      </c>
      <c r="Y8" s="85" t="s">
        <v>64</v>
      </c>
      <c r="Z8" s="85" t="s">
        <v>64</v>
      </c>
      <c r="AA8" s="85" t="s">
        <v>64</v>
      </c>
    </row>
    <row r="9" spans="1:27" x14ac:dyDescent="0.2">
      <c r="A9" s="86" t="s">
        <v>66</v>
      </c>
      <c r="B9" s="87">
        <v>715117</v>
      </c>
      <c r="C9" s="87">
        <v>679986</v>
      </c>
      <c r="D9" s="87">
        <v>611320</v>
      </c>
      <c r="E9" s="87">
        <v>591343</v>
      </c>
      <c r="F9" s="87">
        <v>609632</v>
      </c>
      <c r="G9" s="87">
        <v>802906</v>
      </c>
      <c r="H9" s="87">
        <v>447912</v>
      </c>
      <c r="I9" s="87">
        <v>507254</v>
      </c>
      <c r="J9" s="87">
        <v>493885</v>
      </c>
      <c r="K9" s="87">
        <v>942917</v>
      </c>
      <c r="L9" s="87">
        <v>1622208</v>
      </c>
      <c r="M9" s="87">
        <v>1524169</v>
      </c>
      <c r="N9" s="87">
        <v>2055622</v>
      </c>
      <c r="O9" s="87">
        <v>1156651</v>
      </c>
      <c r="P9" s="87">
        <v>1566491</v>
      </c>
      <c r="Q9" s="87">
        <v>1704653</v>
      </c>
      <c r="R9" s="87">
        <v>4359511</v>
      </c>
      <c r="S9" s="87">
        <v>26036881</v>
      </c>
      <c r="T9" s="87">
        <v>33898697</v>
      </c>
      <c r="U9" s="87">
        <v>27758877</v>
      </c>
      <c r="V9" s="87">
        <v>26971667</v>
      </c>
      <c r="W9" s="87">
        <v>27466049</v>
      </c>
      <c r="X9" s="87">
        <v>28163544</v>
      </c>
      <c r="Y9" s="87">
        <v>32838301</v>
      </c>
      <c r="Z9" s="87">
        <v>35802358</v>
      </c>
      <c r="AA9" s="87">
        <v>36478610</v>
      </c>
    </row>
    <row r="10" spans="1:27" x14ac:dyDescent="0.2">
      <c r="A10" s="86" t="s">
        <v>67</v>
      </c>
      <c r="B10" s="87">
        <v>27845467</v>
      </c>
      <c r="C10" s="87">
        <v>27154376</v>
      </c>
      <c r="D10" s="87">
        <v>29674084</v>
      </c>
      <c r="E10" s="87">
        <v>31409340</v>
      </c>
      <c r="F10" s="87">
        <v>34090820</v>
      </c>
      <c r="G10" s="87">
        <v>38144942</v>
      </c>
      <c r="H10" s="87">
        <v>35883397</v>
      </c>
      <c r="I10" s="87">
        <v>39845907</v>
      </c>
      <c r="J10" s="87">
        <v>43405931</v>
      </c>
      <c r="K10" s="87">
        <v>41847076</v>
      </c>
      <c r="L10" s="87">
        <v>42121854</v>
      </c>
      <c r="M10" s="87">
        <v>41036127</v>
      </c>
      <c r="N10" s="87">
        <v>40101716</v>
      </c>
      <c r="O10" s="87">
        <v>34031265</v>
      </c>
      <c r="P10" s="87">
        <v>30175749</v>
      </c>
      <c r="Q10" s="87">
        <v>30157682</v>
      </c>
      <c r="R10" s="87">
        <v>29002645</v>
      </c>
      <c r="S10" s="87">
        <v>12600181</v>
      </c>
      <c r="T10" s="87">
        <v>3559542</v>
      </c>
      <c r="U10" s="87">
        <v>3113851</v>
      </c>
      <c r="V10" s="87">
        <v>3577177</v>
      </c>
      <c r="W10" s="87">
        <v>2937976</v>
      </c>
      <c r="X10" s="87">
        <v>2397608</v>
      </c>
      <c r="Y10" s="87">
        <v>1940521</v>
      </c>
      <c r="Z10" s="87">
        <v>1772224</v>
      </c>
      <c r="AA10" s="87">
        <v>1729309</v>
      </c>
    </row>
    <row r="11" spans="1:27" x14ac:dyDescent="0.2">
      <c r="A11" s="86" t="s">
        <v>68</v>
      </c>
      <c r="B11" s="87">
        <v>2808851</v>
      </c>
      <c r="C11" s="87">
        <v>2532255</v>
      </c>
      <c r="D11" s="87">
        <v>1897773</v>
      </c>
      <c r="E11" s="87">
        <v>2911534</v>
      </c>
      <c r="F11" s="87">
        <v>2692009</v>
      </c>
      <c r="G11" s="87">
        <v>3191557</v>
      </c>
      <c r="H11" s="87">
        <v>1917792</v>
      </c>
      <c r="I11" s="87">
        <v>1443612</v>
      </c>
      <c r="J11" s="87">
        <v>2399988</v>
      </c>
      <c r="K11" s="87">
        <v>1938335</v>
      </c>
      <c r="L11" s="87">
        <v>2895794</v>
      </c>
      <c r="M11" s="87">
        <v>4053401</v>
      </c>
      <c r="N11" s="87">
        <v>5378236</v>
      </c>
      <c r="O11" s="87">
        <v>5852457</v>
      </c>
      <c r="P11" s="87">
        <v>5768915</v>
      </c>
      <c r="Q11" s="87">
        <v>5981291</v>
      </c>
      <c r="R11" s="87">
        <v>6332803</v>
      </c>
      <c r="S11" s="87">
        <v>6295786</v>
      </c>
      <c r="T11" s="87">
        <v>6646586</v>
      </c>
      <c r="U11" s="87">
        <v>6139420</v>
      </c>
      <c r="V11" s="87">
        <v>6240919</v>
      </c>
      <c r="W11" s="87">
        <v>6648303</v>
      </c>
      <c r="X11" s="87">
        <v>5618536</v>
      </c>
      <c r="Y11" s="87">
        <v>4422232</v>
      </c>
      <c r="Z11" s="87">
        <v>2573038</v>
      </c>
      <c r="AA11" s="87">
        <v>750576</v>
      </c>
    </row>
    <row r="12" spans="1:27" x14ac:dyDescent="0.2">
      <c r="A12" s="88" t="s">
        <v>69</v>
      </c>
      <c r="B12" s="89">
        <v>31369435</v>
      </c>
      <c r="C12" s="89">
        <v>30366616</v>
      </c>
      <c r="D12" s="89">
        <v>32183178</v>
      </c>
      <c r="E12" s="89">
        <v>34912217</v>
      </c>
      <c r="F12" s="89">
        <v>37392461</v>
      </c>
      <c r="G12" s="89">
        <v>42139405</v>
      </c>
      <c r="H12" s="89">
        <v>38249100</v>
      </c>
      <c r="I12" s="89">
        <v>41796774</v>
      </c>
      <c r="J12" s="89">
        <v>46299804</v>
      </c>
      <c r="K12" s="89">
        <v>44728328</v>
      </c>
      <c r="L12" s="89">
        <v>46639856</v>
      </c>
      <c r="M12" s="89">
        <v>46613697</v>
      </c>
      <c r="N12" s="89">
        <v>47535574</v>
      </c>
      <c r="O12" s="89">
        <v>41040374</v>
      </c>
      <c r="P12" s="89">
        <v>37511155</v>
      </c>
      <c r="Q12" s="89">
        <v>37843626</v>
      </c>
      <c r="R12" s="89">
        <v>39694959</v>
      </c>
      <c r="S12" s="89">
        <v>44932848</v>
      </c>
      <c r="T12" s="89">
        <v>44104826</v>
      </c>
      <c r="U12" s="89">
        <v>37012149</v>
      </c>
      <c r="V12" s="89">
        <v>36789762</v>
      </c>
      <c r="W12" s="89">
        <v>37052328</v>
      </c>
      <c r="X12" s="89">
        <v>36179688</v>
      </c>
      <c r="Y12" s="89">
        <v>39201054</v>
      </c>
      <c r="Z12" s="89">
        <v>40147619</v>
      </c>
      <c r="AA12" s="89">
        <v>38958495</v>
      </c>
    </row>
    <row r="13" spans="1:27" x14ac:dyDescent="0.2">
      <c r="A13" s="86" t="s">
        <v>70</v>
      </c>
      <c r="B13" s="87">
        <v>535128</v>
      </c>
      <c r="C13" s="87">
        <v>600219</v>
      </c>
      <c r="D13" s="87">
        <v>526844</v>
      </c>
      <c r="E13" s="87">
        <v>469212</v>
      </c>
      <c r="F13" s="87">
        <v>490071</v>
      </c>
      <c r="G13" s="87">
        <v>496596</v>
      </c>
      <c r="H13" s="87">
        <v>524889</v>
      </c>
      <c r="I13" s="87">
        <v>489445</v>
      </c>
      <c r="J13" s="87">
        <v>502938</v>
      </c>
      <c r="K13" s="87">
        <v>573881</v>
      </c>
      <c r="L13" s="87">
        <v>589666</v>
      </c>
      <c r="M13" s="87">
        <v>572564</v>
      </c>
      <c r="N13" s="87">
        <v>514326</v>
      </c>
      <c r="O13" s="87">
        <v>574899</v>
      </c>
      <c r="P13" s="87">
        <v>558200</v>
      </c>
      <c r="Q13" s="87">
        <v>426204</v>
      </c>
      <c r="R13" s="87">
        <v>427603</v>
      </c>
      <c r="S13" s="87">
        <v>358603</v>
      </c>
      <c r="T13" s="87">
        <v>347403</v>
      </c>
      <c r="U13" s="87">
        <v>437431</v>
      </c>
      <c r="V13" s="87">
        <v>376752</v>
      </c>
      <c r="W13" s="87">
        <v>314438</v>
      </c>
      <c r="X13" s="87">
        <v>295085</v>
      </c>
      <c r="Y13" s="87">
        <v>317653</v>
      </c>
      <c r="Z13" s="87">
        <v>325856</v>
      </c>
      <c r="AA13" s="87">
        <v>305856</v>
      </c>
    </row>
    <row r="14" spans="1:27" x14ac:dyDescent="0.2">
      <c r="A14" s="86" t="s">
        <v>71</v>
      </c>
      <c r="B14" s="87">
        <v>181406</v>
      </c>
      <c r="C14" s="87">
        <v>151756</v>
      </c>
      <c r="D14" s="87">
        <v>174999</v>
      </c>
      <c r="E14" s="87">
        <v>816693</v>
      </c>
      <c r="F14" s="87">
        <v>172288</v>
      </c>
      <c r="G14" s="87">
        <v>168823</v>
      </c>
      <c r="H14" s="87">
        <v>192662</v>
      </c>
      <c r="I14" s="87">
        <v>219260</v>
      </c>
      <c r="J14" s="87">
        <v>273233</v>
      </c>
      <c r="K14" s="87">
        <v>295567</v>
      </c>
      <c r="L14" s="87">
        <v>285921</v>
      </c>
      <c r="M14" s="87">
        <v>314221</v>
      </c>
      <c r="N14" s="87">
        <v>335124</v>
      </c>
      <c r="O14" s="87">
        <v>412546</v>
      </c>
      <c r="P14" s="87">
        <v>409079</v>
      </c>
      <c r="Q14" s="87">
        <v>428050</v>
      </c>
      <c r="R14" s="87">
        <v>452833</v>
      </c>
      <c r="S14" s="87">
        <v>392163</v>
      </c>
      <c r="T14" s="87">
        <v>513101</v>
      </c>
      <c r="U14" s="87">
        <v>504439</v>
      </c>
      <c r="V14" s="87">
        <v>487968</v>
      </c>
      <c r="W14" s="87">
        <v>572296</v>
      </c>
      <c r="X14" s="87">
        <v>604433</v>
      </c>
      <c r="Y14" s="87">
        <v>568948</v>
      </c>
      <c r="Z14" s="87">
        <v>546313</v>
      </c>
      <c r="AA14" s="87">
        <v>546661</v>
      </c>
    </row>
    <row r="15" spans="1:27" x14ac:dyDescent="0.2">
      <c r="A15" s="88" t="s">
        <v>72</v>
      </c>
      <c r="B15" s="89">
        <v>716534</v>
      </c>
      <c r="C15" s="89">
        <v>751975</v>
      </c>
      <c r="D15" s="89">
        <v>701843</v>
      </c>
      <c r="E15" s="89">
        <v>1285905</v>
      </c>
      <c r="F15" s="89">
        <v>662360</v>
      </c>
      <c r="G15" s="89">
        <v>665419</v>
      </c>
      <c r="H15" s="89">
        <v>717551</v>
      </c>
      <c r="I15" s="89">
        <v>708705</v>
      </c>
      <c r="J15" s="89">
        <v>776171</v>
      </c>
      <c r="K15" s="89">
        <v>869448</v>
      </c>
      <c r="L15" s="89">
        <v>875587</v>
      </c>
      <c r="M15" s="89">
        <v>886785</v>
      </c>
      <c r="N15" s="89">
        <v>849450</v>
      </c>
      <c r="O15" s="89">
        <v>987445</v>
      </c>
      <c r="P15" s="89">
        <v>967279</v>
      </c>
      <c r="Q15" s="89">
        <v>854254</v>
      </c>
      <c r="R15" s="89">
        <v>880435</v>
      </c>
      <c r="S15" s="89">
        <v>750766</v>
      </c>
      <c r="T15" s="89">
        <v>860504</v>
      </c>
      <c r="U15" s="89">
        <v>941869</v>
      </c>
      <c r="V15" s="89">
        <v>864720</v>
      </c>
      <c r="W15" s="89">
        <v>886734</v>
      </c>
      <c r="X15" s="89">
        <v>899519</v>
      </c>
      <c r="Y15" s="89">
        <v>886601</v>
      </c>
      <c r="Z15" s="89">
        <v>872169</v>
      </c>
      <c r="AA15" s="89">
        <v>852517</v>
      </c>
    </row>
    <row r="16" spans="1:27" x14ac:dyDescent="0.2">
      <c r="A16" s="88" t="s">
        <v>73</v>
      </c>
      <c r="B16" s="89">
        <v>32085969</v>
      </c>
      <c r="C16" s="89">
        <v>31118591</v>
      </c>
      <c r="D16" s="89">
        <v>32885021</v>
      </c>
      <c r="E16" s="89">
        <v>36198121</v>
      </c>
      <c r="F16" s="89">
        <v>38054821</v>
      </c>
      <c r="G16" s="89">
        <v>42804824</v>
      </c>
      <c r="H16" s="89">
        <v>38966651</v>
      </c>
      <c r="I16" s="89">
        <v>42505478</v>
      </c>
      <c r="J16" s="89">
        <v>47075975</v>
      </c>
      <c r="K16" s="89">
        <v>45597775</v>
      </c>
      <c r="L16" s="89">
        <v>47515443</v>
      </c>
      <c r="M16" s="89">
        <v>47500483</v>
      </c>
      <c r="N16" s="89">
        <v>48385024</v>
      </c>
      <c r="O16" s="89">
        <v>42027818</v>
      </c>
      <c r="P16" s="89">
        <v>38478433</v>
      </c>
      <c r="Q16" s="89">
        <v>38697880</v>
      </c>
      <c r="R16" s="89">
        <v>40575395</v>
      </c>
      <c r="S16" s="89">
        <v>45683614</v>
      </c>
      <c r="T16" s="89">
        <v>44965330</v>
      </c>
      <c r="U16" s="89">
        <v>37954018</v>
      </c>
      <c r="V16" s="89">
        <v>37654482</v>
      </c>
      <c r="W16" s="89">
        <v>37939062</v>
      </c>
      <c r="X16" s="89">
        <v>37079207</v>
      </c>
      <c r="Y16" s="89">
        <v>40087655</v>
      </c>
      <c r="Z16" s="89">
        <v>41019789</v>
      </c>
      <c r="AA16" s="89">
        <v>39811013</v>
      </c>
    </row>
    <row r="17" spans="1:27" x14ac:dyDescent="0.2">
      <c r="A17" s="88" t="s">
        <v>74</v>
      </c>
      <c r="B17" s="89">
        <v>1338101</v>
      </c>
      <c r="C17" s="89">
        <v>1422472</v>
      </c>
      <c r="D17" s="89">
        <v>1274665</v>
      </c>
      <c r="E17" s="89">
        <v>1031072</v>
      </c>
      <c r="F17" s="89">
        <v>4436435</v>
      </c>
      <c r="G17" s="89">
        <v>3714165</v>
      </c>
      <c r="H17" s="89">
        <v>4911406</v>
      </c>
      <c r="I17" s="89">
        <v>4177025</v>
      </c>
      <c r="J17" s="89">
        <v>934812</v>
      </c>
      <c r="K17" s="89">
        <v>696515</v>
      </c>
      <c r="L17" s="89">
        <v>2576734</v>
      </c>
      <c r="M17" s="89">
        <v>512147</v>
      </c>
      <c r="N17" s="89">
        <v>274260</v>
      </c>
      <c r="O17" s="89">
        <v>497377</v>
      </c>
      <c r="P17" s="89">
        <v>1136866</v>
      </c>
      <c r="Q17" s="89">
        <v>2143094</v>
      </c>
      <c r="R17" s="89">
        <v>1934370</v>
      </c>
      <c r="S17" s="89">
        <v>1765571</v>
      </c>
      <c r="T17" s="89">
        <v>1863013</v>
      </c>
      <c r="U17" s="89">
        <v>1591142</v>
      </c>
      <c r="V17" s="89">
        <v>1790365</v>
      </c>
      <c r="W17" s="89">
        <v>1533335</v>
      </c>
      <c r="X17" s="89">
        <v>1839654</v>
      </c>
      <c r="Y17" s="89">
        <v>1659529</v>
      </c>
      <c r="Z17" s="89">
        <v>2280689</v>
      </c>
      <c r="AA17" s="89">
        <v>1921479</v>
      </c>
    </row>
    <row r="18" spans="1:27" x14ac:dyDescent="0.2">
      <c r="A18" s="88" t="s">
        <v>75</v>
      </c>
      <c r="B18" s="89">
        <v>25950917</v>
      </c>
      <c r="C18" s="89">
        <v>26575746</v>
      </c>
      <c r="D18" s="89">
        <v>26046122</v>
      </c>
      <c r="E18" s="89">
        <v>23817159</v>
      </c>
      <c r="F18" s="89">
        <v>17462834</v>
      </c>
      <c r="G18" s="89">
        <v>15568924</v>
      </c>
      <c r="H18" s="89">
        <v>15427476</v>
      </c>
      <c r="I18" s="89">
        <v>14789198</v>
      </c>
      <c r="J18" s="89">
        <v>14607639</v>
      </c>
      <c r="K18" s="89">
        <v>15965226</v>
      </c>
      <c r="L18" s="89">
        <v>14023770</v>
      </c>
      <c r="M18" s="89">
        <v>14798145</v>
      </c>
      <c r="N18" s="89">
        <v>13213701</v>
      </c>
      <c r="O18" s="89">
        <v>17818231</v>
      </c>
      <c r="P18" s="89">
        <v>18484438</v>
      </c>
      <c r="Q18" s="89">
        <v>17566900</v>
      </c>
      <c r="R18" s="89">
        <v>13045490</v>
      </c>
      <c r="S18" s="89">
        <v>6850456</v>
      </c>
      <c r="T18" s="89">
        <v>6837557</v>
      </c>
      <c r="U18" s="89">
        <v>13579111</v>
      </c>
      <c r="V18" s="89">
        <v>12908785</v>
      </c>
      <c r="W18" s="89">
        <v>12222262</v>
      </c>
      <c r="X18" s="89">
        <v>12098282</v>
      </c>
      <c r="Y18" s="89">
        <v>8890379</v>
      </c>
      <c r="Z18" s="89">
        <v>6874189</v>
      </c>
      <c r="AA18" s="89">
        <v>9175323</v>
      </c>
    </row>
    <row r="19" spans="1:27" x14ac:dyDescent="0.2">
      <c r="A19" s="90" t="s">
        <v>76</v>
      </c>
      <c r="B19" s="91">
        <v>59374987</v>
      </c>
      <c r="C19" s="91">
        <v>59116809</v>
      </c>
      <c r="D19" s="91">
        <v>60205808</v>
      </c>
      <c r="E19" s="91">
        <v>61046352</v>
      </c>
      <c r="F19" s="91">
        <v>59954090</v>
      </c>
      <c r="G19" s="91">
        <v>62087913</v>
      </c>
      <c r="H19" s="91">
        <v>59305533</v>
      </c>
      <c r="I19" s="91">
        <v>61471701</v>
      </c>
      <c r="J19" s="91">
        <v>62618426</v>
      </c>
      <c r="K19" s="91">
        <v>62259516</v>
      </c>
      <c r="L19" s="91">
        <v>64115947</v>
      </c>
      <c r="M19" s="91">
        <v>62810775</v>
      </c>
      <c r="N19" s="91">
        <v>61872985</v>
      </c>
      <c r="O19" s="91">
        <v>60343426</v>
      </c>
      <c r="P19" s="91">
        <v>58099737</v>
      </c>
      <c r="Q19" s="91">
        <v>58407874</v>
      </c>
      <c r="R19" s="91">
        <v>55555255</v>
      </c>
      <c r="S19" s="91">
        <v>54299641</v>
      </c>
      <c r="T19" s="91">
        <v>53665900</v>
      </c>
      <c r="U19" s="91">
        <v>53124271</v>
      </c>
      <c r="V19" s="91">
        <v>52353632</v>
      </c>
      <c r="W19" s="91">
        <v>51694659</v>
      </c>
      <c r="X19" s="91">
        <v>51017143</v>
      </c>
      <c r="Y19" s="91">
        <v>50637563</v>
      </c>
      <c r="Z19" s="91">
        <v>50174667</v>
      </c>
      <c r="AA19" s="91">
        <v>50907815</v>
      </c>
    </row>
    <row r="20" spans="1:27" x14ac:dyDescent="0.2">
      <c r="A20" s="84" t="s">
        <v>77</v>
      </c>
      <c r="B20" s="85" t="s">
        <v>64</v>
      </c>
      <c r="C20" s="85" t="s">
        <v>64</v>
      </c>
      <c r="D20" s="85" t="s">
        <v>64</v>
      </c>
      <c r="E20" s="85" t="s">
        <v>64</v>
      </c>
      <c r="F20" s="85" t="s">
        <v>64</v>
      </c>
      <c r="G20" s="85" t="s">
        <v>64</v>
      </c>
      <c r="H20" s="85" t="s">
        <v>64</v>
      </c>
      <c r="I20" s="85" t="s">
        <v>64</v>
      </c>
      <c r="J20" s="85" t="s">
        <v>64</v>
      </c>
      <c r="K20" s="85" t="s">
        <v>64</v>
      </c>
      <c r="L20" s="85" t="s">
        <v>64</v>
      </c>
      <c r="M20" s="85" t="s">
        <v>64</v>
      </c>
      <c r="N20" s="85" t="s">
        <v>64</v>
      </c>
      <c r="O20" s="85" t="s">
        <v>64</v>
      </c>
      <c r="P20" s="85" t="s">
        <v>64</v>
      </c>
      <c r="Q20" s="85" t="s">
        <v>64</v>
      </c>
      <c r="R20" s="85" t="s">
        <v>64</v>
      </c>
      <c r="S20" s="85" t="s">
        <v>64</v>
      </c>
      <c r="T20" s="85" t="s">
        <v>64</v>
      </c>
      <c r="U20" s="85" t="s">
        <v>64</v>
      </c>
      <c r="V20" s="85" t="s">
        <v>64</v>
      </c>
      <c r="W20" s="85" t="s">
        <v>64</v>
      </c>
      <c r="X20" s="85" t="s">
        <v>64</v>
      </c>
      <c r="Y20" s="85" t="s">
        <v>64</v>
      </c>
      <c r="Z20" s="85" t="s">
        <v>64</v>
      </c>
      <c r="AA20" s="85" t="s">
        <v>64</v>
      </c>
    </row>
    <row r="21" spans="1:27" x14ac:dyDescent="0.2">
      <c r="A21" s="84" t="s">
        <v>78</v>
      </c>
      <c r="B21" s="85" t="s">
        <v>64</v>
      </c>
      <c r="C21" s="85" t="s">
        <v>64</v>
      </c>
      <c r="D21" s="85" t="s">
        <v>64</v>
      </c>
      <c r="E21" s="85" t="s">
        <v>64</v>
      </c>
      <c r="F21" s="85" t="s">
        <v>64</v>
      </c>
      <c r="G21" s="85" t="s">
        <v>64</v>
      </c>
      <c r="H21" s="85" t="s">
        <v>64</v>
      </c>
      <c r="I21" s="85" t="s">
        <v>64</v>
      </c>
      <c r="J21" s="85" t="s">
        <v>64</v>
      </c>
      <c r="K21" s="85" t="s">
        <v>64</v>
      </c>
      <c r="L21" s="85" t="s">
        <v>64</v>
      </c>
      <c r="M21" s="85" t="s">
        <v>64</v>
      </c>
      <c r="N21" s="85" t="s">
        <v>64</v>
      </c>
      <c r="O21" s="85" t="s">
        <v>64</v>
      </c>
      <c r="P21" s="85" t="s">
        <v>64</v>
      </c>
      <c r="Q21" s="85" t="s">
        <v>64</v>
      </c>
      <c r="R21" s="85" t="s">
        <v>64</v>
      </c>
      <c r="S21" s="85" t="s">
        <v>64</v>
      </c>
      <c r="T21" s="85" t="s">
        <v>64</v>
      </c>
      <c r="U21" s="85" t="s">
        <v>64</v>
      </c>
      <c r="V21" s="85" t="s">
        <v>64</v>
      </c>
      <c r="W21" s="85" t="s">
        <v>64</v>
      </c>
      <c r="X21" s="85" t="s">
        <v>64</v>
      </c>
      <c r="Y21" s="85" t="s">
        <v>64</v>
      </c>
      <c r="Z21" s="85" t="s">
        <v>64</v>
      </c>
      <c r="AA21" s="85" t="s">
        <v>64</v>
      </c>
    </row>
    <row r="22" spans="1:27" x14ac:dyDescent="0.2">
      <c r="A22" s="86" t="s">
        <v>79</v>
      </c>
      <c r="B22" s="87">
        <v>26017777</v>
      </c>
      <c r="C22" s="87">
        <v>29314394</v>
      </c>
      <c r="D22" s="87">
        <v>29469135</v>
      </c>
      <c r="E22" s="87">
        <v>29537183</v>
      </c>
      <c r="F22" s="87">
        <v>30286691</v>
      </c>
      <c r="G22" s="87">
        <v>31512202</v>
      </c>
      <c r="H22" s="87">
        <v>29424777</v>
      </c>
      <c r="I22" s="87">
        <v>31545986</v>
      </c>
      <c r="J22" s="87">
        <v>32995741</v>
      </c>
      <c r="K22" s="87">
        <v>34794615</v>
      </c>
      <c r="L22" s="87">
        <v>41356510</v>
      </c>
      <c r="M22" s="87">
        <v>43286873</v>
      </c>
      <c r="N22" s="87">
        <v>45457440</v>
      </c>
      <c r="O22" s="87">
        <v>43879763</v>
      </c>
      <c r="P22" s="87">
        <v>48988912</v>
      </c>
      <c r="Q22" s="87">
        <v>48862334</v>
      </c>
      <c r="R22" s="87">
        <v>47820780</v>
      </c>
      <c r="S22" s="87">
        <v>48607144</v>
      </c>
      <c r="T22" s="87">
        <v>47659344</v>
      </c>
      <c r="U22" s="87">
        <v>47293773</v>
      </c>
      <c r="V22" s="87">
        <v>46510284</v>
      </c>
      <c r="W22" s="87">
        <v>46091354</v>
      </c>
      <c r="X22" s="87">
        <v>45280748</v>
      </c>
      <c r="Y22" s="87">
        <v>44998082</v>
      </c>
      <c r="Z22" s="87">
        <v>44796787</v>
      </c>
      <c r="AA22" s="87">
        <v>45441672</v>
      </c>
    </row>
    <row r="23" spans="1:27" x14ac:dyDescent="0.2">
      <c r="A23" s="86" t="s">
        <v>80</v>
      </c>
      <c r="B23" s="87">
        <v>28219733</v>
      </c>
      <c r="C23" s="87">
        <v>24783264</v>
      </c>
      <c r="D23" s="87">
        <v>25486873</v>
      </c>
      <c r="E23" s="87">
        <v>25468551</v>
      </c>
      <c r="F23" s="87">
        <v>24981272</v>
      </c>
      <c r="G23" s="87">
        <v>25300480</v>
      </c>
      <c r="H23" s="87">
        <v>24625087</v>
      </c>
      <c r="I23" s="87">
        <v>24024699</v>
      </c>
      <c r="J23" s="87">
        <v>23841208</v>
      </c>
      <c r="K23" s="87">
        <v>21055475</v>
      </c>
      <c r="L23" s="87">
        <v>15853967</v>
      </c>
      <c r="M23" s="87">
        <v>12326389</v>
      </c>
      <c r="N23" s="87">
        <v>9739244</v>
      </c>
      <c r="O23" s="87">
        <v>9827774</v>
      </c>
      <c r="P23" s="87">
        <v>3507163</v>
      </c>
      <c r="Q23" s="87">
        <v>2910779</v>
      </c>
      <c r="R23" s="87">
        <v>1586664</v>
      </c>
      <c r="S23" s="87">
        <v>0</v>
      </c>
      <c r="T23" s="87">
        <v>222511</v>
      </c>
      <c r="U23" s="87">
        <v>0</v>
      </c>
      <c r="V23" s="87">
        <v>0</v>
      </c>
      <c r="W23" s="87">
        <v>0</v>
      </c>
      <c r="X23" s="87">
        <v>0</v>
      </c>
      <c r="Y23" s="87">
        <v>0</v>
      </c>
      <c r="Z23" s="87">
        <v>0</v>
      </c>
      <c r="AA23" s="87">
        <v>0</v>
      </c>
    </row>
    <row r="24" spans="1:27" x14ac:dyDescent="0.2">
      <c r="A24" s="86" t="s">
        <v>81</v>
      </c>
      <c r="B24" s="87">
        <v>383578</v>
      </c>
      <c r="C24" s="87">
        <v>371634</v>
      </c>
      <c r="D24" s="87">
        <v>309066</v>
      </c>
      <c r="E24" s="87">
        <v>307590</v>
      </c>
      <c r="F24" s="87">
        <v>301949</v>
      </c>
      <c r="G24" s="87">
        <v>310740</v>
      </c>
      <c r="H24" s="87">
        <v>309334</v>
      </c>
      <c r="I24" s="87">
        <v>313420</v>
      </c>
      <c r="J24" s="87">
        <v>301873</v>
      </c>
      <c r="K24" s="87">
        <v>0</v>
      </c>
      <c r="L24" s="87">
        <v>17111</v>
      </c>
      <c r="M24" s="87">
        <v>304326</v>
      </c>
      <c r="N24" s="87">
        <v>317673</v>
      </c>
      <c r="O24" s="87">
        <v>503439</v>
      </c>
      <c r="P24" s="87">
        <v>0</v>
      </c>
      <c r="Q24" s="87">
        <v>0</v>
      </c>
      <c r="R24" s="87">
        <v>0</v>
      </c>
      <c r="S24" s="87">
        <v>0</v>
      </c>
      <c r="T24" s="87">
        <v>0</v>
      </c>
      <c r="U24" s="87">
        <v>0</v>
      </c>
      <c r="V24" s="87">
        <v>0</v>
      </c>
      <c r="W24" s="87">
        <v>0</v>
      </c>
      <c r="X24" s="87">
        <v>0</v>
      </c>
      <c r="Y24" s="87">
        <v>0</v>
      </c>
      <c r="Z24" s="87">
        <v>0</v>
      </c>
      <c r="AA24" s="87">
        <v>0</v>
      </c>
    </row>
    <row r="25" spans="1:27" x14ac:dyDescent="0.2">
      <c r="A25" s="88" t="s">
        <v>82</v>
      </c>
      <c r="B25" s="89">
        <v>54621088</v>
      </c>
      <c r="C25" s="89">
        <v>54469292</v>
      </c>
      <c r="D25" s="89">
        <v>55265074</v>
      </c>
      <c r="E25" s="89">
        <v>55313324</v>
      </c>
      <c r="F25" s="89">
        <v>55569912</v>
      </c>
      <c r="G25" s="89">
        <v>57123422</v>
      </c>
      <c r="H25" s="89">
        <v>54359198</v>
      </c>
      <c r="I25" s="89">
        <v>55884105</v>
      </c>
      <c r="J25" s="89">
        <v>57138822</v>
      </c>
      <c r="K25" s="89">
        <v>55850090</v>
      </c>
      <c r="L25" s="89">
        <v>57227588</v>
      </c>
      <c r="M25" s="89">
        <v>55917588</v>
      </c>
      <c r="N25" s="89">
        <v>55514357</v>
      </c>
      <c r="O25" s="89">
        <v>54210976</v>
      </c>
      <c r="P25" s="89">
        <v>52496075</v>
      </c>
      <c r="Q25" s="89">
        <v>51773113</v>
      </c>
      <c r="R25" s="89">
        <v>49407444</v>
      </c>
      <c r="S25" s="89">
        <v>48607144</v>
      </c>
      <c r="T25" s="89">
        <v>47881855</v>
      </c>
      <c r="U25" s="89">
        <v>47293773</v>
      </c>
      <c r="V25" s="89">
        <v>46510284</v>
      </c>
      <c r="W25" s="89">
        <v>46091354</v>
      </c>
      <c r="X25" s="89">
        <v>45280748</v>
      </c>
      <c r="Y25" s="89">
        <v>44998082</v>
      </c>
      <c r="Z25" s="89">
        <v>44796787</v>
      </c>
      <c r="AA25" s="89">
        <v>45441672</v>
      </c>
    </row>
    <row r="26" spans="1:27" x14ac:dyDescent="0.2">
      <c r="A26" s="88" t="s">
        <v>83</v>
      </c>
      <c r="B26" s="89">
        <v>1186376</v>
      </c>
      <c r="C26" s="89">
        <v>1103383</v>
      </c>
      <c r="D26" s="89">
        <v>1123088</v>
      </c>
      <c r="E26" s="89">
        <v>1741130</v>
      </c>
      <c r="F26" s="89">
        <v>587603</v>
      </c>
      <c r="G26" s="89">
        <v>602178</v>
      </c>
      <c r="H26" s="89">
        <v>658587</v>
      </c>
      <c r="I26" s="89">
        <v>953240</v>
      </c>
      <c r="J26" s="89">
        <v>751286</v>
      </c>
      <c r="K26" s="89">
        <v>911950</v>
      </c>
      <c r="L26" s="89">
        <v>1163572</v>
      </c>
      <c r="M26" s="89">
        <v>2455540</v>
      </c>
      <c r="N26" s="89">
        <v>2452982</v>
      </c>
      <c r="O26" s="89">
        <v>2422224</v>
      </c>
      <c r="P26" s="89">
        <v>2370690</v>
      </c>
      <c r="Q26" s="89">
        <v>1183773</v>
      </c>
      <c r="R26" s="89">
        <v>4302809</v>
      </c>
      <c r="S26" s="89">
        <v>1851289</v>
      </c>
      <c r="T26" s="89">
        <v>1065147</v>
      </c>
      <c r="U26" s="89">
        <v>994377</v>
      </c>
      <c r="V26" s="89">
        <v>1074511</v>
      </c>
      <c r="W26" s="89">
        <v>1128044</v>
      </c>
      <c r="X26" s="89">
        <v>1257816</v>
      </c>
      <c r="Y26" s="89">
        <v>1053704</v>
      </c>
      <c r="Z26" s="89">
        <v>971030</v>
      </c>
      <c r="AA26" s="89">
        <v>956631</v>
      </c>
    </row>
    <row r="27" spans="1:27" x14ac:dyDescent="0.2">
      <c r="A27" s="88" t="s">
        <v>84</v>
      </c>
      <c r="B27" s="89">
        <v>7650</v>
      </c>
      <c r="C27" s="89">
        <v>3041</v>
      </c>
      <c r="D27" s="89">
        <v>1420</v>
      </c>
      <c r="E27" s="89">
        <v>76572</v>
      </c>
      <c r="F27" s="89">
        <v>10669</v>
      </c>
      <c r="G27" s="89">
        <v>326413</v>
      </c>
      <c r="H27" s="89">
        <v>338502</v>
      </c>
      <c r="I27" s="89">
        <v>328490</v>
      </c>
      <c r="J27" s="89">
        <v>201203</v>
      </c>
      <c r="K27" s="89">
        <v>116341</v>
      </c>
      <c r="L27" s="89">
        <v>332489</v>
      </c>
      <c r="M27" s="89">
        <v>31952</v>
      </c>
      <c r="N27" s="89">
        <v>61456</v>
      </c>
      <c r="O27" s="89">
        <v>0</v>
      </c>
      <c r="P27" s="89">
        <v>0</v>
      </c>
      <c r="Q27" s="89">
        <v>363600</v>
      </c>
      <c r="R27" s="89">
        <v>21</v>
      </c>
      <c r="S27" s="89">
        <v>6239</v>
      </c>
      <c r="T27" s="89">
        <v>0</v>
      </c>
      <c r="U27" s="89">
        <v>0</v>
      </c>
      <c r="V27" s="89">
        <v>0</v>
      </c>
      <c r="W27" s="89">
        <v>0</v>
      </c>
      <c r="X27" s="89">
        <v>0</v>
      </c>
      <c r="Y27" s="89">
        <v>0</v>
      </c>
      <c r="Z27" s="89">
        <v>0</v>
      </c>
      <c r="AA27" s="89">
        <v>0</v>
      </c>
    </row>
    <row r="28" spans="1:27" x14ac:dyDescent="0.2">
      <c r="A28" s="88" t="s">
        <v>85</v>
      </c>
      <c r="B28" s="89">
        <v>2724142</v>
      </c>
      <c r="C28" s="89">
        <v>2880710</v>
      </c>
      <c r="D28" s="89">
        <v>3009926</v>
      </c>
      <c r="E28" s="89">
        <v>3045138</v>
      </c>
      <c r="F28" s="89">
        <v>3481046</v>
      </c>
      <c r="G28" s="89">
        <v>3529285</v>
      </c>
      <c r="H28" s="89">
        <v>3460299</v>
      </c>
      <c r="I28" s="89">
        <v>3560801</v>
      </c>
      <c r="J28" s="89">
        <v>3616457</v>
      </c>
      <c r="K28" s="89">
        <v>3621257</v>
      </c>
      <c r="L28" s="89">
        <v>3824848</v>
      </c>
      <c r="M28" s="89">
        <v>4097417</v>
      </c>
      <c r="N28" s="89">
        <v>4076315</v>
      </c>
      <c r="O28" s="89">
        <v>4066345</v>
      </c>
      <c r="P28" s="89">
        <v>4105375</v>
      </c>
      <c r="Q28" s="89">
        <v>4027082</v>
      </c>
      <c r="R28" s="89">
        <v>3876119</v>
      </c>
      <c r="S28" s="89">
        <v>3456342</v>
      </c>
      <c r="T28" s="89">
        <v>3610145</v>
      </c>
      <c r="U28" s="89">
        <v>3671022</v>
      </c>
      <c r="V28" s="89">
        <v>3549908</v>
      </c>
      <c r="W28" s="89">
        <v>3501391</v>
      </c>
      <c r="X28" s="89">
        <v>3623984</v>
      </c>
      <c r="Y28" s="89">
        <v>3557268</v>
      </c>
      <c r="Z28" s="89">
        <v>3439712</v>
      </c>
      <c r="AA28" s="89">
        <v>3449968</v>
      </c>
    </row>
    <row r="29" spans="1:27" x14ac:dyDescent="0.2">
      <c r="A29" s="88" t="s">
        <v>86</v>
      </c>
      <c r="B29" s="89">
        <v>835732</v>
      </c>
      <c r="C29" s="89">
        <v>660384</v>
      </c>
      <c r="D29" s="89">
        <v>806299</v>
      </c>
      <c r="E29" s="89">
        <v>870189</v>
      </c>
      <c r="F29" s="89">
        <v>304860</v>
      </c>
      <c r="G29" s="89">
        <v>506615</v>
      </c>
      <c r="H29" s="89">
        <v>488946</v>
      </c>
      <c r="I29" s="89">
        <v>745066</v>
      </c>
      <c r="J29" s="89">
        <v>910658</v>
      </c>
      <c r="K29" s="89" t="s">
        <v>87</v>
      </c>
      <c r="L29" s="89" t="s">
        <v>87</v>
      </c>
      <c r="M29" s="89" t="s">
        <v>87</v>
      </c>
      <c r="N29" s="89" t="s">
        <v>87</v>
      </c>
      <c r="O29" s="89" t="s">
        <v>87</v>
      </c>
      <c r="P29" s="89" t="s">
        <v>87</v>
      </c>
      <c r="Q29" s="89" t="s">
        <v>87</v>
      </c>
      <c r="R29" s="89" t="s">
        <v>87</v>
      </c>
      <c r="S29" s="89" t="s">
        <v>87</v>
      </c>
      <c r="T29" s="89" t="s">
        <v>87</v>
      </c>
      <c r="U29" s="89" t="s">
        <v>87</v>
      </c>
      <c r="V29" s="89" t="s">
        <v>87</v>
      </c>
      <c r="W29" s="89" t="s">
        <v>87</v>
      </c>
      <c r="X29" s="89" t="s">
        <v>87</v>
      </c>
      <c r="Y29" s="89" t="s">
        <v>87</v>
      </c>
      <c r="Z29" s="89" t="s">
        <v>87</v>
      </c>
      <c r="AA29" s="89" t="s">
        <v>87</v>
      </c>
    </row>
    <row r="30" spans="1:27" x14ac:dyDescent="0.2">
      <c r="A30" s="88" t="s">
        <v>88</v>
      </c>
      <c r="B30" s="89">
        <v>0</v>
      </c>
      <c r="C30" s="89">
        <v>0</v>
      </c>
      <c r="D30" s="89">
        <v>0</v>
      </c>
      <c r="E30" s="89">
        <v>0</v>
      </c>
      <c r="F30" s="89">
        <v>0</v>
      </c>
      <c r="G30" s="89">
        <v>0</v>
      </c>
      <c r="H30" s="89">
        <v>0</v>
      </c>
      <c r="I30" s="89">
        <v>0</v>
      </c>
      <c r="J30" s="89">
        <v>0</v>
      </c>
      <c r="K30" s="89">
        <v>0</v>
      </c>
      <c r="L30" s="89">
        <v>0</v>
      </c>
      <c r="M30" s="89">
        <v>0</v>
      </c>
      <c r="N30" s="89">
        <v>0</v>
      </c>
      <c r="O30" s="89">
        <v>0</v>
      </c>
      <c r="P30" s="89">
        <v>0</v>
      </c>
      <c r="Q30" s="89">
        <v>0</v>
      </c>
      <c r="R30" s="89">
        <v>0</v>
      </c>
      <c r="S30" s="89">
        <v>0</v>
      </c>
      <c r="T30" s="89">
        <v>0</v>
      </c>
      <c r="U30" s="89">
        <v>0</v>
      </c>
      <c r="V30" s="89">
        <v>0</v>
      </c>
      <c r="W30" s="89">
        <v>0</v>
      </c>
      <c r="X30" s="89">
        <v>0</v>
      </c>
      <c r="Y30" s="89">
        <v>0</v>
      </c>
      <c r="Z30" s="89">
        <v>0</v>
      </c>
      <c r="AA30" s="89">
        <v>0</v>
      </c>
    </row>
    <row r="31" spans="1:27" x14ac:dyDescent="0.2">
      <c r="A31" s="90" t="s">
        <v>89</v>
      </c>
      <c r="B31" s="91">
        <v>59374987</v>
      </c>
      <c r="C31" s="91">
        <v>59116809</v>
      </c>
      <c r="D31" s="91">
        <v>60205808</v>
      </c>
      <c r="E31" s="91">
        <v>61046352</v>
      </c>
      <c r="F31" s="91">
        <v>59954090</v>
      </c>
      <c r="G31" s="91">
        <v>62087913</v>
      </c>
      <c r="H31" s="91">
        <v>59305533</v>
      </c>
      <c r="I31" s="91">
        <v>61471701</v>
      </c>
      <c r="J31" s="91">
        <v>62618426</v>
      </c>
      <c r="K31" s="91">
        <v>62259516</v>
      </c>
      <c r="L31" s="91">
        <v>64115947</v>
      </c>
      <c r="M31" s="91">
        <v>62810775</v>
      </c>
      <c r="N31" s="91">
        <v>61872985</v>
      </c>
      <c r="O31" s="91">
        <v>60343426</v>
      </c>
      <c r="P31" s="91">
        <v>58099737</v>
      </c>
      <c r="Q31" s="91">
        <v>58407874</v>
      </c>
      <c r="R31" s="91">
        <v>55555255</v>
      </c>
      <c r="S31" s="91">
        <v>54299641</v>
      </c>
      <c r="T31" s="91">
        <v>53665900</v>
      </c>
      <c r="U31" s="91">
        <v>53124271</v>
      </c>
      <c r="V31" s="91">
        <v>52353632</v>
      </c>
      <c r="W31" s="91">
        <v>51694659</v>
      </c>
      <c r="X31" s="91">
        <v>51017143</v>
      </c>
      <c r="Y31" s="91">
        <v>50637563</v>
      </c>
      <c r="Z31" s="91">
        <v>50174667</v>
      </c>
      <c r="AA31" s="91">
        <v>50907815</v>
      </c>
    </row>
    <row r="32" spans="1:27" x14ac:dyDescent="0.2">
      <c r="A32" s="88" t="s">
        <v>90</v>
      </c>
      <c r="B32" s="89">
        <v>-25950917</v>
      </c>
      <c r="C32" s="89">
        <v>-26575746</v>
      </c>
      <c r="D32" s="89">
        <v>-26046122</v>
      </c>
      <c r="E32" s="89">
        <v>-23817159</v>
      </c>
      <c r="F32" s="89">
        <v>-17462834</v>
      </c>
      <c r="G32" s="89">
        <v>-15568924</v>
      </c>
      <c r="H32" s="89">
        <v>-15427476</v>
      </c>
      <c r="I32" s="89">
        <v>-14789198</v>
      </c>
      <c r="J32" s="89">
        <v>-14607639</v>
      </c>
      <c r="K32" s="89">
        <v>-15965226</v>
      </c>
      <c r="L32" s="89">
        <v>-14023770</v>
      </c>
      <c r="M32" s="89">
        <v>-14798145</v>
      </c>
      <c r="N32" s="89">
        <v>-13213701</v>
      </c>
      <c r="O32" s="89">
        <v>-17818231</v>
      </c>
      <c r="P32" s="89">
        <v>-18484438</v>
      </c>
      <c r="Q32" s="89">
        <v>-17566900</v>
      </c>
      <c r="R32" s="89">
        <v>-13045490</v>
      </c>
      <c r="S32" s="89">
        <v>-6850456</v>
      </c>
      <c r="T32" s="89">
        <v>-6837557</v>
      </c>
      <c r="U32" s="89">
        <v>-13579111</v>
      </c>
      <c r="V32" s="89">
        <v>-12908785</v>
      </c>
      <c r="W32" s="89">
        <v>-12222262</v>
      </c>
      <c r="X32" s="89">
        <v>-12098282</v>
      </c>
      <c r="Y32" s="89">
        <v>-8890379</v>
      </c>
      <c r="Z32" s="89">
        <v>-6874189</v>
      </c>
      <c r="AA32" s="89">
        <v>-9175323</v>
      </c>
    </row>
    <row r="33" spans="1:27" x14ac:dyDescent="0.2">
      <c r="A33" s="88" t="s">
        <v>94</v>
      </c>
      <c r="B33" s="92">
        <f>B28/B19</f>
        <v>4.5880296361159624E-2</v>
      </c>
      <c r="C33" s="92">
        <f t="shared" ref="C33:AA33" si="0">C28/C19</f>
        <v>4.8729118650500912E-2</v>
      </c>
      <c r="D33" s="92">
        <f t="shared" si="0"/>
        <v>4.9993947427796337E-2</v>
      </c>
      <c r="E33" s="92">
        <f t="shared" si="0"/>
        <v>4.9882391006754997E-2</v>
      </c>
      <c r="F33" s="92">
        <f t="shared" si="0"/>
        <v>5.8061860333465158E-2</v>
      </c>
      <c r="G33" s="92">
        <f t="shared" si="0"/>
        <v>5.684335049238972E-2</v>
      </c>
      <c r="H33" s="92">
        <f t="shared" si="0"/>
        <v>5.8346984251874102E-2</v>
      </c>
      <c r="I33" s="92">
        <f t="shared" si="0"/>
        <v>5.7925857623494101E-2</v>
      </c>
      <c r="J33" s="92">
        <f t="shared" si="0"/>
        <v>5.7753879025959548E-2</v>
      </c>
      <c r="K33" s="92">
        <f t="shared" si="0"/>
        <v>5.8163911842809703E-2</v>
      </c>
      <c r="L33" s="92">
        <f t="shared" si="0"/>
        <v>5.96551743983443E-2</v>
      </c>
      <c r="M33" s="92">
        <f t="shared" si="0"/>
        <v>6.5234300961897057E-2</v>
      </c>
      <c r="N33" s="92">
        <f t="shared" si="0"/>
        <v>6.5881983873899083E-2</v>
      </c>
      <c r="O33" s="92">
        <f t="shared" si="0"/>
        <v>6.7386710857285426E-2</v>
      </c>
      <c r="P33" s="92">
        <f t="shared" si="0"/>
        <v>7.0660818998199593E-2</v>
      </c>
      <c r="Q33" s="92">
        <f t="shared" si="0"/>
        <v>6.8947587443432712E-2</v>
      </c>
      <c r="R33" s="92">
        <f t="shared" si="0"/>
        <v>6.9770519458510274E-2</v>
      </c>
      <c r="S33" s="92">
        <f t="shared" si="0"/>
        <v>6.3653128019759836E-2</v>
      </c>
      <c r="T33" s="92">
        <f t="shared" si="0"/>
        <v>6.7270743619318785E-2</v>
      </c>
      <c r="U33" s="92">
        <f t="shared" si="0"/>
        <v>6.9102538837662361E-2</v>
      </c>
      <c r="V33" s="92">
        <f t="shared" si="0"/>
        <v>6.7806336721777008E-2</v>
      </c>
      <c r="W33" s="92">
        <f t="shared" si="0"/>
        <v>6.773216165329575E-2</v>
      </c>
      <c r="X33" s="92">
        <f t="shared" si="0"/>
        <v>7.103463241757775E-2</v>
      </c>
      <c r="Y33" s="92">
        <f t="shared" si="0"/>
        <v>7.0249589222925277E-2</v>
      </c>
      <c r="Z33" s="92">
        <f t="shared" si="0"/>
        <v>6.8554754932404441E-2</v>
      </c>
      <c r="AA33" s="92">
        <f t="shared" si="0"/>
        <v>6.7768927030162268E-2</v>
      </c>
    </row>
    <row r="34" spans="1:27" x14ac:dyDescent="0.2">
      <c r="A34" s="93" t="s">
        <v>91</v>
      </c>
      <c r="B34" s="94">
        <v>0.56000000000000005</v>
      </c>
      <c r="C34" s="94">
        <v>0.55000000000000004</v>
      </c>
      <c r="D34" s="94">
        <v>0.56999999999999995</v>
      </c>
      <c r="E34" s="94">
        <v>0.61</v>
      </c>
      <c r="F34" s="94">
        <v>0.71</v>
      </c>
      <c r="G34" s="94">
        <v>0.75</v>
      </c>
      <c r="H34" s="94">
        <v>0.74</v>
      </c>
      <c r="I34" s="94">
        <v>0.76</v>
      </c>
      <c r="J34" s="94">
        <v>0.77</v>
      </c>
      <c r="K34" s="94">
        <v>0.74</v>
      </c>
      <c r="L34" s="94">
        <v>0.78</v>
      </c>
      <c r="M34" s="94">
        <v>0.76</v>
      </c>
      <c r="N34" s="94">
        <v>0.79</v>
      </c>
      <c r="O34" s="94">
        <v>0.7</v>
      </c>
      <c r="P34" s="94">
        <v>0.68</v>
      </c>
      <c r="Q34" s="94">
        <v>0.7</v>
      </c>
      <c r="R34" s="94">
        <v>0.77</v>
      </c>
      <c r="S34" s="94">
        <v>0.87</v>
      </c>
      <c r="T34" s="94">
        <v>0.87</v>
      </c>
      <c r="U34" s="94">
        <v>0.74</v>
      </c>
      <c r="V34" s="94">
        <v>0.75</v>
      </c>
      <c r="W34" s="94">
        <v>0.76</v>
      </c>
      <c r="X34" s="94">
        <v>0.76</v>
      </c>
      <c r="Y34" s="94">
        <v>0.82</v>
      </c>
      <c r="Z34" s="94">
        <v>0.86</v>
      </c>
      <c r="AA34" s="94">
        <v>0.82</v>
      </c>
    </row>
    <row r="35" spans="1:27" x14ac:dyDescent="0.2">
      <c r="A35" s="766" t="s">
        <v>92</v>
      </c>
      <c r="B35" s="766"/>
      <c r="C35" s="766"/>
      <c r="D35" s="766"/>
      <c r="E35" s="766"/>
      <c r="F35" s="766"/>
      <c r="G35" s="766"/>
      <c r="H35" s="766"/>
      <c r="I35" s="766"/>
      <c r="J35" s="766"/>
      <c r="K35" s="766"/>
      <c r="L35" s="766"/>
      <c r="M35" s="766"/>
      <c r="N35" s="766"/>
      <c r="O35" s="766"/>
      <c r="P35" s="766"/>
      <c r="Q35" s="766"/>
      <c r="R35" s="766"/>
      <c r="S35" s="766"/>
      <c r="T35" s="766"/>
      <c r="U35" s="766"/>
      <c r="V35" s="766"/>
      <c r="W35" s="766"/>
      <c r="X35" s="766"/>
      <c r="Y35" s="766"/>
      <c r="Z35" s="766"/>
      <c r="AA35" s="766"/>
    </row>
    <row r="36" spans="1:27" x14ac:dyDescent="0.2">
      <c r="A36" s="742"/>
      <c r="B36" s="742"/>
      <c r="C36" s="742"/>
      <c r="D36" s="742"/>
      <c r="E36" s="742"/>
      <c r="F36" s="742"/>
      <c r="G36" s="742"/>
      <c r="H36" s="742"/>
      <c r="I36" s="742"/>
      <c r="J36" s="742"/>
      <c r="K36" s="742"/>
      <c r="L36" s="742"/>
      <c r="M36" s="742"/>
      <c r="N36" s="742"/>
      <c r="O36" s="742"/>
      <c r="P36" s="742"/>
      <c r="Q36" s="742"/>
      <c r="R36" s="742"/>
      <c r="S36" s="742"/>
      <c r="T36" s="742"/>
      <c r="U36" s="742"/>
      <c r="V36" s="742"/>
      <c r="W36" s="742"/>
      <c r="X36" s="742"/>
      <c r="Y36" s="742"/>
      <c r="Z36" s="742"/>
      <c r="AA36" s="742"/>
    </row>
    <row r="37" spans="1:27" x14ac:dyDescent="0.2">
      <c r="A37" s="742"/>
      <c r="B37" s="742"/>
      <c r="C37" s="742"/>
      <c r="D37" s="742"/>
      <c r="E37" s="742"/>
      <c r="F37" s="742"/>
      <c r="G37" s="742"/>
      <c r="H37" s="742"/>
      <c r="I37" s="742"/>
      <c r="J37" s="742"/>
      <c r="K37" s="742"/>
      <c r="L37" s="742"/>
      <c r="M37" s="742"/>
      <c r="N37" s="742"/>
      <c r="O37" s="742"/>
      <c r="P37" s="742"/>
      <c r="Q37" s="742"/>
      <c r="R37" s="742"/>
      <c r="S37" s="742"/>
      <c r="T37" s="742"/>
      <c r="U37" s="742"/>
      <c r="V37" s="742"/>
      <c r="W37" s="742"/>
      <c r="X37" s="742"/>
      <c r="Y37" s="742"/>
      <c r="Z37" s="742"/>
      <c r="AA37" s="742"/>
    </row>
    <row r="39" spans="1:27" x14ac:dyDescent="0.2">
      <c r="A39" s="82" t="s">
        <v>1791</v>
      </c>
    </row>
    <row r="40" spans="1:27" x14ac:dyDescent="0.2">
      <c r="A40" s="82" t="s">
        <v>1790</v>
      </c>
    </row>
    <row r="41" spans="1:27" x14ac:dyDescent="0.2">
      <c r="A41" s="82" t="s">
        <v>1746</v>
      </c>
    </row>
    <row r="42" spans="1:27" x14ac:dyDescent="0.2">
      <c r="A42" s="82" t="s">
        <v>1747</v>
      </c>
    </row>
    <row r="43" spans="1:27" x14ac:dyDescent="0.2">
      <c r="B43" s="82" t="s">
        <v>1751</v>
      </c>
      <c r="C43" s="82">
        <f>2204.62</f>
        <v>2204.62</v>
      </c>
    </row>
    <row r="44" spans="1:27" x14ac:dyDescent="0.2">
      <c r="A44" s="731" t="s">
        <v>1748</v>
      </c>
      <c r="B44" s="82" t="s">
        <v>1749</v>
      </c>
      <c r="C44" s="82" t="s">
        <v>1750</v>
      </c>
    </row>
    <row r="45" spans="1:27" x14ac:dyDescent="0.2">
      <c r="A45" s="731" t="s">
        <v>1752</v>
      </c>
      <c r="B45" s="82">
        <v>828</v>
      </c>
      <c r="C45" s="82">
        <f>B45/$C$43</f>
        <v>0.37557492901270967</v>
      </c>
    </row>
    <row r="46" spans="1:27" x14ac:dyDescent="0.2">
      <c r="A46" s="731" t="s">
        <v>1753</v>
      </c>
      <c r="B46" s="82">
        <v>829</v>
      </c>
      <c r="C46" s="82">
        <f t="shared" ref="C46:C51" si="1">B46/$C$43</f>
        <v>0.37602852192214531</v>
      </c>
    </row>
    <row r="47" spans="1:27" x14ac:dyDescent="0.2">
      <c r="A47" s="731" t="s">
        <v>1754</v>
      </c>
      <c r="B47" s="82">
        <v>780</v>
      </c>
      <c r="C47" s="82">
        <f t="shared" si="1"/>
        <v>0.35380246935979898</v>
      </c>
    </row>
    <row r="48" spans="1:27" x14ac:dyDescent="0.2">
      <c r="A48" s="731" t="s">
        <v>1755</v>
      </c>
      <c r="B48" s="82">
        <v>719</v>
      </c>
      <c r="C48" s="82">
        <f t="shared" si="1"/>
        <v>0.32613330188422496</v>
      </c>
    </row>
    <row r="49" spans="1:3" x14ac:dyDescent="0.2">
      <c r="A49" s="731" t="s">
        <v>1756</v>
      </c>
      <c r="B49" s="82">
        <v>730</v>
      </c>
      <c r="C49" s="82">
        <f t="shared" si="1"/>
        <v>0.331122823888017</v>
      </c>
    </row>
    <row r="50" spans="1:3" x14ac:dyDescent="0.2">
      <c r="A50" s="731" t="s">
        <v>1757</v>
      </c>
      <c r="B50" s="82">
        <v>726</v>
      </c>
      <c r="C50" s="82">
        <f t="shared" si="1"/>
        <v>0.32930845225027444</v>
      </c>
    </row>
    <row r="51" spans="1:3" x14ac:dyDescent="0.2">
      <c r="A51" s="731" t="s">
        <v>1758</v>
      </c>
      <c r="B51" s="82">
        <v>747</v>
      </c>
      <c r="C51" s="82">
        <f t="shared" si="1"/>
        <v>0.33883390334842289</v>
      </c>
    </row>
    <row r="52" spans="1:3" x14ac:dyDescent="0.2">
      <c r="A52" s="731" t="s">
        <v>1759</v>
      </c>
      <c r="B52" s="82">
        <v>710</v>
      </c>
      <c r="C52" s="82">
        <f>B52/$C$43</f>
        <v>0.32205096569930419</v>
      </c>
    </row>
  </sheetData>
  <mergeCells count="4">
    <mergeCell ref="A3:AA3"/>
    <mergeCell ref="A4:AA4"/>
    <mergeCell ref="A5:AA5"/>
    <mergeCell ref="A35:AA3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B83A8-2B0F-944A-9042-E494EEE6B3DC}">
  <dimension ref="A1:J121"/>
  <sheetViews>
    <sheetView topLeftCell="A64" workbookViewId="0">
      <selection activeCell="M80" sqref="M80"/>
    </sheetView>
  </sheetViews>
  <sheetFormatPr baseColWidth="10" defaultRowHeight="16" x14ac:dyDescent="0.2"/>
  <cols>
    <col min="9" max="9" width="35.1640625" customWidth="1"/>
  </cols>
  <sheetData>
    <row r="1" spans="1:6" x14ac:dyDescent="0.2">
      <c r="A1" t="s">
        <v>1777</v>
      </c>
    </row>
    <row r="2" spans="1:6" x14ac:dyDescent="0.2">
      <c r="A2" t="s">
        <v>1748</v>
      </c>
      <c r="B2" t="s">
        <v>1778</v>
      </c>
      <c r="C2" t="s">
        <v>1779</v>
      </c>
      <c r="D2" t="s">
        <v>1766</v>
      </c>
      <c r="E2" t="s">
        <v>1780</v>
      </c>
      <c r="F2" t="s">
        <v>1781</v>
      </c>
    </row>
    <row r="3" spans="1:6" x14ac:dyDescent="0.2">
      <c r="A3" t="s">
        <v>1</v>
      </c>
      <c r="B3">
        <f>B30</f>
        <v>6056</v>
      </c>
      <c r="C3">
        <f>C30</f>
        <v>525</v>
      </c>
      <c r="D3">
        <f>B3+C3</f>
        <v>6581</v>
      </c>
      <c r="E3" s="739">
        <f>Updated!AO13</f>
        <v>279047.76229779224</v>
      </c>
      <c r="F3" s="739">
        <f>E3/D3</f>
        <v>42.402030435768459</v>
      </c>
    </row>
    <row r="4" spans="1:6" x14ac:dyDescent="0.2">
      <c r="A4" t="s">
        <v>2</v>
      </c>
      <c r="B4">
        <f>B43</f>
        <v>6680</v>
      </c>
      <c r="C4">
        <f>C43</f>
        <v>767</v>
      </c>
      <c r="D4">
        <f t="shared" ref="D4:D10" si="0">B4+C4</f>
        <v>7447</v>
      </c>
      <c r="E4" s="739">
        <f>Updated!AO14</f>
        <v>302377.467019431</v>
      </c>
      <c r="F4" s="739">
        <f t="shared" ref="F4:F10" si="1">E4/D4</f>
        <v>40.603930041551095</v>
      </c>
    </row>
    <row r="5" spans="1:6" x14ac:dyDescent="0.2">
      <c r="A5" t="s">
        <v>3</v>
      </c>
      <c r="B5">
        <f>B56</f>
        <v>5320</v>
      </c>
      <c r="C5">
        <f>C56</f>
        <v>682</v>
      </c>
      <c r="D5">
        <f t="shared" si="0"/>
        <v>6002</v>
      </c>
      <c r="E5" s="739">
        <f>Updated!AO15</f>
        <v>280069.60687804676</v>
      </c>
      <c r="F5" s="739">
        <f t="shared" si="1"/>
        <v>46.662713575149411</v>
      </c>
    </row>
    <row r="6" spans="1:6" x14ac:dyDescent="0.2">
      <c r="A6" t="s">
        <v>4</v>
      </c>
      <c r="B6">
        <f>B69</f>
        <v>6214</v>
      </c>
      <c r="C6">
        <f>C69</f>
        <v>695</v>
      </c>
      <c r="D6">
        <f t="shared" si="0"/>
        <v>6909</v>
      </c>
      <c r="E6" s="739">
        <f>Updated!AO16</f>
        <v>290301.41238088993</v>
      </c>
      <c r="F6" s="739">
        <f t="shared" si="1"/>
        <v>42.017862553320299</v>
      </c>
    </row>
    <row r="7" spans="1:6" x14ac:dyDescent="0.2">
      <c r="A7" t="s">
        <v>5</v>
      </c>
      <c r="B7">
        <f>B82</f>
        <v>6875</v>
      </c>
      <c r="C7">
        <f>C82</f>
        <v>657</v>
      </c>
      <c r="D7">
        <f t="shared" si="0"/>
        <v>7532</v>
      </c>
      <c r="E7" s="739">
        <f>Updated!AO17</f>
        <v>311829.87440150831</v>
      </c>
      <c r="F7" s="739">
        <f t="shared" si="1"/>
        <v>41.400673712361694</v>
      </c>
    </row>
    <row r="8" spans="1:6" x14ac:dyDescent="0.2">
      <c r="A8" t="s">
        <v>6</v>
      </c>
      <c r="B8">
        <f>B95</f>
        <v>6764</v>
      </c>
      <c r="C8">
        <f>C95</f>
        <v>545</v>
      </c>
      <c r="D8">
        <f t="shared" si="0"/>
        <v>7309</v>
      </c>
      <c r="E8" s="739">
        <f>Updated!AO18</f>
        <v>316586.21713359334</v>
      </c>
      <c r="F8" s="739">
        <f t="shared" si="1"/>
        <v>43.314573420932184</v>
      </c>
    </row>
    <row r="9" spans="1:6" x14ac:dyDescent="0.2">
      <c r="A9" t="s">
        <v>7</v>
      </c>
      <c r="B9">
        <f>B108</f>
        <v>5646</v>
      </c>
      <c r="C9">
        <f>C108</f>
        <v>603</v>
      </c>
      <c r="D9">
        <f t="shared" si="0"/>
        <v>6249</v>
      </c>
      <c r="E9" s="739">
        <f>Updated!AO19</f>
        <v>266337.39070747234</v>
      </c>
      <c r="F9" s="739">
        <f t="shared" si="1"/>
        <v>42.620801841490213</v>
      </c>
    </row>
    <row r="10" spans="1:6" x14ac:dyDescent="0.2">
      <c r="A10" t="s">
        <v>1445</v>
      </c>
      <c r="B10">
        <f>B121</f>
        <v>6164</v>
      </c>
      <c r="C10">
        <f>C121</f>
        <v>779</v>
      </c>
      <c r="D10">
        <f t="shared" si="0"/>
        <v>6943</v>
      </c>
      <c r="E10" s="739">
        <f>Updated!AO20</f>
        <v>311265.44836710073</v>
      </c>
      <c r="F10" s="739">
        <f t="shared" si="1"/>
        <v>44.831549527164157</v>
      </c>
    </row>
    <row r="17" spans="1:4" x14ac:dyDescent="0.2">
      <c r="A17" t="s">
        <v>1783</v>
      </c>
      <c r="B17" t="s">
        <v>1778</v>
      </c>
      <c r="C17" t="s">
        <v>1779</v>
      </c>
      <c r="D17" t="s">
        <v>115</v>
      </c>
    </row>
    <row r="18" spans="1:4" x14ac:dyDescent="0.2">
      <c r="A18" s="741">
        <v>39995</v>
      </c>
      <c r="B18">
        <v>18</v>
      </c>
      <c r="C18">
        <v>114</v>
      </c>
    </row>
    <row r="19" spans="1:4" x14ac:dyDescent="0.2">
      <c r="A19" s="741">
        <v>40026</v>
      </c>
      <c r="B19">
        <v>26</v>
      </c>
      <c r="C19">
        <v>201</v>
      </c>
    </row>
    <row r="20" spans="1:4" x14ac:dyDescent="0.2">
      <c r="A20" s="741">
        <v>40057</v>
      </c>
      <c r="B20">
        <v>182</v>
      </c>
      <c r="C20">
        <v>17</v>
      </c>
    </row>
    <row r="21" spans="1:4" x14ac:dyDescent="0.2">
      <c r="A21" s="741">
        <v>40087</v>
      </c>
      <c r="B21">
        <v>512</v>
      </c>
      <c r="C21">
        <v>0</v>
      </c>
    </row>
    <row r="22" spans="1:4" x14ac:dyDescent="0.2">
      <c r="A22" s="741">
        <v>40118</v>
      </c>
      <c r="B22">
        <v>621</v>
      </c>
      <c r="C22">
        <v>0</v>
      </c>
    </row>
    <row r="23" spans="1:4" x14ac:dyDescent="0.2">
      <c r="A23" s="741">
        <v>40148</v>
      </c>
      <c r="B23">
        <v>1137</v>
      </c>
      <c r="C23">
        <v>0</v>
      </c>
    </row>
    <row r="24" spans="1:4" x14ac:dyDescent="0.2">
      <c r="A24" s="741">
        <v>40179</v>
      </c>
      <c r="B24">
        <v>1224</v>
      </c>
      <c r="C24">
        <v>0</v>
      </c>
    </row>
    <row r="25" spans="1:4" x14ac:dyDescent="0.2">
      <c r="A25" s="741">
        <v>40210</v>
      </c>
      <c r="B25">
        <v>1012</v>
      </c>
      <c r="C25">
        <v>0</v>
      </c>
    </row>
    <row r="26" spans="1:4" x14ac:dyDescent="0.2">
      <c r="A26" s="741">
        <v>40238</v>
      </c>
      <c r="B26">
        <v>695</v>
      </c>
      <c r="C26">
        <v>0</v>
      </c>
    </row>
    <row r="27" spans="1:4" x14ac:dyDescent="0.2">
      <c r="A27" s="741">
        <v>40269</v>
      </c>
      <c r="B27">
        <v>405</v>
      </c>
      <c r="C27">
        <v>0</v>
      </c>
    </row>
    <row r="28" spans="1:4" x14ac:dyDescent="0.2">
      <c r="A28" s="741">
        <v>40299</v>
      </c>
      <c r="B28">
        <v>174</v>
      </c>
      <c r="C28">
        <v>56</v>
      </c>
    </row>
    <row r="29" spans="1:4" x14ac:dyDescent="0.2">
      <c r="A29" s="741">
        <v>40330</v>
      </c>
      <c r="B29">
        <v>50</v>
      </c>
      <c r="C29">
        <v>137</v>
      </c>
    </row>
    <row r="30" spans="1:4" x14ac:dyDescent="0.2">
      <c r="A30" s="741" t="s">
        <v>1782</v>
      </c>
      <c r="B30">
        <f>SUM(B18:B29)</f>
        <v>6056</v>
      </c>
      <c r="C30">
        <f>SUM(C18:C29)</f>
        <v>525</v>
      </c>
      <c r="D30">
        <f>B30+C30</f>
        <v>6581</v>
      </c>
    </row>
    <row r="31" spans="1:4" x14ac:dyDescent="0.2">
      <c r="A31" s="741">
        <v>40360</v>
      </c>
      <c r="B31">
        <v>5</v>
      </c>
      <c r="C31">
        <v>308</v>
      </c>
    </row>
    <row r="32" spans="1:4" x14ac:dyDescent="0.2">
      <c r="A32" s="741">
        <v>40391</v>
      </c>
      <c r="B32">
        <v>7</v>
      </c>
      <c r="C32">
        <v>198</v>
      </c>
    </row>
    <row r="33" spans="1:4" x14ac:dyDescent="0.2">
      <c r="A33" s="741">
        <v>40422</v>
      </c>
      <c r="B33">
        <v>83</v>
      </c>
      <c r="C33">
        <v>98</v>
      </c>
    </row>
    <row r="34" spans="1:4" x14ac:dyDescent="0.2">
      <c r="A34" s="741">
        <v>40452</v>
      </c>
      <c r="B34">
        <v>434</v>
      </c>
      <c r="C34">
        <v>11</v>
      </c>
    </row>
    <row r="35" spans="1:4" x14ac:dyDescent="0.2">
      <c r="A35" s="741">
        <v>40483</v>
      </c>
      <c r="B35">
        <v>749</v>
      </c>
      <c r="C35">
        <v>0</v>
      </c>
    </row>
    <row r="36" spans="1:4" x14ac:dyDescent="0.2">
      <c r="A36" s="741">
        <v>40513</v>
      </c>
      <c r="B36">
        <v>1170</v>
      </c>
      <c r="C36">
        <v>0</v>
      </c>
    </row>
    <row r="37" spans="1:4" x14ac:dyDescent="0.2">
      <c r="A37" s="741">
        <v>40544</v>
      </c>
      <c r="B37">
        <v>1398</v>
      </c>
      <c r="C37">
        <v>0</v>
      </c>
    </row>
    <row r="38" spans="1:4" x14ac:dyDescent="0.2">
      <c r="A38" s="741">
        <v>40575</v>
      </c>
      <c r="B38">
        <v>1155</v>
      </c>
      <c r="C38">
        <v>0</v>
      </c>
    </row>
    <row r="39" spans="1:4" x14ac:dyDescent="0.2">
      <c r="A39" s="741">
        <v>40603</v>
      </c>
      <c r="B39">
        <v>936</v>
      </c>
      <c r="C39">
        <v>0</v>
      </c>
    </row>
    <row r="40" spans="1:4" x14ac:dyDescent="0.2">
      <c r="A40" s="741">
        <v>40634</v>
      </c>
      <c r="B40">
        <v>500</v>
      </c>
      <c r="C40">
        <v>8</v>
      </c>
    </row>
    <row r="41" spans="1:4" x14ac:dyDescent="0.2">
      <c r="A41" s="741">
        <v>40664</v>
      </c>
      <c r="B41">
        <v>196</v>
      </c>
      <c r="C41">
        <v>53</v>
      </c>
    </row>
    <row r="42" spans="1:4" x14ac:dyDescent="0.2">
      <c r="A42" s="741">
        <v>40695</v>
      </c>
      <c r="B42">
        <v>47</v>
      </c>
      <c r="C42">
        <v>91</v>
      </c>
    </row>
    <row r="43" spans="1:4" x14ac:dyDescent="0.2">
      <c r="A43" s="741" t="s">
        <v>2</v>
      </c>
      <c r="B43">
        <f>SUM(B31:B42)</f>
        <v>6680</v>
      </c>
      <c r="C43">
        <f>SUM(C31:C42)</f>
        <v>767</v>
      </c>
      <c r="D43">
        <f>B43+C43</f>
        <v>7447</v>
      </c>
    </row>
    <row r="44" spans="1:4" x14ac:dyDescent="0.2">
      <c r="A44" s="741">
        <v>40725</v>
      </c>
      <c r="B44">
        <v>2</v>
      </c>
      <c r="C44">
        <v>269</v>
      </c>
    </row>
    <row r="45" spans="1:4" x14ac:dyDescent="0.2">
      <c r="A45" s="741">
        <v>40756</v>
      </c>
      <c r="B45">
        <v>2</v>
      </c>
      <c r="C45">
        <v>156</v>
      </c>
    </row>
    <row r="46" spans="1:4" x14ac:dyDescent="0.2">
      <c r="A46" s="741">
        <v>40787</v>
      </c>
      <c r="B46">
        <v>69</v>
      </c>
      <c r="C46">
        <v>102</v>
      </c>
    </row>
    <row r="47" spans="1:4" x14ac:dyDescent="0.2">
      <c r="A47" s="741">
        <v>40817</v>
      </c>
      <c r="B47">
        <v>433</v>
      </c>
      <c r="C47">
        <v>0</v>
      </c>
    </row>
    <row r="48" spans="1:4" x14ac:dyDescent="0.2">
      <c r="A48" s="741">
        <v>40848</v>
      </c>
      <c r="B48">
        <v>603</v>
      </c>
      <c r="C48">
        <v>0</v>
      </c>
    </row>
    <row r="49" spans="1:4" x14ac:dyDescent="0.2">
      <c r="A49" s="741">
        <v>40878</v>
      </c>
      <c r="B49">
        <v>907</v>
      </c>
      <c r="C49">
        <v>0</v>
      </c>
    </row>
    <row r="50" spans="1:4" x14ac:dyDescent="0.2">
      <c r="A50" s="741">
        <v>40909</v>
      </c>
      <c r="B50">
        <v>1085</v>
      </c>
      <c r="C50">
        <v>0</v>
      </c>
    </row>
    <row r="51" spans="1:4" x14ac:dyDescent="0.2">
      <c r="A51" s="741">
        <v>40940</v>
      </c>
      <c r="B51">
        <v>916</v>
      </c>
      <c r="C51">
        <v>0</v>
      </c>
    </row>
    <row r="52" spans="1:4" x14ac:dyDescent="0.2">
      <c r="A52" s="741">
        <v>40969</v>
      </c>
      <c r="B52">
        <v>615</v>
      </c>
      <c r="C52">
        <v>0</v>
      </c>
    </row>
    <row r="53" spans="1:4" x14ac:dyDescent="0.2">
      <c r="A53" s="741">
        <v>41000</v>
      </c>
      <c r="B53">
        <v>480</v>
      </c>
      <c r="C53">
        <v>8</v>
      </c>
    </row>
    <row r="54" spans="1:4" x14ac:dyDescent="0.2">
      <c r="A54" s="741">
        <v>41030</v>
      </c>
      <c r="B54">
        <v>141</v>
      </c>
      <c r="C54">
        <v>51</v>
      </c>
    </row>
    <row r="55" spans="1:4" x14ac:dyDescent="0.2">
      <c r="A55" s="741">
        <v>41061</v>
      </c>
      <c r="B55">
        <v>67</v>
      </c>
      <c r="C55">
        <v>96</v>
      </c>
    </row>
    <row r="56" spans="1:4" x14ac:dyDescent="0.2">
      <c r="A56" s="741" t="s">
        <v>3</v>
      </c>
      <c r="B56">
        <f>SUM(B44:B55)</f>
        <v>5320</v>
      </c>
      <c r="C56">
        <f>SUM(C44:C55)</f>
        <v>682</v>
      </c>
      <c r="D56">
        <f>B56+C56</f>
        <v>6002</v>
      </c>
    </row>
    <row r="57" spans="1:4" x14ac:dyDescent="0.2">
      <c r="A57" s="741">
        <v>41091</v>
      </c>
      <c r="B57">
        <v>2</v>
      </c>
      <c r="C57">
        <v>262</v>
      </c>
    </row>
    <row r="58" spans="1:4" x14ac:dyDescent="0.2">
      <c r="A58" s="741">
        <v>41122</v>
      </c>
      <c r="B58">
        <v>4</v>
      </c>
      <c r="C58">
        <v>203</v>
      </c>
    </row>
    <row r="59" spans="1:4" x14ac:dyDescent="0.2">
      <c r="A59" s="741">
        <v>41153</v>
      </c>
      <c r="B59">
        <v>152</v>
      </c>
      <c r="C59">
        <v>53</v>
      </c>
    </row>
    <row r="60" spans="1:4" x14ac:dyDescent="0.2">
      <c r="A60" s="741">
        <v>41183</v>
      </c>
      <c r="B60">
        <v>341</v>
      </c>
      <c r="C60">
        <v>2</v>
      </c>
    </row>
    <row r="61" spans="1:4" x14ac:dyDescent="0.2">
      <c r="A61" s="741">
        <v>41214</v>
      </c>
      <c r="B61">
        <v>804</v>
      </c>
      <c r="C61">
        <v>0</v>
      </c>
    </row>
    <row r="62" spans="1:4" x14ac:dyDescent="0.2">
      <c r="A62" s="741">
        <v>41244</v>
      </c>
      <c r="B62">
        <v>980</v>
      </c>
      <c r="C62">
        <v>0</v>
      </c>
    </row>
    <row r="63" spans="1:4" x14ac:dyDescent="0.2">
      <c r="A63" s="741">
        <v>41275</v>
      </c>
      <c r="B63">
        <v>1160</v>
      </c>
      <c r="C63">
        <v>0</v>
      </c>
    </row>
    <row r="64" spans="1:4" x14ac:dyDescent="0.2">
      <c r="A64" s="741">
        <v>41306</v>
      </c>
      <c r="B64">
        <v>1113</v>
      </c>
      <c r="C64">
        <v>0</v>
      </c>
    </row>
    <row r="65" spans="1:10" x14ac:dyDescent="0.2">
      <c r="A65" s="741">
        <v>41334</v>
      </c>
      <c r="B65">
        <v>904</v>
      </c>
      <c r="C65">
        <v>0</v>
      </c>
    </row>
    <row r="66" spans="1:10" x14ac:dyDescent="0.2">
      <c r="A66" s="741">
        <v>41365</v>
      </c>
      <c r="B66">
        <v>507</v>
      </c>
      <c r="C66">
        <v>0</v>
      </c>
    </row>
    <row r="67" spans="1:10" x14ac:dyDescent="0.2">
      <c r="A67" s="741">
        <v>41395</v>
      </c>
      <c r="B67">
        <v>182</v>
      </c>
      <c r="C67">
        <v>38</v>
      </c>
    </row>
    <row r="68" spans="1:10" x14ac:dyDescent="0.2">
      <c r="A68" s="741">
        <v>41426</v>
      </c>
      <c r="B68">
        <v>65</v>
      </c>
      <c r="C68">
        <v>137</v>
      </c>
    </row>
    <row r="69" spans="1:10" x14ac:dyDescent="0.2">
      <c r="A69" s="741" t="s">
        <v>4</v>
      </c>
      <c r="B69">
        <f>SUM(B57:B68)</f>
        <v>6214</v>
      </c>
      <c r="C69">
        <f>SUM(C57:C68)</f>
        <v>695</v>
      </c>
      <c r="D69">
        <f>B69+C69</f>
        <v>6909</v>
      </c>
    </row>
    <row r="70" spans="1:10" x14ac:dyDescent="0.2">
      <c r="A70" s="741">
        <v>41456</v>
      </c>
      <c r="B70">
        <v>4</v>
      </c>
      <c r="C70">
        <v>345</v>
      </c>
      <c r="I70" t="s">
        <v>1784</v>
      </c>
    </row>
    <row r="71" spans="1:10" x14ac:dyDescent="0.2">
      <c r="A71" s="741">
        <v>41487</v>
      </c>
      <c r="B71">
        <v>19</v>
      </c>
      <c r="C71">
        <v>111</v>
      </c>
    </row>
    <row r="72" spans="1:10" x14ac:dyDescent="0.2">
      <c r="A72" s="741">
        <v>41518</v>
      </c>
      <c r="B72">
        <v>191</v>
      </c>
      <c r="C72">
        <v>53</v>
      </c>
      <c r="I72" t="s">
        <v>1785</v>
      </c>
      <c r="J72">
        <v>375</v>
      </c>
    </row>
    <row r="73" spans="1:10" x14ac:dyDescent="0.2">
      <c r="A73" s="741">
        <v>41548</v>
      </c>
      <c r="B73">
        <v>433</v>
      </c>
      <c r="C73">
        <v>2</v>
      </c>
      <c r="I73" t="s">
        <v>1786</v>
      </c>
      <c r="J73">
        <f>100+80</f>
        <v>180</v>
      </c>
    </row>
    <row r="74" spans="1:10" x14ac:dyDescent="0.2">
      <c r="A74" s="741">
        <v>41579</v>
      </c>
      <c r="B74">
        <v>816</v>
      </c>
      <c r="C74">
        <v>0</v>
      </c>
      <c r="I74" t="s">
        <v>1775</v>
      </c>
      <c r="J74">
        <f>J75-J72-J73</f>
        <v>180</v>
      </c>
    </row>
    <row r="75" spans="1:10" x14ac:dyDescent="0.2">
      <c r="A75" s="741">
        <v>41609</v>
      </c>
      <c r="B75">
        <v>1143</v>
      </c>
      <c r="C75">
        <v>0</v>
      </c>
      <c r="I75" t="s">
        <v>1787</v>
      </c>
      <c r="J75">
        <v>735</v>
      </c>
    </row>
    <row r="76" spans="1:10" x14ac:dyDescent="0.2">
      <c r="A76" s="741">
        <v>41640</v>
      </c>
      <c r="B76">
        <v>1304</v>
      </c>
      <c r="C76">
        <v>0</v>
      </c>
    </row>
    <row r="77" spans="1:10" x14ac:dyDescent="0.2">
      <c r="A77" s="741">
        <v>41671</v>
      </c>
      <c r="B77">
        <v>1175</v>
      </c>
      <c r="C77">
        <v>0</v>
      </c>
    </row>
    <row r="78" spans="1:10" x14ac:dyDescent="0.2">
      <c r="A78" s="741">
        <v>41699</v>
      </c>
      <c r="B78">
        <v>1070</v>
      </c>
      <c r="C78">
        <v>0</v>
      </c>
    </row>
    <row r="79" spans="1:10" x14ac:dyDescent="0.2">
      <c r="A79" s="741">
        <v>41730</v>
      </c>
      <c r="B79">
        <v>526</v>
      </c>
      <c r="C79">
        <v>0</v>
      </c>
    </row>
    <row r="80" spans="1:10" x14ac:dyDescent="0.2">
      <c r="A80" s="741">
        <v>41760</v>
      </c>
      <c r="B80">
        <v>182</v>
      </c>
      <c r="C80">
        <v>23</v>
      </c>
    </row>
    <row r="81" spans="1:4" x14ac:dyDescent="0.2">
      <c r="A81" s="741">
        <v>41791</v>
      </c>
      <c r="B81">
        <v>12</v>
      </c>
      <c r="C81">
        <v>123</v>
      </c>
    </row>
    <row r="82" spans="1:4" x14ac:dyDescent="0.2">
      <c r="A82" s="741" t="s">
        <v>5</v>
      </c>
      <c r="B82">
        <f>SUM(B70:B81)</f>
        <v>6875</v>
      </c>
      <c r="C82">
        <f>SUM(C70:C81)</f>
        <v>657</v>
      </c>
      <c r="D82">
        <f>B82+C82</f>
        <v>7532</v>
      </c>
    </row>
    <row r="83" spans="1:4" x14ac:dyDescent="0.2">
      <c r="A83" s="741">
        <v>41821</v>
      </c>
      <c r="B83">
        <v>4</v>
      </c>
      <c r="C83">
        <v>197</v>
      </c>
    </row>
    <row r="84" spans="1:4" x14ac:dyDescent="0.2">
      <c r="A84" s="741">
        <v>41852</v>
      </c>
      <c r="B84">
        <v>10</v>
      </c>
      <c r="C84">
        <v>86</v>
      </c>
    </row>
    <row r="85" spans="1:4" x14ac:dyDescent="0.2">
      <c r="A85" s="741">
        <v>41883</v>
      </c>
      <c r="B85">
        <v>122</v>
      </c>
      <c r="C85">
        <v>57</v>
      </c>
    </row>
    <row r="86" spans="1:4" x14ac:dyDescent="0.2">
      <c r="A86" s="741">
        <v>41913</v>
      </c>
      <c r="B86">
        <v>355</v>
      </c>
      <c r="C86">
        <v>5</v>
      </c>
    </row>
    <row r="87" spans="1:4" x14ac:dyDescent="0.2">
      <c r="A87" s="741">
        <v>41944</v>
      </c>
      <c r="B87">
        <v>788</v>
      </c>
      <c r="C87">
        <v>5</v>
      </c>
    </row>
    <row r="88" spans="1:4" x14ac:dyDescent="0.2">
      <c r="A88" s="741">
        <v>41974</v>
      </c>
      <c r="B88">
        <v>955</v>
      </c>
      <c r="C88">
        <v>0</v>
      </c>
    </row>
    <row r="89" spans="1:4" x14ac:dyDescent="0.2">
      <c r="A89" s="741">
        <v>42005</v>
      </c>
      <c r="B89">
        <v>1380</v>
      </c>
      <c r="C89">
        <v>0</v>
      </c>
    </row>
    <row r="90" spans="1:4" x14ac:dyDescent="0.2">
      <c r="A90" s="741">
        <v>42036</v>
      </c>
      <c r="B90">
        <v>1402</v>
      </c>
      <c r="C90">
        <v>0</v>
      </c>
    </row>
    <row r="91" spans="1:4" x14ac:dyDescent="0.2">
      <c r="A91" s="741">
        <v>42064</v>
      </c>
      <c r="B91">
        <v>1064</v>
      </c>
      <c r="C91">
        <v>0</v>
      </c>
    </row>
    <row r="92" spans="1:4" x14ac:dyDescent="0.2">
      <c r="A92" s="741">
        <v>42095</v>
      </c>
      <c r="B92">
        <v>510</v>
      </c>
      <c r="C92">
        <v>0</v>
      </c>
    </row>
    <row r="93" spans="1:4" x14ac:dyDescent="0.2">
      <c r="A93" s="741">
        <v>42125</v>
      </c>
      <c r="B93">
        <v>108</v>
      </c>
      <c r="C93">
        <v>96</v>
      </c>
    </row>
    <row r="94" spans="1:4" x14ac:dyDescent="0.2">
      <c r="A94" s="741">
        <v>42156</v>
      </c>
      <c r="B94">
        <v>66</v>
      </c>
      <c r="C94">
        <v>99</v>
      </c>
    </row>
    <row r="95" spans="1:4" x14ac:dyDescent="0.2">
      <c r="A95" s="741" t="s">
        <v>6</v>
      </c>
      <c r="B95">
        <f>SUM(B83:B94)</f>
        <v>6764</v>
      </c>
      <c r="C95">
        <f>SUM(C83:C94)</f>
        <v>545</v>
      </c>
      <c r="D95">
        <f>B95+C95</f>
        <v>7309</v>
      </c>
    </row>
    <row r="96" spans="1:4" x14ac:dyDescent="0.2">
      <c r="A96" s="741">
        <v>42186</v>
      </c>
      <c r="B96">
        <v>5</v>
      </c>
      <c r="C96">
        <v>197</v>
      </c>
    </row>
    <row r="97" spans="1:4" x14ac:dyDescent="0.2">
      <c r="A97" s="741">
        <v>42217</v>
      </c>
      <c r="B97">
        <v>0</v>
      </c>
      <c r="C97">
        <v>180</v>
      </c>
    </row>
    <row r="98" spans="1:4" x14ac:dyDescent="0.2">
      <c r="A98" s="741">
        <v>42248</v>
      </c>
      <c r="B98">
        <v>63</v>
      </c>
      <c r="C98">
        <v>92</v>
      </c>
    </row>
    <row r="99" spans="1:4" x14ac:dyDescent="0.2">
      <c r="A99" s="741">
        <v>42278</v>
      </c>
      <c r="B99">
        <v>477</v>
      </c>
      <c r="C99">
        <v>0</v>
      </c>
    </row>
    <row r="100" spans="1:4" x14ac:dyDescent="0.2">
      <c r="A100" s="741">
        <v>42309</v>
      </c>
      <c r="B100">
        <v>606</v>
      </c>
      <c r="C100">
        <v>1</v>
      </c>
    </row>
    <row r="101" spans="1:4" x14ac:dyDescent="0.2">
      <c r="A101" s="741">
        <v>42339</v>
      </c>
      <c r="B101">
        <v>749</v>
      </c>
      <c r="C101">
        <v>0</v>
      </c>
    </row>
    <row r="102" spans="1:4" x14ac:dyDescent="0.2">
      <c r="A102" s="741">
        <v>42370</v>
      </c>
      <c r="B102">
        <v>1135</v>
      </c>
      <c r="C102">
        <v>0</v>
      </c>
    </row>
    <row r="103" spans="1:4" x14ac:dyDescent="0.2">
      <c r="A103" s="741">
        <v>42401</v>
      </c>
      <c r="B103">
        <v>1027</v>
      </c>
      <c r="C103">
        <v>0</v>
      </c>
    </row>
    <row r="104" spans="1:4" x14ac:dyDescent="0.2">
      <c r="A104" s="741">
        <v>42430</v>
      </c>
      <c r="B104">
        <v>707</v>
      </c>
      <c r="C104">
        <v>0</v>
      </c>
    </row>
    <row r="105" spans="1:4" x14ac:dyDescent="0.2">
      <c r="A105" s="741">
        <v>42461</v>
      </c>
      <c r="B105">
        <v>580</v>
      </c>
      <c r="C105">
        <v>1</v>
      </c>
    </row>
    <row r="106" spans="1:4" x14ac:dyDescent="0.2">
      <c r="A106" s="741">
        <v>42491</v>
      </c>
      <c r="B106">
        <v>267</v>
      </c>
      <c r="C106">
        <v>49</v>
      </c>
    </row>
    <row r="107" spans="1:4" x14ac:dyDescent="0.2">
      <c r="A107" s="741">
        <v>42522</v>
      </c>
      <c r="B107">
        <v>30</v>
      </c>
      <c r="C107">
        <v>83</v>
      </c>
    </row>
    <row r="108" spans="1:4" x14ac:dyDescent="0.2">
      <c r="A108" s="741" t="s">
        <v>7</v>
      </c>
      <c r="B108">
        <f>SUM(B96:B107)</f>
        <v>5646</v>
      </c>
      <c r="C108">
        <f>SUM(C96:C107)</f>
        <v>603</v>
      </c>
      <c r="D108">
        <f>B108+C108</f>
        <v>6249</v>
      </c>
    </row>
    <row r="109" spans="1:4" x14ac:dyDescent="0.2">
      <c r="A109" s="741">
        <v>42552</v>
      </c>
      <c r="B109">
        <v>2</v>
      </c>
      <c r="C109">
        <v>255</v>
      </c>
    </row>
    <row r="110" spans="1:4" x14ac:dyDescent="0.2">
      <c r="A110" s="741">
        <v>42583</v>
      </c>
      <c r="B110">
        <v>2</v>
      </c>
      <c r="C110">
        <v>246</v>
      </c>
    </row>
    <row r="111" spans="1:4" x14ac:dyDescent="0.2">
      <c r="A111" s="741">
        <v>42614</v>
      </c>
      <c r="B111">
        <v>101</v>
      </c>
      <c r="C111">
        <v>101</v>
      </c>
    </row>
    <row r="112" spans="1:4" x14ac:dyDescent="0.2">
      <c r="A112" s="741">
        <v>42644</v>
      </c>
      <c r="B112">
        <v>422</v>
      </c>
      <c r="C112">
        <v>4</v>
      </c>
    </row>
    <row r="113" spans="1:4" x14ac:dyDescent="0.2">
      <c r="A113" s="741">
        <v>42675</v>
      </c>
      <c r="B113">
        <v>715</v>
      </c>
      <c r="C113">
        <v>0</v>
      </c>
    </row>
    <row r="114" spans="1:4" x14ac:dyDescent="0.2">
      <c r="A114" s="741">
        <v>42705</v>
      </c>
      <c r="B114">
        <v>1098</v>
      </c>
      <c r="C114">
        <v>0</v>
      </c>
    </row>
    <row r="115" spans="1:4" x14ac:dyDescent="0.2">
      <c r="A115" s="741">
        <v>42736</v>
      </c>
      <c r="B115">
        <v>1074</v>
      </c>
      <c r="C115">
        <v>0</v>
      </c>
    </row>
    <row r="116" spans="1:4" x14ac:dyDescent="0.2">
      <c r="A116" s="741">
        <v>42767</v>
      </c>
      <c r="B116">
        <v>922</v>
      </c>
      <c r="C116">
        <v>0</v>
      </c>
    </row>
    <row r="117" spans="1:4" x14ac:dyDescent="0.2">
      <c r="A117" s="741">
        <v>42795</v>
      </c>
      <c r="B117">
        <v>1048</v>
      </c>
      <c r="C117">
        <v>0</v>
      </c>
    </row>
    <row r="118" spans="1:4" x14ac:dyDescent="0.2">
      <c r="A118" s="741">
        <v>42826</v>
      </c>
      <c r="B118">
        <v>418</v>
      </c>
      <c r="C118">
        <v>16</v>
      </c>
    </row>
    <row r="119" spans="1:4" x14ac:dyDescent="0.2">
      <c r="A119" s="741">
        <v>42856</v>
      </c>
      <c r="B119">
        <v>293</v>
      </c>
      <c r="C119">
        <v>32</v>
      </c>
    </row>
    <row r="120" spans="1:4" x14ac:dyDescent="0.2">
      <c r="A120" s="741">
        <v>42887</v>
      </c>
      <c r="B120">
        <v>69</v>
      </c>
      <c r="C120">
        <v>125</v>
      </c>
    </row>
    <row r="121" spans="1:4" x14ac:dyDescent="0.2">
      <c r="A121" t="s">
        <v>1445</v>
      </c>
      <c r="B121">
        <f>SUM(B109:B120)</f>
        <v>6164</v>
      </c>
      <c r="C121">
        <f>SUM(C109:C120)</f>
        <v>779</v>
      </c>
      <c r="D121">
        <f>B121+C121</f>
        <v>6943</v>
      </c>
    </row>
  </sheetData>
  <pageMargins left="0.7" right="0.7" top="0.75" bottom="0.75" header="0.3" footer="0.3"/>
  <pageSetup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131"/>
  <sheetViews>
    <sheetView topLeftCell="A4" workbookViewId="0">
      <pane xSplit="10" ySplit="8" topLeftCell="K77" activePane="bottomRight" state="frozen"/>
      <selection activeCell="A4" sqref="A4"/>
      <selection pane="topRight" activeCell="K4" sqref="K4"/>
      <selection pane="bottomLeft" activeCell="A12" sqref="A12"/>
      <selection pane="bottomRight" activeCell="G129" sqref="G129"/>
    </sheetView>
  </sheetViews>
  <sheetFormatPr baseColWidth="10" defaultColWidth="8.83203125" defaultRowHeight="15" x14ac:dyDescent="0.2"/>
  <cols>
    <col min="1" max="1" width="10.5" style="716" customWidth="1"/>
    <col min="2" max="2" width="11.1640625" style="716" bestFit="1" customWidth="1"/>
    <col min="3" max="3" width="12" style="716" bestFit="1" customWidth="1"/>
    <col min="4" max="4" width="12.33203125" style="716" bestFit="1" customWidth="1"/>
    <col min="5" max="5" width="7" style="716" bestFit="1" customWidth="1"/>
    <col min="6" max="6" width="13.33203125" style="716" bestFit="1" customWidth="1"/>
    <col min="7" max="7" width="22.5" style="716" customWidth="1"/>
    <col min="8" max="8" width="10.33203125" style="716" bestFit="1" customWidth="1"/>
    <col min="9" max="16384" width="8.83203125" style="716"/>
  </cols>
  <sheetData>
    <row r="1" spans="1:19" x14ac:dyDescent="0.2">
      <c r="A1" s="716" t="s">
        <v>1721</v>
      </c>
      <c r="B1" s="716" t="s">
        <v>1722</v>
      </c>
    </row>
    <row r="2" spans="1:19" x14ac:dyDescent="0.2">
      <c r="A2" s="716" t="s">
        <v>1723</v>
      </c>
    </row>
    <row r="3" spans="1:19" x14ac:dyDescent="0.2">
      <c r="A3" s="716" t="s">
        <v>1724</v>
      </c>
    </row>
    <row r="4" spans="1:19" x14ac:dyDescent="0.2">
      <c r="A4" s="716" t="s">
        <v>1725</v>
      </c>
    </row>
    <row r="5" spans="1:19" x14ac:dyDescent="0.2">
      <c r="A5" s="716" t="s">
        <v>1726</v>
      </c>
    </row>
    <row r="6" spans="1:19" x14ac:dyDescent="0.2">
      <c r="A6" s="716" t="s">
        <v>1727</v>
      </c>
    </row>
    <row r="7" spans="1:19" ht="16" x14ac:dyDescent="0.2">
      <c r="A7" s="716" t="s">
        <v>1728</v>
      </c>
      <c r="S7" s="717">
        <f>(S11-K11)/K11</f>
        <v>5.2424942263279449E-2</v>
      </c>
    </row>
    <row r="8" spans="1:19" x14ac:dyDescent="0.2">
      <c r="A8" s="716" t="s">
        <v>1729</v>
      </c>
      <c r="B8" s="716">
        <v>2874480</v>
      </c>
    </row>
    <row r="9" spans="1:19" ht="16" x14ac:dyDescent="0.2">
      <c r="L9" s="717">
        <f t="shared" ref="L9:S9" si="0">(L11-K11)/K11</f>
        <v>-0.10069284064665127</v>
      </c>
      <c r="M9" s="717">
        <f t="shared" si="0"/>
        <v>1.386748844375963E-2</v>
      </c>
      <c r="N9" s="717">
        <f t="shared" si="0"/>
        <v>0.10663627152988855</v>
      </c>
      <c r="O9" s="717">
        <f t="shared" si="0"/>
        <v>-9.8878461890592809E-2</v>
      </c>
      <c r="P9" s="717">
        <f t="shared" si="0"/>
        <v>5.8166116332232662E-2</v>
      </c>
      <c r="Q9" s="717">
        <f t="shared" si="0"/>
        <v>-0.12409985597695632</v>
      </c>
      <c r="R9" s="717">
        <f t="shared" si="0"/>
        <v>0.23814743765415183</v>
      </c>
      <c r="S9" s="717">
        <f t="shared" si="0"/>
        <v>8.6321381142098266E-3</v>
      </c>
    </row>
    <row r="10" spans="1:19" x14ac:dyDescent="0.2">
      <c r="A10" s="716" t="s">
        <v>1730</v>
      </c>
      <c r="B10" s="716" t="s">
        <v>1731</v>
      </c>
      <c r="C10" s="716" t="s">
        <v>1732</v>
      </c>
      <c r="D10" s="716" t="s">
        <v>1733</v>
      </c>
      <c r="E10" s="716" t="s">
        <v>1734</v>
      </c>
      <c r="F10" s="716" t="s">
        <v>1735</v>
      </c>
      <c r="G10" s="716" t="s">
        <v>1736</v>
      </c>
      <c r="H10" s="716" t="s">
        <v>1737</v>
      </c>
      <c r="K10" s="718" t="s">
        <v>1738</v>
      </c>
      <c r="L10" s="718" t="s">
        <v>1739</v>
      </c>
      <c r="M10" s="718" t="s">
        <v>1740</v>
      </c>
      <c r="N10" s="718" t="s">
        <v>1741</v>
      </c>
      <c r="O10" s="718" t="s">
        <v>1742</v>
      </c>
      <c r="P10" s="718" t="s">
        <v>1137</v>
      </c>
      <c r="Q10" s="718" t="s">
        <v>1103</v>
      </c>
      <c r="R10" s="718" t="s">
        <v>1106</v>
      </c>
      <c r="S10" s="718" t="s">
        <v>1110</v>
      </c>
    </row>
    <row r="11" spans="1:19" x14ac:dyDescent="0.2">
      <c r="A11" s="716">
        <v>54421791013</v>
      </c>
      <c r="B11" s="719">
        <v>39658</v>
      </c>
      <c r="C11" s="720">
        <v>39630</v>
      </c>
      <c r="D11" s="716">
        <v>3125</v>
      </c>
      <c r="E11" s="716">
        <v>987840</v>
      </c>
      <c r="F11" s="716">
        <v>30</v>
      </c>
      <c r="G11" s="716">
        <v>32928</v>
      </c>
      <c r="H11" s="721">
        <v>186529.95</v>
      </c>
      <c r="K11" s="716">
        <f>E23</f>
        <v>8911140</v>
      </c>
      <c r="L11" s="716">
        <f>E36</f>
        <v>8013852</v>
      </c>
      <c r="M11" s="716">
        <f>E50</f>
        <v>8124984</v>
      </c>
      <c r="N11" s="716">
        <f>E64</f>
        <v>8991402</v>
      </c>
      <c r="O11" s="716">
        <f>E77</f>
        <v>8102346</v>
      </c>
      <c r="P11" s="716">
        <f>E90</f>
        <v>8573628</v>
      </c>
      <c r="Q11" s="716">
        <f>E103</f>
        <v>7509642</v>
      </c>
      <c r="R11" s="716">
        <f>E116</f>
        <v>9298044</v>
      </c>
      <c r="S11" s="716">
        <f>E129</f>
        <v>9378306</v>
      </c>
    </row>
    <row r="12" spans="1:19" x14ac:dyDescent="0.2">
      <c r="A12" s="716">
        <v>54421791013</v>
      </c>
      <c r="B12" s="719">
        <v>39687</v>
      </c>
      <c r="C12" s="720">
        <v>39661</v>
      </c>
      <c r="D12" s="716">
        <v>2814</v>
      </c>
      <c r="E12" s="716">
        <v>794388</v>
      </c>
      <c r="F12" s="716">
        <v>29</v>
      </c>
      <c r="G12" s="716">
        <v>27392.69</v>
      </c>
      <c r="H12" s="721">
        <v>157397.78</v>
      </c>
    </row>
    <row r="13" spans="1:19" x14ac:dyDescent="0.2">
      <c r="A13" s="716">
        <v>54421791013</v>
      </c>
      <c r="B13" s="719">
        <v>39719</v>
      </c>
      <c r="C13" s="720">
        <v>39692</v>
      </c>
      <c r="D13" s="716">
        <v>3127</v>
      </c>
      <c r="E13" s="716">
        <v>1315062</v>
      </c>
      <c r="F13" s="716">
        <v>32</v>
      </c>
      <c r="G13" s="716">
        <v>41095.69</v>
      </c>
      <c r="H13" s="721">
        <v>230278.16</v>
      </c>
      <c r="L13" s="722">
        <f t="shared" ref="L13:M13" si="1">L11*102%</f>
        <v>8174129.04</v>
      </c>
      <c r="M13" s="722">
        <f t="shared" si="1"/>
        <v>8287483.6799999997</v>
      </c>
      <c r="N13" s="722">
        <f>N11*102%</f>
        <v>9171230.040000001</v>
      </c>
      <c r="O13" s="722">
        <f>'[1]T5 Summary'!O4</f>
        <v>8264300</v>
      </c>
      <c r="P13" s="722">
        <f>'[1]T5 Summary'!O5</f>
        <v>8748600</v>
      </c>
      <c r="Q13" s="722">
        <f>'[1]T5 Summary'!O6</f>
        <v>7662900</v>
      </c>
      <c r="R13" s="722">
        <f>'[1]T5 Summary'!O7</f>
        <v>9487800</v>
      </c>
      <c r="S13" s="722">
        <f>'[1]T5 Summary'!O8</f>
        <v>9569700</v>
      </c>
    </row>
    <row r="14" spans="1:19" x14ac:dyDescent="0.2">
      <c r="A14" s="716">
        <v>54421791013</v>
      </c>
      <c r="B14" s="719">
        <v>39750</v>
      </c>
      <c r="C14" s="720">
        <v>39722</v>
      </c>
      <c r="D14" s="716">
        <v>3036.5</v>
      </c>
      <c r="E14" s="716">
        <v>954912</v>
      </c>
      <c r="F14" s="716">
        <v>31</v>
      </c>
      <c r="G14" s="716">
        <v>30803.61</v>
      </c>
      <c r="H14" s="721">
        <v>146721.26</v>
      </c>
    </row>
    <row r="15" spans="1:19" x14ac:dyDescent="0.2">
      <c r="A15" s="716">
        <v>54421791013</v>
      </c>
      <c r="B15" s="719">
        <v>39783</v>
      </c>
      <c r="C15" s="720">
        <v>39753</v>
      </c>
      <c r="D15" s="716">
        <v>2555.5</v>
      </c>
      <c r="E15" s="716">
        <v>726474</v>
      </c>
      <c r="F15" s="716">
        <v>33</v>
      </c>
      <c r="G15" s="716">
        <v>22014.36</v>
      </c>
      <c r="H15" s="721">
        <v>113283.99</v>
      </c>
      <c r="O15" s="722">
        <f>O11-O13</f>
        <v>-161954</v>
      </c>
      <c r="P15" s="722">
        <f t="shared" ref="P15:S15" si="2">P11-P13</f>
        <v>-174972</v>
      </c>
      <c r="Q15" s="722">
        <f t="shared" si="2"/>
        <v>-153258</v>
      </c>
      <c r="R15" s="722">
        <f t="shared" si="2"/>
        <v>-189756</v>
      </c>
      <c r="S15" s="722">
        <f t="shared" si="2"/>
        <v>-191394</v>
      </c>
    </row>
    <row r="16" spans="1:19" x14ac:dyDescent="0.2">
      <c r="A16" s="716">
        <v>54421791013</v>
      </c>
      <c r="B16" s="719">
        <v>39813</v>
      </c>
      <c r="C16" s="720">
        <v>39783</v>
      </c>
      <c r="D16" s="716">
        <v>3036.5</v>
      </c>
      <c r="E16" s="716">
        <v>463050</v>
      </c>
      <c r="F16" s="716">
        <v>30</v>
      </c>
      <c r="G16" s="716">
        <v>15435</v>
      </c>
      <c r="H16" s="721">
        <v>32857.64</v>
      </c>
    </row>
    <row r="17" spans="1:15" x14ac:dyDescent="0.2">
      <c r="A17" s="716">
        <v>54421791013</v>
      </c>
      <c r="B17" s="719">
        <v>39843</v>
      </c>
      <c r="C17" s="720">
        <v>39814</v>
      </c>
      <c r="D17" s="716">
        <v>1991</v>
      </c>
      <c r="E17" s="716">
        <v>368382</v>
      </c>
      <c r="F17" s="716">
        <v>30</v>
      </c>
      <c r="G17" s="716">
        <v>12279.4</v>
      </c>
      <c r="H17" s="721">
        <v>27245.54</v>
      </c>
      <c r="O17" s="727">
        <f>O15/O13</f>
        <v>-1.9596820057355128E-2</v>
      </c>
    </row>
    <row r="18" spans="1:15" x14ac:dyDescent="0.2">
      <c r="A18" s="716">
        <v>54421791013</v>
      </c>
      <c r="B18" s="719">
        <v>39874</v>
      </c>
      <c r="C18" s="720">
        <v>39845</v>
      </c>
      <c r="D18" s="716">
        <v>2572.5</v>
      </c>
      <c r="E18" s="716">
        <v>584472</v>
      </c>
      <c r="F18" s="716">
        <v>31</v>
      </c>
      <c r="G18" s="716">
        <v>18853.939999999999</v>
      </c>
      <c r="H18" s="721">
        <v>35698.639999999999</v>
      </c>
    </row>
    <row r="19" spans="1:15" x14ac:dyDescent="0.2">
      <c r="A19" s="716">
        <v>54421791013</v>
      </c>
      <c r="B19" s="719">
        <v>39903</v>
      </c>
      <c r="C19" s="720">
        <v>39873</v>
      </c>
      <c r="D19" s="716">
        <v>2375</v>
      </c>
      <c r="E19" s="716">
        <v>559776</v>
      </c>
      <c r="F19" s="716">
        <v>29</v>
      </c>
      <c r="G19" s="716">
        <v>19302.62</v>
      </c>
      <c r="H19" s="721">
        <v>34453.410000000003</v>
      </c>
      <c r="O19" s="727">
        <f>O15/O11</f>
        <v>-1.9988531716616399E-2</v>
      </c>
    </row>
    <row r="20" spans="1:15" x14ac:dyDescent="0.2">
      <c r="A20" s="716">
        <v>54421791013</v>
      </c>
      <c r="B20" s="719">
        <v>39931</v>
      </c>
      <c r="C20" s="720">
        <v>39904</v>
      </c>
      <c r="D20" s="716">
        <v>2390</v>
      </c>
      <c r="E20" s="716">
        <v>625632</v>
      </c>
      <c r="F20" s="716">
        <v>28</v>
      </c>
      <c r="G20" s="716">
        <v>22344</v>
      </c>
      <c r="H20" s="721">
        <v>35911.69</v>
      </c>
    </row>
    <row r="21" spans="1:15" x14ac:dyDescent="0.2">
      <c r="A21" s="716">
        <v>54421791013</v>
      </c>
      <c r="B21" s="719">
        <v>39960</v>
      </c>
      <c r="C21" s="720">
        <v>39934</v>
      </c>
      <c r="D21" s="716">
        <v>2020</v>
      </c>
      <c r="E21" s="716">
        <v>697662</v>
      </c>
      <c r="F21" s="716">
        <v>29</v>
      </c>
      <c r="G21" s="716">
        <v>24057.31</v>
      </c>
      <c r="H21" s="721">
        <v>36173.15</v>
      </c>
    </row>
    <row r="22" spans="1:15" x14ac:dyDescent="0.2">
      <c r="A22" s="716">
        <v>54421791013</v>
      </c>
      <c r="B22" s="719">
        <v>39989</v>
      </c>
      <c r="C22" s="720">
        <v>39965</v>
      </c>
      <c r="D22" s="716">
        <v>2629</v>
      </c>
      <c r="E22" s="716">
        <v>833490</v>
      </c>
      <c r="F22" s="716">
        <v>29</v>
      </c>
      <c r="G22" s="716">
        <v>28741.03</v>
      </c>
      <c r="H22" s="721">
        <v>40966.28</v>
      </c>
    </row>
    <row r="23" spans="1:15" x14ac:dyDescent="0.2">
      <c r="B23" s="719"/>
      <c r="C23" s="720"/>
      <c r="E23" s="716">
        <f>SUM(E11:E22)</f>
        <v>8911140</v>
      </c>
      <c r="H23" s="721"/>
    </row>
    <row r="24" spans="1:15" x14ac:dyDescent="0.2">
      <c r="A24" s="716">
        <v>54421791013</v>
      </c>
      <c r="B24" s="719">
        <v>40022</v>
      </c>
      <c r="C24" s="720">
        <v>39995</v>
      </c>
      <c r="D24" s="716">
        <v>2045.5</v>
      </c>
      <c r="E24" s="716">
        <v>796446</v>
      </c>
      <c r="F24" s="716">
        <v>33</v>
      </c>
      <c r="G24" s="716">
        <v>24134.73</v>
      </c>
      <c r="H24" s="721">
        <v>38362.76</v>
      </c>
    </row>
    <row r="25" spans="1:15" x14ac:dyDescent="0.2">
      <c r="A25" s="716">
        <v>54421791013</v>
      </c>
      <c r="B25" s="719">
        <v>40051</v>
      </c>
      <c r="C25" s="720">
        <v>40026</v>
      </c>
      <c r="D25" s="716">
        <v>2652.5</v>
      </c>
      <c r="E25" s="716">
        <v>742938</v>
      </c>
      <c r="F25" s="716">
        <v>29</v>
      </c>
      <c r="G25" s="716">
        <v>25618.55</v>
      </c>
      <c r="H25" s="721">
        <v>39410.660000000003</v>
      </c>
    </row>
    <row r="26" spans="1:15" x14ac:dyDescent="0.2">
      <c r="A26" s="716">
        <v>54421791013</v>
      </c>
      <c r="B26" s="719">
        <v>40081</v>
      </c>
      <c r="C26" s="720">
        <v>40057</v>
      </c>
      <c r="D26" s="716">
        <v>2591.5</v>
      </c>
      <c r="E26" s="716">
        <v>829374</v>
      </c>
      <c r="F26" s="716">
        <v>30</v>
      </c>
      <c r="G26" s="716">
        <v>27645.8</v>
      </c>
      <c r="H26" s="721">
        <v>41196.04</v>
      </c>
    </row>
    <row r="27" spans="1:15" x14ac:dyDescent="0.2">
      <c r="A27" s="716">
        <v>54421791013</v>
      </c>
      <c r="B27" s="719">
        <v>40112</v>
      </c>
      <c r="C27" s="720">
        <v>40087</v>
      </c>
      <c r="D27" s="716">
        <v>2068.5</v>
      </c>
      <c r="E27" s="716">
        <v>757344</v>
      </c>
      <c r="F27" s="716">
        <v>31</v>
      </c>
      <c r="G27" s="716">
        <v>24430.45</v>
      </c>
      <c r="H27" s="721">
        <v>33122.21</v>
      </c>
    </row>
    <row r="28" spans="1:15" x14ac:dyDescent="0.2">
      <c r="A28" s="716">
        <v>54421791013</v>
      </c>
      <c r="B28" s="719">
        <v>40141</v>
      </c>
      <c r="C28" s="720">
        <v>40118</v>
      </c>
      <c r="D28" s="716">
        <v>2789</v>
      </c>
      <c r="E28" s="716">
        <v>757344</v>
      </c>
      <c r="F28" s="716">
        <v>29</v>
      </c>
      <c r="G28" s="716">
        <v>26115.31</v>
      </c>
      <c r="H28" s="721">
        <v>36686.22</v>
      </c>
    </row>
    <row r="29" spans="1:15" x14ac:dyDescent="0.2">
      <c r="A29" s="716">
        <v>54421791013</v>
      </c>
      <c r="B29" s="719">
        <v>40175</v>
      </c>
      <c r="C29" s="720">
        <v>40148</v>
      </c>
      <c r="D29" s="716">
        <v>2497</v>
      </c>
      <c r="E29" s="716">
        <v>701778</v>
      </c>
      <c r="F29" s="716">
        <v>34</v>
      </c>
      <c r="G29" s="716">
        <v>20640.53</v>
      </c>
      <c r="H29" s="721">
        <v>34199.72</v>
      </c>
    </row>
    <row r="30" spans="1:15" x14ac:dyDescent="0.2">
      <c r="A30" s="716">
        <v>54421791013</v>
      </c>
      <c r="B30" s="719">
        <v>40205</v>
      </c>
      <c r="C30" s="720">
        <v>40179</v>
      </c>
      <c r="D30" s="716">
        <v>2161</v>
      </c>
      <c r="E30" s="716">
        <v>308700</v>
      </c>
      <c r="F30" s="716">
        <v>30</v>
      </c>
      <c r="G30" s="716">
        <v>10290</v>
      </c>
      <c r="H30" s="721">
        <v>25356.35</v>
      </c>
    </row>
    <row r="31" spans="1:15" x14ac:dyDescent="0.2">
      <c r="A31" s="716">
        <v>54421791013</v>
      </c>
      <c r="B31" s="719">
        <v>40234</v>
      </c>
      <c r="C31" s="720">
        <v>40210</v>
      </c>
      <c r="D31" s="716">
        <v>2301.5</v>
      </c>
      <c r="E31" s="716">
        <v>452760</v>
      </c>
      <c r="F31" s="716">
        <v>29</v>
      </c>
      <c r="G31" s="716">
        <v>15612.41</v>
      </c>
      <c r="H31" s="721">
        <v>29726.400000000001</v>
      </c>
    </row>
    <row r="32" spans="1:15" x14ac:dyDescent="0.2">
      <c r="A32" s="716">
        <v>54421791013</v>
      </c>
      <c r="B32" s="719">
        <v>40263</v>
      </c>
      <c r="C32" s="720">
        <v>40238</v>
      </c>
      <c r="D32" s="716">
        <v>1799.5</v>
      </c>
      <c r="E32" s="716">
        <v>452760</v>
      </c>
      <c r="F32" s="716">
        <v>29</v>
      </c>
      <c r="G32" s="716">
        <v>15612.41</v>
      </c>
      <c r="H32" s="721">
        <v>27900.26</v>
      </c>
    </row>
    <row r="33" spans="1:8" x14ac:dyDescent="0.2">
      <c r="A33" s="716">
        <v>54421791013</v>
      </c>
      <c r="B33" s="719">
        <v>40296</v>
      </c>
      <c r="C33" s="720">
        <v>40269</v>
      </c>
      <c r="D33" s="716">
        <v>1808</v>
      </c>
      <c r="E33" s="716">
        <v>637980</v>
      </c>
      <c r="F33" s="716">
        <v>33</v>
      </c>
      <c r="G33" s="716">
        <v>19332.73</v>
      </c>
      <c r="H33" s="721">
        <v>32540.36</v>
      </c>
    </row>
    <row r="34" spans="1:8" x14ac:dyDescent="0.2">
      <c r="A34" s="716">
        <v>54421791013</v>
      </c>
      <c r="B34" s="719">
        <v>40324</v>
      </c>
      <c r="C34" s="720">
        <v>40299</v>
      </c>
      <c r="D34" s="716">
        <v>2543</v>
      </c>
      <c r="E34" s="716">
        <v>730590</v>
      </c>
      <c r="F34" s="716">
        <v>28</v>
      </c>
      <c r="G34" s="716">
        <v>26092.5</v>
      </c>
      <c r="H34" s="721">
        <v>37130.83</v>
      </c>
    </row>
    <row r="35" spans="1:8" x14ac:dyDescent="0.2">
      <c r="A35" s="716">
        <v>54421791013</v>
      </c>
      <c r="B35" s="719">
        <v>40354</v>
      </c>
      <c r="C35" s="720">
        <v>40330</v>
      </c>
      <c r="D35" s="716">
        <v>4536</v>
      </c>
      <c r="E35" s="716">
        <v>845838</v>
      </c>
      <c r="F35" s="716">
        <v>30</v>
      </c>
      <c r="G35" s="716">
        <v>28194.6</v>
      </c>
      <c r="H35" s="721">
        <v>43184.56</v>
      </c>
    </row>
    <row r="36" spans="1:8" x14ac:dyDescent="0.2">
      <c r="B36" s="719"/>
      <c r="C36" s="720"/>
      <c r="E36" s="716">
        <f>SUM(E24:E35)</f>
        <v>8013852</v>
      </c>
      <c r="H36" s="721"/>
    </row>
    <row r="37" spans="1:8" x14ac:dyDescent="0.2">
      <c r="A37" s="716">
        <v>54421791013</v>
      </c>
      <c r="B37" s="719">
        <v>40386</v>
      </c>
      <c r="C37" s="720">
        <v>40360</v>
      </c>
      <c r="D37" s="716">
        <v>2847.5</v>
      </c>
      <c r="E37" s="716">
        <v>924042</v>
      </c>
      <c r="F37" s="716">
        <v>32</v>
      </c>
      <c r="G37" s="716">
        <v>28876.31</v>
      </c>
      <c r="H37" s="721">
        <v>48977.3</v>
      </c>
    </row>
    <row r="38" spans="1:8" x14ac:dyDescent="0.2">
      <c r="A38" s="716">
        <v>54421791013</v>
      </c>
      <c r="B38" s="719">
        <v>40415</v>
      </c>
      <c r="C38" s="720">
        <v>40391</v>
      </c>
      <c r="D38" s="716">
        <v>2671</v>
      </c>
      <c r="E38" s="716">
        <v>763518</v>
      </c>
      <c r="F38" s="716">
        <v>29</v>
      </c>
      <c r="G38" s="716">
        <v>26328.21</v>
      </c>
      <c r="H38" s="721">
        <v>44534.13</v>
      </c>
    </row>
    <row r="39" spans="1:8" x14ac:dyDescent="0.2">
      <c r="A39" s="716">
        <v>54421791013</v>
      </c>
      <c r="B39" s="719">
        <v>40445</v>
      </c>
      <c r="C39" s="720">
        <v>40422</v>
      </c>
      <c r="D39" s="716">
        <v>3141.5</v>
      </c>
      <c r="E39" s="716">
        <v>866418</v>
      </c>
      <c r="F39" s="716">
        <v>30</v>
      </c>
      <c r="G39" s="716">
        <v>28880.6</v>
      </c>
      <c r="H39" s="721">
        <v>49185.41</v>
      </c>
    </row>
    <row r="40" spans="1:8" x14ac:dyDescent="0.2">
      <c r="A40" s="716">
        <v>54421791013</v>
      </c>
      <c r="B40" s="719">
        <v>40476</v>
      </c>
      <c r="C40" s="720">
        <v>40452</v>
      </c>
      <c r="D40" s="716">
        <v>3110</v>
      </c>
      <c r="E40" s="716">
        <v>872592</v>
      </c>
      <c r="F40" s="716">
        <v>31</v>
      </c>
      <c r="G40" s="716">
        <v>28148.13</v>
      </c>
      <c r="H40" s="721">
        <v>49085.65</v>
      </c>
    </row>
    <row r="41" spans="1:8" x14ac:dyDescent="0.2">
      <c r="A41" s="716">
        <v>54421791013</v>
      </c>
      <c r="B41" s="719">
        <v>40505</v>
      </c>
      <c r="C41" s="720">
        <v>40483</v>
      </c>
      <c r="D41" s="716">
        <v>2280.5</v>
      </c>
      <c r="E41" s="716">
        <v>607110</v>
      </c>
      <c r="F41" s="716">
        <v>29</v>
      </c>
      <c r="G41" s="716">
        <v>20934.830000000002</v>
      </c>
      <c r="H41" s="721">
        <v>38464.1</v>
      </c>
    </row>
    <row r="42" spans="1:8" x14ac:dyDescent="0.2">
      <c r="A42" s="716">
        <v>54421791013</v>
      </c>
      <c r="B42" s="719">
        <v>40539</v>
      </c>
      <c r="C42" s="720">
        <v>40513</v>
      </c>
      <c r="D42" s="716">
        <v>2406.5</v>
      </c>
      <c r="E42" s="716">
        <v>487746</v>
      </c>
      <c r="F42" s="716">
        <v>34</v>
      </c>
      <c r="G42" s="716">
        <v>14345.47</v>
      </c>
      <c r="H42" s="721">
        <v>35723.08</v>
      </c>
    </row>
    <row r="43" spans="1:8" x14ac:dyDescent="0.2">
      <c r="A43" s="723">
        <v>54421791013</v>
      </c>
      <c r="B43" s="724">
        <v>40568</v>
      </c>
      <c r="C43" s="725">
        <v>40544</v>
      </c>
      <c r="D43" s="723">
        <v>2058</v>
      </c>
      <c r="E43" s="723">
        <v>246960</v>
      </c>
      <c r="F43" s="723">
        <v>29</v>
      </c>
      <c r="G43" s="723">
        <v>8515.86</v>
      </c>
      <c r="H43" s="726">
        <v>28369.200000000001</v>
      </c>
    </row>
    <row r="44" spans="1:8" x14ac:dyDescent="0.2">
      <c r="A44" s="723">
        <v>54421791013</v>
      </c>
      <c r="B44" s="724">
        <v>40574</v>
      </c>
      <c r="C44" s="725">
        <v>40544</v>
      </c>
      <c r="D44" s="723">
        <v>1493</v>
      </c>
      <c r="E44" s="723">
        <v>86436</v>
      </c>
      <c r="F44" s="723">
        <v>6</v>
      </c>
      <c r="G44" s="723">
        <v>14406</v>
      </c>
      <c r="H44" s="726">
        <v>6412.37</v>
      </c>
    </row>
    <row r="45" spans="1:8" x14ac:dyDescent="0.2">
      <c r="A45" s="716">
        <v>54421791013</v>
      </c>
      <c r="B45" s="719">
        <v>40598</v>
      </c>
      <c r="C45" s="720">
        <v>40576</v>
      </c>
      <c r="D45" s="716">
        <v>2060</v>
      </c>
      <c r="E45" s="716">
        <v>331338</v>
      </c>
      <c r="F45" s="716">
        <v>24</v>
      </c>
      <c r="G45" s="716">
        <v>13805.75</v>
      </c>
      <c r="H45" s="721">
        <v>25844.15</v>
      </c>
    </row>
    <row r="46" spans="1:8" x14ac:dyDescent="0.2">
      <c r="A46" s="716">
        <v>54421791013</v>
      </c>
      <c r="B46" s="719">
        <v>40626</v>
      </c>
      <c r="C46" s="720">
        <v>40608</v>
      </c>
      <c r="D46" s="716">
        <v>2085.5</v>
      </c>
      <c r="E46" s="716">
        <v>349860</v>
      </c>
      <c r="F46" s="716">
        <v>28</v>
      </c>
      <c r="G46" s="716">
        <v>12495</v>
      </c>
      <c r="H46" s="721">
        <v>30852.880000000001</v>
      </c>
    </row>
    <row r="47" spans="1:8" x14ac:dyDescent="0.2">
      <c r="A47" s="716">
        <v>54421791013</v>
      </c>
      <c r="B47" s="719">
        <v>40659</v>
      </c>
      <c r="C47" s="720">
        <v>40640</v>
      </c>
      <c r="D47" s="716">
        <v>2438</v>
      </c>
      <c r="E47" s="716">
        <v>578298</v>
      </c>
      <c r="F47" s="716">
        <v>33</v>
      </c>
      <c r="G47" s="716">
        <v>17524.18</v>
      </c>
      <c r="H47" s="721">
        <v>36767.339999999997</v>
      </c>
    </row>
    <row r="48" spans="1:8" x14ac:dyDescent="0.2">
      <c r="A48" s="716">
        <v>54421791013</v>
      </c>
      <c r="B48" s="719">
        <v>40688</v>
      </c>
      <c r="C48" s="720">
        <v>40672</v>
      </c>
      <c r="D48" s="716">
        <v>2318.5</v>
      </c>
      <c r="E48" s="716">
        <v>710010</v>
      </c>
      <c r="F48" s="716">
        <v>29</v>
      </c>
      <c r="G48" s="716">
        <v>24483.1</v>
      </c>
      <c r="H48" s="721">
        <v>35365.29</v>
      </c>
    </row>
    <row r="49" spans="1:8" x14ac:dyDescent="0.2">
      <c r="A49" s="716">
        <v>54421791013</v>
      </c>
      <c r="B49" s="719">
        <v>40718</v>
      </c>
      <c r="C49" s="720">
        <v>40704</v>
      </c>
      <c r="D49" s="716">
        <v>3001</v>
      </c>
      <c r="E49" s="716">
        <v>1300656</v>
      </c>
      <c r="F49" s="716">
        <v>30</v>
      </c>
      <c r="G49" s="716">
        <v>43355.199999999997</v>
      </c>
      <c r="H49" s="721">
        <v>58873.11</v>
      </c>
    </row>
    <row r="50" spans="1:8" x14ac:dyDescent="0.2">
      <c r="B50" s="719"/>
      <c r="C50" s="720"/>
      <c r="E50" s="716">
        <f>SUM(E37:E49)</f>
        <v>8124984</v>
      </c>
      <c r="H50" s="721"/>
    </row>
    <row r="51" spans="1:8" x14ac:dyDescent="0.2">
      <c r="A51" s="716">
        <v>54421791013</v>
      </c>
      <c r="B51" s="719">
        <v>40750</v>
      </c>
      <c r="C51" s="720">
        <v>40736</v>
      </c>
      <c r="D51" s="716">
        <v>2854</v>
      </c>
      <c r="E51" s="716">
        <v>1208046</v>
      </c>
      <c r="F51" s="716">
        <v>32</v>
      </c>
      <c r="G51" s="716">
        <v>37751.440000000002</v>
      </c>
      <c r="H51" s="721">
        <v>55810.73</v>
      </c>
    </row>
    <row r="52" spans="1:8" x14ac:dyDescent="0.2">
      <c r="A52" s="716">
        <v>54421791013</v>
      </c>
      <c r="B52" s="719">
        <v>40780</v>
      </c>
      <c r="C52" s="720">
        <v>40768</v>
      </c>
      <c r="D52" s="716">
        <v>2146</v>
      </c>
      <c r="E52" s="716">
        <v>720300</v>
      </c>
      <c r="F52" s="716">
        <v>30</v>
      </c>
      <c r="G52" s="716">
        <v>24010</v>
      </c>
      <c r="H52" s="721">
        <v>37133.050000000003</v>
      </c>
    </row>
    <row r="53" spans="1:8" x14ac:dyDescent="0.2">
      <c r="A53" s="716">
        <v>54421791013</v>
      </c>
      <c r="B53" s="719">
        <v>40812</v>
      </c>
      <c r="C53" s="720">
        <v>40800</v>
      </c>
      <c r="D53" s="716">
        <v>2862.5</v>
      </c>
      <c r="E53" s="716">
        <v>889056</v>
      </c>
      <c r="F53" s="716">
        <v>32</v>
      </c>
      <c r="G53" s="716">
        <v>27783</v>
      </c>
      <c r="H53" s="721">
        <v>41779.120000000003</v>
      </c>
    </row>
    <row r="54" spans="1:8" x14ac:dyDescent="0.2">
      <c r="A54" s="716">
        <v>54421791013</v>
      </c>
      <c r="B54" s="719">
        <v>40841</v>
      </c>
      <c r="C54" s="720">
        <v>40832</v>
      </c>
      <c r="D54" s="716">
        <v>2375</v>
      </c>
      <c r="E54" s="716">
        <v>730590</v>
      </c>
      <c r="F54" s="716">
        <v>29</v>
      </c>
      <c r="G54" s="716">
        <v>25192.76</v>
      </c>
      <c r="H54" s="721">
        <v>39914.269999999997</v>
      </c>
    </row>
    <row r="55" spans="1:8" x14ac:dyDescent="0.2">
      <c r="A55" s="716">
        <v>54421791013</v>
      </c>
      <c r="B55" s="719">
        <v>40870</v>
      </c>
      <c r="C55" s="720">
        <v>40864</v>
      </c>
      <c r="D55" s="716">
        <v>2293</v>
      </c>
      <c r="E55" s="716">
        <v>625632</v>
      </c>
      <c r="F55" s="716">
        <v>29</v>
      </c>
      <c r="G55" s="716">
        <v>21573.52</v>
      </c>
      <c r="H55" s="721">
        <v>38860.47</v>
      </c>
    </row>
    <row r="56" spans="1:8" x14ac:dyDescent="0.2">
      <c r="A56" s="723">
        <v>54421791013</v>
      </c>
      <c r="B56" s="724">
        <v>40904</v>
      </c>
      <c r="C56" s="725">
        <v>40896</v>
      </c>
      <c r="D56" s="723">
        <v>2579</v>
      </c>
      <c r="E56" s="723">
        <v>866418</v>
      </c>
      <c r="F56" s="723">
        <v>34</v>
      </c>
      <c r="G56" s="723">
        <v>25482.880000000001</v>
      </c>
      <c r="H56" s="726">
        <v>46277.37</v>
      </c>
    </row>
    <row r="57" spans="1:8" x14ac:dyDescent="0.2">
      <c r="A57" s="723">
        <v>54421791013</v>
      </c>
      <c r="B57" s="724">
        <v>40908</v>
      </c>
      <c r="C57" s="725">
        <v>40897</v>
      </c>
      <c r="D57" s="723">
        <v>2117</v>
      </c>
      <c r="E57" s="723">
        <v>88261</v>
      </c>
      <c r="F57" s="723">
        <v>4</v>
      </c>
      <c r="G57" s="723">
        <v>22065.3</v>
      </c>
      <c r="H57" s="726">
        <v>5162.62</v>
      </c>
    </row>
    <row r="58" spans="1:8" x14ac:dyDescent="0.2">
      <c r="A58" s="716">
        <v>54421791013</v>
      </c>
      <c r="B58" s="719">
        <v>40933</v>
      </c>
      <c r="C58" s="720">
        <v>40929</v>
      </c>
      <c r="D58" s="716">
        <v>2117</v>
      </c>
      <c r="E58" s="716">
        <v>551777</v>
      </c>
      <c r="F58" s="716">
        <v>25</v>
      </c>
      <c r="G58" s="716">
        <v>22071.07</v>
      </c>
      <c r="H58" s="721">
        <v>31225.27</v>
      </c>
    </row>
    <row r="59" spans="1:8" x14ac:dyDescent="0.2">
      <c r="A59" s="716">
        <v>54421791013</v>
      </c>
      <c r="B59" s="719">
        <v>40963</v>
      </c>
      <c r="C59" s="720">
        <v>40961</v>
      </c>
      <c r="D59" s="716">
        <v>2264</v>
      </c>
      <c r="E59" s="716">
        <v>650328</v>
      </c>
      <c r="F59" s="716">
        <v>30</v>
      </c>
      <c r="G59" s="716">
        <v>21677.599999999999</v>
      </c>
      <c r="H59" s="721">
        <v>36814.400000000001</v>
      </c>
    </row>
    <row r="60" spans="1:8" x14ac:dyDescent="0.2">
      <c r="A60" s="716">
        <v>54421791013</v>
      </c>
      <c r="B60" s="719">
        <v>40994</v>
      </c>
      <c r="C60" s="720">
        <v>40993</v>
      </c>
      <c r="D60" s="716">
        <v>1440.5</v>
      </c>
      <c r="E60" s="716">
        <v>491862</v>
      </c>
      <c r="F60" s="716">
        <v>31</v>
      </c>
      <c r="G60" s="716">
        <v>15866.52</v>
      </c>
      <c r="H60" s="721">
        <v>25873.23</v>
      </c>
    </row>
    <row r="61" spans="1:8" x14ac:dyDescent="0.2">
      <c r="A61" s="716">
        <v>54421791013</v>
      </c>
      <c r="B61" s="719">
        <v>41024</v>
      </c>
      <c r="C61" s="720">
        <v>41025</v>
      </c>
      <c r="D61" s="716">
        <v>1940.5</v>
      </c>
      <c r="E61" s="716">
        <v>615342</v>
      </c>
      <c r="F61" s="716">
        <v>30</v>
      </c>
      <c r="G61" s="716">
        <v>20511.400000000001</v>
      </c>
      <c r="H61" s="721">
        <v>33367.15</v>
      </c>
    </row>
    <row r="62" spans="1:8" x14ac:dyDescent="0.2">
      <c r="A62" s="716">
        <v>54421791013</v>
      </c>
      <c r="B62" s="719">
        <v>41053</v>
      </c>
      <c r="C62" s="720">
        <v>41057</v>
      </c>
      <c r="D62" s="716">
        <v>2587</v>
      </c>
      <c r="E62" s="716">
        <v>594762</v>
      </c>
      <c r="F62" s="716">
        <v>29</v>
      </c>
      <c r="G62" s="716">
        <v>20509.03</v>
      </c>
      <c r="H62" s="721">
        <v>38219.78</v>
      </c>
    </row>
    <row r="63" spans="1:8" x14ac:dyDescent="0.2">
      <c r="A63" s="716">
        <v>54421791013</v>
      </c>
      <c r="B63" s="719">
        <v>41085</v>
      </c>
      <c r="C63" s="720">
        <v>41089</v>
      </c>
      <c r="D63" s="716">
        <v>2732</v>
      </c>
      <c r="E63" s="716">
        <v>959028</v>
      </c>
      <c r="F63" s="716">
        <v>32</v>
      </c>
      <c r="G63" s="716">
        <v>29969.62</v>
      </c>
      <c r="H63" s="721">
        <v>47236.75</v>
      </c>
    </row>
    <row r="64" spans="1:8" x14ac:dyDescent="0.2">
      <c r="B64" s="719"/>
      <c r="C64" s="720"/>
      <c r="E64" s="716">
        <f>SUM(E51:E63)</f>
        <v>8991402</v>
      </c>
      <c r="H64" s="721"/>
    </row>
    <row r="65" spans="1:8" x14ac:dyDescent="0.2">
      <c r="A65" s="716">
        <v>54421791013</v>
      </c>
      <c r="B65" s="719">
        <v>41115</v>
      </c>
      <c r="C65" s="720">
        <v>41121</v>
      </c>
      <c r="D65" s="716">
        <v>2217.5</v>
      </c>
      <c r="E65" s="716">
        <v>810852</v>
      </c>
      <c r="F65" s="716">
        <v>30</v>
      </c>
      <c r="G65" s="716">
        <v>27028.400000000001</v>
      </c>
      <c r="H65" s="721">
        <v>40464.14</v>
      </c>
    </row>
    <row r="66" spans="1:8" x14ac:dyDescent="0.2">
      <c r="A66" s="716">
        <v>54421791013</v>
      </c>
      <c r="B66" s="719">
        <v>41145</v>
      </c>
      <c r="C66" s="720">
        <v>41122</v>
      </c>
      <c r="D66" s="716">
        <v>2503</v>
      </c>
      <c r="E66" s="716">
        <v>804678</v>
      </c>
      <c r="F66" s="716">
        <v>30</v>
      </c>
      <c r="G66" s="716">
        <v>26822.6</v>
      </c>
      <c r="H66" s="721">
        <v>40507.26</v>
      </c>
    </row>
    <row r="67" spans="1:8" x14ac:dyDescent="0.2">
      <c r="A67" s="716">
        <v>54421791013</v>
      </c>
      <c r="B67" s="719">
        <v>41177</v>
      </c>
      <c r="C67" s="720">
        <v>41153</v>
      </c>
      <c r="D67" s="716">
        <v>2818</v>
      </c>
      <c r="E67" s="716">
        <v>983724</v>
      </c>
      <c r="F67" s="716">
        <v>32</v>
      </c>
      <c r="G67" s="716">
        <v>30741.38</v>
      </c>
      <c r="H67" s="721">
        <v>46544.54</v>
      </c>
    </row>
    <row r="68" spans="1:8" x14ac:dyDescent="0.2">
      <c r="A68" s="716">
        <v>54421791013</v>
      </c>
      <c r="B68" s="719">
        <v>41206</v>
      </c>
      <c r="C68" s="720">
        <v>41183</v>
      </c>
      <c r="D68" s="716">
        <v>2894</v>
      </c>
      <c r="E68" s="716">
        <v>689430</v>
      </c>
      <c r="F68" s="716">
        <v>29</v>
      </c>
      <c r="G68" s="716">
        <v>23773.45</v>
      </c>
      <c r="H68" s="721">
        <v>45414.11</v>
      </c>
    </row>
    <row r="69" spans="1:8" x14ac:dyDescent="0.2">
      <c r="A69" s="716">
        <v>54421791013</v>
      </c>
      <c r="B69" s="719">
        <v>41239</v>
      </c>
      <c r="C69" s="720">
        <v>41214</v>
      </c>
      <c r="D69" s="716">
        <v>2679.5</v>
      </c>
      <c r="E69" s="716">
        <v>625632</v>
      </c>
      <c r="F69" s="716">
        <v>33</v>
      </c>
      <c r="G69" s="716">
        <v>18958.55</v>
      </c>
      <c r="H69" s="721">
        <v>39847.15</v>
      </c>
    </row>
    <row r="70" spans="1:8" x14ac:dyDescent="0.2">
      <c r="A70" s="716">
        <v>54421791013</v>
      </c>
      <c r="B70" s="719">
        <v>41269</v>
      </c>
      <c r="C70" s="720">
        <v>41244</v>
      </c>
      <c r="D70" s="716">
        <v>2331</v>
      </c>
      <c r="E70" s="716">
        <v>508326</v>
      </c>
      <c r="F70" s="716">
        <v>30</v>
      </c>
      <c r="G70" s="716">
        <v>16944.2</v>
      </c>
      <c r="H70" s="721">
        <v>36156.160000000003</v>
      </c>
    </row>
    <row r="71" spans="1:8" x14ac:dyDescent="0.2">
      <c r="A71" s="716">
        <v>54421791013</v>
      </c>
      <c r="B71" s="719">
        <v>41298</v>
      </c>
      <c r="C71" s="720">
        <v>41275</v>
      </c>
      <c r="D71" s="716">
        <v>2041</v>
      </c>
      <c r="E71" s="716">
        <v>304584</v>
      </c>
      <c r="F71" s="716">
        <v>29</v>
      </c>
      <c r="G71" s="716">
        <v>10502.9</v>
      </c>
      <c r="H71" s="721">
        <v>28629.64</v>
      </c>
    </row>
    <row r="72" spans="1:8" x14ac:dyDescent="0.2">
      <c r="A72" s="716">
        <v>54421791013</v>
      </c>
      <c r="B72" s="719">
        <v>41330</v>
      </c>
      <c r="C72" s="720">
        <v>41306</v>
      </c>
      <c r="D72" s="716">
        <v>2209</v>
      </c>
      <c r="E72" s="716">
        <v>454818</v>
      </c>
      <c r="F72" s="716">
        <v>32</v>
      </c>
      <c r="G72" s="716">
        <v>14213.06</v>
      </c>
      <c r="H72" s="721">
        <v>35233.51</v>
      </c>
    </row>
    <row r="73" spans="1:8" x14ac:dyDescent="0.2">
      <c r="A73" s="716">
        <v>54421791013</v>
      </c>
      <c r="B73" s="719">
        <v>41358</v>
      </c>
      <c r="C73" s="720">
        <v>41334</v>
      </c>
      <c r="D73" s="716">
        <v>2383.5</v>
      </c>
      <c r="E73" s="716">
        <v>430122</v>
      </c>
      <c r="F73" s="716">
        <v>28</v>
      </c>
      <c r="G73" s="716">
        <v>15361.5</v>
      </c>
      <c r="H73" s="721">
        <v>36891</v>
      </c>
    </row>
    <row r="74" spans="1:8" x14ac:dyDescent="0.2">
      <c r="A74" s="716">
        <v>54421791013</v>
      </c>
      <c r="B74" s="719">
        <v>41389</v>
      </c>
      <c r="C74" s="720">
        <v>41365</v>
      </c>
      <c r="D74" s="716">
        <v>1808</v>
      </c>
      <c r="E74" s="716">
        <v>619458</v>
      </c>
      <c r="F74" s="716">
        <v>31</v>
      </c>
      <c r="G74" s="716">
        <v>19982.52</v>
      </c>
      <c r="H74" s="721">
        <v>36933.22</v>
      </c>
    </row>
    <row r="75" spans="1:8" x14ac:dyDescent="0.2">
      <c r="A75" s="716">
        <v>54421791013</v>
      </c>
      <c r="B75" s="719">
        <v>41418</v>
      </c>
      <c r="C75" s="720">
        <v>41395</v>
      </c>
      <c r="D75" s="716">
        <v>2022.5</v>
      </c>
      <c r="E75" s="716">
        <v>703836</v>
      </c>
      <c r="F75" s="716">
        <v>29</v>
      </c>
      <c r="G75" s="716">
        <v>24270.21</v>
      </c>
      <c r="H75" s="721">
        <v>40118.35</v>
      </c>
    </row>
    <row r="76" spans="1:8" x14ac:dyDescent="0.2">
      <c r="A76" s="716">
        <v>54421791013</v>
      </c>
      <c r="B76" s="719">
        <v>41450</v>
      </c>
      <c r="C76" s="720">
        <v>41426</v>
      </c>
      <c r="D76" s="716">
        <v>3076.5</v>
      </c>
      <c r="E76" s="716">
        <v>1166886</v>
      </c>
      <c r="F76" s="716">
        <v>32</v>
      </c>
      <c r="G76" s="716">
        <v>36465.19</v>
      </c>
      <c r="H76" s="721">
        <v>57401.27</v>
      </c>
    </row>
    <row r="77" spans="1:8" x14ac:dyDescent="0.2">
      <c r="B77" s="719"/>
      <c r="C77" s="720"/>
      <c r="E77" s="716">
        <f>SUM(E65:E76)</f>
        <v>8102346</v>
      </c>
      <c r="H77" s="721"/>
    </row>
    <row r="78" spans="1:8" x14ac:dyDescent="0.2">
      <c r="A78" s="716">
        <v>54421791013</v>
      </c>
      <c r="B78" s="719">
        <v>41480</v>
      </c>
      <c r="C78" s="720">
        <v>41456</v>
      </c>
      <c r="D78" s="716">
        <v>2757.5</v>
      </c>
      <c r="E78" s="716">
        <v>1010478</v>
      </c>
      <c r="F78" s="716">
        <v>30</v>
      </c>
      <c r="G78" s="716">
        <v>33682.6</v>
      </c>
      <c r="H78" s="721">
        <v>53260.95</v>
      </c>
    </row>
    <row r="79" spans="1:8" x14ac:dyDescent="0.2">
      <c r="A79" s="716">
        <v>54421791013</v>
      </c>
      <c r="B79" s="719">
        <v>41512</v>
      </c>
      <c r="C79" s="720">
        <v>41487</v>
      </c>
      <c r="D79" s="716">
        <v>1953</v>
      </c>
      <c r="E79" s="716">
        <v>784098</v>
      </c>
      <c r="F79" s="716">
        <v>32</v>
      </c>
      <c r="G79" s="716">
        <v>24503.06</v>
      </c>
      <c r="H79" s="721">
        <v>38011.360000000001</v>
      </c>
    </row>
    <row r="80" spans="1:8" x14ac:dyDescent="0.2">
      <c r="A80" s="716">
        <v>54421791013</v>
      </c>
      <c r="B80" s="719">
        <v>41542</v>
      </c>
      <c r="C80" s="720">
        <v>41518</v>
      </c>
      <c r="D80" s="716">
        <v>2891.5</v>
      </c>
      <c r="E80" s="716">
        <v>1010478</v>
      </c>
      <c r="F80" s="716">
        <v>30</v>
      </c>
      <c r="G80" s="716">
        <v>33682.6</v>
      </c>
      <c r="H80" s="721">
        <v>50468.959999999999</v>
      </c>
    </row>
    <row r="81" spans="1:8" x14ac:dyDescent="0.2">
      <c r="A81" s="716">
        <v>54421791013</v>
      </c>
      <c r="B81" s="719">
        <v>41571</v>
      </c>
      <c r="C81" s="720">
        <v>41548</v>
      </c>
      <c r="D81" s="716">
        <v>2675.5</v>
      </c>
      <c r="E81" s="716">
        <v>794388</v>
      </c>
      <c r="F81" s="716">
        <v>29</v>
      </c>
      <c r="G81" s="716">
        <v>27392.69</v>
      </c>
      <c r="H81" s="721">
        <v>39393.760000000002</v>
      </c>
    </row>
    <row r="82" spans="1:8" x14ac:dyDescent="0.2">
      <c r="A82" s="716">
        <v>54421791013</v>
      </c>
      <c r="B82" s="719">
        <v>41600</v>
      </c>
      <c r="C82" s="720">
        <v>41579</v>
      </c>
      <c r="D82" s="716">
        <v>1795.5</v>
      </c>
      <c r="E82" s="716">
        <v>592704</v>
      </c>
      <c r="F82" s="716">
        <v>29</v>
      </c>
      <c r="G82" s="716">
        <v>20438.07</v>
      </c>
      <c r="H82" s="721">
        <v>31247.62</v>
      </c>
    </row>
    <row r="83" spans="1:8" x14ac:dyDescent="0.2">
      <c r="A83" s="716">
        <v>54421791013</v>
      </c>
      <c r="B83" s="719">
        <v>41640</v>
      </c>
      <c r="C83" s="720">
        <v>41609</v>
      </c>
      <c r="D83" s="716">
        <v>2125</v>
      </c>
      <c r="E83" s="716">
        <v>522732</v>
      </c>
      <c r="F83" s="716">
        <v>40</v>
      </c>
      <c r="G83" s="716">
        <v>13068.3</v>
      </c>
      <c r="H83" s="721">
        <v>40772.32</v>
      </c>
    </row>
    <row r="84" spans="1:8" x14ac:dyDescent="0.2">
      <c r="A84" s="716">
        <v>54421791013</v>
      </c>
      <c r="B84" s="719">
        <v>41670</v>
      </c>
      <c r="C84" s="720">
        <v>41640</v>
      </c>
      <c r="D84" s="716">
        <v>2190.5</v>
      </c>
      <c r="E84" s="716">
        <v>650328</v>
      </c>
      <c r="F84" s="716">
        <v>30</v>
      </c>
      <c r="G84" s="716">
        <v>21677.599999999999</v>
      </c>
      <c r="H84" s="721">
        <v>37234.629999999997</v>
      </c>
    </row>
    <row r="85" spans="1:8" x14ac:dyDescent="0.2">
      <c r="A85" s="716">
        <v>54421791013</v>
      </c>
      <c r="B85" s="719">
        <v>41698</v>
      </c>
      <c r="C85" s="720">
        <v>41671</v>
      </c>
      <c r="D85" s="716">
        <v>2203</v>
      </c>
      <c r="E85" s="716">
        <v>504210</v>
      </c>
      <c r="F85" s="716">
        <v>28</v>
      </c>
      <c r="G85" s="716">
        <v>18007.5</v>
      </c>
      <c r="H85" s="721">
        <v>36221.68</v>
      </c>
    </row>
    <row r="86" spans="1:8" x14ac:dyDescent="0.2">
      <c r="A86" s="716">
        <v>54421791013</v>
      </c>
      <c r="B86" s="719">
        <v>41729</v>
      </c>
      <c r="C86" s="720">
        <v>41699</v>
      </c>
      <c r="D86" s="716">
        <v>2075</v>
      </c>
      <c r="E86" s="716">
        <v>388962</v>
      </c>
      <c r="F86" s="716">
        <v>31</v>
      </c>
      <c r="G86" s="716">
        <v>12547.16</v>
      </c>
      <c r="H86" s="721">
        <v>29216.09</v>
      </c>
    </row>
    <row r="87" spans="1:8" x14ac:dyDescent="0.2">
      <c r="A87" s="716">
        <v>54421791013</v>
      </c>
      <c r="B87" s="719">
        <v>41759</v>
      </c>
      <c r="C87" s="720">
        <v>41730</v>
      </c>
      <c r="D87" s="716">
        <v>2463.5</v>
      </c>
      <c r="E87" s="716">
        <v>629748</v>
      </c>
      <c r="F87" s="716">
        <v>30</v>
      </c>
      <c r="G87" s="716">
        <v>20991.599999999999</v>
      </c>
      <c r="H87" s="721">
        <v>35573.18</v>
      </c>
    </row>
    <row r="88" spans="1:8" x14ac:dyDescent="0.2">
      <c r="A88" s="716">
        <v>54421791013</v>
      </c>
      <c r="B88" s="719">
        <v>41790</v>
      </c>
      <c r="C88" s="720">
        <v>41760</v>
      </c>
      <c r="D88" s="716">
        <v>2398</v>
      </c>
      <c r="E88" s="716">
        <v>722358</v>
      </c>
      <c r="F88" s="716">
        <v>31</v>
      </c>
      <c r="G88" s="716">
        <v>23301.87</v>
      </c>
      <c r="H88" s="721">
        <v>28937.32</v>
      </c>
    </row>
    <row r="89" spans="1:8" x14ac:dyDescent="0.2">
      <c r="A89" s="716">
        <v>54421791013</v>
      </c>
      <c r="B89" s="719">
        <v>41820</v>
      </c>
      <c r="C89" s="720">
        <v>41791</v>
      </c>
      <c r="D89" s="716">
        <v>2770</v>
      </c>
      <c r="E89" s="716">
        <v>963144</v>
      </c>
      <c r="F89" s="716">
        <v>30</v>
      </c>
      <c r="G89" s="716">
        <v>32104.799999999999</v>
      </c>
      <c r="H89" s="721">
        <v>44932.29</v>
      </c>
    </row>
    <row r="90" spans="1:8" x14ac:dyDescent="0.2">
      <c r="B90" s="719"/>
      <c r="C90" s="720"/>
      <c r="E90" s="716">
        <f>SUM(E78:E89)</f>
        <v>8573628</v>
      </c>
      <c r="H90" s="721"/>
    </row>
    <row r="91" spans="1:8" x14ac:dyDescent="0.2">
      <c r="A91" s="716">
        <v>54421791013</v>
      </c>
      <c r="B91" s="719">
        <v>41851</v>
      </c>
      <c r="C91" s="720">
        <v>41821</v>
      </c>
      <c r="D91" s="716">
        <v>2226</v>
      </c>
      <c r="E91" s="716">
        <v>905520</v>
      </c>
      <c r="F91" s="716">
        <v>31</v>
      </c>
      <c r="G91" s="716">
        <v>29210.32</v>
      </c>
      <c r="H91" s="721">
        <v>28745.77</v>
      </c>
    </row>
    <row r="92" spans="1:8" x14ac:dyDescent="0.2">
      <c r="A92" s="716">
        <v>54421791013</v>
      </c>
      <c r="B92" s="719">
        <v>41882</v>
      </c>
      <c r="C92" s="720">
        <v>41852</v>
      </c>
      <c r="D92" s="716">
        <v>2814</v>
      </c>
      <c r="E92" s="716">
        <v>833490</v>
      </c>
      <c r="F92" s="716">
        <v>31</v>
      </c>
      <c r="G92" s="716">
        <v>26886.77</v>
      </c>
      <c r="H92" s="721">
        <v>42449.88</v>
      </c>
    </row>
    <row r="93" spans="1:8" x14ac:dyDescent="0.2">
      <c r="A93" s="716">
        <v>54421791013</v>
      </c>
      <c r="B93" s="719">
        <v>41912</v>
      </c>
      <c r="C93" s="720">
        <v>41883</v>
      </c>
      <c r="D93" s="716">
        <v>3038.5</v>
      </c>
      <c r="E93" s="716">
        <v>963144</v>
      </c>
      <c r="F93" s="716">
        <v>30</v>
      </c>
      <c r="G93" s="716">
        <v>32104.799999999999</v>
      </c>
      <c r="H93" s="721">
        <v>41409.81</v>
      </c>
    </row>
    <row r="94" spans="1:8" x14ac:dyDescent="0.2">
      <c r="A94" s="716">
        <v>54421791013</v>
      </c>
      <c r="B94" s="719">
        <v>41943</v>
      </c>
      <c r="C94" s="720">
        <v>41913</v>
      </c>
      <c r="D94" s="716">
        <v>2507.5</v>
      </c>
      <c r="E94" s="716">
        <v>728532</v>
      </c>
      <c r="F94" s="716">
        <v>31</v>
      </c>
      <c r="G94" s="716">
        <v>23501.03</v>
      </c>
      <c r="H94" s="721">
        <v>29543.67</v>
      </c>
    </row>
    <row r="95" spans="1:8" x14ac:dyDescent="0.2">
      <c r="A95" s="716">
        <v>54421791013</v>
      </c>
      <c r="B95" s="719">
        <v>41973</v>
      </c>
      <c r="C95" s="720">
        <v>41944</v>
      </c>
      <c r="D95" s="716">
        <v>2518</v>
      </c>
      <c r="E95" s="716">
        <v>594762</v>
      </c>
      <c r="F95" s="716">
        <v>30</v>
      </c>
      <c r="G95" s="716">
        <v>19825.400000000001</v>
      </c>
      <c r="H95" s="721">
        <v>32029.119999999999</v>
      </c>
    </row>
    <row r="96" spans="1:8" x14ac:dyDescent="0.2">
      <c r="A96" s="716">
        <v>54421791013</v>
      </c>
      <c r="B96" s="719">
        <v>42004</v>
      </c>
      <c r="C96" s="720">
        <v>41974</v>
      </c>
      <c r="D96" s="716">
        <v>2280.5</v>
      </c>
      <c r="E96" s="716">
        <v>415716</v>
      </c>
      <c r="F96" s="716">
        <v>31</v>
      </c>
      <c r="G96" s="716">
        <v>13410.19</v>
      </c>
      <c r="H96" s="721">
        <v>20715.16</v>
      </c>
    </row>
    <row r="97" spans="1:8" x14ac:dyDescent="0.2">
      <c r="A97" s="716">
        <v>54421791013</v>
      </c>
      <c r="B97" s="719">
        <v>42035</v>
      </c>
      <c r="C97" s="720">
        <v>42005</v>
      </c>
      <c r="D97" s="716">
        <v>1970</v>
      </c>
      <c r="E97" s="716">
        <v>240786</v>
      </c>
      <c r="F97" s="716">
        <v>31</v>
      </c>
      <c r="G97" s="716">
        <v>7767.29</v>
      </c>
      <c r="H97" s="721">
        <v>7083.97</v>
      </c>
    </row>
    <row r="98" spans="1:8" x14ac:dyDescent="0.2">
      <c r="A98" s="716">
        <v>54421791013</v>
      </c>
      <c r="B98" s="719">
        <v>42063</v>
      </c>
      <c r="C98" s="720">
        <v>42036</v>
      </c>
      <c r="D98" s="716">
        <v>2453</v>
      </c>
      <c r="E98" s="716">
        <v>281946</v>
      </c>
      <c r="F98" s="716">
        <v>28</v>
      </c>
      <c r="G98" s="716">
        <v>10069.5</v>
      </c>
      <c r="H98" s="721">
        <v>28587.67</v>
      </c>
    </row>
    <row r="99" spans="1:8" x14ac:dyDescent="0.2">
      <c r="A99" s="716">
        <v>54421791013</v>
      </c>
      <c r="B99" s="719">
        <v>42094</v>
      </c>
      <c r="C99" s="720">
        <v>42064</v>
      </c>
      <c r="D99" s="716">
        <v>1463.5</v>
      </c>
      <c r="E99" s="716">
        <v>364266</v>
      </c>
      <c r="F99" s="716">
        <v>31</v>
      </c>
      <c r="G99" s="716">
        <v>11750.52</v>
      </c>
      <c r="H99" s="721">
        <v>14410.97</v>
      </c>
    </row>
    <row r="100" spans="1:8" x14ac:dyDescent="0.2">
      <c r="A100" s="716">
        <v>54421791013</v>
      </c>
      <c r="B100" s="719">
        <v>42124</v>
      </c>
      <c r="C100" s="720">
        <v>42095</v>
      </c>
      <c r="D100" s="716">
        <v>2037</v>
      </c>
      <c r="E100" s="716">
        <v>584472</v>
      </c>
      <c r="F100" s="716">
        <v>30</v>
      </c>
      <c r="G100" s="716">
        <v>19482.400000000001</v>
      </c>
      <c r="H100" s="721">
        <v>24198.65</v>
      </c>
    </row>
    <row r="101" spans="1:8" x14ac:dyDescent="0.2">
      <c r="A101" s="716">
        <v>54421791013</v>
      </c>
      <c r="B101" s="719">
        <v>42155</v>
      </c>
      <c r="C101" s="720">
        <v>42125</v>
      </c>
      <c r="D101" s="716">
        <v>2102</v>
      </c>
      <c r="E101" s="716">
        <v>782040</v>
      </c>
      <c r="F101" s="716">
        <v>31</v>
      </c>
      <c r="G101" s="716">
        <v>25227.1</v>
      </c>
      <c r="H101" s="721">
        <v>30482.12</v>
      </c>
    </row>
    <row r="102" spans="1:8" x14ac:dyDescent="0.2">
      <c r="A102" s="716">
        <v>54421791013</v>
      </c>
      <c r="B102" s="719">
        <v>42185</v>
      </c>
      <c r="C102" s="720">
        <v>42156</v>
      </c>
      <c r="D102" s="716">
        <v>2524</v>
      </c>
      <c r="E102" s="716">
        <v>814968</v>
      </c>
      <c r="F102" s="716">
        <v>30</v>
      </c>
      <c r="G102" s="716">
        <v>27165.599999999999</v>
      </c>
      <c r="H102" s="721">
        <v>42061.84</v>
      </c>
    </row>
    <row r="103" spans="1:8" x14ac:dyDescent="0.2">
      <c r="B103" s="719"/>
      <c r="C103" s="720"/>
      <c r="E103" s="716">
        <f>SUM(E91:E102)</f>
        <v>7509642</v>
      </c>
      <c r="H103" s="721"/>
    </row>
    <row r="104" spans="1:8" x14ac:dyDescent="0.2">
      <c r="A104" s="716">
        <v>54421791013</v>
      </c>
      <c r="B104" s="719">
        <v>42216</v>
      </c>
      <c r="C104" s="720">
        <v>42186</v>
      </c>
      <c r="D104" s="716">
        <v>2780.5</v>
      </c>
      <c r="E104" s="716">
        <v>866418</v>
      </c>
      <c r="F104" s="716">
        <v>31</v>
      </c>
      <c r="G104" s="716">
        <v>27948.97</v>
      </c>
      <c r="H104" s="721">
        <v>43063.42</v>
      </c>
    </row>
    <row r="105" spans="1:8" x14ac:dyDescent="0.2">
      <c r="A105" s="716">
        <v>54421791013</v>
      </c>
      <c r="B105" s="719">
        <v>42247</v>
      </c>
      <c r="C105" s="720">
        <v>42217</v>
      </c>
      <c r="D105" s="716">
        <v>1959.5</v>
      </c>
      <c r="E105" s="716">
        <v>858186</v>
      </c>
      <c r="F105" s="716">
        <v>31</v>
      </c>
      <c r="G105" s="716">
        <v>27683.42</v>
      </c>
      <c r="H105" s="721">
        <v>31524.33</v>
      </c>
    </row>
    <row r="106" spans="1:8" x14ac:dyDescent="0.2">
      <c r="A106" s="716">
        <v>54421791013</v>
      </c>
      <c r="B106" s="719">
        <v>42277</v>
      </c>
      <c r="C106" s="720">
        <v>42248</v>
      </c>
      <c r="D106" s="716">
        <v>2436</v>
      </c>
      <c r="E106" s="716">
        <v>956970</v>
      </c>
      <c r="F106" s="716">
        <v>30</v>
      </c>
      <c r="G106" s="716">
        <v>31899</v>
      </c>
      <c r="H106" s="721">
        <v>45578.05</v>
      </c>
    </row>
    <row r="107" spans="1:8" x14ac:dyDescent="0.2">
      <c r="A107" s="716">
        <v>54421791013</v>
      </c>
      <c r="B107" s="719">
        <v>42307</v>
      </c>
      <c r="C107" s="720">
        <v>42278</v>
      </c>
      <c r="D107" s="716">
        <v>2562</v>
      </c>
      <c r="E107" s="716">
        <v>928158</v>
      </c>
      <c r="F107" s="716">
        <v>30</v>
      </c>
      <c r="G107" s="716">
        <v>30938.6</v>
      </c>
      <c r="H107" s="721">
        <v>41617.699999999997</v>
      </c>
    </row>
    <row r="108" spans="1:8" x14ac:dyDescent="0.2">
      <c r="A108" s="716">
        <v>54421791013</v>
      </c>
      <c r="B108" s="719">
        <v>42338</v>
      </c>
      <c r="C108" s="720">
        <v>42309</v>
      </c>
      <c r="D108" s="716">
        <v>2562</v>
      </c>
      <c r="E108" s="716">
        <v>732648</v>
      </c>
      <c r="F108" s="716">
        <v>31</v>
      </c>
      <c r="G108" s="716">
        <v>23633.81</v>
      </c>
      <c r="H108" s="721">
        <v>35325.199999999997</v>
      </c>
    </row>
    <row r="109" spans="1:8" x14ac:dyDescent="0.2">
      <c r="A109" s="716">
        <v>54421791013</v>
      </c>
      <c r="B109" s="719">
        <v>42369</v>
      </c>
      <c r="C109" s="720">
        <v>42339</v>
      </c>
      <c r="D109" s="716">
        <v>2600</v>
      </c>
      <c r="E109" s="716">
        <v>775866</v>
      </c>
      <c r="F109" s="716">
        <v>31</v>
      </c>
      <c r="G109" s="716">
        <v>25027.94</v>
      </c>
      <c r="H109" s="721">
        <v>36582.36</v>
      </c>
    </row>
    <row r="110" spans="1:8" x14ac:dyDescent="0.2">
      <c r="A110" s="716">
        <v>54421791013</v>
      </c>
      <c r="B110" s="719">
        <v>42400</v>
      </c>
      <c r="C110" s="720">
        <v>42370</v>
      </c>
      <c r="D110" s="716">
        <v>2177.5</v>
      </c>
      <c r="E110" s="716">
        <v>407484</v>
      </c>
      <c r="F110" s="716">
        <v>31</v>
      </c>
      <c r="G110" s="716">
        <v>13144.65</v>
      </c>
      <c r="H110" s="721">
        <v>24199.23</v>
      </c>
    </row>
    <row r="111" spans="1:8" x14ac:dyDescent="0.2">
      <c r="A111" s="716">
        <v>54421791013</v>
      </c>
      <c r="B111" s="719">
        <v>42429</v>
      </c>
      <c r="C111" s="720">
        <v>42401</v>
      </c>
      <c r="D111" s="716">
        <v>2488.5</v>
      </c>
      <c r="E111" s="716">
        <v>611226</v>
      </c>
      <c r="F111" s="716">
        <v>29</v>
      </c>
      <c r="G111" s="716">
        <v>21076.76</v>
      </c>
      <c r="H111" s="721">
        <v>29243.57</v>
      </c>
    </row>
    <row r="112" spans="1:8" x14ac:dyDescent="0.2">
      <c r="A112" s="716">
        <v>54421791013</v>
      </c>
      <c r="B112" s="719">
        <v>42460</v>
      </c>
      <c r="C112" s="720">
        <v>42430</v>
      </c>
      <c r="D112" s="716">
        <v>2203</v>
      </c>
      <c r="E112" s="716">
        <v>666792</v>
      </c>
      <c r="F112" s="716">
        <v>31</v>
      </c>
      <c r="G112" s="716">
        <v>21509.42</v>
      </c>
      <c r="H112" s="721">
        <v>38759.42</v>
      </c>
    </row>
    <row r="113" spans="1:8" x14ac:dyDescent="0.2">
      <c r="A113" s="716">
        <v>54421791013</v>
      </c>
      <c r="B113" s="719">
        <v>42490</v>
      </c>
      <c r="C113" s="720">
        <v>42461</v>
      </c>
      <c r="D113" s="716">
        <v>1854.5</v>
      </c>
      <c r="E113" s="716">
        <v>658560</v>
      </c>
      <c r="F113" s="716">
        <v>30</v>
      </c>
      <c r="G113" s="716">
        <v>21952</v>
      </c>
      <c r="H113" s="721">
        <v>25294.32</v>
      </c>
    </row>
    <row r="114" spans="1:8" x14ac:dyDescent="0.2">
      <c r="A114" s="716">
        <v>54421791013</v>
      </c>
      <c r="B114" s="719">
        <v>42521</v>
      </c>
      <c r="C114" s="720">
        <v>42491</v>
      </c>
      <c r="D114" s="716">
        <v>2835</v>
      </c>
      <c r="E114" s="716">
        <v>944622</v>
      </c>
      <c r="F114" s="716">
        <v>31</v>
      </c>
      <c r="G114" s="716">
        <v>30471.68</v>
      </c>
      <c r="H114" s="721">
        <v>42939.73</v>
      </c>
    </row>
    <row r="115" spans="1:8" x14ac:dyDescent="0.2">
      <c r="A115" s="716">
        <v>54421791013</v>
      </c>
      <c r="B115" s="719">
        <v>42551</v>
      </c>
      <c r="C115" s="720">
        <v>42522</v>
      </c>
      <c r="D115" s="716">
        <v>2513.5</v>
      </c>
      <c r="E115" s="716">
        <v>891114</v>
      </c>
      <c r="F115" s="716">
        <v>30</v>
      </c>
      <c r="G115" s="716">
        <v>29703.8</v>
      </c>
      <c r="H115" s="721">
        <v>45160.83</v>
      </c>
    </row>
    <row r="116" spans="1:8" x14ac:dyDescent="0.2">
      <c r="B116" s="719"/>
      <c r="C116" s="720"/>
      <c r="E116" s="716">
        <f>SUM(E104:E115)</f>
        <v>9298044</v>
      </c>
      <c r="H116" s="721"/>
    </row>
    <row r="117" spans="1:8" x14ac:dyDescent="0.2">
      <c r="A117" s="716">
        <v>54421791013</v>
      </c>
      <c r="B117" s="719">
        <v>42582</v>
      </c>
      <c r="C117" s="720">
        <v>42552</v>
      </c>
      <c r="D117" s="716">
        <v>2331</v>
      </c>
      <c r="E117" s="716">
        <v>1002246</v>
      </c>
      <c r="F117" s="716">
        <v>31</v>
      </c>
      <c r="G117" s="716">
        <v>32330.52</v>
      </c>
      <c r="H117" s="721">
        <v>37165.730000000003</v>
      </c>
    </row>
    <row r="118" spans="1:8" x14ac:dyDescent="0.2">
      <c r="A118" s="716">
        <v>54421791013</v>
      </c>
      <c r="B118" s="719">
        <v>42613</v>
      </c>
      <c r="C118" s="720">
        <v>42583</v>
      </c>
      <c r="D118" s="716">
        <v>2379.5</v>
      </c>
      <c r="E118" s="716">
        <v>1057812</v>
      </c>
      <c r="F118" s="716">
        <v>31</v>
      </c>
      <c r="G118" s="716">
        <v>34122.97</v>
      </c>
      <c r="H118" s="721">
        <v>37984.82</v>
      </c>
    </row>
    <row r="119" spans="1:8" x14ac:dyDescent="0.2">
      <c r="A119" s="716">
        <v>54421791013</v>
      </c>
      <c r="B119" s="719">
        <v>42643</v>
      </c>
      <c r="C119" s="720">
        <v>42614</v>
      </c>
      <c r="D119" s="716">
        <v>2629</v>
      </c>
      <c r="E119" s="716">
        <v>1072218</v>
      </c>
      <c r="F119" s="716">
        <v>30</v>
      </c>
      <c r="G119" s="716">
        <v>35740.6</v>
      </c>
      <c r="H119" s="721">
        <v>40923.43</v>
      </c>
    </row>
    <row r="120" spans="1:8" x14ac:dyDescent="0.2">
      <c r="A120" s="716">
        <v>54421791013</v>
      </c>
      <c r="B120" s="719">
        <v>42674</v>
      </c>
      <c r="C120" s="720">
        <v>42644</v>
      </c>
      <c r="D120" s="716">
        <v>2864.5</v>
      </c>
      <c r="E120" s="716">
        <v>987840</v>
      </c>
      <c r="F120" s="716">
        <v>31</v>
      </c>
      <c r="G120" s="716">
        <v>31865.81</v>
      </c>
      <c r="H120" s="721">
        <v>49030.07</v>
      </c>
    </row>
    <row r="121" spans="1:8" x14ac:dyDescent="0.2">
      <c r="A121" s="716">
        <v>54421791013</v>
      </c>
      <c r="B121" s="719">
        <v>42704</v>
      </c>
      <c r="C121" s="720">
        <v>42675</v>
      </c>
      <c r="D121" s="716">
        <v>2201</v>
      </c>
      <c r="E121" s="716">
        <v>646212</v>
      </c>
      <c r="F121" s="716">
        <v>30</v>
      </c>
      <c r="G121" s="716">
        <v>21540.400000000001</v>
      </c>
      <c r="H121" s="721">
        <v>22434.73</v>
      </c>
    </row>
    <row r="122" spans="1:8" x14ac:dyDescent="0.2">
      <c r="A122" s="716">
        <v>54421791013</v>
      </c>
      <c r="B122" s="719">
        <v>42735</v>
      </c>
      <c r="C122" s="720">
        <v>42705</v>
      </c>
      <c r="D122" s="716">
        <v>2669</v>
      </c>
      <c r="E122" s="716">
        <v>555660</v>
      </c>
      <c r="F122" s="716">
        <v>31</v>
      </c>
      <c r="G122" s="716">
        <v>17924.52</v>
      </c>
      <c r="H122" s="721">
        <v>33813.949999999997</v>
      </c>
    </row>
    <row r="123" spans="1:8" x14ac:dyDescent="0.2">
      <c r="A123" s="716">
        <v>54421791013</v>
      </c>
      <c r="B123" s="719">
        <v>42766</v>
      </c>
      <c r="C123" s="720">
        <v>42736</v>
      </c>
      <c r="D123" s="716">
        <v>1304</v>
      </c>
      <c r="E123" s="716">
        <v>407484</v>
      </c>
      <c r="F123" s="716">
        <v>31</v>
      </c>
      <c r="G123" s="716">
        <v>13144.65</v>
      </c>
      <c r="H123" s="721">
        <v>14392.88</v>
      </c>
    </row>
    <row r="124" spans="1:8" x14ac:dyDescent="0.2">
      <c r="A124" s="716">
        <v>54421791013</v>
      </c>
      <c r="B124" s="719">
        <v>42794</v>
      </c>
      <c r="C124" s="720">
        <v>42767</v>
      </c>
      <c r="D124" s="716">
        <v>1655</v>
      </c>
      <c r="E124" s="716">
        <v>446586</v>
      </c>
      <c r="F124" s="716">
        <v>28</v>
      </c>
      <c r="G124" s="716">
        <v>15949.5</v>
      </c>
      <c r="H124" s="721">
        <v>25402.32</v>
      </c>
    </row>
    <row r="125" spans="1:8" x14ac:dyDescent="0.2">
      <c r="A125" s="716">
        <v>54421791013</v>
      </c>
      <c r="B125" s="719">
        <v>42825</v>
      </c>
      <c r="C125" s="720">
        <v>42795</v>
      </c>
      <c r="D125" s="716">
        <v>2056</v>
      </c>
      <c r="E125" s="716">
        <v>545370</v>
      </c>
      <c r="F125" s="716">
        <v>31</v>
      </c>
      <c r="G125" s="716">
        <v>17592.580000000002</v>
      </c>
      <c r="H125" s="721">
        <v>25426.01</v>
      </c>
    </row>
    <row r="126" spans="1:8" x14ac:dyDescent="0.2">
      <c r="A126" s="716">
        <v>54421791013</v>
      </c>
      <c r="B126" s="719">
        <v>42855</v>
      </c>
      <c r="C126" s="720">
        <v>42826</v>
      </c>
      <c r="D126" s="716">
        <v>2159</v>
      </c>
      <c r="E126" s="716">
        <v>722358</v>
      </c>
      <c r="F126" s="716">
        <v>30</v>
      </c>
      <c r="G126" s="716">
        <v>24078.6</v>
      </c>
      <c r="H126" s="721">
        <v>33924.239999999998</v>
      </c>
    </row>
    <row r="127" spans="1:8" x14ac:dyDescent="0.2">
      <c r="A127" s="716">
        <v>54421791013</v>
      </c>
      <c r="B127" s="719">
        <v>42886</v>
      </c>
      <c r="C127" s="720">
        <v>42856</v>
      </c>
      <c r="D127" s="716">
        <v>2488.5</v>
      </c>
      <c r="E127" s="716">
        <v>854070</v>
      </c>
      <c r="F127" s="716">
        <v>31</v>
      </c>
      <c r="G127" s="716">
        <v>27550.65</v>
      </c>
      <c r="H127" s="721">
        <v>40746.25</v>
      </c>
    </row>
    <row r="128" spans="1:8" x14ac:dyDescent="0.2">
      <c r="A128" s="716">
        <v>54421791013</v>
      </c>
      <c r="B128" s="719">
        <v>42916</v>
      </c>
      <c r="C128" s="720">
        <v>42887</v>
      </c>
      <c r="D128" s="716">
        <v>3139.5</v>
      </c>
      <c r="E128" s="716">
        <v>1080450</v>
      </c>
      <c r="F128" s="716">
        <v>30</v>
      </c>
      <c r="G128" s="716">
        <v>36015</v>
      </c>
      <c r="H128" s="721">
        <v>54728.160000000003</v>
      </c>
    </row>
    <row r="129" spans="3:5" x14ac:dyDescent="0.2">
      <c r="C129" s="720"/>
      <c r="E129" s="716">
        <f>SUM(E117:E128)</f>
        <v>9378306</v>
      </c>
    </row>
    <row r="130" spans="3:5" x14ac:dyDescent="0.2">
      <c r="C130" s="720"/>
    </row>
    <row r="131" spans="3:5" x14ac:dyDescent="0.2">
      <c r="C131" s="720"/>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pageSetUpPr fitToPage="1"/>
  </sheetPr>
  <dimension ref="A1:I318"/>
  <sheetViews>
    <sheetView workbookViewId="0">
      <pane ySplit="2" topLeftCell="A24" activePane="bottomLeft" state="frozen"/>
      <selection activeCell="D271" sqref="D271"/>
      <selection pane="bottomLeft" activeCell="H188" sqref="H188"/>
    </sheetView>
  </sheetViews>
  <sheetFormatPr baseColWidth="10" defaultColWidth="8.83203125" defaultRowHeight="13" x14ac:dyDescent="0.15"/>
  <cols>
    <col min="1" max="1" width="19.1640625" style="259" bestFit="1" customWidth="1"/>
    <col min="2" max="2" width="21.1640625" style="259" bestFit="1" customWidth="1"/>
    <col min="3" max="3" width="10.6640625" style="259" bestFit="1" customWidth="1"/>
    <col min="4" max="4" width="10.1640625" style="259" customWidth="1"/>
    <col min="5" max="5" width="12.1640625" style="259" bestFit="1" customWidth="1"/>
    <col min="6" max="6" width="8.83203125" style="259"/>
    <col min="7" max="7" width="8" style="259" bestFit="1" customWidth="1"/>
    <col min="8" max="8" width="15.1640625" style="259" customWidth="1"/>
    <col min="9" max="9" width="16.1640625" style="259" customWidth="1"/>
    <col min="10" max="16384" width="8.83203125" style="259"/>
  </cols>
  <sheetData>
    <row r="1" spans="1:5" x14ac:dyDescent="0.15">
      <c r="A1" s="260" t="s">
        <v>1094</v>
      </c>
      <c r="B1" s="261" t="s">
        <v>1421</v>
      </c>
    </row>
    <row r="2" spans="1:5" x14ac:dyDescent="0.15">
      <c r="A2" s="587" t="s">
        <v>223</v>
      </c>
      <c r="B2" s="588" t="s">
        <v>1223</v>
      </c>
      <c r="C2" s="588" t="s">
        <v>1142</v>
      </c>
      <c r="D2" s="589" t="s">
        <v>1422</v>
      </c>
      <c r="E2" s="590"/>
    </row>
    <row r="3" spans="1:5" s="275" customFormat="1" x14ac:dyDescent="0.15"/>
    <row r="4" spans="1:5" s="275" customFormat="1" x14ac:dyDescent="0.15">
      <c r="A4" s="591" t="s">
        <v>1423</v>
      </c>
      <c r="B4" s="287" t="s">
        <v>1424</v>
      </c>
      <c r="C4" s="287" t="s">
        <v>1425</v>
      </c>
      <c r="D4" s="592"/>
      <c r="E4" s="482">
        <v>47202.55</v>
      </c>
    </row>
    <row r="5" spans="1:5" s="275" customFormat="1" x14ac:dyDescent="0.15">
      <c r="A5" s="591" t="s">
        <v>1426</v>
      </c>
      <c r="B5" s="287" t="s">
        <v>1424</v>
      </c>
      <c r="C5" s="287" t="s">
        <v>1336</v>
      </c>
      <c r="D5" s="592">
        <v>627900</v>
      </c>
      <c r="E5" s="482">
        <v>33367.15</v>
      </c>
    </row>
    <row r="6" spans="1:5" s="275" customFormat="1" ht="17" thickBot="1" x14ac:dyDescent="0.25">
      <c r="A6" s="591"/>
      <c r="B6" s="291" t="s">
        <v>1427</v>
      </c>
      <c r="C6" s="593">
        <v>700501</v>
      </c>
      <c r="D6" s="292">
        <f>SUM(D4:D5)</f>
        <v>627900</v>
      </c>
      <c r="E6" s="285">
        <f>SUM(E4:E5)</f>
        <v>80569.700000000012</v>
      </c>
    </row>
    <row r="7" spans="1:5" s="275" customFormat="1" ht="14" thickTop="1" x14ac:dyDescent="0.15"/>
    <row r="8" spans="1:5" s="275" customFormat="1" x14ac:dyDescent="0.15">
      <c r="A8" s="591" t="s">
        <v>1423</v>
      </c>
      <c r="B8" s="287" t="s">
        <v>1424</v>
      </c>
      <c r="C8" s="287" t="s">
        <v>1425</v>
      </c>
      <c r="D8" s="592"/>
      <c r="E8" s="482">
        <v>45408.91</v>
      </c>
    </row>
    <row r="9" spans="1:5" s="275" customFormat="1" x14ac:dyDescent="0.15">
      <c r="A9" s="591" t="s">
        <v>1426</v>
      </c>
      <c r="B9" s="287" t="s">
        <v>1424</v>
      </c>
      <c r="C9" s="287" t="s">
        <v>1336</v>
      </c>
      <c r="D9" s="592">
        <v>606900</v>
      </c>
      <c r="E9" s="482">
        <v>37646.089999999997</v>
      </c>
    </row>
    <row r="10" spans="1:5" s="275" customFormat="1" ht="17" thickBot="1" x14ac:dyDescent="0.25">
      <c r="A10" s="591"/>
      <c r="B10" s="291" t="s">
        <v>1428</v>
      </c>
      <c r="C10" s="593">
        <v>700501</v>
      </c>
      <c r="D10" s="292">
        <f>SUM(D8:D9)</f>
        <v>606900</v>
      </c>
      <c r="E10" s="285">
        <f>SUM(E8:E9)</f>
        <v>83055</v>
      </c>
    </row>
    <row r="11" spans="1:5" s="275" customFormat="1" ht="14" thickTop="1" x14ac:dyDescent="0.15"/>
    <row r="12" spans="1:5" s="275" customFormat="1" x14ac:dyDescent="0.15">
      <c r="A12" s="591" t="s">
        <v>1423</v>
      </c>
      <c r="B12" s="287" t="s">
        <v>1424</v>
      </c>
      <c r="C12" s="287" t="s">
        <v>1425</v>
      </c>
      <c r="D12" s="592"/>
      <c r="E12" s="482">
        <v>63981.45</v>
      </c>
    </row>
    <row r="13" spans="1:5" s="275" customFormat="1" x14ac:dyDescent="0.15">
      <c r="A13" s="591" t="s">
        <v>1426</v>
      </c>
      <c r="B13" s="287" t="s">
        <v>1424</v>
      </c>
      <c r="C13" s="287" t="s">
        <v>1336</v>
      </c>
      <c r="D13" s="592">
        <v>978600</v>
      </c>
      <c r="E13" s="482">
        <v>47236.75</v>
      </c>
    </row>
    <row r="14" spans="1:5" s="275" customFormat="1" ht="17" thickBot="1" x14ac:dyDescent="0.25">
      <c r="A14" s="591"/>
      <c r="B14" s="291" t="s">
        <v>1429</v>
      </c>
      <c r="C14" s="593">
        <v>700501</v>
      </c>
      <c r="D14" s="292">
        <f>SUM(D12:D13)</f>
        <v>978600</v>
      </c>
      <c r="E14" s="285">
        <f>SUM(E12:E13)</f>
        <v>111218.2</v>
      </c>
    </row>
    <row r="15" spans="1:5" s="275" customFormat="1" ht="14" thickTop="1" x14ac:dyDescent="0.15"/>
    <row r="16" spans="1:5" s="275" customFormat="1" x14ac:dyDescent="0.15">
      <c r="A16" s="591" t="s">
        <v>1423</v>
      </c>
      <c r="B16" s="287" t="s">
        <v>1424</v>
      </c>
      <c r="C16" s="287" t="s">
        <v>1425</v>
      </c>
      <c r="D16" s="592"/>
      <c r="E16" s="482">
        <v>53056.6</v>
      </c>
    </row>
    <row r="17" spans="1:5" s="275" customFormat="1" x14ac:dyDescent="0.15">
      <c r="A17" s="591" t="s">
        <v>1426</v>
      </c>
      <c r="B17" s="287" t="s">
        <v>1424</v>
      </c>
      <c r="C17" s="287" t="s">
        <v>1336</v>
      </c>
      <c r="D17" s="592">
        <v>824000</v>
      </c>
      <c r="E17" s="482">
        <v>40464.14</v>
      </c>
    </row>
    <row r="18" spans="1:5" s="275" customFormat="1" ht="17" thickBot="1" x14ac:dyDescent="0.25">
      <c r="A18" s="591"/>
      <c r="B18" s="291" t="s">
        <v>1430</v>
      </c>
      <c r="C18" s="593">
        <v>700501</v>
      </c>
      <c r="D18" s="292">
        <f>SUM(D16:D17)</f>
        <v>824000</v>
      </c>
      <c r="E18" s="285">
        <f>SUM(E16:E17)</f>
        <v>93520.739999999991</v>
      </c>
    </row>
    <row r="19" spans="1:5" s="275" customFormat="1" ht="14" thickTop="1" x14ac:dyDescent="0.15"/>
    <row r="20" spans="1:5" s="275" customFormat="1" x14ac:dyDescent="0.15">
      <c r="A20" s="591" t="s">
        <v>1423</v>
      </c>
      <c r="B20" s="287" t="s">
        <v>1424</v>
      </c>
      <c r="C20" s="287" t="s">
        <v>1425</v>
      </c>
      <c r="D20" s="592"/>
      <c r="E20" s="482">
        <v>52601.69</v>
      </c>
    </row>
    <row r="21" spans="1:5" s="275" customFormat="1" x14ac:dyDescent="0.15">
      <c r="A21" s="591" t="s">
        <v>1426</v>
      </c>
      <c r="B21" s="287" t="s">
        <v>1424</v>
      </c>
      <c r="C21" s="287" t="s">
        <v>1336</v>
      </c>
      <c r="D21" s="592">
        <v>821100</v>
      </c>
      <c r="E21" s="482">
        <v>40507.26</v>
      </c>
    </row>
    <row r="22" spans="1:5" s="275" customFormat="1" ht="17" thickBot="1" x14ac:dyDescent="0.25">
      <c r="A22" s="591"/>
      <c r="B22" s="291" t="s">
        <v>1431</v>
      </c>
      <c r="C22" s="593">
        <v>700501</v>
      </c>
      <c r="D22" s="292">
        <f>SUM(D20:D21)</f>
        <v>821100</v>
      </c>
      <c r="E22" s="285">
        <f>SUM(E20:E21)</f>
        <v>93108.950000000012</v>
      </c>
    </row>
    <row r="23" spans="1:5" s="275" customFormat="1" ht="14" thickTop="1" x14ac:dyDescent="0.15"/>
    <row r="24" spans="1:5" s="275" customFormat="1" x14ac:dyDescent="0.15">
      <c r="A24" s="591" t="s">
        <v>1423</v>
      </c>
      <c r="B24" s="287" t="s">
        <v>1424</v>
      </c>
      <c r="C24" s="287" t="s">
        <v>1425</v>
      </c>
      <c r="D24" s="592"/>
      <c r="E24" s="482">
        <v>63883.839999999997</v>
      </c>
    </row>
    <row r="25" spans="1:5" s="275" customFormat="1" x14ac:dyDescent="0.15">
      <c r="A25" s="591" t="s">
        <v>1426</v>
      </c>
      <c r="B25" s="287" t="s">
        <v>1424</v>
      </c>
      <c r="C25" s="287" t="s">
        <v>1336</v>
      </c>
      <c r="D25" s="592">
        <v>1003800</v>
      </c>
      <c r="E25" s="482">
        <v>46544.54</v>
      </c>
    </row>
    <row r="26" spans="1:5" s="275" customFormat="1" ht="17" thickBot="1" x14ac:dyDescent="0.25">
      <c r="A26" s="591"/>
      <c r="B26" s="291" t="s">
        <v>1432</v>
      </c>
      <c r="C26" s="593">
        <v>700501</v>
      </c>
      <c r="D26" s="292">
        <f>SUM(D24:D25)</f>
        <v>1003800</v>
      </c>
      <c r="E26" s="285">
        <f>SUM(E24:E25)</f>
        <v>110428.38</v>
      </c>
    </row>
    <row r="27" spans="1:5" s="275" customFormat="1" ht="14" thickTop="1" x14ac:dyDescent="0.15"/>
    <row r="28" spans="1:5" s="275" customFormat="1" x14ac:dyDescent="0.15">
      <c r="A28" s="591" t="s">
        <v>1423</v>
      </c>
      <c r="B28" s="287" t="s">
        <v>1424</v>
      </c>
      <c r="C28" s="287" t="s">
        <v>1425</v>
      </c>
      <c r="D28" s="592"/>
      <c r="E28" s="482">
        <v>45470.89</v>
      </c>
    </row>
    <row r="29" spans="1:5" s="275" customFormat="1" x14ac:dyDescent="0.15">
      <c r="A29" s="591" t="s">
        <v>1426</v>
      </c>
      <c r="B29" s="287" t="s">
        <v>1424</v>
      </c>
      <c r="C29" s="287" t="s">
        <v>1336</v>
      </c>
      <c r="D29" s="592">
        <v>703500</v>
      </c>
      <c r="E29" s="482">
        <v>45414.11</v>
      </c>
    </row>
    <row r="30" spans="1:5" s="275" customFormat="1" ht="17" thickBot="1" x14ac:dyDescent="0.25">
      <c r="A30" s="591"/>
      <c r="B30" s="291" t="s">
        <v>1433</v>
      </c>
      <c r="C30" s="593">
        <v>700501</v>
      </c>
      <c r="D30" s="292">
        <f>SUM(D28:D29)</f>
        <v>703500</v>
      </c>
      <c r="E30" s="285">
        <f>SUM(E28:E29)</f>
        <v>90885</v>
      </c>
    </row>
    <row r="31" spans="1:5" s="275" customFormat="1" ht="14" thickTop="1" x14ac:dyDescent="0.15"/>
    <row r="32" spans="1:5" s="275" customFormat="1" x14ac:dyDescent="0.15">
      <c r="A32" s="591" t="s">
        <v>1423</v>
      </c>
      <c r="B32" s="287" t="s">
        <v>1424</v>
      </c>
      <c r="C32" s="287" t="s">
        <v>1425</v>
      </c>
      <c r="D32" s="592"/>
      <c r="E32" s="482">
        <v>42068.23</v>
      </c>
    </row>
    <row r="33" spans="1:5" s="275" customFormat="1" x14ac:dyDescent="0.15">
      <c r="A33" s="591" t="s">
        <v>1426</v>
      </c>
      <c r="B33" s="287" t="s">
        <v>1424</v>
      </c>
      <c r="C33" s="287" t="s">
        <v>1336</v>
      </c>
      <c r="D33" s="592">
        <v>638400</v>
      </c>
      <c r="E33" s="482">
        <v>39847.15</v>
      </c>
    </row>
    <row r="34" spans="1:5" s="275" customFormat="1" ht="17" thickBot="1" x14ac:dyDescent="0.25">
      <c r="A34" s="591"/>
      <c r="B34" s="291" t="s">
        <v>1434</v>
      </c>
      <c r="C34" s="593">
        <v>700501</v>
      </c>
      <c r="D34" s="292">
        <f>SUM(D32:D33)</f>
        <v>638400</v>
      </c>
      <c r="E34" s="285">
        <f>SUM(E32:E33)</f>
        <v>81915.38</v>
      </c>
    </row>
    <row r="35" spans="1:5" s="275" customFormat="1" ht="14" thickTop="1" x14ac:dyDescent="0.15"/>
    <row r="36" spans="1:5" s="275" customFormat="1" x14ac:dyDescent="0.15">
      <c r="A36" s="591" t="s">
        <v>1423</v>
      </c>
      <c r="B36" s="287" t="s">
        <v>1424</v>
      </c>
      <c r="C36" s="287" t="s">
        <v>1425</v>
      </c>
      <c r="D36" s="592"/>
      <c r="E36" s="482">
        <v>34471.49</v>
      </c>
    </row>
    <row r="37" spans="1:5" s="275" customFormat="1" x14ac:dyDescent="0.15">
      <c r="A37" s="591" t="s">
        <v>1426</v>
      </c>
      <c r="B37" s="287" t="s">
        <v>1424</v>
      </c>
      <c r="C37" s="287" t="s">
        <v>1336</v>
      </c>
      <c r="D37" s="592">
        <v>518700</v>
      </c>
      <c r="E37" s="482">
        <v>36156.160000000003</v>
      </c>
    </row>
    <row r="38" spans="1:5" s="275" customFormat="1" ht="17" thickBot="1" x14ac:dyDescent="0.25">
      <c r="A38" s="591"/>
      <c r="B38" s="291" t="s">
        <v>1435</v>
      </c>
      <c r="C38" s="593">
        <v>700501</v>
      </c>
      <c r="D38" s="292">
        <f>SUM(D36:D37)</f>
        <v>518700</v>
      </c>
      <c r="E38" s="285">
        <f>SUM(E36:E37)</f>
        <v>70627.649999999994</v>
      </c>
    </row>
    <row r="39" spans="1:5" s="275" customFormat="1" ht="14" thickTop="1" x14ac:dyDescent="0.15"/>
    <row r="40" spans="1:5" s="275" customFormat="1" x14ac:dyDescent="0.15">
      <c r="A40" s="591" t="s">
        <v>1423</v>
      </c>
      <c r="B40" s="287" t="s">
        <v>1424</v>
      </c>
      <c r="C40" s="287" t="s">
        <v>1425</v>
      </c>
      <c r="D40" s="592"/>
      <c r="E40" s="482">
        <v>21876.54</v>
      </c>
    </row>
    <row r="41" spans="1:5" s="275" customFormat="1" x14ac:dyDescent="0.15">
      <c r="A41" s="591" t="s">
        <v>1426</v>
      </c>
      <c r="B41" s="287" t="s">
        <v>1424</v>
      </c>
      <c r="C41" s="287" t="s">
        <v>1336</v>
      </c>
      <c r="D41" s="592">
        <v>310800</v>
      </c>
      <c r="E41" s="482">
        <v>28629.64</v>
      </c>
    </row>
    <row r="42" spans="1:5" s="275" customFormat="1" ht="17" thickBot="1" x14ac:dyDescent="0.25">
      <c r="A42" s="591"/>
      <c r="B42" s="291" t="s">
        <v>1436</v>
      </c>
      <c r="C42" s="593">
        <v>700501</v>
      </c>
      <c r="D42" s="292">
        <f>SUM(D40:D41)</f>
        <v>310800</v>
      </c>
      <c r="E42" s="285">
        <f>SUM(E40:E41)</f>
        <v>50506.18</v>
      </c>
    </row>
    <row r="43" spans="1:5" s="275" customFormat="1" ht="14" thickTop="1" x14ac:dyDescent="0.15"/>
    <row r="44" spans="1:5" s="275" customFormat="1" x14ac:dyDescent="0.15">
      <c r="A44" s="591" t="s">
        <v>1423</v>
      </c>
      <c r="B44" s="287" t="s">
        <v>1424</v>
      </c>
      <c r="C44" s="287" t="s">
        <v>1425</v>
      </c>
      <c r="D44" s="592"/>
      <c r="E44" s="482">
        <f>31695.24+300</f>
        <v>31995.24</v>
      </c>
    </row>
    <row r="45" spans="1:5" s="275" customFormat="1" x14ac:dyDescent="0.15">
      <c r="A45" s="591" t="s">
        <v>1426</v>
      </c>
      <c r="B45" s="287" t="s">
        <v>1424</v>
      </c>
      <c r="C45" s="287" t="s">
        <v>1336</v>
      </c>
      <c r="D45" s="592">
        <v>464100</v>
      </c>
      <c r="E45" s="482">
        <v>35233.51</v>
      </c>
    </row>
    <row r="46" spans="1:5" s="275" customFormat="1" ht="17" thickBot="1" x14ac:dyDescent="0.25">
      <c r="A46" s="591"/>
      <c r="B46" s="291" t="s">
        <v>1437</v>
      </c>
      <c r="C46" s="593">
        <v>700501</v>
      </c>
      <c r="D46" s="292">
        <f>SUM(D44:D45)</f>
        <v>464100</v>
      </c>
      <c r="E46" s="285">
        <f>SUM(E44:E45)</f>
        <v>67228.75</v>
      </c>
    </row>
    <row r="47" spans="1:5" s="275" customFormat="1" ht="14" thickTop="1" x14ac:dyDescent="0.15"/>
    <row r="48" spans="1:5" s="275" customFormat="1" x14ac:dyDescent="0.15">
      <c r="A48" s="591" t="s">
        <v>1423</v>
      </c>
      <c r="B48" s="287" t="s">
        <v>1424</v>
      </c>
      <c r="C48" s="287" t="s">
        <v>1425</v>
      </c>
      <c r="D48" s="592"/>
      <c r="E48" s="482">
        <v>29494.11</v>
      </c>
    </row>
    <row r="49" spans="1:6" s="275" customFormat="1" x14ac:dyDescent="0.15">
      <c r="A49" s="591" t="s">
        <v>1426</v>
      </c>
      <c r="B49" s="287" t="s">
        <v>1424</v>
      </c>
      <c r="C49" s="287" t="s">
        <v>1336</v>
      </c>
      <c r="D49" s="592">
        <v>438900</v>
      </c>
      <c r="E49" s="482">
        <v>36881.31</v>
      </c>
    </row>
    <row r="50" spans="1:6" s="275" customFormat="1" ht="17" thickBot="1" x14ac:dyDescent="0.25">
      <c r="A50" s="591"/>
      <c r="B50" s="291" t="s">
        <v>1438</v>
      </c>
      <c r="C50" s="593">
        <v>700501</v>
      </c>
      <c r="D50" s="292">
        <f>SUM(D48:D49)</f>
        <v>438900</v>
      </c>
      <c r="E50" s="285">
        <f>SUM(E48:E49)</f>
        <v>66375.42</v>
      </c>
    </row>
    <row r="51" spans="1:6" s="275" customFormat="1" ht="14" thickTop="1" x14ac:dyDescent="0.15"/>
    <row r="52" spans="1:6" s="275" customFormat="1" x14ac:dyDescent="0.15">
      <c r="A52" s="591" t="s">
        <v>1423</v>
      </c>
      <c r="B52" s="287" t="s">
        <v>1424</v>
      </c>
      <c r="C52" s="287" t="s">
        <v>1425</v>
      </c>
      <c r="D52" s="592"/>
      <c r="E52" s="482">
        <v>41444.19</v>
      </c>
    </row>
    <row r="53" spans="1:6" s="275" customFormat="1" x14ac:dyDescent="0.15">
      <c r="A53" s="591" t="s">
        <v>1426</v>
      </c>
      <c r="B53" s="287" t="s">
        <v>1424</v>
      </c>
      <c r="C53" s="287" t="s">
        <v>1336</v>
      </c>
      <c r="D53" s="592">
        <v>632100</v>
      </c>
      <c r="E53" s="482">
        <v>36933.22</v>
      </c>
    </row>
    <row r="54" spans="1:6" s="275" customFormat="1" ht="17" thickBot="1" x14ac:dyDescent="0.25">
      <c r="A54" s="591"/>
      <c r="B54" s="291" t="s">
        <v>1427</v>
      </c>
      <c r="C54" s="593">
        <v>700501</v>
      </c>
      <c r="D54" s="292">
        <f>SUM(D52:D53)</f>
        <v>632100</v>
      </c>
      <c r="E54" s="285">
        <f>SUM(E52:E53)</f>
        <v>78377.41</v>
      </c>
    </row>
    <row r="55" spans="1:6" s="275" customFormat="1" ht="14" thickTop="1" x14ac:dyDescent="0.15"/>
    <row r="56" spans="1:6" s="275" customFormat="1" x14ac:dyDescent="0.15">
      <c r="A56" s="591" t="s">
        <v>1423</v>
      </c>
      <c r="B56" s="287" t="s">
        <v>1424</v>
      </c>
      <c r="C56" s="287" t="s">
        <v>1425</v>
      </c>
      <c r="D56" s="592"/>
      <c r="E56" s="482">
        <v>46317.48</v>
      </c>
    </row>
    <row r="57" spans="1:6" s="275" customFormat="1" x14ac:dyDescent="0.15">
      <c r="A57" s="591" t="s">
        <v>1426</v>
      </c>
      <c r="B57" s="287" t="s">
        <v>1424</v>
      </c>
      <c r="C57" s="287" t="s">
        <v>1336</v>
      </c>
      <c r="D57" s="592">
        <v>718200</v>
      </c>
      <c r="E57" s="482">
        <v>40118.35</v>
      </c>
    </row>
    <row r="58" spans="1:6" s="275" customFormat="1" ht="17" thickBot="1" x14ac:dyDescent="0.25">
      <c r="A58" s="591"/>
      <c r="B58" s="291" t="s">
        <v>1428</v>
      </c>
      <c r="C58" s="593">
        <v>700501</v>
      </c>
      <c r="D58" s="292">
        <f>SUM(D56:D57)</f>
        <v>718200</v>
      </c>
      <c r="E58" s="285">
        <f>SUM(E56:E57)</f>
        <v>86435.83</v>
      </c>
    </row>
    <row r="59" spans="1:6" s="275" customFormat="1" ht="14" thickTop="1" x14ac:dyDescent="0.15"/>
    <row r="60" spans="1:6" s="275" customFormat="1" x14ac:dyDescent="0.15">
      <c r="A60" s="591" t="s">
        <v>1423</v>
      </c>
      <c r="B60" s="287" t="s">
        <v>1424</v>
      </c>
      <c r="C60" s="287" t="s">
        <v>1425</v>
      </c>
      <c r="D60" s="592"/>
      <c r="E60" s="594">
        <v>75613.149999999994</v>
      </c>
    </row>
    <row r="61" spans="1:6" s="275" customFormat="1" x14ac:dyDescent="0.15">
      <c r="A61" s="591" t="s">
        <v>1426</v>
      </c>
      <c r="B61" s="287" t="s">
        <v>1424</v>
      </c>
      <c r="C61" s="287" t="s">
        <v>1336</v>
      </c>
      <c r="D61" s="595">
        <v>1190700</v>
      </c>
      <c r="E61" s="594">
        <v>57401.27</v>
      </c>
    </row>
    <row r="62" spans="1:6" s="275" customFormat="1" ht="17" thickBot="1" x14ac:dyDescent="0.25">
      <c r="A62" s="591"/>
      <c r="B62" s="291" t="s">
        <v>1429</v>
      </c>
      <c r="C62" s="593">
        <v>700501</v>
      </c>
      <c r="D62" s="292">
        <f>SUM(D60:D61)</f>
        <v>1190700</v>
      </c>
      <c r="E62" s="285">
        <f>SUM(E60:E61)</f>
        <v>133014.41999999998</v>
      </c>
    </row>
    <row r="63" spans="1:6" ht="15" thickTop="1" thickBot="1" x14ac:dyDescent="0.2"/>
    <row r="64" spans="1:6" s="275" customFormat="1" ht="31" thickBot="1" x14ac:dyDescent="0.35">
      <c r="A64" s="767" t="s">
        <v>1137</v>
      </c>
      <c r="B64" s="768"/>
      <c r="C64" s="768"/>
      <c r="D64" s="768"/>
      <c r="E64" s="768"/>
      <c r="F64" s="769"/>
    </row>
    <row r="65" spans="1:5" s="275" customFormat="1" x14ac:dyDescent="0.15"/>
    <row r="66" spans="1:5" s="275" customFormat="1" x14ac:dyDescent="0.15">
      <c r="A66" s="591" t="s">
        <v>1423</v>
      </c>
      <c r="B66" s="287" t="s">
        <v>1424</v>
      </c>
      <c r="C66" s="287" t="s">
        <v>1425</v>
      </c>
      <c r="D66" s="596">
        <v>1031100</v>
      </c>
      <c r="E66" s="489">
        <v>66087.63</v>
      </c>
    </row>
    <row r="67" spans="1:5" s="275" customFormat="1" x14ac:dyDescent="0.15">
      <c r="A67" s="591" t="s">
        <v>1426</v>
      </c>
      <c r="B67" s="287" t="s">
        <v>1424</v>
      </c>
      <c r="C67" s="287" t="s">
        <v>1336</v>
      </c>
      <c r="E67" s="489">
        <v>53260.95</v>
      </c>
    </row>
    <row r="68" spans="1:5" s="275" customFormat="1" ht="14" thickBot="1" x14ac:dyDescent="0.2">
      <c r="A68" s="591"/>
      <c r="B68" s="291" t="s">
        <v>1439</v>
      </c>
      <c r="C68" s="291"/>
      <c r="D68" s="292">
        <f>SUM(D66:D66)</f>
        <v>1031100</v>
      </c>
      <c r="E68" s="285">
        <f>SUM(E66:E67)</f>
        <v>119348.58</v>
      </c>
    </row>
    <row r="69" spans="1:5" s="275" customFormat="1" ht="14" thickTop="1" x14ac:dyDescent="0.15"/>
    <row r="70" spans="1:5" s="275" customFormat="1" x14ac:dyDescent="0.15">
      <c r="A70" s="591" t="s">
        <v>1423</v>
      </c>
      <c r="B70" s="287" t="s">
        <v>1424</v>
      </c>
      <c r="C70" s="287" t="s">
        <v>1425</v>
      </c>
      <c r="D70" s="596">
        <v>800100</v>
      </c>
      <c r="E70" s="489">
        <v>52459.24</v>
      </c>
    </row>
    <row r="71" spans="1:5" s="275" customFormat="1" x14ac:dyDescent="0.15">
      <c r="A71" s="591" t="s">
        <v>1426</v>
      </c>
      <c r="B71" s="287" t="s">
        <v>1424</v>
      </c>
      <c r="C71" s="287" t="s">
        <v>1336</v>
      </c>
      <c r="E71" s="489">
        <v>38011.360000000001</v>
      </c>
    </row>
    <row r="72" spans="1:5" s="275" customFormat="1" ht="14" thickBot="1" x14ac:dyDescent="0.2">
      <c r="A72" s="591"/>
      <c r="B72" s="291" t="s">
        <v>1430</v>
      </c>
      <c r="C72" s="291"/>
      <c r="D72" s="292">
        <f>SUM(D70:D70)</f>
        <v>800100</v>
      </c>
      <c r="E72" s="285">
        <f>SUM(E70:E71)</f>
        <v>90470.6</v>
      </c>
    </row>
    <row r="73" spans="1:5" s="275" customFormat="1" ht="14" thickTop="1" x14ac:dyDescent="0.15"/>
    <row r="74" spans="1:5" s="275" customFormat="1" x14ac:dyDescent="0.15">
      <c r="A74" s="591" t="s">
        <v>1423</v>
      </c>
      <c r="B74" s="287" t="s">
        <v>1424</v>
      </c>
      <c r="C74" s="287" t="s">
        <v>1425</v>
      </c>
      <c r="D74" s="596">
        <v>1031100</v>
      </c>
      <c r="E74" s="489">
        <v>66184.41</v>
      </c>
    </row>
    <row r="75" spans="1:5" s="275" customFormat="1" x14ac:dyDescent="0.15">
      <c r="A75" s="591" t="s">
        <v>1426</v>
      </c>
      <c r="B75" s="287" t="s">
        <v>1424</v>
      </c>
      <c r="C75" s="287" t="s">
        <v>1336</v>
      </c>
      <c r="E75" s="489">
        <v>50468.959999999999</v>
      </c>
    </row>
    <row r="76" spans="1:5" s="275" customFormat="1" ht="14" thickBot="1" x14ac:dyDescent="0.2">
      <c r="A76" s="591"/>
      <c r="B76" s="291" t="s">
        <v>1431</v>
      </c>
      <c r="C76" s="291"/>
      <c r="D76" s="292">
        <f>SUM(D74:D74)</f>
        <v>1031100</v>
      </c>
      <c r="E76" s="285">
        <f>SUM(E74:E75)</f>
        <v>116653.37</v>
      </c>
    </row>
    <row r="77" spans="1:5" s="275" customFormat="1" ht="14" thickTop="1" x14ac:dyDescent="0.15"/>
    <row r="78" spans="1:5" s="275" customFormat="1" x14ac:dyDescent="0.15">
      <c r="A78" s="591" t="s">
        <v>1423</v>
      </c>
      <c r="B78" s="287" t="s">
        <v>1424</v>
      </c>
      <c r="C78" s="287" t="s">
        <v>1425</v>
      </c>
      <c r="D78" s="596">
        <v>810600</v>
      </c>
      <c r="E78" s="489">
        <v>52640.17</v>
      </c>
    </row>
    <row r="79" spans="1:5" s="275" customFormat="1" x14ac:dyDescent="0.15">
      <c r="A79" s="591" t="s">
        <v>1426</v>
      </c>
      <c r="B79" s="287" t="s">
        <v>1424</v>
      </c>
      <c r="C79" s="287" t="s">
        <v>1336</v>
      </c>
      <c r="E79" s="489">
        <v>39393.760000000002</v>
      </c>
    </row>
    <row r="80" spans="1:5" s="275" customFormat="1" ht="14" thickBot="1" x14ac:dyDescent="0.2">
      <c r="A80" s="591"/>
      <c r="B80" s="291" t="s">
        <v>1432</v>
      </c>
      <c r="C80" s="291"/>
      <c r="D80" s="292">
        <f>SUM(D78:D78)</f>
        <v>810600</v>
      </c>
      <c r="E80" s="285">
        <f>SUM(E78:E79)</f>
        <v>92033.93</v>
      </c>
    </row>
    <row r="81" spans="1:5" s="275" customFormat="1" ht="14" thickTop="1" x14ac:dyDescent="0.15"/>
    <row r="82" spans="1:5" s="275" customFormat="1" x14ac:dyDescent="0.15">
      <c r="A82" s="591" t="s">
        <v>1423</v>
      </c>
      <c r="B82" s="287" t="s">
        <v>1424</v>
      </c>
      <c r="C82" s="287" t="s">
        <v>1425</v>
      </c>
      <c r="D82" s="596">
        <v>604800</v>
      </c>
      <c r="E82" s="489">
        <v>40303.21</v>
      </c>
    </row>
    <row r="83" spans="1:5" s="275" customFormat="1" x14ac:dyDescent="0.15">
      <c r="A83" s="591" t="s">
        <v>1426</v>
      </c>
      <c r="B83" s="287" t="s">
        <v>1424</v>
      </c>
      <c r="C83" s="287" t="s">
        <v>1336</v>
      </c>
      <c r="D83" s="295"/>
      <c r="E83" s="489">
        <v>31247.62</v>
      </c>
    </row>
    <row r="84" spans="1:5" s="275" customFormat="1" ht="14" thickBot="1" x14ac:dyDescent="0.2">
      <c r="A84" s="591"/>
      <c r="B84" s="291" t="s">
        <v>1433</v>
      </c>
      <c r="C84" s="291"/>
      <c r="D84" s="292">
        <f>SUM(D82:D82)</f>
        <v>604800</v>
      </c>
      <c r="E84" s="285">
        <f>SUM(E82:E83)</f>
        <v>71550.83</v>
      </c>
    </row>
    <row r="85" spans="1:5" s="275" customFormat="1" ht="14" thickTop="1" x14ac:dyDescent="0.15"/>
    <row r="86" spans="1:5" s="275" customFormat="1" x14ac:dyDescent="0.15">
      <c r="A86" s="591" t="s">
        <v>1423</v>
      </c>
      <c r="B86" s="287" t="s">
        <v>1424</v>
      </c>
      <c r="C86" s="287" t="s">
        <v>1440</v>
      </c>
      <c r="D86" s="596">
        <f>359100+174300</f>
        <v>533400</v>
      </c>
      <c r="E86" s="489">
        <v>39263.57</v>
      </c>
    </row>
    <row r="87" spans="1:5" s="275" customFormat="1" x14ac:dyDescent="0.15">
      <c r="A87" s="591" t="s">
        <v>1426</v>
      </c>
      <c r="B87" s="287" t="s">
        <v>1424</v>
      </c>
      <c r="C87" s="287" t="s">
        <v>1336</v>
      </c>
      <c r="D87" s="295"/>
      <c r="E87" s="489">
        <v>40772.32</v>
      </c>
    </row>
    <row r="88" spans="1:5" s="275" customFormat="1" ht="14" thickBot="1" x14ac:dyDescent="0.2">
      <c r="A88" s="591"/>
      <c r="B88" s="291" t="s">
        <v>1434</v>
      </c>
      <c r="C88" s="291"/>
      <c r="D88" s="292">
        <f>SUM(D86:D86)</f>
        <v>533400</v>
      </c>
      <c r="E88" s="285">
        <f>SUM(E86:E87)</f>
        <v>80035.89</v>
      </c>
    </row>
    <row r="89" spans="1:5" s="275" customFormat="1" ht="14" thickTop="1" x14ac:dyDescent="0.15"/>
    <row r="90" spans="1:5" s="275" customFormat="1" x14ac:dyDescent="0.15">
      <c r="A90" s="591" t="s">
        <v>1423</v>
      </c>
      <c r="B90" s="287" t="s">
        <v>1424</v>
      </c>
      <c r="C90" s="287" t="s">
        <v>1440</v>
      </c>
      <c r="D90" s="596">
        <v>663600</v>
      </c>
      <c r="E90" s="489">
        <v>45994.12</v>
      </c>
    </row>
    <row r="91" spans="1:5" s="275" customFormat="1" x14ac:dyDescent="0.15">
      <c r="A91" s="591" t="s">
        <v>1426</v>
      </c>
      <c r="B91" s="287" t="s">
        <v>1424</v>
      </c>
      <c r="C91" s="287" t="s">
        <v>1336</v>
      </c>
      <c r="D91" s="295"/>
      <c r="E91" s="489">
        <v>37234.629999999997</v>
      </c>
    </row>
    <row r="92" spans="1:5" s="275" customFormat="1" ht="14" thickBot="1" x14ac:dyDescent="0.2">
      <c r="A92" s="591"/>
      <c r="B92" s="291" t="s">
        <v>1435</v>
      </c>
      <c r="C92" s="291"/>
      <c r="D92" s="292">
        <f>SUM(D90:D90)</f>
        <v>663600</v>
      </c>
      <c r="E92" s="285">
        <f>SUM(E90:E91)</f>
        <v>83228.75</v>
      </c>
    </row>
    <row r="93" spans="1:5" s="275" customFormat="1" ht="14" thickTop="1" x14ac:dyDescent="0.15"/>
    <row r="94" spans="1:5" s="275" customFormat="1" x14ac:dyDescent="0.15">
      <c r="A94" s="591" t="s">
        <v>1423</v>
      </c>
      <c r="B94" s="287" t="s">
        <v>1424</v>
      </c>
      <c r="C94" s="287" t="s">
        <v>1440</v>
      </c>
      <c r="D94" s="596">
        <f>336000+178500</f>
        <v>514500</v>
      </c>
      <c r="E94" s="489">
        <v>36606.68</v>
      </c>
    </row>
    <row r="95" spans="1:5" s="275" customFormat="1" x14ac:dyDescent="0.15">
      <c r="A95" s="591" t="s">
        <v>1426</v>
      </c>
      <c r="B95" s="287" t="s">
        <v>1424</v>
      </c>
      <c r="C95" s="287" t="s">
        <v>1336</v>
      </c>
      <c r="D95" s="295"/>
      <c r="E95" s="489">
        <v>36221.68</v>
      </c>
    </row>
    <row r="96" spans="1:5" s="275" customFormat="1" ht="14" thickBot="1" x14ac:dyDescent="0.2">
      <c r="A96" s="591"/>
      <c r="B96" s="291" t="s">
        <v>1436</v>
      </c>
      <c r="C96" s="291"/>
      <c r="D96" s="292">
        <f>SUM(D94:D94)</f>
        <v>514500</v>
      </c>
      <c r="E96" s="285">
        <f>SUM(E94:E95)</f>
        <v>72828.36</v>
      </c>
    </row>
    <row r="97" spans="1:5" s="275" customFormat="1" ht="14" thickTop="1" x14ac:dyDescent="0.15"/>
    <row r="98" spans="1:5" s="275" customFormat="1" x14ac:dyDescent="0.15">
      <c r="A98" s="591" t="s">
        <v>1423</v>
      </c>
      <c r="B98" s="287" t="s">
        <v>1424</v>
      </c>
      <c r="C98" s="287" t="s">
        <v>1440</v>
      </c>
      <c r="D98" s="596">
        <f>262500+134400</f>
        <v>396900</v>
      </c>
      <c r="E98" s="489">
        <v>29164.21</v>
      </c>
    </row>
    <row r="99" spans="1:5" s="275" customFormat="1" x14ac:dyDescent="0.15">
      <c r="A99" s="591" t="s">
        <v>1426</v>
      </c>
      <c r="B99" s="287" t="s">
        <v>1424</v>
      </c>
      <c r="C99" s="287" t="s">
        <v>1336</v>
      </c>
      <c r="D99" s="295"/>
      <c r="E99" s="489">
        <v>29216.09</v>
      </c>
    </row>
    <row r="100" spans="1:5" s="275" customFormat="1" ht="14" thickBot="1" x14ac:dyDescent="0.2">
      <c r="A100" s="591"/>
      <c r="B100" s="291" t="s">
        <v>1437</v>
      </c>
      <c r="C100" s="291"/>
      <c r="D100" s="292">
        <f>SUM(D98:D98)</f>
        <v>396900</v>
      </c>
      <c r="E100" s="285">
        <f>SUM(E98:E99)</f>
        <v>58380.3</v>
      </c>
    </row>
    <row r="101" spans="1:5" s="275" customFormat="1" ht="14" thickTop="1" x14ac:dyDescent="0.15"/>
    <row r="102" spans="1:5" s="275" customFormat="1" x14ac:dyDescent="0.15">
      <c r="A102" s="591" t="s">
        <v>1423</v>
      </c>
      <c r="B102" s="287" t="s">
        <v>1424</v>
      </c>
      <c r="C102" s="287" t="s">
        <v>1440</v>
      </c>
      <c r="D102" s="596">
        <v>642600</v>
      </c>
      <c r="E102" s="489">
        <v>44712.11</v>
      </c>
    </row>
    <row r="103" spans="1:5" s="275" customFormat="1" x14ac:dyDescent="0.15">
      <c r="A103" s="591" t="s">
        <v>1426</v>
      </c>
      <c r="B103" s="287" t="s">
        <v>1424</v>
      </c>
      <c r="C103" s="287" t="s">
        <v>1336</v>
      </c>
      <c r="D103" s="295"/>
      <c r="E103" s="489">
        <v>35573.18</v>
      </c>
    </row>
    <row r="104" spans="1:5" s="275" customFormat="1" ht="14" thickBot="1" x14ac:dyDescent="0.2">
      <c r="A104" s="591"/>
      <c r="B104" s="291" t="s">
        <v>1438</v>
      </c>
      <c r="C104" s="291"/>
      <c r="D104" s="292">
        <f>SUM(D102:D102)</f>
        <v>642600</v>
      </c>
      <c r="E104" s="285">
        <f>SUM(E102:E103)</f>
        <v>80285.290000000008</v>
      </c>
    </row>
    <row r="105" spans="1:5" s="275" customFormat="1" ht="14" thickTop="1" x14ac:dyDescent="0.15"/>
    <row r="106" spans="1:5" s="275" customFormat="1" x14ac:dyDescent="0.15">
      <c r="A106" s="591" t="s">
        <v>1423</v>
      </c>
      <c r="B106" s="287" t="s">
        <v>1424</v>
      </c>
      <c r="C106" s="287" t="s">
        <v>1440</v>
      </c>
      <c r="D106" s="596">
        <v>737100</v>
      </c>
      <c r="E106" s="489">
        <v>50690.36</v>
      </c>
    </row>
    <row r="107" spans="1:5" s="275" customFormat="1" x14ac:dyDescent="0.15">
      <c r="A107" s="591" t="s">
        <v>1426</v>
      </c>
      <c r="B107" s="287" t="s">
        <v>1424</v>
      </c>
      <c r="C107" s="287" t="s">
        <v>1336</v>
      </c>
      <c r="D107" s="295"/>
      <c r="E107" s="489">
        <v>28937.32</v>
      </c>
    </row>
    <row r="108" spans="1:5" s="275" customFormat="1" ht="14" thickBot="1" x14ac:dyDescent="0.2">
      <c r="A108" s="591"/>
      <c r="B108" s="291" t="s">
        <v>1427</v>
      </c>
      <c r="C108" s="291"/>
      <c r="D108" s="292">
        <f>SUM(D106:D106)</f>
        <v>737100</v>
      </c>
      <c r="E108" s="285">
        <f>SUM(E106:E107)</f>
        <v>79627.679999999993</v>
      </c>
    </row>
    <row r="109" spans="1:5" s="275" customFormat="1" ht="14" thickTop="1" x14ac:dyDescent="0.15"/>
    <row r="110" spans="1:5" s="275" customFormat="1" x14ac:dyDescent="0.15">
      <c r="A110" s="591" t="s">
        <v>1423</v>
      </c>
      <c r="B110" s="287" t="s">
        <v>1424</v>
      </c>
      <c r="C110" s="287" t="s">
        <v>1440</v>
      </c>
      <c r="D110" s="596">
        <v>982800</v>
      </c>
      <c r="E110" s="489">
        <v>67832.86</v>
      </c>
    </row>
    <row r="111" spans="1:5" s="275" customFormat="1" x14ac:dyDescent="0.15">
      <c r="A111" s="591" t="s">
        <v>1426</v>
      </c>
      <c r="B111" s="287" t="s">
        <v>1424</v>
      </c>
      <c r="C111" s="287" t="s">
        <v>1336</v>
      </c>
      <c r="D111" s="295"/>
      <c r="E111" s="489">
        <v>44932.29</v>
      </c>
    </row>
    <row r="112" spans="1:5" s="275" customFormat="1" ht="14" thickBot="1" x14ac:dyDescent="0.2">
      <c r="A112" s="591"/>
      <c r="B112" s="291" t="s">
        <v>1428</v>
      </c>
      <c r="C112" s="291"/>
      <c r="D112" s="292">
        <f>SUM(D110:D110)</f>
        <v>982800</v>
      </c>
      <c r="E112" s="285">
        <f>SUM(E110:E111)</f>
        <v>112765.15</v>
      </c>
    </row>
    <row r="113" spans="1:6" ht="15" thickTop="1" thickBot="1" x14ac:dyDescent="0.2"/>
    <row r="114" spans="1:6" s="275" customFormat="1" ht="31" thickBot="1" x14ac:dyDescent="0.35">
      <c r="A114" s="767" t="s">
        <v>1103</v>
      </c>
      <c r="B114" s="768"/>
      <c r="C114" s="768"/>
      <c r="D114" s="768"/>
      <c r="E114" s="768"/>
      <c r="F114" s="769"/>
    </row>
    <row r="115" spans="1:6" s="275" customFormat="1" x14ac:dyDescent="0.15"/>
    <row r="116" spans="1:6" s="275" customFormat="1" x14ac:dyDescent="0.15">
      <c r="A116" s="591" t="s">
        <v>1423</v>
      </c>
      <c r="B116" s="287" t="s">
        <v>1424</v>
      </c>
      <c r="C116" s="287" t="s">
        <v>1440</v>
      </c>
      <c r="D116" s="596">
        <v>924000</v>
      </c>
      <c r="E116" s="489">
        <v>64107.12</v>
      </c>
    </row>
    <row r="117" spans="1:6" s="275" customFormat="1" x14ac:dyDescent="0.15">
      <c r="A117" s="591" t="s">
        <v>1426</v>
      </c>
      <c r="B117" s="287" t="s">
        <v>1424</v>
      </c>
      <c r="C117" s="287" t="s">
        <v>1441</v>
      </c>
      <c r="D117" s="295"/>
      <c r="E117" s="489">
        <v>28745.77</v>
      </c>
    </row>
    <row r="118" spans="1:6" s="275" customFormat="1" ht="14" thickBot="1" x14ac:dyDescent="0.2">
      <c r="A118" s="591"/>
      <c r="B118" s="291" t="s">
        <v>1439</v>
      </c>
      <c r="C118" s="291"/>
      <c r="D118" s="292">
        <f>SUM(D116:D116)</f>
        <v>924000</v>
      </c>
      <c r="E118" s="285">
        <f>SUM(E116:E117)</f>
        <v>92852.89</v>
      </c>
    </row>
    <row r="119" spans="1:6" s="275" customFormat="1" ht="14" thickTop="1" x14ac:dyDescent="0.15"/>
    <row r="120" spans="1:6" s="275" customFormat="1" x14ac:dyDescent="0.15">
      <c r="A120" s="591" t="s">
        <v>1423</v>
      </c>
      <c r="B120" s="287" t="s">
        <v>1424</v>
      </c>
      <c r="C120" s="287" t="s">
        <v>1440</v>
      </c>
      <c r="D120" s="596">
        <v>850500</v>
      </c>
      <c r="E120" s="489">
        <v>59186.3</v>
      </c>
    </row>
    <row r="121" spans="1:6" s="275" customFormat="1" x14ac:dyDescent="0.15">
      <c r="A121" s="591" t="s">
        <v>1426</v>
      </c>
      <c r="B121" s="287" t="s">
        <v>1424</v>
      </c>
      <c r="C121" s="287" t="s">
        <v>1441</v>
      </c>
      <c r="E121" s="489">
        <v>42449.88</v>
      </c>
    </row>
    <row r="122" spans="1:6" s="275" customFormat="1" ht="14" thickBot="1" x14ac:dyDescent="0.2">
      <c r="A122" s="591"/>
      <c r="B122" s="291" t="s">
        <v>1430</v>
      </c>
      <c r="C122" s="291"/>
      <c r="D122" s="292">
        <f>SUM(D120:D120)</f>
        <v>850500</v>
      </c>
      <c r="E122" s="285">
        <f>SUM(E120:E121)</f>
        <v>101636.18</v>
      </c>
    </row>
    <row r="123" spans="1:6" s="275" customFormat="1" ht="14" thickTop="1" x14ac:dyDescent="0.15"/>
    <row r="124" spans="1:6" s="275" customFormat="1" x14ac:dyDescent="0.15">
      <c r="A124" s="591" t="s">
        <v>1423</v>
      </c>
      <c r="B124" s="287" t="s">
        <v>1424</v>
      </c>
      <c r="C124" s="287" t="s">
        <v>1440</v>
      </c>
      <c r="D124" s="596">
        <v>982800</v>
      </c>
      <c r="E124" s="489">
        <v>67488.87</v>
      </c>
    </row>
    <row r="125" spans="1:6" s="275" customFormat="1" x14ac:dyDescent="0.15">
      <c r="A125" s="591" t="s">
        <v>1426</v>
      </c>
      <c r="B125" s="287" t="s">
        <v>1424</v>
      </c>
      <c r="C125" s="287" t="s">
        <v>1441</v>
      </c>
      <c r="E125" s="489">
        <v>41409.81</v>
      </c>
    </row>
    <row r="126" spans="1:6" s="275" customFormat="1" ht="14" thickBot="1" x14ac:dyDescent="0.2">
      <c r="A126" s="591"/>
      <c r="B126" s="291" t="s">
        <v>1431</v>
      </c>
      <c r="C126" s="291"/>
      <c r="D126" s="292">
        <f>SUM(D124:D124)</f>
        <v>982800</v>
      </c>
      <c r="E126" s="285">
        <f>SUM(E124:E125)</f>
        <v>108898.68</v>
      </c>
    </row>
    <row r="127" spans="1:6" s="275" customFormat="1" ht="14" thickTop="1" x14ac:dyDescent="0.15"/>
    <row r="128" spans="1:6" s="275" customFormat="1" x14ac:dyDescent="0.15">
      <c r="A128" s="591" t="s">
        <v>1423</v>
      </c>
      <c r="B128" s="287" t="s">
        <v>1424</v>
      </c>
      <c r="C128" s="287" t="s">
        <v>1440</v>
      </c>
      <c r="D128" s="596">
        <v>743400</v>
      </c>
      <c r="E128" s="489">
        <v>52432</v>
      </c>
    </row>
    <row r="129" spans="1:5" s="275" customFormat="1" x14ac:dyDescent="0.15">
      <c r="A129" s="591" t="s">
        <v>1426</v>
      </c>
      <c r="B129" s="287" t="s">
        <v>1424</v>
      </c>
      <c r="C129" s="287" t="s">
        <v>1441</v>
      </c>
      <c r="E129" s="489">
        <v>29543.57</v>
      </c>
    </row>
    <row r="130" spans="1:5" s="275" customFormat="1" ht="14" thickBot="1" x14ac:dyDescent="0.2">
      <c r="A130" s="591"/>
      <c r="B130" s="291" t="s">
        <v>1432</v>
      </c>
      <c r="C130" s="291"/>
      <c r="D130" s="292">
        <f>SUM(D128:D128)</f>
        <v>743400</v>
      </c>
      <c r="E130" s="285">
        <f>SUM(E128:E129)</f>
        <v>81975.570000000007</v>
      </c>
    </row>
    <row r="131" spans="1:5" s="275" customFormat="1" ht="14" thickTop="1" x14ac:dyDescent="0.15"/>
    <row r="132" spans="1:5" s="275" customFormat="1" x14ac:dyDescent="0.15">
      <c r="A132" s="591" t="s">
        <v>1423</v>
      </c>
      <c r="B132" s="287" t="s">
        <v>1424</v>
      </c>
      <c r="C132" s="287" t="s">
        <v>1440</v>
      </c>
      <c r="D132" s="596">
        <v>606900</v>
      </c>
      <c r="E132" s="489">
        <v>43793.9</v>
      </c>
    </row>
    <row r="133" spans="1:5" s="275" customFormat="1" x14ac:dyDescent="0.15">
      <c r="A133" s="591" t="s">
        <v>1426</v>
      </c>
      <c r="B133" s="287" t="s">
        <v>1424</v>
      </c>
      <c r="C133" s="287" t="s">
        <v>1441</v>
      </c>
      <c r="E133" s="489">
        <v>32029.119999999999</v>
      </c>
    </row>
    <row r="134" spans="1:5" s="275" customFormat="1" ht="14" thickBot="1" x14ac:dyDescent="0.2">
      <c r="A134" s="591"/>
      <c r="B134" s="291" t="s">
        <v>1433</v>
      </c>
      <c r="C134" s="291"/>
      <c r="D134" s="292">
        <f>SUM(D132:D132)</f>
        <v>606900</v>
      </c>
      <c r="E134" s="285">
        <f>SUM(E132:E133)</f>
        <v>75823.02</v>
      </c>
    </row>
    <row r="135" spans="1:5" s="275" customFormat="1" ht="14" thickTop="1" x14ac:dyDescent="0.15"/>
    <row r="136" spans="1:5" s="275" customFormat="1" x14ac:dyDescent="0.15">
      <c r="A136" s="591" t="s">
        <v>1423</v>
      </c>
      <c r="B136" s="287" t="s">
        <v>1424</v>
      </c>
      <c r="C136" s="287" t="s">
        <v>1442</v>
      </c>
      <c r="D136" s="596">
        <v>424200</v>
      </c>
      <c r="E136" s="489">
        <v>40886.160000000003</v>
      </c>
    </row>
    <row r="137" spans="1:5" s="275" customFormat="1" x14ac:dyDescent="0.15">
      <c r="A137" s="591" t="s">
        <v>1426</v>
      </c>
      <c r="B137" s="287" t="s">
        <v>1424</v>
      </c>
      <c r="C137" s="287" t="s">
        <v>1441</v>
      </c>
      <c r="E137" s="489">
        <v>20715.16</v>
      </c>
    </row>
    <row r="138" spans="1:5" s="275" customFormat="1" ht="14" thickBot="1" x14ac:dyDescent="0.2">
      <c r="A138" s="591"/>
      <c r="B138" s="291" t="s">
        <v>1434</v>
      </c>
      <c r="C138" s="291"/>
      <c r="D138" s="292">
        <f>SUM(D136:D136)</f>
        <v>424200</v>
      </c>
      <c r="E138" s="285">
        <f>SUM(E136:E137)</f>
        <v>61601.320000000007</v>
      </c>
    </row>
    <row r="139" spans="1:5" s="275" customFormat="1" ht="14" thickTop="1" x14ac:dyDescent="0.15"/>
    <row r="140" spans="1:5" s="275" customFormat="1" x14ac:dyDescent="0.15">
      <c r="A140" s="591" t="s">
        <v>1423</v>
      </c>
      <c r="B140" s="287" t="s">
        <v>1424</v>
      </c>
      <c r="C140" s="287" t="s">
        <v>1442</v>
      </c>
      <c r="D140" s="596">
        <v>245700</v>
      </c>
      <c r="E140" s="489">
        <v>27420.5</v>
      </c>
    </row>
    <row r="141" spans="1:5" s="275" customFormat="1" x14ac:dyDescent="0.15">
      <c r="A141" s="591" t="s">
        <v>1426</v>
      </c>
      <c r="B141" s="287" t="s">
        <v>1424</v>
      </c>
      <c r="C141" s="287" t="s">
        <v>1441</v>
      </c>
      <c r="E141" s="489">
        <v>7083.97</v>
      </c>
    </row>
    <row r="142" spans="1:5" s="275" customFormat="1" ht="14" thickBot="1" x14ac:dyDescent="0.2">
      <c r="A142" s="591"/>
      <c r="B142" s="291" t="s">
        <v>1435</v>
      </c>
      <c r="C142" s="291"/>
      <c r="D142" s="292">
        <f>SUM(D140:D140)</f>
        <v>245700</v>
      </c>
      <c r="E142" s="285">
        <f>SUM(E140:E141)</f>
        <v>34504.47</v>
      </c>
    </row>
    <row r="143" spans="1:5" s="275" customFormat="1" ht="14" thickTop="1" x14ac:dyDescent="0.15"/>
    <row r="144" spans="1:5" s="275" customFormat="1" x14ac:dyDescent="0.15">
      <c r="A144" s="591" t="s">
        <v>1423</v>
      </c>
      <c r="B144" s="287" t="s">
        <v>1424</v>
      </c>
      <c r="C144" s="287" t="s">
        <v>1442</v>
      </c>
      <c r="D144" s="596">
        <v>287700</v>
      </c>
      <c r="E144" s="489">
        <v>31079.43</v>
      </c>
    </row>
    <row r="145" spans="1:5" s="275" customFormat="1" x14ac:dyDescent="0.15">
      <c r="A145" s="591" t="s">
        <v>1426</v>
      </c>
      <c r="B145" s="287" t="s">
        <v>1424</v>
      </c>
      <c r="C145" s="287" t="s">
        <v>1441</v>
      </c>
      <c r="E145" s="489">
        <v>28587.67</v>
      </c>
    </row>
    <row r="146" spans="1:5" s="275" customFormat="1" ht="14" thickBot="1" x14ac:dyDescent="0.2">
      <c r="A146" s="591"/>
      <c r="B146" s="291" t="s">
        <v>1436</v>
      </c>
      <c r="C146" s="291"/>
      <c r="D146" s="292">
        <f>SUM(D144:D144)</f>
        <v>287700</v>
      </c>
      <c r="E146" s="285">
        <f>SUM(E144:E145)</f>
        <v>59667.1</v>
      </c>
    </row>
    <row r="147" spans="1:5" s="275" customFormat="1" ht="14" thickTop="1" x14ac:dyDescent="0.15"/>
    <row r="148" spans="1:5" s="275" customFormat="1" x14ac:dyDescent="0.15">
      <c r="A148" s="591" t="s">
        <v>1423</v>
      </c>
      <c r="B148" s="287" t="s">
        <v>1424</v>
      </c>
      <c r="C148" s="287" t="s">
        <v>1443</v>
      </c>
      <c r="D148" s="596">
        <v>371700</v>
      </c>
      <c r="E148" s="489">
        <v>37627.68</v>
      </c>
    </row>
    <row r="149" spans="1:5" s="275" customFormat="1" x14ac:dyDescent="0.15">
      <c r="A149" s="591" t="s">
        <v>1426</v>
      </c>
      <c r="B149" s="287" t="s">
        <v>1424</v>
      </c>
      <c r="C149" s="287" t="s">
        <v>1441</v>
      </c>
      <c r="E149" s="489">
        <v>14410.97</v>
      </c>
    </row>
    <row r="150" spans="1:5" s="275" customFormat="1" ht="14" thickBot="1" x14ac:dyDescent="0.2">
      <c r="A150" s="591"/>
      <c r="B150" s="291" t="s">
        <v>1437</v>
      </c>
      <c r="C150" s="291"/>
      <c r="D150" s="292">
        <f>SUM(D148:D148)</f>
        <v>371700</v>
      </c>
      <c r="E150" s="285">
        <f>SUM(E148:E149)</f>
        <v>52038.65</v>
      </c>
    </row>
    <row r="151" spans="1:5" s="275" customFormat="1" ht="14" thickTop="1" x14ac:dyDescent="0.15"/>
    <row r="152" spans="1:5" s="275" customFormat="1" x14ac:dyDescent="0.15">
      <c r="A152" s="591" t="s">
        <v>1423</v>
      </c>
      <c r="B152" s="287" t="s">
        <v>1424</v>
      </c>
      <c r="C152" s="287" t="s">
        <v>1443</v>
      </c>
      <c r="D152" s="596">
        <v>596400</v>
      </c>
      <c r="E152" s="489">
        <v>56916.86</v>
      </c>
    </row>
    <row r="153" spans="1:5" s="275" customFormat="1" x14ac:dyDescent="0.15">
      <c r="A153" s="591" t="s">
        <v>1426</v>
      </c>
      <c r="B153" s="287" t="s">
        <v>1424</v>
      </c>
      <c r="C153" s="287" t="s">
        <v>1441</v>
      </c>
      <c r="E153" s="489">
        <v>24198.65</v>
      </c>
    </row>
    <row r="154" spans="1:5" s="275" customFormat="1" ht="14" thickBot="1" x14ac:dyDescent="0.2">
      <c r="A154" s="591"/>
      <c r="B154" s="291" t="s">
        <v>1438</v>
      </c>
      <c r="C154" s="291"/>
      <c r="D154" s="292">
        <f>SUM(D152:D152)</f>
        <v>596400</v>
      </c>
      <c r="E154" s="285">
        <f>SUM(E152:E153)</f>
        <v>81115.510000000009</v>
      </c>
    </row>
    <row r="155" spans="1:5" s="275" customFormat="1" ht="14" thickTop="1" x14ac:dyDescent="0.15"/>
    <row r="156" spans="1:5" s="275" customFormat="1" x14ac:dyDescent="0.15">
      <c r="A156" s="591" t="s">
        <v>1423</v>
      </c>
      <c r="B156" s="287" t="s">
        <v>1424</v>
      </c>
      <c r="C156" s="287" t="s">
        <v>1443</v>
      </c>
      <c r="D156" s="596">
        <v>798000</v>
      </c>
      <c r="E156" s="489">
        <v>74773.789999999994</v>
      </c>
    </row>
    <row r="157" spans="1:5" s="275" customFormat="1" x14ac:dyDescent="0.15">
      <c r="A157" s="591" t="s">
        <v>1426</v>
      </c>
      <c r="B157" s="287" t="s">
        <v>1424</v>
      </c>
      <c r="C157" s="287" t="s">
        <v>1441</v>
      </c>
      <c r="E157" s="489">
        <v>30482.12</v>
      </c>
    </row>
    <row r="158" spans="1:5" s="275" customFormat="1" ht="14" thickBot="1" x14ac:dyDescent="0.2">
      <c r="A158" s="591"/>
      <c r="B158" s="291" t="s">
        <v>1427</v>
      </c>
      <c r="C158" s="291"/>
      <c r="D158" s="292">
        <f>SUM(D156:D156)</f>
        <v>798000</v>
      </c>
      <c r="E158" s="285">
        <f>SUM(E156:E157)</f>
        <v>105255.90999999999</v>
      </c>
    </row>
    <row r="159" spans="1:5" s="275" customFormat="1" ht="14" thickTop="1" x14ac:dyDescent="0.15"/>
    <row r="160" spans="1:5" s="275" customFormat="1" x14ac:dyDescent="0.15">
      <c r="A160" s="591" t="s">
        <v>1423</v>
      </c>
      <c r="B160" s="287" t="s">
        <v>1424</v>
      </c>
      <c r="C160" s="287" t="s">
        <v>1443</v>
      </c>
      <c r="D160" s="596">
        <v>831600</v>
      </c>
      <c r="E160" s="489">
        <v>82552.460000000006</v>
      </c>
    </row>
    <row r="161" spans="1:6" s="275" customFormat="1" x14ac:dyDescent="0.15">
      <c r="A161" s="591" t="s">
        <v>1426</v>
      </c>
      <c r="B161" s="287" t="s">
        <v>1424</v>
      </c>
      <c r="C161" s="287" t="s">
        <v>1441</v>
      </c>
      <c r="E161" s="489">
        <v>42061.84</v>
      </c>
    </row>
    <row r="162" spans="1:6" s="275" customFormat="1" ht="14" thickBot="1" x14ac:dyDescent="0.2">
      <c r="A162" s="591"/>
      <c r="B162" s="291" t="s">
        <v>1428</v>
      </c>
      <c r="C162" s="291"/>
      <c r="D162" s="292">
        <f>SUM(D160:D160)</f>
        <v>831600</v>
      </c>
      <c r="E162" s="285">
        <f>SUM(E160:E161)</f>
        <v>124614.3</v>
      </c>
    </row>
    <row r="163" spans="1:6" s="275" customFormat="1" ht="14" thickTop="1" x14ac:dyDescent="0.15"/>
    <row r="164" spans="1:6" s="275" customFormat="1" x14ac:dyDescent="0.15">
      <c r="B164" s="275" t="s">
        <v>1367</v>
      </c>
      <c r="D164" s="597">
        <f>SUM(D68,D72,D76,D80,D84,D88,D92,D96,D100,D104,D108,D112)</f>
        <v>8748600</v>
      </c>
      <c r="E164" s="513" t="e">
        <f>SUM(#REF!,#REF!,#REF!,#REF!,#REF!,#REF!,#REF!,#REF!,#REF!,#REF!,#REF!,#REF!)</f>
        <v>#REF!</v>
      </c>
    </row>
    <row r="165" spans="1:6" s="275" customFormat="1" x14ac:dyDescent="0.15">
      <c r="B165" s="275" t="s">
        <v>1368</v>
      </c>
      <c r="D165" s="598">
        <f>SUM(D118,D122,D126,D130,D134,D138,D142,D146,D150,D154,D158,D162)</f>
        <v>7662900</v>
      </c>
      <c r="E165" s="515" t="e">
        <f>SUM(#REF!,#REF!,#REF!,#REF!,#REF!,#REF!,#REF!,#REF!,#REF!,#REF!,#REF!,#REF!)</f>
        <v>#REF!</v>
      </c>
    </row>
    <row r="166" spans="1:6" s="275" customFormat="1" x14ac:dyDescent="0.15">
      <c r="D166" s="597">
        <f>D165-D164</f>
        <v>-1085700</v>
      </c>
      <c r="E166" s="513" t="e">
        <f>E165-E164</f>
        <v>#REF!</v>
      </c>
    </row>
    <row r="167" spans="1:6" ht="14" thickBot="1" x14ac:dyDescent="0.2"/>
    <row r="168" spans="1:6" s="275" customFormat="1" ht="31" thickBot="1" x14ac:dyDescent="0.35">
      <c r="A168" s="767" t="s">
        <v>1106</v>
      </c>
      <c r="B168" s="768"/>
      <c r="C168" s="768"/>
      <c r="D168" s="768"/>
      <c r="E168" s="768"/>
      <c r="F168" s="769"/>
    </row>
    <row r="169" spans="1:6" s="275" customFormat="1" x14ac:dyDescent="0.15"/>
    <row r="170" spans="1:6" s="275" customFormat="1" x14ac:dyDescent="0.15">
      <c r="A170" s="591" t="s">
        <v>1423</v>
      </c>
      <c r="B170" s="287" t="s">
        <v>1424</v>
      </c>
      <c r="C170" s="287" t="s">
        <v>1443</v>
      </c>
      <c r="D170" s="596">
        <v>884100</v>
      </c>
      <c r="E170" s="489">
        <v>87052.47</v>
      </c>
    </row>
    <row r="171" spans="1:6" s="275" customFormat="1" x14ac:dyDescent="0.15">
      <c r="A171" s="591" t="s">
        <v>1426</v>
      </c>
      <c r="B171" s="287" t="s">
        <v>1424</v>
      </c>
      <c r="C171" s="287" t="s">
        <v>1441</v>
      </c>
      <c r="D171" s="295"/>
      <c r="E171" s="489">
        <v>43063.42</v>
      </c>
    </row>
    <row r="172" spans="1:6" s="275" customFormat="1" ht="14" thickBot="1" x14ac:dyDescent="0.2">
      <c r="A172" s="591"/>
      <c r="B172" s="291" t="s">
        <v>1439</v>
      </c>
      <c r="C172" s="291"/>
      <c r="D172" s="292">
        <f>SUM(D170:D170)</f>
        <v>884100</v>
      </c>
      <c r="E172" s="285">
        <f>SUM(E170:E171)</f>
        <v>130115.89</v>
      </c>
    </row>
    <row r="173" spans="1:6" s="275" customFormat="1" ht="14" thickTop="1" x14ac:dyDescent="0.15"/>
    <row r="174" spans="1:6" s="275" customFormat="1" x14ac:dyDescent="0.15">
      <c r="A174" s="591" t="s">
        <v>1423</v>
      </c>
      <c r="B174" s="287" t="s">
        <v>1424</v>
      </c>
      <c r="C174" s="287" t="s">
        <v>1443</v>
      </c>
      <c r="D174" s="596">
        <v>875700</v>
      </c>
      <c r="E174" s="489">
        <v>86330.4</v>
      </c>
    </row>
    <row r="175" spans="1:6" s="275" customFormat="1" x14ac:dyDescent="0.15">
      <c r="A175" s="591" t="s">
        <v>1426</v>
      </c>
      <c r="B175" s="287" t="s">
        <v>1424</v>
      </c>
      <c r="C175" s="287" t="s">
        <v>1441</v>
      </c>
      <c r="E175" s="489">
        <v>31524.33</v>
      </c>
    </row>
    <row r="176" spans="1:6" s="275" customFormat="1" ht="14" thickBot="1" x14ac:dyDescent="0.2">
      <c r="A176" s="591"/>
      <c r="B176" s="291" t="s">
        <v>1430</v>
      </c>
      <c r="C176" s="291"/>
      <c r="D176" s="292">
        <f>SUM(D174:D174)</f>
        <v>875700</v>
      </c>
      <c r="E176" s="285">
        <f>SUM(E174:E175)</f>
        <v>117854.73</v>
      </c>
    </row>
    <row r="177" spans="1:9" s="275" customFormat="1" ht="14" thickTop="1" x14ac:dyDescent="0.15"/>
    <row r="178" spans="1:9" s="275" customFormat="1" x14ac:dyDescent="0.15">
      <c r="A178" s="591" t="s">
        <v>1423</v>
      </c>
      <c r="B178" s="287" t="s">
        <v>1424</v>
      </c>
      <c r="C178" s="287" t="s">
        <v>1443</v>
      </c>
      <c r="D178" s="596">
        <v>976500</v>
      </c>
      <c r="E178" s="489">
        <v>94189.57</v>
      </c>
    </row>
    <row r="179" spans="1:9" s="275" customFormat="1" x14ac:dyDescent="0.15">
      <c r="A179" s="591" t="s">
        <v>1426</v>
      </c>
      <c r="B179" s="287" t="s">
        <v>1424</v>
      </c>
      <c r="C179" s="287" t="s">
        <v>1441</v>
      </c>
      <c r="E179" s="489">
        <v>45578.05</v>
      </c>
    </row>
    <row r="180" spans="1:9" s="275" customFormat="1" ht="14" thickBot="1" x14ac:dyDescent="0.2">
      <c r="A180" s="591"/>
      <c r="B180" s="291" t="s">
        <v>1431</v>
      </c>
      <c r="C180" s="291"/>
      <c r="D180" s="292">
        <f>SUM(D178:D178)</f>
        <v>976500</v>
      </c>
      <c r="E180" s="285">
        <f>SUM(E178:E179)</f>
        <v>139767.62</v>
      </c>
    </row>
    <row r="181" spans="1:9" s="275" customFormat="1" ht="14" thickTop="1" x14ac:dyDescent="0.15">
      <c r="I181" s="599">
        <f>(H185-I185)/I185</f>
        <v>7.8732106339468297E-2</v>
      </c>
    </row>
    <row r="182" spans="1:9" s="275" customFormat="1" x14ac:dyDescent="0.15">
      <c r="A182" s="591" t="s">
        <v>1423</v>
      </c>
      <c r="B182" s="287" t="s">
        <v>1424</v>
      </c>
      <c r="C182" s="287" t="s">
        <v>1443</v>
      </c>
      <c r="D182" s="596">
        <v>947100</v>
      </c>
      <c r="E182" s="489">
        <v>92467.18</v>
      </c>
      <c r="I182" s="600">
        <f>(H188-I188)/I188</f>
        <v>0.37138862352254404</v>
      </c>
    </row>
    <row r="183" spans="1:9" s="275" customFormat="1" x14ac:dyDescent="0.15">
      <c r="A183" s="591" t="s">
        <v>1426</v>
      </c>
      <c r="B183" s="287" t="s">
        <v>1424</v>
      </c>
      <c r="C183" s="287" t="s">
        <v>1441</v>
      </c>
      <c r="E183" s="489">
        <v>41617.699999999997</v>
      </c>
    </row>
    <row r="184" spans="1:9" s="275" customFormat="1" ht="14" thickBot="1" x14ac:dyDescent="0.2">
      <c r="A184" s="591"/>
      <c r="B184" s="291" t="s">
        <v>1432</v>
      </c>
      <c r="C184" s="291"/>
      <c r="D184" s="292">
        <f>SUM(D182:D182)</f>
        <v>947100</v>
      </c>
      <c r="E184" s="285">
        <f>SUM(E182:E183)</f>
        <v>134084.88</v>
      </c>
      <c r="H184" s="478" t="s">
        <v>7</v>
      </c>
      <c r="I184" s="478" t="s">
        <v>6</v>
      </c>
    </row>
    <row r="185" spans="1:9" s="275" customFormat="1" ht="14" thickTop="1" x14ac:dyDescent="0.15">
      <c r="G185" s="275" t="s">
        <v>1444</v>
      </c>
      <c r="H185" s="524">
        <f>SUM(D170,D174,D178,D182,D186)</f>
        <v>4431000</v>
      </c>
      <c r="I185" s="524">
        <f>SUM(D116,D120,D124,D128,D132)</f>
        <v>4107600</v>
      </c>
    </row>
    <row r="186" spans="1:9" s="275" customFormat="1" x14ac:dyDescent="0.15">
      <c r="A186" s="591" t="s">
        <v>1423</v>
      </c>
      <c r="B186" s="287" t="s">
        <v>1424</v>
      </c>
      <c r="C186" s="287" t="s">
        <v>1443</v>
      </c>
      <c r="D186" s="596">
        <v>747600</v>
      </c>
      <c r="E186" s="489">
        <v>75317.38</v>
      </c>
      <c r="H186" s="278">
        <f>SUM(E170,E174,E178,E182,E186)</f>
        <v>435357</v>
      </c>
      <c r="I186" s="278">
        <f>SUM(E116,E120,E124,E128,E132)</f>
        <v>287008.19</v>
      </c>
    </row>
    <row r="187" spans="1:9" s="275" customFormat="1" x14ac:dyDescent="0.15">
      <c r="A187" s="591" t="s">
        <v>1426</v>
      </c>
      <c r="B187" s="287" t="s">
        <v>1424</v>
      </c>
      <c r="C187" s="287" t="s">
        <v>1441</v>
      </c>
      <c r="E187" s="489">
        <v>35325.199999999997</v>
      </c>
      <c r="H187" s="278">
        <f>SUM(E171,E175,E179,E183,E187)</f>
        <v>197108.7</v>
      </c>
      <c r="I187" s="278">
        <f>SUM(E117,E121,E125,E129,E133)</f>
        <v>174178.15</v>
      </c>
    </row>
    <row r="188" spans="1:9" s="275" customFormat="1" ht="14" thickBot="1" x14ac:dyDescent="0.2">
      <c r="A188" s="591"/>
      <c r="B188" s="291" t="s">
        <v>1433</v>
      </c>
      <c r="C188" s="291"/>
      <c r="D188" s="292">
        <f>SUM(D186:D186)</f>
        <v>747600</v>
      </c>
      <c r="E188" s="285">
        <f>SUM(E186:E187)</f>
        <v>110642.58</v>
      </c>
      <c r="H188" s="601">
        <f>SUM(H186:H187)</f>
        <v>632465.69999999995</v>
      </c>
      <c r="I188" s="601">
        <f>SUM(I186:I187)</f>
        <v>461186.33999999997</v>
      </c>
    </row>
    <row r="189" spans="1:9" s="275" customFormat="1" ht="14" thickTop="1" x14ac:dyDescent="0.15">
      <c r="H189" s="602">
        <f>H188/H185</f>
        <v>0.14273656059580228</v>
      </c>
      <c r="I189" s="602">
        <f>I188/I185</f>
        <v>0.11227635115395851</v>
      </c>
    </row>
    <row r="190" spans="1:9" s="275" customFormat="1" x14ac:dyDescent="0.15">
      <c r="A190" s="591" t="s">
        <v>1423</v>
      </c>
      <c r="B190" s="287" t="s">
        <v>1424</v>
      </c>
      <c r="C190" s="287" t="s">
        <v>1443</v>
      </c>
      <c r="D190" s="596">
        <v>791700</v>
      </c>
      <c r="E190" s="489">
        <v>68459.19</v>
      </c>
    </row>
    <row r="191" spans="1:9" s="275" customFormat="1" x14ac:dyDescent="0.15">
      <c r="A191" s="591" t="s">
        <v>1426</v>
      </c>
      <c r="B191" s="287" t="s">
        <v>1424</v>
      </c>
      <c r="C191" s="287" t="s">
        <v>1441</v>
      </c>
      <c r="E191" s="489">
        <v>36582.36</v>
      </c>
    </row>
    <row r="192" spans="1:9" s="275" customFormat="1" ht="14" thickBot="1" x14ac:dyDescent="0.2">
      <c r="A192" s="591"/>
      <c r="B192" s="291" t="s">
        <v>1434</v>
      </c>
      <c r="C192" s="291"/>
      <c r="D192" s="292">
        <f>SUM(D190:D190)</f>
        <v>791700</v>
      </c>
      <c r="E192" s="285">
        <f>SUM(E190:E191)</f>
        <v>105041.55</v>
      </c>
    </row>
    <row r="193" spans="1:5" s="275" customFormat="1" ht="14" thickTop="1" x14ac:dyDescent="0.15"/>
    <row r="194" spans="1:5" s="275" customFormat="1" x14ac:dyDescent="0.15">
      <c r="A194" s="591" t="s">
        <v>1423</v>
      </c>
      <c r="B194" s="287" t="s">
        <v>1424</v>
      </c>
      <c r="C194" s="287" t="s">
        <v>1443</v>
      </c>
      <c r="D194" s="596">
        <v>415800</v>
      </c>
      <c r="E194" s="489">
        <v>41299.49</v>
      </c>
    </row>
    <row r="195" spans="1:5" s="275" customFormat="1" x14ac:dyDescent="0.15">
      <c r="A195" s="591" t="s">
        <v>1426</v>
      </c>
      <c r="B195" s="287" t="s">
        <v>1424</v>
      </c>
      <c r="C195" s="287" t="s">
        <v>1441</v>
      </c>
      <c r="E195" s="489">
        <v>24199.23</v>
      </c>
    </row>
    <row r="196" spans="1:5" s="275" customFormat="1" ht="14" thickBot="1" x14ac:dyDescent="0.2">
      <c r="A196" s="591"/>
      <c r="B196" s="291" t="s">
        <v>1435</v>
      </c>
      <c r="C196" s="291"/>
      <c r="D196" s="292">
        <f>SUM(D194:D194)</f>
        <v>415800</v>
      </c>
      <c r="E196" s="285">
        <f>SUM(E194:E195)</f>
        <v>65498.720000000001</v>
      </c>
    </row>
    <row r="197" spans="1:5" s="275" customFormat="1" ht="14" thickTop="1" x14ac:dyDescent="0.15"/>
    <row r="198" spans="1:5" s="275" customFormat="1" x14ac:dyDescent="0.15">
      <c r="A198" s="591" t="s">
        <v>1423</v>
      </c>
      <c r="B198" s="287" t="s">
        <v>1424</v>
      </c>
      <c r="C198" s="287" t="s">
        <v>1443</v>
      </c>
      <c r="D198" s="596">
        <v>623700</v>
      </c>
      <c r="E198" s="489">
        <v>56376.39</v>
      </c>
    </row>
    <row r="199" spans="1:5" s="275" customFormat="1" x14ac:dyDescent="0.15">
      <c r="A199" s="591" t="s">
        <v>1426</v>
      </c>
      <c r="B199" s="287" t="s">
        <v>1424</v>
      </c>
      <c r="C199" s="287" t="s">
        <v>1441</v>
      </c>
      <c r="E199" s="489">
        <v>29243.57</v>
      </c>
    </row>
    <row r="200" spans="1:5" s="275" customFormat="1" ht="14" thickBot="1" x14ac:dyDescent="0.2">
      <c r="A200" s="591"/>
      <c r="B200" s="291" t="s">
        <v>1436</v>
      </c>
      <c r="C200" s="291"/>
      <c r="D200" s="292">
        <f>SUM(D198:D198)</f>
        <v>623700</v>
      </c>
      <c r="E200" s="285">
        <f>SUM(E198:E199)</f>
        <v>85619.959999999992</v>
      </c>
    </row>
    <row r="201" spans="1:5" s="275" customFormat="1" ht="14" thickTop="1" x14ac:dyDescent="0.15"/>
    <row r="202" spans="1:5" s="275" customFormat="1" x14ac:dyDescent="0.15">
      <c r="A202" s="591" t="s">
        <v>1423</v>
      </c>
      <c r="B202" s="287" t="s">
        <v>1424</v>
      </c>
      <c r="C202" s="287" t="s">
        <v>1443</v>
      </c>
      <c r="D202" s="596">
        <v>680400</v>
      </c>
      <c r="E202" s="489">
        <v>60042.42</v>
      </c>
    </row>
    <row r="203" spans="1:5" s="275" customFormat="1" x14ac:dyDescent="0.15">
      <c r="A203" s="591" t="s">
        <v>1426</v>
      </c>
      <c r="B203" s="287" t="s">
        <v>1424</v>
      </c>
      <c r="C203" s="287" t="s">
        <v>1441</v>
      </c>
      <c r="E203" s="489">
        <v>38759.42</v>
      </c>
    </row>
    <row r="204" spans="1:5" s="275" customFormat="1" ht="14" thickBot="1" x14ac:dyDescent="0.2">
      <c r="A204" s="591"/>
      <c r="B204" s="291" t="s">
        <v>1437</v>
      </c>
      <c r="C204" s="291"/>
      <c r="D204" s="292">
        <f>SUM(D202:D202)</f>
        <v>680400</v>
      </c>
      <c r="E204" s="285">
        <f>SUM(E202:E203)</f>
        <v>98801.84</v>
      </c>
    </row>
    <row r="205" spans="1:5" s="275" customFormat="1" ht="14" thickTop="1" x14ac:dyDescent="0.15"/>
    <row r="206" spans="1:5" s="275" customFormat="1" x14ac:dyDescent="0.15">
      <c r="A206" s="591" t="s">
        <v>1423</v>
      </c>
      <c r="B206" s="287" t="s">
        <v>1424</v>
      </c>
      <c r="C206" s="287" t="s">
        <v>1443</v>
      </c>
      <c r="D206" s="596">
        <v>672000</v>
      </c>
      <c r="E206" s="489">
        <v>58967.38</v>
      </c>
    </row>
    <row r="207" spans="1:5" s="275" customFormat="1" x14ac:dyDescent="0.15">
      <c r="A207" s="591" t="s">
        <v>1426</v>
      </c>
      <c r="B207" s="287" t="s">
        <v>1424</v>
      </c>
      <c r="C207" s="287" t="s">
        <v>1441</v>
      </c>
      <c r="E207" s="489">
        <v>25294.32</v>
      </c>
    </row>
    <row r="208" spans="1:5" s="275" customFormat="1" ht="14" thickBot="1" x14ac:dyDescent="0.2">
      <c r="A208" s="591"/>
      <c r="B208" s="291" t="s">
        <v>1438</v>
      </c>
      <c r="C208" s="291"/>
      <c r="D208" s="292">
        <f>SUM(D206:D206)</f>
        <v>672000</v>
      </c>
      <c r="E208" s="285">
        <f>SUM(E206:E207)</f>
        <v>84261.7</v>
      </c>
    </row>
    <row r="209" spans="1:6" s="275" customFormat="1" ht="14" thickTop="1" x14ac:dyDescent="0.15"/>
    <row r="210" spans="1:6" s="275" customFormat="1" x14ac:dyDescent="0.15">
      <c r="A210" s="591" t="s">
        <v>1423</v>
      </c>
      <c r="B210" s="287" t="s">
        <v>1424</v>
      </c>
      <c r="C210" s="287" t="s">
        <v>1443</v>
      </c>
      <c r="D210" s="596">
        <v>963900</v>
      </c>
      <c r="E210" s="489">
        <v>80033.600000000006</v>
      </c>
    </row>
    <row r="211" spans="1:6" s="275" customFormat="1" x14ac:dyDescent="0.15">
      <c r="A211" s="591" t="s">
        <v>1426</v>
      </c>
      <c r="B211" s="287" t="s">
        <v>1424</v>
      </c>
      <c r="C211" s="287" t="s">
        <v>1441</v>
      </c>
      <c r="E211" s="489">
        <v>42939.73</v>
      </c>
    </row>
    <row r="212" spans="1:6" s="275" customFormat="1" ht="14" thickBot="1" x14ac:dyDescent="0.2">
      <c r="A212" s="591"/>
      <c r="B212" s="291" t="s">
        <v>1427</v>
      </c>
      <c r="C212" s="291"/>
      <c r="D212" s="292">
        <f>SUM(D210:D210)</f>
        <v>963900</v>
      </c>
      <c r="E212" s="285">
        <f>SUM(E210:E211)</f>
        <v>122973.33000000002</v>
      </c>
    </row>
    <row r="213" spans="1:6" s="275" customFormat="1" ht="14" thickTop="1" x14ac:dyDescent="0.15"/>
    <row r="214" spans="1:6" s="275" customFormat="1" x14ac:dyDescent="0.15">
      <c r="A214" s="591" t="s">
        <v>1423</v>
      </c>
      <c r="B214" s="287" t="s">
        <v>1424</v>
      </c>
      <c r="C214" s="287" t="s">
        <v>1443</v>
      </c>
      <c r="D214" s="596">
        <v>909300</v>
      </c>
      <c r="E214" s="489">
        <v>71387.240000000005</v>
      </c>
    </row>
    <row r="215" spans="1:6" s="275" customFormat="1" x14ac:dyDescent="0.15">
      <c r="A215" s="591" t="s">
        <v>1426</v>
      </c>
      <c r="B215" s="287" t="s">
        <v>1424</v>
      </c>
      <c r="C215" s="287" t="s">
        <v>1441</v>
      </c>
      <c r="E215" s="489">
        <v>45160.83</v>
      </c>
    </row>
    <row r="216" spans="1:6" s="275" customFormat="1" ht="14" thickBot="1" x14ac:dyDescent="0.2">
      <c r="A216" s="591"/>
      <c r="B216" s="291" t="s">
        <v>1428</v>
      </c>
      <c r="C216" s="291"/>
      <c r="D216" s="292">
        <f>SUM(D214:D214)</f>
        <v>909300</v>
      </c>
      <c r="E216" s="285">
        <f>SUM(E214:E215)</f>
        <v>116548.07</v>
      </c>
    </row>
    <row r="217" spans="1:6" s="275" customFormat="1" ht="14" thickTop="1" x14ac:dyDescent="0.15"/>
    <row r="218" spans="1:6" ht="14" thickBot="1" x14ac:dyDescent="0.2"/>
    <row r="219" spans="1:6" ht="31" thickBot="1" x14ac:dyDescent="0.35">
      <c r="A219" s="770" t="s">
        <v>1110</v>
      </c>
      <c r="B219" s="771"/>
      <c r="C219" s="771"/>
      <c r="D219" s="771"/>
      <c r="E219" s="771"/>
      <c r="F219" s="772"/>
    </row>
    <row r="221" spans="1:6" s="319" customFormat="1" x14ac:dyDescent="0.15">
      <c r="A221" s="603" t="s">
        <v>1423</v>
      </c>
      <c r="B221" s="337" t="s">
        <v>1424</v>
      </c>
      <c r="C221" s="337" t="s">
        <v>1443</v>
      </c>
      <c r="D221" s="604">
        <v>1022700</v>
      </c>
      <c r="E221" s="499">
        <v>79495.34</v>
      </c>
    </row>
    <row r="222" spans="1:6" s="319" customFormat="1" x14ac:dyDescent="0.15">
      <c r="A222" s="603" t="s">
        <v>1426</v>
      </c>
      <c r="B222" s="337" t="s">
        <v>1424</v>
      </c>
      <c r="C222" s="337" t="s">
        <v>1441</v>
      </c>
      <c r="D222" s="310"/>
      <c r="E222" s="499">
        <v>37165.730000000003</v>
      </c>
    </row>
    <row r="223" spans="1:6" s="319" customFormat="1" ht="14" thickBot="1" x14ac:dyDescent="0.2">
      <c r="A223" s="603"/>
      <c r="B223" s="340" t="s">
        <v>1439</v>
      </c>
      <c r="C223" s="340"/>
      <c r="D223" s="605">
        <f>SUM(D221:D221)</f>
        <v>1022700</v>
      </c>
      <c r="E223" s="341">
        <f>SUM(E221:E222)</f>
        <v>116661.07</v>
      </c>
    </row>
    <row r="224" spans="1:6" ht="14" thickTop="1" x14ac:dyDescent="0.15"/>
    <row r="225" spans="1:9" s="319" customFormat="1" x14ac:dyDescent="0.15">
      <c r="A225" s="603" t="s">
        <v>1423</v>
      </c>
      <c r="B225" s="337" t="s">
        <v>1424</v>
      </c>
      <c r="C225" s="337" t="s">
        <v>1443</v>
      </c>
      <c r="D225" s="604">
        <v>1079400</v>
      </c>
      <c r="E225" s="499">
        <v>83549.39</v>
      </c>
    </row>
    <row r="226" spans="1:9" s="319" customFormat="1" x14ac:dyDescent="0.15">
      <c r="A226" s="603" t="s">
        <v>1426</v>
      </c>
      <c r="B226" s="337" t="s">
        <v>1424</v>
      </c>
      <c r="C226" s="337" t="s">
        <v>1441</v>
      </c>
      <c r="E226" s="499">
        <v>37984.82</v>
      </c>
    </row>
    <row r="227" spans="1:9" s="319" customFormat="1" ht="14" thickBot="1" x14ac:dyDescent="0.2">
      <c r="A227" s="603"/>
      <c r="B227" s="340" t="s">
        <v>1430</v>
      </c>
      <c r="C227" s="340"/>
      <c r="D227" s="605">
        <f>SUM(D225:D225)</f>
        <v>1079400</v>
      </c>
      <c r="E227" s="341">
        <f>SUM(E225:E226)</f>
        <v>121534.20999999999</v>
      </c>
    </row>
    <row r="228" spans="1:9" ht="14" thickTop="1" x14ac:dyDescent="0.15"/>
    <row r="229" spans="1:9" s="319" customFormat="1" x14ac:dyDescent="0.15">
      <c r="A229" s="603" t="s">
        <v>1423</v>
      </c>
      <c r="B229" s="337" t="s">
        <v>1424</v>
      </c>
      <c r="C229" s="337" t="s">
        <v>1443</v>
      </c>
      <c r="D229" s="604">
        <v>1094100</v>
      </c>
      <c r="E229" s="499">
        <v>84600.44</v>
      </c>
    </row>
    <row r="230" spans="1:9" s="319" customFormat="1" x14ac:dyDescent="0.15">
      <c r="A230" s="603" t="s">
        <v>1426</v>
      </c>
      <c r="B230" s="337" t="s">
        <v>1424</v>
      </c>
      <c r="C230" s="337" t="s">
        <v>1441</v>
      </c>
      <c r="E230" s="499">
        <v>40923.43</v>
      </c>
    </row>
    <row r="231" spans="1:9" s="319" customFormat="1" ht="14" thickBot="1" x14ac:dyDescent="0.2">
      <c r="A231" s="603"/>
      <c r="B231" s="340" t="s">
        <v>1431</v>
      </c>
      <c r="C231" s="340"/>
      <c r="D231" s="605">
        <f>SUM(D229:D229)</f>
        <v>1094100</v>
      </c>
      <c r="E231" s="341">
        <f>SUM(E229:E230)</f>
        <v>125523.87</v>
      </c>
    </row>
    <row r="232" spans="1:9" ht="17" thickTop="1" x14ac:dyDescent="0.2">
      <c r="I232" s="606">
        <f>(H236-I236)/I236</f>
        <v>9.7630331753554497E-2</v>
      </c>
    </row>
    <row r="233" spans="1:9" s="319" customFormat="1" x14ac:dyDescent="0.15">
      <c r="A233" s="603" t="s">
        <v>1423</v>
      </c>
      <c r="B233" s="337" t="s">
        <v>1424</v>
      </c>
      <c r="C233" s="337" t="s">
        <v>1443</v>
      </c>
      <c r="D233" s="604">
        <v>1008000</v>
      </c>
      <c r="E233" s="499">
        <v>78444.289999999994</v>
      </c>
      <c r="I233" s="607">
        <f>(H239-I239)/I239</f>
        <v>-0.10331534184383426</v>
      </c>
    </row>
    <row r="234" spans="1:9" s="319" customFormat="1" x14ac:dyDescent="0.15">
      <c r="A234" s="603" t="s">
        <v>1426</v>
      </c>
      <c r="B234" s="337" t="s">
        <v>1424</v>
      </c>
      <c r="C234" s="337" t="s">
        <v>1441</v>
      </c>
      <c r="E234" s="499">
        <v>49030.07</v>
      </c>
    </row>
    <row r="235" spans="1:9" s="319" customFormat="1" ht="14" thickBot="1" x14ac:dyDescent="0.2">
      <c r="A235" s="603"/>
      <c r="B235" s="340" t="s">
        <v>1432</v>
      </c>
      <c r="C235" s="340"/>
      <c r="D235" s="605">
        <f>SUM(D233:D233)</f>
        <v>1008000</v>
      </c>
      <c r="E235" s="341">
        <f>SUM(E233:E234)</f>
        <v>127474.35999999999</v>
      </c>
      <c r="H235" s="347" t="s">
        <v>7</v>
      </c>
      <c r="I235" s="347" t="s">
        <v>6</v>
      </c>
    </row>
    <row r="236" spans="1:9" ht="14" thickTop="1" x14ac:dyDescent="0.15">
      <c r="G236" s="319" t="s">
        <v>1444</v>
      </c>
      <c r="H236" s="608">
        <f>SUM(D221,D225,D229,D233,D237)</f>
        <v>4863600</v>
      </c>
      <c r="I236" s="608">
        <f>SUM(D170,D174,D178,D182,D186)</f>
        <v>4431000</v>
      </c>
    </row>
    <row r="237" spans="1:9" s="319" customFormat="1" x14ac:dyDescent="0.15">
      <c r="A237" s="603" t="s">
        <v>1423</v>
      </c>
      <c r="B237" s="337" t="s">
        <v>1424</v>
      </c>
      <c r="C237" s="337" t="s">
        <v>1443</v>
      </c>
      <c r="D237" s="604">
        <v>659400</v>
      </c>
      <c r="E237" s="499">
        <v>53494.05</v>
      </c>
      <c r="H237" s="349">
        <f>SUM(E221,E225,E229,E233,E237)</f>
        <v>379583.50999999995</v>
      </c>
      <c r="I237" s="349">
        <f>SUM(E170,E174,E178,E182,E186)</f>
        <v>435357</v>
      </c>
    </row>
    <row r="238" spans="1:9" s="319" customFormat="1" x14ac:dyDescent="0.15">
      <c r="A238" s="603" t="s">
        <v>1426</v>
      </c>
      <c r="B238" s="337" t="s">
        <v>1424</v>
      </c>
      <c r="C238" s="337" t="s">
        <v>1441</v>
      </c>
      <c r="E238" s="499">
        <v>22434.73</v>
      </c>
      <c r="H238" s="349">
        <f>SUM(E222,E226,E230,E234,E238)</f>
        <v>187538.78000000003</v>
      </c>
      <c r="I238" s="349">
        <f>SUM(E171,E175,E179,E183,E187)</f>
        <v>197108.7</v>
      </c>
    </row>
    <row r="239" spans="1:9" s="319" customFormat="1" ht="14" thickBot="1" x14ac:dyDescent="0.2">
      <c r="A239" s="603"/>
      <c r="B239" s="340" t="s">
        <v>1433</v>
      </c>
      <c r="C239" s="340"/>
      <c r="D239" s="605">
        <f>SUM(D237:D237)</f>
        <v>659400</v>
      </c>
      <c r="E239" s="341">
        <f>SUM(E237:E238)</f>
        <v>75928.78</v>
      </c>
      <c r="H239" s="609">
        <f>SUM(H237:H238)</f>
        <v>567122.29</v>
      </c>
      <c r="I239" s="609">
        <f>SUM(I237:I238)</f>
        <v>632465.69999999995</v>
      </c>
    </row>
    <row r="240" spans="1:9" ht="14" thickTop="1" x14ac:dyDescent="0.15">
      <c r="H240" s="610">
        <f>H239/H236</f>
        <v>0.11660545480713876</v>
      </c>
      <c r="I240" s="610">
        <f>I239/I236</f>
        <v>0.14273656059580228</v>
      </c>
    </row>
    <row r="241" spans="1:5" s="319" customFormat="1" x14ac:dyDescent="0.15">
      <c r="A241" s="603" t="s">
        <v>1423</v>
      </c>
      <c r="B241" s="337" t="s">
        <v>1424</v>
      </c>
      <c r="C241" s="337" t="s">
        <v>1443</v>
      </c>
      <c r="D241" s="604">
        <v>567000</v>
      </c>
      <c r="E241" s="499">
        <v>47431.839999999997</v>
      </c>
    </row>
    <row r="242" spans="1:5" s="319" customFormat="1" x14ac:dyDescent="0.15">
      <c r="A242" s="603" t="s">
        <v>1426</v>
      </c>
      <c r="B242" s="337" t="s">
        <v>1424</v>
      </c>
      <c r="C242" s="337" t="s">
        <v>1441</v>
      </c>
      <c r="E242" s="499">
        <v>34149.82</v>
      </c>
    </row>
    <row r="243" spans="1:5" s="319" customFormat="1" ht="14" thickBot="1" x14ac:dyDescent="0.2">
      <c r="A243" s="603"/>
      <c r="B243" s="340" t="s">
        <v>1434</v>
      </c>
      <c r="C243" s="340"/>
      <c r="D243" s="605">
        <f>SUM(D241:D241)</f>
        <v>567000</v>
      </c>
      <c r="E243" s="341">
        <f>SUM(E241:E242)</f>
        <v>81581.66</v>
      </c>
    </row>
    <row r="244" spans="1:5" ht="14" thickTop="1" x14ac:dyDescent="0.15"/>
    <row r="245" spans="1:5" s="319" customFormat="1" x14ac:dyDescent="0.15">
      <c r="A245" s="603" t="s">
        <v>1423</v>
      </c>
      <c r="B245" s="337" t="s">
        <v>1424</v>
      </c>
      <c r="C245" s="337" t="s">
        <v>1443</v>
      </c>
      <c r="D245" s="604">
        <v>415800</v>
      </c>
      <c r="E245" s="499">
        <v>36505.300000000003</v>
      </c>
    </row>
    <row r="246" spans="1:5" s="319" customFormat="1" x14ac:dyDescent="0.15">
      <c r="A246" s="603" t="s">
        <v>1426</v>
      </c>
      <c r="B246" s="337" t="s">
        <v>1424</v>
      </c>
      <c r="C246" s="337" t="s">
        <v>1441</v>
      </c>
      <c r="E246" s="499">
        <v>15561.04</v>
      </c>
    </row>
    <row r="247" spans="1:5" s="319" customFormat="1" ht="14" thickBot="1" x14ac:dyDescent="0.2">
      <c r="A247" s="603"/>
      <c r="B247" s="340" t="s">
        <v>1435</v>
      </c>
      <c r="C247" s="340"/>
      <c r="D247" s="605">
        <f>SUM(D245:D245)</f>
        <v>415800</v>
      </c>
      <c r="E247" s="341">
        <f>SUM(E245:E246)</f>
        <v>52066.340000000004</v>
      </c>
    </row>
    <row r="248" spans="1:5" ht="14" thickTop="1" x14ac:dyDescent="0.15"/>
    <row r="249" spans="1:5" s="319" customFormat="1" x14ac:dyDescent="0.15">
      <c r="A249" s="603" t="s">
        <v>1423</v>
      </c>
      <c r="B249" s="337" t="s">
        <v>1424</v>
      </c>
      <c r="C249" s="337" t="s">
        <v>1443</v>
      </c>
      <c r="D249" s="604">
        <v>455700</v>
      </c>
      <c r="E249" s="499">
        <v>39392.43</v>
      </c>
    </row>
    <row r="250" spans="1:5" s="319" customFormat="1" x14ac:dyDescent="0.15">
      <c r="A250" s="603" t="s">
        <v>1426</v>
      </c>
      <c r="B250" s="337" t="s">
        <v>1424</v>
      </c>
      <c r="C250" s="337" t="s">
        <v>1441</v>
      </c>
      <c r="E250" s="499">
        <v>26005.58</v>
      </c>
    </row>
    <row r="251" spans="1:5" s="319" customFormat="1" ht="14" thickBot="1" x14ac:dyDescent="0.2">
      <c r="A251" s="603"/>
      <c r="B251" s="340" t="s">
        <v>1436</v>
      </c>
      <c r="C251" s="340"/>
      <c r="D251" s="605">
        <f>SUM(D249:D249)</f>
        <v>455700</v>
      </c>
      <c r="E251" s="341">
        <f>SUM(E249:E250)</f>
        <v>65398.01</v>
      </c>
    </row>
    <row r="252" spans="1:5" ht="14" thickTop="1" x14ac:dyDescent="0.15"/>
    <row r="253" spans="1:5" s="319" customFormat="1" x14ac:dyDescent="0.15">
      <c r="A253" s="603" t="s">
        <v>1423</v>
      </c>
      <c r="B253" s="337" t="s">
        <v>1424</v>
      </c>
      <c r="C253" s="337" t="s">
        <v>1443</v>
      </c>
      <c r="D253" s="604">
        <v>556500</v>
      </c>
      <c r="E253" s="499">
        <v>46222.43</v>
      </c>
    </row>
    <row r="254" spans="1:5" s="319" customFormat="1" x14ac:dyDescent="0.15">
      <c r="A254" s="603" t="s">
        <v>1426</v>
      </c>
      <c r="B254" s="337" t="s">
        <v>1424</v>
      </c>
      <c r="C254" s="337" t="s">
        <v>1441</v>
      </c>
      <c r="E254" s="499">
        <v>25426.01</v>
      </c>
    </row>
    <row r="255" spans="1:5" s="319" customFormat="1" ht="14" thickBot="1" x14ac:dyDescent="0.2">
      <c r="A255" s="603"/>
      <c r="B255" s="340" t="s">
        <v>1437</v>
      </c>
      <c r="C255" s="340"/>
      <c r="D255" s="605">
        <f>SUM(D253:D253)</f>
        <v>556500</v>
      </c>
      <c r="E255" s="341">
        <f>SUM(E253:E254)</f>
        <v>71648.44</v>
      </c>
    </row>
    <row r="256" spans="1:5" ht="14" thickTop="1" x14ac:dyDescent="0.15"/>
    <row r="257" spans="1:6" s="319" customFormat="1" x14ac:dyDescent="0.15">
      <c r="A257" s="603" t="s">
        <v>1423</v>
      </c>
      <c r="B257" s="337" t="s">
        <v>1424</v>
      </c>
      <c r="C257" s="337" t="s">
        <v>1443</v>
      </c>
      <c r="D257" s="604">
        <v>737100</v>
      </c>
      <c r="E257" s="499">
        <v>59121.08</v>
      </c>
    </row>
    <row r="258" spans="1:6" s="319" customFormat="1" x14ac:dyDescent="0.15">
      <c r="A258" s="603" t="s">
        <v>1426</v>
      </c>
      <c r="B258" s="337" t="s">
        <v>1424</v>
      </c>
      <c r="C258" s="337" t="s">
        <v>1441</v>
      </c>
      <c r="E258" s="499">
        <v>33924.239999999998</v>
      </c>
    </row>
    <row r="259" spans="1:6" s="319" customFormat="1" ht="14" thickBot="1" x14ac:dyDescent="0.2">
      <c r="A259" s="603"/>
      <c r="B259" s="340" t="s">
        <v>1438</v>
      </c>
      <c r="C259" s="340"/>
      <c r="D259" s="605">
        <f>SUM(D257:D257)</f>
        <v>737100</v>
      </c>
      <c r="E259" s="341">
        <f>SUM(E257:E258)</f>
        <v>93045.32</v>
      </c>
    </row>
    <row r="260" spans="1:6" ht="14" thickTop="1" x14ac:dyDescent="0.15"/>
    <row r="261" spans="1:6" s="319" customFormat="1" x14ac:dyDescent="0.15">
      <c r="A261" s="603" t="s">
        <v>1423</v>
      </c>
      <c r="B261" s="337" t="s">
        <v>1424</v>
      </c>
      <c r="C261" s="337" t="s">
        <v>1443</v>
      </c>
      <c r="D261" s="604">
        <v>871500</v>
      </c>
      <c r="E261" s="499">
        <v>68729.83</v>
      </c>
    </row>
    <row r="262" spans="1:6" s="319" customFormat="1" x14ac:dyDescent="0.15">
      <c r="A262" s="603" t="s">
        <v>1426</v>
      </c>
      <c r="B262" s="337" t="s">
        <v>1424</v>
      </c>
      <c r="C262" s="337" t="s">
        <v>1441</v>
      </c>
      <c r="E262" s="499">
        <v>40746.25</v>
      </c>
    </row>
    <row r="263" spans="1:6" s="319" customFormat="1" ht="14" thickBot="1" x14ac:dyDescent="0.2">
      <c r="A263" s="603"/>
      <c r="B263" s="340" t="s">
        <v>1427</v>
      </c>
      <c r="C263" s="340"/>
      <c r="D263" s="605">
        <f>SUM(D261:D261)</f>
        <v>871500</v>
      </c>
      <c r="E263" s="341">
        <f>SUM(E261:E262)</f>
        <v>109476.08</v>
      </c>
    </row>
    <row r="264" spans="1:6" ht="14" thickTop="1" x14ac:dyDescent="0.15"/>
    <row r="265" spans="1:6" s="319" customFormat="1" x14ac:dyDescent="0.15">
      <c r="A265" s="603" t="s">
        <v>1423</v>
      </c>
      <c r="B265" s="337" t="s">
        <v>1424</v>
      </c>
      <c r="C265" s="337" t="s">
        <v>1443</v>
      </c>
      <c r="D265" s="604">
        <v>1102500</v>
      </c>
      <c r="E265" s="499">
        <f>94856.95+294.53</f>
        <v>95151.48</v>
      </c>
    </row>
    <row r="266" spans="1:6" s="319" customFormat="1" x14ac:dyDescent="0.15">
      <c r="A266" s="603" t="s">
        <v>1426</v>
      </c>
      <c r="B266" s="337" t="s">
        <v>1424</v>
      </c>
      <c r="C266" s="337" t="s">
        <v>1441</v>
      </c>
      <c r="E266" s="499">
        <v>54728.160000000003</v>
      </c>
    </row>
    <row r="267" spans="1:6" s="319" customFormat="1" ht="14" thickBot="1" x14ac:dyDescent="0.2">
      <c r="A267" s="603"/>
      <c r="B267" s="340" t="s">
        <v>1428</v>
      </c>
      <c r="C267" s="340"/>
      <c r="D267" s="605">
        <f>SUM(D265:D265)</f>
        <v>1102500</v>
      </c>
      <c r="E267" s="341">
        <f>SUM(E265:E266)</f>
        <v>149879.64000000001</v>
      </c>
    </row>
    <row r="268" spans="1:6" ht="15" thickTop="1" thickBot="1" x14ac:dyDescent="0.2"/>
    <row r="269" spans="1:6" ht="31" thickBot="1" x14ac:dyDescent="0.35">
      <c r="A269" s="770" t="s">
        <v>1112</v>
      </c>
      <c r="B269" s="771"/>
      <c r="C269" s="771"/>
      <c r="D269" s="771"/>
      <c r="E269" s="771"/>
      <c r="F269" s="772"/>
    </row>
    <row r="271" spans="1:6" s="319" customFormat="1" x14ac:dyDescent="0.15">
      <c r="A271" s="603" t="s">
        <v>1423</v>
      </c>
      <c r="B271" s="337" t="s">
        <v>1424</v>
      </c>
      <c r="C271" s="337" t="s">
        <v>1443</v>
      </c>
      <c r="D271" s="604">
        <v>930300</v>
      </c>
      <c r="E271" s="499">
        <v>82544.72</v>
      </c>
    </row>
    <row r="272" spans="1:6" s="319" customFormat="1" x14ac:dyDescent="0.15">
      <c r="A272" s="603" t="s">
        <v>1426</v>
      </c>
      <c r="B272" s="337" t="s">
        <v>1424</v>
      </c>
      <c r="C272" s="337" t="s">
        <v>1441</v>
      </c>
      <c r="D272" s="310"/>
      <c r="E272" s="499">
        <v>62344.94</v>
      </c>
    </row>
    <row r="273" spans="1:9" s="319" customFormat="1" ht="14" thickBot="1" x14ac:dyDescent="0.2">
      <c r="A273" s="603"/>
      <c r="B273" s="340" t="s">
        <v>1439</v>
      </c>
      <c r="C273" s="340"/>
      <c r="D273" s="605">
        <f>SUM(D271:D271)</f>
        <v>930300</v>
      </c>
      <c r="E273" s="341">
        <f>SUM(E271:E272)</f>
        <v>144889.66</v>
      </c>
    </row>
    <row r="274" spans="1:9" ht="14" thickTop="1" x14ac:dyDescent="0.15"/>
    <row r="275" spans="1:9" s="319" customFormat="1" x14ac:dyDescent="0.15">
      <c r="A275" s="603" t="s">
        <v>1423</v>
      </c>
      <c r="B275" s="337" t="s">
        <v>1424</v>
      </c>
      <c r="C275" s="337" t="s">
        <v>1443</v>
      </c>
      <c r="D275" s="604">
        <v>921900</v>
      </c>
      <c r="E275" s="499">
        <v>81944.05</v>
      </c>
    </row>
    <row r="276" spans="1:9" s="319" customFormat="1" x14ac:dyDescent="0.15">
      <c r="A276" s="603" t="s">
        <v>1426</v>
      </c>
      <c r="B276" s="337" t="s">
        <v>1424</v>
      </c>
      <c r="C276" s="337" t="s">
        <v>1441</v>
      </c>
      <c r="D276" s="310"/>
      <c r="E276" s="499">
        <v>42440.83</v>
      </c>
    </row>
    <row r="277" spans="1:9" s="319" customFormat="1" ht="14" thickBot="1" x14ac:dyDescent="0.2">
      <c r="A277" s="603"/>
      <c r="B277" s="340" t="s">
        <v>1430</v>
      </c>
      <c r="C277" s="340"/>
      <c r="D277" s="605">
        <f>SUM(D275:D275)</f>
        <v>921900</v>
      </c>
      <c r="E277" s="341">
        <f>SUM(E275:E276)</f>
        <v>124384.88</v>
      </c>
    </row>
    <row r="278" spans="1:9" ht="14" thickTop="1" x14ac:dyDescent="0.15"/>
    <row r="279" spans="1:9" s="319" customFormat="1" x14ac:dyDescent="0.15">
      <c r="A279" s="603" t="s">
        <v>1423</v>
      </c>
      <c r="B279" s="337" t="s">
        <v>1424</v>
      </c>
      <c r="C279" s="337" t="s">
        <v>1443</v>
      </c>
      <c r="D279" s="611">
        <v>1094100</v>
      </c>
      <c r="E279" s="352">
        <v>84600.44</v>
      </c>
    </row>
    <row r="280" spans="1:9" s="319" customFormat="1" x14ac:dyDescent="0.15">
      <c r="A280" s="603" t="s">
        <v>1426</v>
      </c>
      <c r="B280" s="337" t="s">
        <v>1424</v>
      </c>
      <c r="C280" s="337" t="s">
        <v>1441</v>
      </c>
      <c r="D280" s="310"/>
      <c r="E280" s="352">
        <v>40923.43</v>
      </c>
    </row>
    <row r="281" spans="1:9" s="319" customFormat="1" ht="14" thickBot="1" x14ac:dyDescent="0.2">
      <c r="A281" s="603"/>
      <c r="B281" s="340" t="s">
        <v>1431</v>
      </c>
      <c r="C281" s="340"/>
      <c r="D281" s="605">
        <f>SUM(D279:D279)</f>
        <v>1094100</v>
      </c>
      <c r="E281" s="341">
        <f>SUM(E279:E280)</f>
        <v>125523.87</v>
      </c>
    </row>
    <row r="282" spans="1:9" ht="17" thickTop="1" x14ac:dyDescent="0.2">
      <c r="I282" s="606" t="e">
        <f>(H286-I286)/I286</f>
        <v>#DIV/0!</v>
      </c>
    </row>
    <row r="283" spans="1:9" s="319" customFormat="1" x14ac:dyDescent="0.15">
      <c r="A283" s="603" t="s">
        <v>1423</v>
      </c>
      <c r="B283" s="337" t="s">
        <v>1424</v>
      </c>
      <c r="C283" s="337" t="s">
        <v>1443</v>
      </c>
      <c r="D283" s="611">
        <v>1008000</v>
      </c>
      <c r="E283" s="352">
        <v>78444.289999999994</v>
      </c>
      <c r="I283" s="607">
        <f>(H289-I289)/I289</f>
        <v>0.57594187903473504</v>
      </c>
    </row>
    <row r="284" spans="1:9" s="319" customFormat="1" x14ac:dyDescent="0.15">
      <c r="A284" s="603" t="s">
        <v>1426</v>
      </c>
      <c r="B284" s="337" t="s">
        <v>1424</v>
      </c>
      <c r="C284" s="337" t="s">
        <v>1441</v>
      </c>
      <c r="D284" s="310"/>
      <c r="E284" s="352">
        <v>49030.07</v>
      </c>
    </row>
    <row r="285" spans="1:9" s="319" customFormat="1" ht="14" thickBot="1" x14ac:dyDescent="0.2">
      <c r="A285" s="603"/>
      <c r="B285" s="340" t="s">
        <v>1432</v>
      </c>
      <c r="C285" s="340"/>
      <c r="D285" s="605">
        <f>SUM(D283:D283)</f>
        <v>1008000</v>
      </c>
      <c r="E285" s="341">
        <f>SUM(E283:E284)</f>
        <v>127474.35999999999</v>
      </c>
      <c r="H285" s="347" t="s">
        <v>7</v>
      </c>
      <c r="I285" s="347" t="s">
        <v>1445</v>
      </c>
    </row>
    <row r="286" spans="1:9" ht="14" thickTop="1" x14ac:dyDescent="0.15">
      <c r="G286" s="319" t="s">
        <v>1444</v>
      </c>
      <c r="H286" s="608">
        <f>SUM(D271,D275,D279,D283,D287)</f>
        <v>4613700</v>
      </c>
      <c r="I286" s="608">
        <f>SUM(D220,D224,D228,D232,D236)</f>
        <v>0</v>
      </c>
    </row>
    <row r="287" spans="1:9" s="319" customFormat="1" x14ac:dyDescent="0.15">
      <c r="A287" s="603" t="s">
        <v>1423</v>
      </c>
      <c r="B287" s="337" t="s">
        <v>1424</v>
      </c>
      <c r="C287" s="337" t="s">
        <v>1443</v>
      </c>
      <c r="D287" s="611">
        <v>659400</v>
      </c>
      <c r="E287" s="352">
        <v>53494.05</v>
      </c>
      <c r="H287" s="349">
        <f>SUM(E271,E275,E279,E283,E287)</f>
        <v>381027.55</v>
      </c>
      <c r="I287" s="349">
        <f>SUM(E220,E224,E228,E232,E236)</f>
        <v>0</v>
      </c>
    </row>
    <row r="288" spans="1:9" s="319" customFormat="1" x14ac:dyDescent="0.15">
      <c r="A288" s="603" t="s">
        <v>1426</v>
      </c>
      <c r="B288" s="337" t="s">
        <v>1424</v>
      </c>
      <c r="C288" s="337" t="s">
        <v>1441</v>
      </c>
      <c r="D288" s="310"/>
      <c r="E288" s="352">
        <v>22434.73</v>
      </c>
      <c r="H288" s="349">
        <f>SUM(E272,E276,E280,E284,E288)</f>
        <v>217174.00000000003</v>
      </c>
      <c r="I288" s="349">
        <f>SUM(E221,E225,E229,E233,E237)</f>
        <v>379583.50999999995</v>
      </c>
    </row>
    <row r="289" spans="1:9" s="319" customFormat="1" ht="14" thickBot="1" x14ac:dyDescent="0.2">
      <c r="A289" s="603"/>
      <c r="B289" s="340" t="s">
        <v>1433</v>
      </c>
      <c r="C289" s="340"/>
      <c r="D289" s="605">
        <f>SUM(D287:D287)</f>
        <v>659400</v>
      </c>
      <c r="E289" s="341">
        <f>SUM(E287:E288)</f>
        <v>75928.78</v>
      </c>
      <c r="H289" s="609">
        <f>SUM(H287:H288)</f>
        <v>598201.55000000005</v>
      </c>
      <c r="I289" s="609">
        <f>SUM(I287:I288)</f>
        <v>379583.50999999995</v>
      </c>
    </row>
    <row r="290" spans="1:9" ht="14" thickTop="1" x14ac:dyDescent="0.15">
      <c r="H290" s="610">
        <f>H289/H286</f>
        <v>0.12965766087955438</v>
      </c>
      <c r="I290" s="610" t="e">
        <f>I289/I286</f>
        <v>#DIV/0!</v>
      </c>
    </row>
    <row r="291" spans="1:9" s="319" customFormat="1" x14ac:dyDescent="0.15">
      <c r="A291" s="603" t="s">
        <v>1423</v>
      </c>
      <c r="B291" s="337" t="s">
        <v>1424</v>
      </c>
      <c r="C291" s="337" t="s">
        <v>1443</v>
      </c>
      <c r="D291" s="611">
        <v>567000</v>
      </c>
      <c r="E291" s="352">
        <v>47431.839999999997</v>
      </c>
    </row>
    <row r="292" spans="1:9" s="319" customFormat="1" x14ac:dyDescent="0.15">
      <c r="A292" s="603" t="s">
        <v>1426</v>
      </c>
      <c r="B292" s="337" t="s">
        <v>1424</v>
      </c>
      <c r="C292" s="337" t="s">
        <v>1441</v>
      </c>
      <c r="D292" s="310"/>
      <c r="E292" s="352">
        <v>34149.82</v>
      </c>
    </row>
    <row r="293" spans="1:9" s="319" customFormat="1" ht="14" thickBot="1" x14ac:dyDescent="0.2">
      <c r="A293" s="603"/>
      <c r="B293" s="340" t="s">
        <v>1434</v>
      </c>
      <c r="C293" s="340"/>
      <c r="D293" s="605">
        <f>SUM(D291:D291)</f>
        <v>567000</v>
      </c>
      <c r="E293" s="341">
        <f>SUM(E291:E292)</f>
        <v>81581.66</v>
      </c>
    </row>
    <row r="294" spans="1:9" ht="14" thickTop="1" x14ac:dyDescent="0.15"/>
    <row r="295" spans="1:9" s="319" customFormat="1" x14ac:dyDescent="0.15">
      <c r="A295" s="603" t="s">
        <v>1423</v>
      </c>
      <c r="B295" s="337" t="s">
        <v>1424</v>
      </c>
      <c r="C295" s="337" t="s">
        <v>1443</v>
      </c>
      <c r="D295" s="611">
        <v>415800</v>
      </c>
      <c r="E295" s="352">
        <v>36505.300000000003</v>
      </c>
    </row>
    <row r="296" spans="1:9" s="319" customFormat="1" x14ac:dyDescent="0.15">
      <c r="A296" s="603" t="s">
        <v>1426</v>
      </c>
      <c r="B296" s="337" t="s">
        <v>1424</v>
      </c>
      <c r="C296" s="337" t="s">
        <v>1441</v>
      </c>
      <c r="D296" s="310"/>
      <c r="E296" s="352">
        <v>15561.04</v>
      </c>
    </row>
    <row r="297" spans="1:9" s="319" customFormat="1" ht="14" thickBot="1" x14ac:dyDescent="0.2">
      <c r="A297" s="603"/>
      <c r="B297" s="340" t="s">
        <v>1435</v>
      </c>
      <c r="C297" s="340"/>
      <c r="D297" s="605">
        <f>SUM(D295:D295)</f>
        <v>415800</v>
      </c>
      <c r="E297" s="341">
        <f>SUM(E295:E296)</f>
        <v>52066.340000000004</v>
      </c>
    </row>
    <row r="298" spans="1:9" ht="14" thickTop="1" x14ac:dyDescent="0.15"/>
    <row r="299" spans="1:9" s="319" customFormat="1" x14ac:dyDescent="0.15">
      <c r="A299" s="603" t="s">
        <v>1423</v>
      </c>
      <c r="B299" s="337" t="s">
        <v>1424</v>
      </c>
      <c r="C299" s="337" t="s">
        <v>1443</v>
      </c>
      <c r="D299" s="611">
        <v>455700</v>
      </c>
      <c r="E299" s="352">
        <v>39392.43</v>
      </c>
    </row>
    <row r="300" spans="1:9" s="319" customFormat="1" x14ac:dyDescent="0.15">
      <c r="A300" s="603" t="s">
        <v>1426</v>
      </c>
      <c r="B300" s="337" t="s">
        <v>1424</v>
      </c>
      <c r="C300" s="337" t="s">
        <v>1441</v>
      </c>
      <c r="D300" s="310"/>
      <c r="E300" s="352">
        <v>26005.58</v>
      </c>
    </row>
    <row r="301" spans="1:9" s="319" customFormat="1" ht="14" thickBot="1" x14ac:dyDescent="0.2">
      <c r="A301" s="603"/>
      <c r="B301" s="340" t="s">
        <v>1436</v>
      </c>
      <c r="C301" s="340"/>
      <c r="D301" s="605">
        <f>SUM(D299:D299)</f>
        <v>455700</v>
      </c>
      <c r="E301" s="341">
        <f>SUM(E299:E300)</f>
        <v>65398.01</v>
      </c>
    </row>
    <row r="302" spans="1:9" ht="14" thickTop="1" x14ac:dyDescent="0.15"/>
    <row r="303" spans="1:9" s="319" customFormat="1" x14ac:dyDescent="0.15">
      <c r="A303" s="603" t="s">
        <v>1423</v>
      </c>
      <c r="B303" s="337" t="s">
        <v>1424</v>
      </c>
      <c r="C303" s="337" t="s">
        <v>1443</v>
      </c>
      <c r="D303" s="611">
        <v>556500</v>
      </c>
      <c r="E303" s="352">
        <v>46222.43</v>
      </c>
    </row>
    <row r="304" spans="1:9" s="319" customFormat="1" x14ac:dyDescent="0.15">
      <c r="A304" s="603" t="s">
        <v>1426</v>
      </c>
      <c r="B304" s="337" t="s">
        <v>1424</v>
      </c>
      <c r="C304" s="337" t="s">
        <v>1441</v>
      </c>
      <c r="D304" s="310"/>
      <c r="E304" s="352">
        <v>25426.01</v>
      </c>
    </row>
    <row r="305" spans="1:5" s="319" customFormat="1" ht="14" thickBot="1" x14ac:dyDescent="0.2">
      <c r="A305" s="603"/>
      <c r="B305" s="340" t="s">
        <v>1437</v>
      </c>
      <c r="C305" s="340"/>
      <c r="D305" s="605">
        <f>SUM(D303:D303)</f>
        <v>556500</v>
      </c>
      <c r="E305" s="341">
        <f>SUM(E303:E304)</f>
        <v>71648.44</v>
      </c>
    </row>
    <row r="306" spans="1:5" ht="14" thickTop="1" x14ac:dyDescent="0.15"/>
    <row r="307" spans="1:5" s="319" customFormat="1" x14ac:dyDescent="0.15">
      <c r="A307" s="603" t="s">
        <v>1423</v>
      </c>
      <c r="B307" s="337" t="s">
        <v>1424</v>
      </c>
      <c r="C307" s="337" t="s">
        <v>1443</v>
      </c>
      <c r="D307" s="611">
        <v>737100</v>
      </c>
      <c r="E307" s="352">
        <v>59121.08</v>
      </c>
    </row>
    <row r="308" spans="1:5" s="319" customFormat="1" x14ac:dyDescent="0.15">
      <c r="A308" s="603" t="s">
        <v>1426</v>
      </c>
      <c r="B308" s="337" t="s">
        <v>1424</v>
      </c>
      <c r="C308" s="337" t="s">
        <v>1441</v>
      </c>
      <c r="D308" s="310"/>
      <c r="E308" s="352">
        <v>33924.239999999998</v>
      </c>
    </row>
    <row r="309" spans="1:5" s="319" customFormat="1" ht="14" thickBot="1" x14ac:dyDescent="0.2">
      <c r="A309" s="603"/>
      <c r="B309" s="340" t="s">
        <v>1438</v>
      </c>
      <c r="C309" s="340"/>
      <c r="D309" s="605">
        <f>SUM(D307:D307)</f>
        <v>737100</v>
      </c>
      <c r="E309" s="341">
        <f>SUM(E307:E308)</f>
        <v>93045.32</v>
      </c>
    </row>
    <row r="310" spans="1:5" ht="14" thickTop="1" x14ac:dyDescent="0.15"/>
    <row r="311" spans="1:5" s="319" customFormat="1" x14ac:dyDescent="0.15">
      <c r="A311" s="603" t="s">
        <v>1423</v>
      </c>
      <c r="B311" s="337" t="s">
        <v>1424</v>
      </c>
      <c r="C311" s="337" t="s">
        <v>1443</v>
      </c>
      <c r="D311" s="611">
        <v>871500</v>
      </c>
      <c r="E311" s="352">
        <v>68729.83</v>
      </c>
    </row>
    <row r="312" spans="1:5" s="319" customFormat="1" x14ac:dyDescent="0.15">
      <c r="A312" s="603" t="s">
        <v>1426</v>
      </c>
      <c r="B312" s="337" t="s">
        <v>1424</v>
      </c>
      <c r="C312" s="337" t="s">
        <v>1441</v>
      </c>
      <c r="D312" s="310"/>
      <c r="E312" s="352">
        <v>40746.25</v>
      </c>
    </row>
    <row r="313" spans="1:5" s="319" customFormat="1" ht="14" thickBot="1" x14ac:dyDescent="0.2">
      <c r="A313" s="603"/>
      <c r="B313" s="340" t="s">
        <v>1427</v>
      </c>
      <c r="C313" s="340"/>
      <c r="D313" s="605">
        <f>SUM(D311:D311)</f>
        <v>871500</v>
      </c>
      <c r="E313" s="341">
        <f>SUM(E311:E312)</f>
        <v>109476.08</v>
      </c>
    </row>
    <row r="314" spans="1:5" ht="14" thickTop="1" x14ac:dyDescent="0.15"/>
    <row r="315" spans="1:5" s="319" customFormat="1" x14ac:dyDescent="0.15">
      <c r="A315" s="603" t="s">
        <v>1423</v>
      </c>
      <c r="B315" s="337" t="s">
        <v>1424</v>
      </c>
      <c r="C315" s="337" t="s">
        <v>1443</v>
      </c>
      <c r="D315" s="611">
        <v>1102500</v>
      </c>
      <c r="E315" s="352">
        <f>94856.95+294.53</f>
        <v>95151.48</v>
      </c>
    </row>
    <row r="316" spans="1:5" s="319" customFormat="1" x14ac:dyDescent="0.15">
      <c r="A316" s="603" t="s">
        <v>1426</v>
      </c>
      <c r="B316" s="337" t="s">
        <v>1424</v>
      </c>
      <c r="C316" s="337" t="s">
        <v>1441</v>
      </c>
      <c r="D316" s="310"/>
      <c r="E316" s="352">
        <v>54728.160000000003</v>
      </c>
    </row>
    <row r="317" spans="1:5" s="319" customFormat="1" ht="14" thickBot="1" x14ac:dyDescent="0.2">
      <c r="A317" s="603"/>
      <c r="B317" s="340" t="s">
        <v>1428</v>
      </c>
      <c r="C317" s="340"/>
      <c r="D317" s="605">
        <f>SUM(D315:D315)</f>
        <v>1102500</v>
      </c>
      <c r="E317" s="341">
        <f>SUM(E315:E316)</f>
        <v>149879.64000000001</v>
      </c>
    </row>
    <row r="318" spans="1:5" ht="14" thickTop="1" x14ac:dyDescent="0.15"/>
  </sheetData>
  <mergeCells count="5">
    <mergeCell ref="A64:F64"/>
    <mergeCell ref="A114:F114"/>
    <mergeCell ref="A168:F168"/>
    <mergeCell ref="A219:F219"/>
    <mergeCell ref="A269:F269"/>
  </mergeCells>
  <pageMargins left="0.7" right="0.7" top="0.75" bottom="0.75" header="0.3" footer="0.3"/>
  <pageSetup scale="84" orientation="landscape" r:id="rId1"/>
  <headerFooter>
    <oddFooter>&amp;L&amp;D&amp;C&amp;A</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pageSetUpPr fitToPage="1"/>
  </sheetPr>
  <dimension ref="A1:J4633"/>
  <sheetViews>
    <sheetView workbookViewId="0">
      <pane ySplit="2" topLeftCell="A1058" activePane="bottomLeft" state="frozen"/>
      <selection activeCell="D271" sqref="D271"/>
      <selection pane="bottomLeft" activeCell="J983" sqref="J983"/>
    </sheetView>
  </sheetViews>
  <sheetFormatPr baseColWidth="10" defaultColWidth="8.83203125" defaultRowHeight="13" x14ac:dyDescent="0.15"/>
  <cols>
    <col min="1" max="1" width="16.6640625" style="649" customWidth="1"/>
    <col min="2" max="2" width="14.83203125" style="649" customWidth="1"/>
    <col min="3" max="3" width="23" style="319" customWidth="1"/>
    <col min="4" max="4" width="18.6640625" style="319" customWidth="1"/>
    <col min="5" max="5" width="7.6640625" style="612" customWidth="1"/>
    <col min="6" max="6" width="12.6640625" style="349" customWidth="1"/>
    <col min="7" max="7" width="11.5" style="259" customWidth="1"/>
    <col min="8" max="8" width="10.5" style="259" bestFit="1" customWidth="1"/>
    <col min="9" max="9" width="2.33203125" style="259" customWidth="1"/>
    <col min="10" max="10" width="10" style="259" bestFit="1" customWidth="1"/>
    <col min="11" max="16384" width="8.83203125" style="259"/>
  </cols>
  <sheetData>
    <row r="1" spans="1:6" x14ac:dyDescent="0.15">
      <c r="A1" s="260" t="s">
        <v>1094</v>
      </c>
      <c r="B1" s="261" t="s">
        <v>1446</v>
      </c>
    </row>
    <row r="2" spans="1:6" ht="25" customHeight="1" x14ac:dyDescent="0.15">
      <c r="A2" s="613" t="s">
        <v>223</v>
      </c>
      <c r="B2" s="613" t="s">
        <v>1330</v>
      </c>
      <c r="C2" s="614" t="s">
        <v>1223</v>
      </c>
      <c r="D2" s="614" t="s">
        <v>1142</v>
      </c>
      <c r="E2" s="615" t="s">
        <v>1422</v>
      </c>
      <c r="F2" s="616" t="s">
        <v>115</v>
      </c>
    </row>
    <row r="3" spans="1:6" s="275" customFormat="1" ht="12" customHeight="1" x14ac:dyDescent="0.15">
      <c r="A3" s="591" t="s">
        <v>1447</v>
      </c>
      <c r="B3" s="591"/>
      <c r="C3" s="287" t="s">
        <v>1448</v>
      </c>
      <c r="D3" s="287" t="s">
        <v>1449</v>
      </c>
      <c r="E3" s="524">
        <v>178</v>
      </c>
      <c r="F3" s="482"/>
    </row>
    <row r="4" spans="1:6" s="275" customFormat="1" x14ac:dyDescent="0.15">
      <c r="A4" s="617" t="s">
        <v>1450</v>
      </c>
      <c r="B4" s="617"/>
      <c r="C4" s="275" t="s">
        <v>1451</v>
      </c>
      <c r="D4" s="275" t="s">
        <v>1452</v>
      </c>
      <c r="E4" s="276">
        <v>6912</v>
      </c>
      <c r="F4" s="482"/>
    </row>
    <row r="5" spans="1:6" s="275" customFormat="1" ht="14" customHeight="1" x14ac:dyDescent="0.15">
      <c r="A5" s="591" t="s">
        <v>1453</v>
      </c>
      <c r="B5" s="591"/>
      <c r="C5" s="287" t="s">
        <v>1454</v>
      </c>
      <c r="D5" s="287" t="s">
        <v>1247</v>
      </c>
      <c r="E5" s="524">
        <v>3960</v>
      </c>
      <c r="F5" s="482"/>
    </row>
    <row r="6" spans="1:6" s="275" customFormat="1" x14ac:dyDescent="0.15">
      <c r="A6" s="591" t="s">
        <v>1455</v>
      </c>
      <c r="B6" s="591"/>
      <c r="C6" s="287" t="s">
        <v>1235</v>
      </c>
      <c r="D6" s="287" t="s">
        <v>1236</v>
      </c>
      <c r="E6" s="524">
        <v>8676</v>
      </c>
      <c r="F6" s="482"/>
    </row>
    <row r="7" spans="1:6" s="275" customFormat="1" x14ac:dyDescent="0.15">
      <c r="A7" s="591" t="s">
        <v>1456</v>
      </c>
      <c r="B7" s="591"/>
      <c r="C7" s="287" t="s">
        <v>1242</v>
      </c>
      <c r="D7" s="287" t="s">
        <v>1457</v>
      </c>
      <c r="E7" s="524">
        <v>294</v>
      </c>
      <c r="F7" s="482"/>
    </row>
    <row r="8" spans="1:6" s="275" customFormat="1" x14ac:dyDescent="0.15">
      <c r="A8" s="591" t="s">
        <v>1458</v>
      </c>
      <c r="B8" s="591"/>
      <c r="C8" s="287" t="s">
        <v>1459</v>
      </c>
      <c r="D8" s="287" t="s">
        <v>1251</v>
      </c>
      <c r="E8" s="524">
        <v>1717</v>
      </c>
      <c r="F8" s="482"/>
    </row>
    <row r="9" spans="1:6" s="275" customFormat="1" x14ac:dyDescent="0.15">
      <c r="A9" s="591" t="s">
        <v>1460</v>
      </c>
      <c r="B9" s="591"/>
      <c r="C9" s="287" t="s">
        <v>1461</v>
      </c>
      <c r="D9" s="287" t="s">
        <v>1462</v>
      </c>
      <c r="E9" s="592">
        <v>13</v>
      </c>
      <c r="F9" s="482"/>
    </row>
    <row r="10" spans="1:6" s="275" customFormat="1" x14ac:dyDescent="0.15">
      <c r="A10" s="591" t="s">
        <v>1463</v>
      </c>
      <c r="B10" s="591"/>
      <c r="C10" s="287" t="s">
        <v>1464</v>
      </c>
      <c r="D10" s="287" t="s">
        <v>1285</v>
      </c>
      <c r="E10" s="524">
        <v>1114</v>
      </c>
      <c r="F10" s="482"/>
    </row>
    <row r="11" spans="1:6" s="275" customFormat="1" x14ac:dyDescent="0.15">
      <c r="A11" s="591" t="s">
        <v>1465</v>
      </c>
      <c r="B11" s="591"/>
      <c r="C11" s="287" t="s">
        <v>1377</v>
      </c>
      <c r="D11" s="287" t="s">
        <v>1378</v>
      </c>
      <c r="E11" s="524">
        <v>1939</v>
      </c>
      <c r="F11" s="482"/>
    </row>
    <row r="12" spans="1:6" s="275" customFormat="1" x14ac:dyDescent="0.15">
      <c r="A12" s="591" t="s">
        <v>1466</v>
      </c>
      <c r="B12" s="591"/>
      <c r="C12" s="287" t="s">
        <v>1240</v>
      </c>
      <c r="D12" s="287" t="s">
        <v>1467</v>
      </c>
      <c r="E12" s="524">
        <v>4528</v>
      </c>
      <c r="F12" s="482"/>
    </row>
    <row r="13" spans="1:6" s="275" customFormat="1" x14ac:dyDescent="0.15">
      <c r="A13" s="591" t="s">
        <v>1468</v>
      </c>
      <c r="B13" s="591"/>
      <c r="C13" s="287" t="s">
        <v>1469</v>
      </c>
      <c r="D13" s="287" t="s">
        <v>1470</v>
      </c>
      <c r="E13" s="524">
        <v>5920</v>
      </c>
      <c r="F13" s="482"/>
    </row>
    <row r="14" spans="1:6" s="275" customFormat="1" x14ac:dyDescent="0.15">
      <c r="A14" s="591" t="s">
        <v>1471</v>
      </c>
      <c r="B14" s="591"/>
      <c r="C14" s="287" t="s">
        <v>1472</v>
      </c>
      <c r="D14" s="287" t="s">
        <v>1473</v>
      </c>
      <c r="E14" s="524">
        <v>102</v>
      </c>
      <c r="F14" s="482"/>
    </row>
    <row r="15" spans="1:6" s="275" customFormat="1" x14ac:dyDescent="0.15">
      <c r="A15" s="591" t="s">
        <v>1474</v>
      </c>
      <c r="B15" s="591"/>
      <c r="C15" s="287" t="s">
        <v>1475</v>
      </c>
      <c r="D15" s="287" t="s">
        <v>1387</v>
      </c>
      <c r="E15" s="524">
        <v>1026</v>
      </c>
      <c r="F15" s="482"/>
    </row>
    <row r="16" spans="1:6" s="275" customFormat="1" x14ac:dyDescent="0.15">
      <c r="A16" s="591" t="s">
        <v>1476</v>
      </c>
      <c r="B16" s="591"/>
      <c r="C16" s="287" t="s">
        <v>1477</v>
      </c>
      <c r="D16" s="287" t="s">
        <v>1289</v>
      </c>
      <c r="E16" s="524">
        <v>7440</v>
      </c>
      <c r="F16" s="482"/>
    </row>
    <row r="17" spans="1:6" s="275" customFormat="1" x14ac:dyDescent="0.15">
      <c r="A17" s="591" t="s">
        <v>1478</v>
      </c>
      <c r="B17" s="591"/>
      <c r="C17" s="287" t="s">
        <v>1479</v>
      </c>
      <c r="D17" s="287" t="s">
        <v>1231</v>
      </c>
      <c r="E17" s="524">
        <v>4814</v>
      </c>
      <c r="F17" s="482"/>
    </row>
    <row r="18" spans="1:6" s="275" customFormat="1" x14ac:dyDescent="0.15">
      <c r="A18" s="591" t="s">
        <v>1480</v>
      </c>
      <c r="B18" s="591"/>
      <c r="C18" s="287" t="s">
        <v>1269</v>
      </c>
      <c r="D18" s="287" t="s">
        <v>1270</v>
      </c>
      <c r="E18" s="524">
        <v>3324</v>
      </c>
      <c r="F18" s="482"/>
    </row>
    <row r="19" spans="1:6" s="275" customFormat="1" x14ac:dyDescent="0.15">
      <c r="A19" s="617" t="s">
        <v>1481</v>
      </c>
      <c r="B19" s="617"/>
      <c r="C19" s="275" t="s">
        <v>1248</v>
      </c>
      <c r="D19" s="275" t="s">
        <v>1482</v>
      </c>
      <c r="E19" s="276">
        <v>3964</v>
      </c>
      <c r="F19" s="278"/>
    </row>
    <row r="20" spans="1:6" s="275" customFormat="1" x14ac:dyDescent="0.15">
      <c r="A20" s="591" t="s">
        <v>1483</v>
      </c>
      <c r="B20" s="591"/>
      <c r="C20" s="287" t="s">
        <v>1405</v>
      </c>
      <c r="D20" s="287" t="s">
        <v>1280</v>
      </c>
      <c r="E20" s="524">
        <v>2040</v>
      </c>
      <c r="F20" s="482"/>
    </row>
    <row r="21" spans="1:6" s="275" customFormat="1" x14ac:dyDescent="0.15">
      <c r="A21" s="591" t="s">
        <v>1484</v>
      </c>
      <c r="B21" s="591"/>
      <c r="C21" s="287" t="s">
        <v>1485</v>
      </c>
      <c r="D21" s="287" t="s">
        <v>1486</v>
      </c>
      <c r="E21" s="524">
        <v>2480</v>
      </c>
      <c r="F21" s="482"/>
    </row>
    <row r="22" spans="1:6" s="275" customFormat="1" x14ac:dyDescent="0.15">
      <c r="A22" s="591" t="s">
        <v>1487</v>
      </c>
      <c r="B22" s="591"/>
      <c r="C22" s="287" t="s">
        <v>1257</v>
      </c>
      <c r="D22" s="287" t="s">
        <v>1258</v>
      </c>
      <c r="E22" s="524">
        <v>22080</v>
      </c>
      <c r="F22" s="482"/>
    </row>
    <row r="23" spans="1:6" s="275" customFormat="1" x14ac:dyDescent="0.15">
      <c r="A23" s="591" t="s">
        <v>1488</v>
      </c>
      <c r="B23" s="591"/>
      <c r="C23" s="287" t="s">
        <v>1489</v>
      </c>
      <c r="D23" s="287" t="s">
        <v>1490</v>
      </c>
      <c r="E23" s="524">
        <v>161</v>
      </c>
      <c r="F23" s="482"/>
    </row>
    <row r="24" spans="1:6" s="275" customFormat="1" x14ac:dyDescent="0.15">
      <c r="A24" s="591" t="s">
        <v>1491</v>
      </c>
      <c r="B24" s="591"/>
      <c r="C24" s="287" t="s">
        <v>1492</v>
      </c>
      <c r="D24" s="287" t="s">
        <v>1239</v>
      </c>
      <c r="E24" s="524">
        <v>11360</v>
      </c>
      <c r="F24" s="482"/>
    </row>
    <row r="25" spans="1:6" s="275" customFormat="1" x14ac:dyDescent="0.15">
      <c r="A25" s="591" t="s">
        <v>1493</v>
      </c>
      <c r="B25" s="591"/>
      <c r="C25" s="287" t="s">
        <v>1234</v>
      </c>
      <c r="D25" s="287" t="s">
        <v>1494</v>
      </c>
      <c r="E25" s="592">
        <f>5241+75</f>
        <v>5316</v>
      </c>
      <c r="F25" s="482"/>
    </row>
    <row r="26" spans="1:6" s="275" customFormat="1" x14ac:dyDescent="0.15">
      <c r="A26" s="591" t="s">
        <v>1495</v>
      </c>
      <c r="B26" s="591"/>
      <c r="C26" s="287" t="s">
        <v>1496</v>
      </c>
      <c r="D26" s="287" t="s">
        <v>1497</v>
      </c>
      <c r="E26" s="524">
        <v>0</v>
      </c>
      <c r="F26" s="482"/>
    </row>
    <row r="27" spans="1:6" s="275" customFormat="1" x14ac:dyDescent="0.15">
      <c r="A27" s="591" t="s">
        <v>1498</v>
      </c>
      <c r="B27" s="591"/>
      <c r="C27" s="287" t="s">
        <v>1399</v>
      </c>
      <c r="D27" s="287" t="s">
        <v>1276</v>
      </c>
      <c r="E27" s="524">
        <v>5200</v>
      </c>
      <c r="F27" s="482"/>
    </row>
    <row r="28" spans="1:6" s="275" customFormat="1" x14ac:dyDescent="0.15">
      <c r="A28" s="591" t="s">
        <v>1499</v>
      </c>
      <c r="B28" s="591"/>
      <c r="C28" s="287" t="s">
        <v>1252</v>
      </c>
      <c r="D28" s="287" t="s">
        <v>1500</v>
      </c>
      <c r="E28" s="592">
        <f>3440+128.7</f>
        <v>3568.7</v>
      </c>
      <c r="F28" s="482"/>
    </row>
    <row r="29" spans="1:6" s="275" customFormat="1" x14ac:dyDescent="0.15">
      <c r="A29" s="591" t="s">
        <v>1501</v>
      </c>
      <c r="B29" s="591"/>
      <c r="C29" s="287" t="s">
        <v>1502</v>
      </c>
      <c r="D29" s="287" t="s">
        <v>1381</v>
      </c>
      <c r="E29" s="524">
        <v>14976</v>
      </c>
      <c r="F29" s="482"/>
    </row>
    <row r="30" spans="1:6" s="275" customFormat="1" x14ac:dyDescent="0.15">
      <c r="A30" s="591" t="s">
        <v>1503</v>
      </c>
      <c r="B30" s="591"/>
      <c r="C30" s="287" t="s">
        <v>1504</v>
      </c>
      <c r="D30" s="287" t="s">
        <v>1505</v>
      </c>
      <c r="E30" s="524">
        <v>1681</v>
      </c>
      <c r="F30" s="482"/>
    </row>
    <row r="31" spans="1:6" s="275" customFormat="1" x14ac:dyDescent="0.15">
      <c r="A31" s="591" t="s">
        <v>1506</v>
      </c>
      <c r="B31" s="591"/>
      <c r="C31" s="287" t="s">
        <v>1507</v>
      </c>
      <c r="D31" s="287" t="s">
        <v>1245</v>
      </c>
      <c r="E31" s="524">
        <v>3200</v>
      </c>
      <c r="F31" s="482"/>
    </row>
    <row r="32" spans="1:6" s="275" customFormat="1" x14ac:dyDescent="0.15">
      <c r="A32" s="591" t="s">
        <v>1508</v>
      </c>
      <c r="B32" s="591"/>
      <c r="C32" s="287" t="s">
        <v>1242</v>
      </c>
      <c r="D32" s="287" t="s">
        <v>1509</v>
      </c>
      <c r="E32" s="524">
        <v>2680</v>
      </c>
      <c r="F32" s="278"/>
    </row>
    <row r="33" spans="1:6" s="275" customFormat="1" x14ac:dyDescent="0.15">
      <c r="A33" s="591" t="s">
        <v>1510</v>
      </c>
      <c r="B33" s="591"/>
      <c r="C33" s="287" t="s">
        <v>1271</v>
      </c>
      <c r="D33" s="287" t="s">
        <v>1272</v>
      </c>
      <c r="E33" s="524">
        <v>4884</v>
      </c>
      <c r="F33" s="278"/>
    </row>
    <row r="34" spans="1:6" s="275" customFormat="1" ht="14" x14ac:dyDescent="0.15">
      <c r="A34" s="591" t="s">
        <v>1511</v>
      </c>
      <c r="B34" s="591"/>
      <c r="C34" s="287" t="s">
        <v>1512</v>
      </c>
      <c r="D34" s="618" t="s">
        <v>1264</v>
      </c>
      <c r="E34" s="524">
        <v>920</v>
      </c>
      <c r="F34" s="482"/>
    </row>
    <row r="35" spans="1:6" s="275" customFormat="1" x14ac:dyDescent="0.15">
      <c r="A35" s="591" t="s">
        <v>1513</v>
      </c>
      <c r="B35" s="591"/>
      <c r="C35" s="287" t="s">
        <v>1286</v>
      </c>
      <c r="D35" s="287" t="s">
        <v>1514</v>
      </c>
      <c r="E35" s="592">
        <f>39+226.4</f>
        <v>265.39999999999998</v>
      </c>
      <c r="F35" s="482"/>
    </row>
    <row r="36" spans="1:6" s="275" customFormat="1" x14ac:dyDescent="0.15">
      <c r="A36" s="617" t="s">
        <v>1515</v>
      </c>
      <c r="B36" s="617"/>
      <c r="C36" s="275" t="s">
        <v>1395</v>
      </c>
      <c r="D36" s="275" t="s">
        <v>1396</v>
      </c>
      <c r="E36" s="276">
        <v>25</v>
      </c>
      <c r="F36" s="482"/>
    </row>
    <row r="37" spans="1:6" s="275" customFormat="1" x14ac:dyDescent="0.15">
      <c r="A37" s="617" t="s">
        <v>1516</v>
      </c>
      <c r="B37" s="617"/>
      <c r="C37" s="275" t="s">
        <v>1517</v>
      </c>
      <c r="D37" s="275" t="s">
        <v>1518</v>
      </c>
      <c r="E37" s="276">
        <v>5</v>
      </c>
      <c r="F37" s="482"/>
    </row>
    <row r="38" spans="1:6" s="275" customFormat="1" x14ac:dyDescent="0.15">
      <c r="A38" s="591" t="s">
        <v>1519</v>
      </c>
      <c r="B38" s="591"/>
      <c r="C38" s="287" t="s">
        <v>1267</v>
      </c>
      <c r="D38" s="287" t="s">
        <v>1268</v>
      </c>
      <c r="E38" s="592">
        <f>1894+75</f>
        <v>1969</v>
      </c>
      <c r="F38" s="482"/>
    </row>
    <row r="39" spans="1:6" s="275" customFormat="1" x14ac:dyDescent="0.15">
      <c r="A39" s="591" t="s">
        <v>1520</v>
      </c>
      <c r="B39" s="591"/>
      <c r="C39" s="287" t="s">
        <v>1521</v>
      </c>
      <c r="D39" s="287" t="s">
        <v>1229</v>
      </c>
      <c r="E39" s="524">
        <v>2785</v>
      </c>
      <c r="F39" s="482"/>
    </row>
    <row r="40" spans="1:6" s="275" customFormat="1" x14ac:dyDescent="0.15">
      <c r="A40" s="591" t="s">
        <v>1522</v>
      </c>
      <c r="B40" s="591"/>
      <c r="C40" s="287" t="s">
        <v>1523</v>
      </c>
      <c r="D40" s="287" t="s">
        <v>1266</v>
      </c>
      <c r="E40" s="524">
        <v>265</v>
      </c>
      <c r="F40" s="482"/>
    </row>
    <row r="41" spans="1:6" s="275" customFormat="1" x14ac:dyDescent="0.15">
      <c r="A41" s="591" t="s">
        <v>1524</v>
      </c>
      <c r="B41" s="591"/>
      <c r="C41" s="287" t="s">
        <v>1525</v>
      </c>
      <c r="D41" s="287" t="s">
        <v>1526</v>
      </c>
      <c r="E41" s="524">
        <v>23</v>
      </c>
      <c r="F41" s="482"/>
    </row>
    <row r="42" spans="1:6" s="275" customFormat="1" x14ac:dyDescent="0.15">
      <c r="A42" s="619" t="s">
        <v>1527</v>
      </c>
      <c r="B42" s="619"/>
      <c r="C42" s="619" t="s">
        <v>1334</v>
      </c>
      <c r="D42" s="619" t="s">
        <v>1462</v>
      </c>
      <c r="E42" s="592">
        <f>1156.7+1638.6+64.8+91.8+484.3+686.1+45.4+64.4+37.4+243.1</f>
        <v>4512.6000000000004</v>
      </c>
      <c r="F42" s="482"/>
    </row>
    <row r="43" spans="1:6" s="275" customFormat="1" ht="14" thickBot="1" x14ac:dyDescent="0.2">
      <c r="A43" s="591"/>
      <c r="B43" s="591"/>
      <c r="C43" s="291" t="s">
        <v>1528</v>
      </c>
      <c r="D43" s="287"/>
      <c r="E43" s="292">
        <f>SUM(E3:E42)</f>
        <v>146317.70000000001</v>
      </c>
      <c r="F43" s="620">
        <v>24245.13</v>
      </c>
    </row>
    <row r="44" spans="1:6" s="275" customFormat="1" ht="14" thickTop="1" x14ac:dyDescent="0.15">
      <c r="A44" s="617"/>
      <c r="B44" s="617"/>
      <c r="E44" s="276"/>
      <c r="F44" s="278"/>
    </row>
    <row r="45" spans="1:6" s="275" customFormat="1" ht="12" customHeight="1" x14ac:dyDescent="0.15">
      <c r="A45" s="591" t="s">
        <v>1447</v>
      </c>
      <c r="B45" s="591"/>
      <c r="C45" s="287" t="s">
        <v>1448</v>
      </c>
      <c r="D45" s="287" t="s">
        <v>1449</v>
      </c>
      <c r="E45" s="524">
        <v>165</v>
      </c>
      <c r="F45" s="482"/>
    </row>
    <row r="46" spans="1:6" s="275" customFormat="1" x14ac:dyDescent="0.15">
      <c r="A46" s="617" t="s">
        <v>1450</v>
      </c>
      <c r="B46" s="617"/>
      <c r="C46" s="275" t="s">
        <v>1451</v>
      </c>
      <c r="D46" s="275" t="s">
        <v>1452</v>
      </c>
      <c r="E46" s="276">
        <v>4416</v>
      </c>
      <c r="F46" s="482"/>
    </row>
    <row r="47" spans="1:6" s="275" customFormat="1" x14ac:dyDescent="0.15">
      <c r="A47" s="591" t="s">
        <v>1453</v>
      </c>
      <c r="B47" s="591"/>
      <c r="C47" s="287" t="s">
        <v>1454</v>
      </c>
      <c r="D47" s="287" t="s">
        <v>1247</v>
      </c>
      <c r="E47" s="524">
        <v>4400</v>
      </c>
      <c r="F47" s="482"/>
    </row>
    <row r="48" spans="1:6" s="275" customFormat="1" x14ac:dyDescent="0.15">
      <c r="A48" s="591" t="s">
        <v>1455</v>
      </c>
      <c r="B48" s="591"/>
      <c r="C48" s="287" t="s">
        <v>1235</v>
      </c>
      <c r="D48" s="287" t="s">
        <v>1236</v>
      </c>
      <c r="E48" s="524">
        <v>9490</v>
      </c>
      <c r="F48" s="482"/>
    </row>
    <row r="49" spans="1:6" s="275" customFormat="1" x14ac:dyDescent="0.15">
      <c r="A49" s="591" t="s">
        <v>1456</v>
      </c>
      <c r="B49" s="591"/>
      <c r="C49" s="287" t="s">
        <v>1242</v>
      </c>
      <c r="D49" s="287" t="s">
        <v>1457</v>
      </c>
      <c r="E49" s="524">
        <v>902</v>
      </c>
      <c r="F49" s="482"/>
    </row>
    <row r="50" spans="1:6" s="275" customFormat="1" x14ac:dyDescent="0.15">
      <c r="A50" s="591" t="s">
        <v>1458</v>
      </c>
      <c r="B50" s="591"/>
      <c r="C50" s="287" t="s">
        <v>1459</v>
      </c>
      <c r="D50" s="287" t="s">
        <v>1251</v>
      </c>
      <c r="E50" s="524">
        <v>1700</v>
      </c>
      <c r="F50" s="482"/>
    </row>
    <row r="51" spans="1:6" s="275" customFormat="1" x14ac:dyDescent="0.15">
      <c r="A51" s="591" t="s">
        <v>1524</v>
      </c>
      <c r="B51" s="591"/>
      <c r="C51" s="287" t="s">
        <v>1525</v>
      </c>
      <c r="D51" s="287" t="s">
        <v>1526</v>
      </c>
      <c r="E51" s="524">
        <v>2</v>
      </c>
      <c r="F51" s="482"/>
    </row>
    <row r="52" spans="1:6" s="275" customFormat="1" x14ac:dyDescent="0.15">
      <c r="A52" s="591" t="s">
        <v>1522</v>
      </c>
      <c r="B52" s="591"/>
      <c r="C52" s="287" t="s">
        <v>1523</v>
      </c>
      <c r="D52" s="287" t="s">
        <v>1266</v>
      </c>
      <c r="E52" s="524">
        <v>235</v>
      </c>
      <c r="F52" s="482"/>
    </row>
    <row r="53" spans="1:6" s="275" customFormat="1" x14ac:dyDescent="0.15">
      <c r="A53" s="591" t="s">
        <v>1460</v>
      </c>
      <c r="B53" s="591"/>
      <c r="C53" s="287" t="s">
        <v>1461</v>
      </c>
      <c r="D53" s="287" t="s">
        <v>1462</v>
      </c>
      <c r="E53" s="592">
        <v>13</v>
      </c>
      <c r="F53" s="482"/>
    </row>
    <row r="54" spans="1:6" s="275" customFormat="1" x14ac:dyDescent="0.15">
      <c r="A54" s="591" t="s">
        <v>1463</v>
      </c>
      <c r="B54" s="591"/>
      <c r="C54" s="287" t="s">
        <v>1464</v>
      </c>
      <c r="D54" s="287" t="s">
        <v>1285</v>
      </c>
      <c r="E54" s="524">
        <v>1122</v>
      </c>
      <c r="F54" s="482"/>
    </row>
    <row r="55" spans="1:6" s="275" customFormat="1" x14ac:dyDescent="0.15">
      <c r="A55" s="591" t="s">
        <v>1465</v>
      </c>
      <c r="B55" s="591"/>
      <c r="C55" s="287" t="s">
        <v>1377</v>
      </c>
      <c r="D55" s="287" t="s">
        <v>1378</v>
      </c>
      <c r="E55" s="524">
        <v>2321</v>
      </c>
      <c r="F55" s="482"/>
    </row>
    <row r="56" spans="1:6" s="275" customFormat="1" x14ac:dyDescent="0.15">
      <c r="A56" s="591" t="s">
        <v>1466</v>
      </c>
      <c r="B56" s="591"/>
      <c r="C56" s="287" t="s">
        <v>1240</v>
      </c>
      <c r="D56" s="287" t="s">
        <v>1467</v>
      </c>
      <c r="E56" s="524">
        <v>4914</v>
      </c>
      <c r="F56" s="482"/>
    </row>
    <row r="57" spans="1:6" s="275" customFormat="1" x14ac:dyDescent="0.15">
      <c r="A57" s="591" t="s">
        <v>1468</v>
      </c>
      <c r="B57" s="591"/>
      <c r="C57" s="287" t="s">
        <v>1469</v>
      </c>
      <c r="D57" s="287" t="s">
        <v>1470</v>
      </c>
      <c r="E57" s="524">
        <v>6320</v>
      </c>
      <c r="F57" s="482"/>
    </row>
    <row r="58" spans="1:6" s="275" customFormat="1" x14ac:dyDescent="0.15">
      <c r="A58" s="591" t="s">
        <v>1471</v>
      </c>
      <c r="B58" s="591"/>
      <c r="C58" s="287" t="s">
        <v>1472</v>
      </c>
      <c r="D58" s="287" t="s">
        <v>1473</v>
      </c>
      <c r="E58" s="524">
        <v>123</v>
      </c>
      <c r="F58" s="482"/>
    </row>
    <row r="59" spans="1:6" s="275" customFormat="1" x14ac:dyDescent="0.15">
      <c r="A59" s="591" t="s">
        <v>1474</v>
      </c>
      <c r="B59" s="591"/>
      <c r="C59" s="287" t="s">
        <v>1475</v>
      </c>
      <c r="D59" s="287" t="s">
        <v>1387</v>
      </c>
      <c r="E59" s="524">
        <v>1144</v>
      </c>
      <c r="F59" s="482"/>
    </row>
    <row r="60" spans="1:6" s="275" customFormat="1" x14ac:dyDescent="0.15">
      <c r="A60" s="591" t="s">
        <v>1476</v>
      </c>
      <c r="B60" s="591"/>
      <c r="C60" s="287" t="s">
        <v>1477</v>
      </c>
      <c r="D60" s="287" t="s">
        <v>1289</v>
      </c>
      <c r="E60" s="524">
        <v>7560</v>
      </c>
      <c r="F60" s="482"/>
    </row>
    <row r="61" spans="1:6" s="275" customFormat="1" x14ac:dyDescent="0.15">
      <c r="A61" s="591" t="s">
        <v>1478</v>
      </c>
      <c r="B61" s="591"/>
      <c r="C61" s="287" t="s">
        <v>1479</v>
      </c>
      <c r="D61" s="287" t="s">
        <v>1231</v>
      </c>
      <c r="E61" s="524">
        <v>5158</v>
      </c>
      <c r="F61" s="482"/>
    </row>
    <row r="62" spans="1:6" s="275" customFormat="1" x14ac:dyDescent="0.15">
      <c r="A62" s="591" t="s">
        <v>1480</v>
      </c>
      <c r="B62" s="591"/>
      <c r="C62" s="287" t="s">
        <v>1269</v>
      </c>
      <c r="D62" s="287" t="s">
        <v>1270</v>
      </c>
      <c r="E62" s="524">
        <v>3728</v>
      </c>
      <c r="F62" s="482"/>
    </row>
    <row r="63" spans="1:6" s="275" customFormat="1" x14ac:dyDescent="0.15">
      <c r="A63" s="617" t="s">
        <v>1481</v>
      </c>
      <c r="B63" s="617"/>
      <c r="C63" s="275" t="s">
        <v>1248</v>
      </c>
      <c r="D63" s="275" t="s">
        <v>1482</v>
      </c>
      <c r="E63" s="276">
        <v>4079</v>
      </c>
      <c r="F63" s="278"/>
    </row>
    <row r="64" spans="1:6" s="275" customFormat="1" x14ac:dyDescent="0.15">
      <c r="A64" s="591" t="s">
        <v>1483</v>
      </c>
      <c r="B64" s="591"/>
      <c r="C64" s="287" t="s">
        <v>1405</v>
      </c>
      <c r="D64" s="287" t="s">
        <v>1280</v>
      </c>
      <c r="E64" s="524">
        <v>2320</v>
      </c>
      <c r="F64" s="482"/>
    </row>
    <row r="65" spans="1:6" s="275" customFormat="1" x14ac:dyDescent="0.15">
      <c r="A65" s="591" t="s">
        <v>1484</v>
      </c>
      <c r="B65" s="591"/>
      <c r="C65" s="287" t="s">
        <v>1485</v>
      </c>
      <c r="D65" s="287" t="s">
        <v>1486</v>
      </c>
      <c r="E65" s="524">
        <v>1880</v>
      </c>
      <c r="F65" s="482"/>
    </row>
    <row r="66" spans="1:6" s="275" customFormat="1" x14ac:dyDescent="0.15">
      <c r="A66" s="591" t="s">
        <v>1487</v>
      </c>
      <c r="B66" s="591"/>
      <c r="C66" s="287" t="s">
        <v>1257</v>
      </c>
      <c r="D66" s="287" t="s">
        <v>1258</v>
      </c>
      <c r="E66" s="524">
        <v>24800</v>
      </c>
      <c r="F66" s="482"/>
    </row>
    <row r="67" spans="1:6" s="275" customFormat="1" x14ac:dyDescent="0.15">
      <c r="A67" s="591" t="s">
        <v>1488</v>
      </c>
      <c r="B67" s="591"/>
      <c r="C67" s="287" t="s">
        <v>1489</v>
      </c>
      <c r="D67" s="287" t="s">
        <v>1490</v>
      </c>
      <c r="E67" s="524">
        <v>167</v>
      </c>
      <c r="F67" s="482"/>
    </row>
    <row r="68" spans="1:6" s="275" customFormat="1" x14ac:dyDescent="0.15">
      <c r="A68" s="591" t="s">
        <v>1491</v>
      </c>
      <c r="B68" s="591"/>
      <c r="C68" s="287" t="s">
        <v>1492</v>
      </c>
      <c r="D68" s="287" t="s">
        <v>1239</v>
      </c>
      <c r="E68" s="524">
        <v>13360</v>
      </c>
      <c r="F68" s="482"/>
    </row>
    <row r="69" spans="1:6" s="275" customFormat="1" x14ac:dyDescent="0.15">
      <c r="A69" s="591" t="s">
        <v>1493</v>
      </c>
      <c r="B69" s="591"/>
      <c r="C69" s="287" t="s">
        <v>1234</v>
      </c>
      <c r="D69" s="287" t="s">
        <v>1494</v>
      </c>
      <c r="E69" s="592">
        <f>5660+4+49.8</f>
        <v>5713.8</v>
      </c>
      <c r="F69" s="482"/>
    </row>
    <row r="70" spans="1:6" s="275" customFormat="1" x14ac:dyDescent="0.15">
      <c r="A70" s="591" t="s">
        <v>1495</v>
      </c>
      <c r="B70" s="591"/>
      <c r="C70" s="287" t="s">
        <v>1496</v>
      </c>
      <c r="D70" s="287" t="s">
        <v>1497</v>
      </c>
      <c r="E70" s="524">
        <v>0</v>
      </c>
      <c r="F70" s="482"/>
    </row>
    <row r="71" spans="1:6" s="275" customFormat="1" x14ac:dyDescent="0.15">
      <c r="A71" s="591" t="s">
        <v>1498</v>
      </c>
      <c r="B71" s="591"/>
      <c r="C71" s="287" t="s">
        <v>1399</v>
      </c>
      <c r="D71" s="287" t="s">
        <v>1276</v>
      </c>
      <c r="E71" s="524">
        <v>5640</v>
      </c>
      <c r="F71" s="482"/>
    </row>
    <row r="72" spans="1:6" s="275" customFormat="1" x14ac:dyDescent="0.15">
      <c r="A72" s="591" t="s">
        <v>1499</v>
      </c>
      <c r="B72" s="591"/>
      <c r="C72" s="287" t="s">
        <v>1252</v>
      </c>
      <c r="D72" s="287" t="s">
        <v>1500</v>
      </c>
      <c r="E72" s="592">
        <f>3840+6.9+102.9</f>
        <v>3949.8</v>
      </c>
      <c r="F72" s="482"/>
    </row>
    <row r="73" spans="1:6" s="275" customFormat="1" x14ac:dyDescent="0.15">
      <c r="A73" s="591" t="s">
        <v>1501</v>
      </c>
      <c r="B73" s="591"/>
      <c r="C73" s="287" t="s">
        <v>1502</v>
      </c>
      <c r="D73" s="287" t="s">
        <v>1381</v>
      </c>
      <c r="E73" s="524">
        <v>17475</v>
      </c>
      <c r="F73" s="482"/>
    </row>
    <row r="74" spans="1:6" s="275" customFormat="1" x14ac:dyDescent="0.15">
      <c r="A74" s="591" t="s">
        <v>1503</v>
      </c>
      <c r="B74" s="591"/>
      <c r="C74" s="287" t="s">
        <v>1504</v>
      </c>
      <c r="D74" s="287" t="s">
        <v>1505</v>
      </c>
      <c r="E74" s="524">
        <v>1807</v>
      </c>
      <c r="F74" s="482"/>
    </row>
    <row r="75" spans="1:6" s="275" customFormat="1" x14ac:dyDescent="0.15">
      <c r="A75" s="591" t="s">
        <v>1506</v>
      </c>
      <c r="B75" s="591"/>
      <c r="C75" s="287" t="s">
        <v>1507</v>
      </c>
      <c r="D75" s="287" t="s">
        <v>1245</v>
      </c>
      <c r="E75" s="524">
        <v>3720</v>
      </c>
      <c r="F75" s="482"/>
    </row>
    <row r="76" spans="1:6" s="275" customFormat="1" x14ac:dyDescent="0.15">
      <c r="A76" s="591" t="s">
        <v>1508</v>
      </c>
      <c r="B76" s="591"/>
      <c r="C76" s="287" t="s">
        <v>1242</v>
      </c>
      <c r="D76" s="287" t="s">
        <v>1509</v>
      </c>
      <c r="E76" s="524">
        <v>3280</v>
      </c>
      <c r="F76" s="278"/>
    </row>
    <row r="77" spans="1:6" s="275" customFormat="1" x14ac:dyDescent="0.15">
      <c r="A77" s="591" t="s">
        <v>1510</v>
      </c>
      <c r="B77" s="591"/>
      <c r="C77" s="287" t="s">
        <v>1271</v>
      </c>
      <c r="D77" s="287" t="s">
        <v>1272</v>
      </c>
      <c r="E77" s="524">
        <v>5203</v>
      </c>
      <c r="F77" s="278"/>
    </row>
    <row r="78" spans="1:6" s="275" customFormat="1" ht="14" x14ac:dyDescent="0.15">
      <c r="A78" s="591" t="s">
        <v>1511</v>
      </c>
      <c r="B78" s="591"/>
      <c r="C78" s="287" t="s">
        <v>1512</v>
      </c>
      <c r="D78" s="618" t="s">
        <v>1264</v>
      </c>
      <c r="E78" s="524">
        <v>960</v>
      </c>
      <c r="F78" s="482"/>
    </row>
    <row r="79" spans="1:6" s="275" customFormat="1" x14ac:dyDescent="0.15">
      <c r="A79" s="591" t="s">
        <v>1513</v>
      </c>
      <c r="B79" s="591"/>
      <c r="C79" s="287" t="s">
        <v>1286</v>
      </c>
      <c r="D79" s="287" t="s">
        <v>1514</v>
      </c>
      <c r="E79" s="592">
        <f>44+12.1+180.9</f>
        <v>237</v>
      </c>
      <c r="F79" s="482"/>
    </row>
    <row r="80" spans="1:6" s="275" customFormat="1" x14ac:dyDescent="0.15">
      <c r="A80" s="617" t="s">
        <v>1515</v>
      </c>
      <c r="B80" s="617"/>
      <c r="C80" s="275" t="s">
        <v>1395</v>
      </c>
      <c r="D80" s="275" t="s">
        <v>1396</v>
      </c>
      <c r="E80" s="276">
        <v>6</v>
      </c>
      <c r="F80" s="482"/>
    </row>
    <row r="81" spans="1:6" s="275" customFormat="1" x14ac:dyDescent="0.15">
      <c r="A81" s="617" t="s">
        <v>1516</v>
      </c>
      <c r="B81" s="617"/>
      <c r="C81" s="275" t="s">
        <v>1517</v>
      </c>
      <c r="D81" s="275" t="s">
        <v>1518</v>
      </c>
      <c r="E81" s="276">
        <v>5</v>
      </c>
      <c r="F81" s="482"/>
    </row>
    <row r="82" spans="1:6" s="275" customFormat="1" x14ac:dyDescent="0.15">
      <c r="A82" s="591" t="s">
        <v>1519</v>
      </c>
      <c r="B82" s="591"/>
      <c r="C82" s="287" t="s">
        <v>1267</v>
      </c>
      <c r="D82" s="287" t="s">
        <v>1268</v>
      </c>
      <c r="E82" s="592">
        <f>2112+4+59.8</f>
        <v>2175.8000000000002</v>
      </c>
      <c r="F82" s="482"/>
    </row>
    <row r="83" spans="1:6" s="275" customFormat="1" x14ac:dyDescent="0.15">
      <c r="A83" s="591" t="s">
        <v>1520</v>
      </c>
      <c r="B83" s="591"/>
      <c r="C83" s="287" t="s">
        <v>1521</v>
      </c>
      <c r="D83" s="287" t="s">
        <v>1229</v>
      </c>
      <c r="E83" s="524">
        <v>3074</v>
      </c>
      <c r="F83" s="482"/>
    </row>
    <row r="84" spans="1:6" s="275" customFormat="1" x14ac:dyDescent="0.15">
      <c r="A84" s="591" t="s">
        <v>1529</v>
      </c>
      <c r="B84" s="591"/>
      <c r="C84" s="287" t="s">
        <v>1401</v>
      </c>
      <c r="D84" s="287" t="s">
        <v>1316</v>
      </c>
      <c r="E84" s="524">
        <v>152</v>
      </c>
      <c r="F84" s="278"/>
    </row>
    <row r="85" spans="1:6" s="275" customFormat="1" x14ac:dyDescent="0.15">
      <c r="A85" s="619" t="s">
        <v>1527</v>
      </c>
      <c r="B85" s="619"/>
      <c r="C85" s="619" t="s">
        <v>1334</v>
      </c>
      <c r="D85" s="619" t="s">
        <v>1462</v>
      </c>
      <c r="E85" s="592">
        <f>1095.7+1433.1+61.1+79.9+458.3+599.3+42.9+56.1+229.7+300.5+25+32.7</f>
        <v>4414.3</v>
      </c>
      <c r="F85" s="482"/>
    </row>
    <row r="86" spans="1:6" s="275" customFormat="1" ht="14" thickBot="1" x14ac:dyDescent="0.2">
      <c r="A86" s="591"/>
      <c r="B86" s="591"/>
      <c r="C86" s="291" t="s">
        <v>1173</v>
      </c>
      <c r="D86" s="287"/>
      <c r="E86" s="292">
        <f>SUM(E45:E85)</f>
        <v>158131.69999999998</v>
      </c>
      <c r="F86" s="620">
        <v>24831.09</v>
      </c>
    </row>
    <row r="87" spans="1:6" s="275" customFormat="1" ht="14" thickTop="1" x14ac:dyDescent="0.15">
      <c r="A87" s="617"/>
      <c r="B87" s="617"/>
      <c r="E87" s="276"/>
      <c r="F87" s="278"/>
    </row>
    <row r="88" spans="1:6" s="275" customFormat="1" x14ac:dyDescent="0.15">
      <c r="A88" s="617"/>
      <c r="B88" s="617"/>
      <c r="E88" s="276"/>
      <c r="F88" s="278"/>
    </row>
    <row r="89" spans="1:6" s="275" customFormat="1" ht="12" customHeight="1" x14ac:dyDescent="0.15">
      <c r="A89" s="591" t="s">
        <v>1447</v>
      </c>
      <c r="B89" s="591"/>
      <c r="C89" s="287" t="s">
        <v>1448</v>
      </c>
      <c r="D89" s="287" t="s">
        <v>1449</v>
      </c>
      <c r="E89" s="524">
        <v>189</v>
      </c>
      <c r="F89" s="482"/>
    </row>
    <row r="90" spans="1:6" s="275" customFormat="1" x14ac:dyDescent="0.15">
      <c r="A90" s="617" t="s">
        <v>1450</v>
      </c>
      <c r="B90" s="617"/>
      <c r="C90" s="275" t="s">
        <v>1451</v>
      </c>
      <c r="D90" s="275" t="s">
        <v>1452</v>
      </c>
      <c r="E90" s="276">
        <v>1728</v>
      </c>
      <c r="F90" s="482"/>
    </row>
    <row r="91" spans="1:6" s="275" customFormat="1" x14ac:dyDescent="0.15">
      <c r="A91" s="591" t="s">
        <v>1453</v>
      </c>
      <c r="B91" s="591"/>
      <c r="C91" s="287" t="s">
        <v>1454</v>
      </c>
      <c r="D91" s="287" t="s">
        <v>1247</v>
      </c>
      <c r="E91" s="524">
        <v>3760</v>
      </c>
      <c r="F91" s="482"/>
    </row>
    <row r="92" spans="1:6" s="275" customFormat="1" x14ac:dyDescent="0.15">
      <c r="A92" s="591" t="s">
        <v>1455</v>
      </c>
      <c r="B92" s="591"/>
      <c r="C92" s="287" t="s">
        <v>1235</v>
      </c>
      <c r="D92" s="287" t="s">
        <v>1236</v>
      </c>
      <c r="E92" s="524">
        <v>7366</v>
      </c>
      <c r="F92" s="482"/>
    </row>
    <row r="93" spans="1:6" s="275" customFormat="1" x14ac:dyDescent="0.15">
      <c r="A93" s="591" t="s">
        <v>1456</v>
      </c>
      <c r="B93" s="591"/>
      <c r="C93" s="287" t="s">
        <v>1242</v>
      </c>
      <c r="D93" s="287" t="s">
        <v>1457</v>
      </c>
      <c r="E93" s="524">
        <v>631</v>
      </c>
      <c r="F93" s="482"/>
    </row>
    <row r="94" spans="1:6" s="275" customFormat="1" x14ac:dyDescent="0.15">
      <c r="A94" s="591" t="s">
        <v>1458</v>
      </c>
      <c r="B94" s="591"/>
      <c r="C94" s="287" t="s">
        <v>1459</v>
      </c>
      <c r="D94" s="287" t="s">
        <v>1251</v>
      </c>
      <c r="E94" s="524">
        <v>1043</v>
      </c>
      <c r="F94" s="482"/>
    </row>
    <row r="95" spans="1:6" s="275" customFormat="1" x14ac:dyDescent="0.15">
      <c r="A95" s="591" t="s">
        <v>1524</v>
      </c>
      <c r="B95" s="591"/>
      <c r="C95" s="287" t="s">
        <v>1525</v>
      </c>
      <c r="D95" s="287" t="s">
        <v>1526</v>
      </c>
      <c r="E95" s="524">
        <v>0</v>
      </c>
      <c r="F95" s="482"/>
    </row>
    <row r="96" spans="1:6" s="275" customFormat="1" x14ac:dyDescent="0.15">
      <c r="A96" s="591" t="s">
        <v>1522</v>
      </c>
      <c r="B96" s="591"/>
      <c r="C96" s="287" t="s">
        <v>1523</v>
      </c>
      <c r="D96" s="287" t="s">
        <v>1266</v>
      </c>
      <c r="E96" s="524">
        <v>0</v>
      </c>
      <c r="F96" s="482"/>
    </row>
    <row r="97" spans="1:6" s="275" customFormat="1" x14ac:dyDescent="0.15">
      <c r="A97" s="591" t="s">
        <v>1460</v>
      </c>
      <c r="B97" s="591"/>
      <c r="C97" s="287" t="s">
        <v>1461</v>
      </c>
      <c r="D97" s="287" t="s">
        <v>1462</v>
      </c>
      <c r="E97" s="592">
        <v>0</v>
      </c>
      <c r="F97" s="482"/>
    </row>
    <row r="98" spans="1:6" s="275" customFormat="1" x14ac:dyDescent="0.15">
      <c r="A98" s="591" t="s">
        <v>1463</v>
      </c>
      <c r="B98" s="591"/>
      <c r="C98" s="287" t="s">
        <v>1464</v>
      </c>
      <c r="D98" s="287" t="s">
        <v>1285</v>
      </c>
      <c r="E98" s="524">
        <v>1025</v>
      </c>
      <c r="F98" s="482"/>
    </row>
    <row r="99" spans="1:6" s="275" customFormat="1" x14ac:dyDescent="0.15">
      <c r="A99" s="591" t="s">
        <v>1465</v>
      </c>
      <c r="B99" s="591"/>
      <c r="C99" s="287" t="s">
        <v>1377</v>
      </c>
      <c r="D99" s="287" t="s">
        <v>1378</v>
      </c>
      <c r="E99" s="524">
        <v>2100</v>
      </c>
      <c r="F99" s="482"/>
    </row>
    <row r="100" spans="1:6" s="275" customFormat="1" x14ac:dyDescent="0.15">
      <c r="A100" s="591" t="s">
        <v>1466</v>
      </c>
      <c r="B100" s="591"/>
      <c r="C100" s="287" t="s">
        <v>1240</v>
      </c>
      <c r="D100" s="287" t="s">
        <v>1467</v>
      </c>
      <c r="E100" s="524">
        <v>4103</v>
      </c>
      <c r="F100" s="482"/>
    </row>
    <row r="101" spans="1:6" s="275" customFormat="1" x14ac:dyDescent="0.15">
      <c r="A101" s="591" t="s">
        <v>1468</v>
      </c>
      <c r="B101" s="591"/>
      <c r="C101" s="287" t="s">
        <v>1469</v>
      </c>
      <c r="D101" s="287" t="s">
        <v>1470</v>
      </c>
      <c r="E101" s="524">
        <v>6000</v>
      </c>
      <c r="F101" s="482"/>
    </row>
    <row r="102" spans="1:6" s="275" customFormat="1" x14ac:dyDescent="0.15">
      <c r="A102" s="591" t="s">
        <v>1471</v>
      </c>
      <c r="B102" s="591"/>
      <c r="C102" s="287" t="s">
        <v>1472</v>
      </c>
      <c r="D102" s="287" t="s">
        <v>1473</v>
      </c>
      <c r="E102" s="524">
        <v>89</v>
      </c>
      <c r="F102" s="482"/>
    </row>
    <row r="103" spans="1:6" s="275" customFormat="1" x14ac:dyDescent="0.15">
      <c r="A103" s="591" t="s">
        <v>1474</v>
      </c>
      <c r="B103" s="591"/>
      <c r="C103" s="287" t="s">
        <v>1475</v>
      </c>
      <c r="D103" s="287" t="s">
        <v>1387</v>
      </c>
      <c r="E103" s="524">
        <v>1053</v>
      </c>
      <c r="F103" s="482"/>
    </row>
    <row r="104" spans="1:6" s="275" customFormat="1" x14ac:dyDescent="0.15">
      <c r="A104" s="591" t="s">
        <v>1476</v>
      </c>
      <c r="B104" s="591"/>
      <c r="C104" s="287" t="s">
        <v>1477</v>
      </c>
      <c r="D104" s="287" t="s">
        <v>1289</v>
      </c>
      <c r="E104" s="524">
        <v>7400</v>
      </c>
      <c r="F104" s="482"/>
    </row>
    <row r="105" spans="1:6" s="275" customFormat="1" x14ac:dyDescent="0.15">
      <c r="A105" s="591" t="s">
        <v>1478</v>
      </c>
      <c r="B105" s="591"/>
      <c r="C105" s="287" t="s">
        <v>1479</v>
      </c>
      <c r="D105" s="287" t="s">
        <v>1231</v>
      </c>
      <c r="E105" s="524">
        <v>4206</v>
      </c>
      <c r="F105" s="482"/>
    </row>
    <row r="106" spans="1:6" s="275" customFormat="1" x14ac:dyDescent="0.15">
      <c r="A106" s="591" t="s">
        <v>1480</v>
      </c>
      <c r="B106" s="591"/>
      <c r="C106" s="287" t="s">
        <v>1269</v>
      </c>
      <c r="D106" s="287" t="s">
        <v>1270</v>
      </c>
      <c r="E106" s="524">
        <v>2556</v>
      </c>
      <c r="F106" s="482"/>
    </row>
    <row r="107" spans="1:6" s="275" customFormat="1" x14ac:dyDescent="0.15">
      <c r="A107" s="617" t="s">
        <v>1481</v>
      </c>
      <c r="B107" s="617"/>
      <c r="C107" s="275" t="s">
        <v>1248</v>
      </c>
      <c r="D107" s="275" t="s">
        <v>1482</v>
      </c>
      <c r="E107" s="276">
        <v>4033</v>
      </c>
      <c r="F107" s="278"/>
    </row>
    <row r="108" spans="1:6" s="275" customFormat="1" x14ac:dyDescent="0.15">
      <c r="A108" s="591" t="s">
        <v>1483</v>
      </c>
      <c r="B108" s="591"/>
      <c r="C108" s="287" t="s">
        <v>1405</v>
      </c>
      <c r="D108" s="287" t="s">
        <v>1280</v>
      </c>
      <c r="E108" s="524">
        <v>3280</v>
      </c>
      <c r="F108" s="482"/>
    </row>
    <row r="109" spans="1:6" s="275" customFormat="1" x14ac:dyDescent="0.15">
      <c r="A109" s="591" t="s">
        <v>1484</v>
      </c>
      <c r="B109" s="591"/>
      <c r="C109" s="287" t="s">
        <v>1485</v>
      </c>
      <c r="D109" s="287" t="s">
        <v>1486</v>
      </c>
      <c r="E109" s="524">
        <v>1520</v>
      </c>
      <c r="F109" s="482"/>
    </row>
    <row r="110" spans="1:6" s="275" customFormat="1" x14ac:dyDescent="0.15">
      <c r="A110" s="591" t="s">
        <v>1487</v>
      </c>
      <c r="B110" s="591"/>
      <c r="C110" s="287" t="s">
        <v>1257</v>
      </c>
      <c r="D110" s="287" t="s">
        <v>1258</v>
      </c>
      <c r="E110" s="524">
        <v>17680</v>
      </c>
      <c r="F110" s="482"/>
    </row>
    <row r="111" spans="1:6" s="275" customFormat="1" x14ac:dyDescent="0.15">
      <c r="A111" s="591" t="s">
        <v>1488</v>
      </c>
      <c r="B111" s="591"/>
      <c r="C111" s="287" t="s">
        <v>1489</v>
      </c>
      <c r="D111" s="287" t="s">
        <v>1490</v>
      </c>
      <c r="E111" s="524">
        <v>146</v>
      </c>
      <c r="F111" s="482"/>
    </row>
    <row r="112" spans="1:6" s="275" customFormat="1" x14ac:dyDescent="0.15">
      <c r="A112" s="591" t="s">
        <v>1491</v>
      </c>
      <c r="B112" s="591"/>
      <c r="C112" s="287" t="s">
        <v>1492</v>
      </c>
      <c r="D112" s="287" t="s">
        <v>1239</v>
      </c>
      <c r="E112" s="524">
        <v>10560</v>
      </c>
      <c r="F112" s="482"/>
    </row>
    <row r="113" spans="1:6" s="275" customFormat="1" x14ac:dyDescent="0.15">
      <c r="A113" s="591" t="s">
        <v>1493</v>
      </c>
      <c r="B113" s="591"/>
      <c r="C113" s="287" t="s">
        <v>1234</v>
      </c>
      <c r="D113" s="287" t="s">
        <v>1494</v>
      </c>
      <c r="E113" s="592">
        <f>4332+57.7</f>
        <v>4389.7</v>
      </c>
      <c r="F113" s="482"/>
    </row>
    <row r="114" spans="1:6" s="275" customFormat="1" x14ac:dyDescent="0.15">
      <c r="A114" s="591" t="s">
        <v>1495</v>
      </c>
      <c r="B114" s="591"/>
      <c r="C114" s="287" t="s">
        <v>1496</v>
      </c>
      <c r="D114" s="287" t="s">
        <v>1497</v>
      </c>
      <c r="E114" s="524">
        <v>0</v>
      </c>
      <c r="F114" s="482"/>
    </row>
    <row r="115" spans="1:6" s="275" customFormat="1" x14ac:dyDescent="0.15">
      <c r="A115" s="591" t="s">
        <v>1498</v>
      </c>
      <c r="B115" s="591"/>
      <c r="C115" s="287" t="s">
        <v>1399</v>
      </c>
      <c r="D115" s="287" t="s">
        <v>1276</v>
      </c>
      <c r="E115" s="524">
        <v>4440</v>
      </c>
      <c r="F115" s="482"/>
    </row>
    <row r="116" spans="1:6" s="275" customFormat="1" x14ac:dyDescent="0.15">
      <c r="A116" s="591" t="s">
        <v>1499</v>
      </c>
      <c r="B116" s="591"/>
      <c r="C116" s="287" t="s">
        <v>1252</v>
      </c>
      <c r="D116" s="287" t="s">
        <v>1500</v>
      </c>
      <c r="E116" s="592">
        <f>3240+99</f>
        <v>3339</v>
      </c>
      <c r="F116" s="482"/>
    </row>
    <row r="117" spans="1:6" s="275" customFormat="1" x14ac:dyDescent="0.15">
      <c r="A117" s="591" t="s">
        <v>1530</v>
      </c>
      <c r="B117" s="591"/>
      <c r="C117" s="287" t="s">
        <v>1401</v>
      </c>
      <c r="D117" s="287" t="s">
        <v>1316</v>
      </c>
      <c r="E117" s="592">
        <v>101</v>
      </c>
      <c r="F117" s="482"/>
    </row>
    <row r="118" spans="1:6" s="275" customFormat="1" x14ac:dyDescent="0.15">
      <c r="A118" s="591" t="s">
        <v>1501</v>
      </c>
      <c r="B118" s="591"/>
      <c r="C118" s="287" t="s">
        <v>1502</v>
      </c>
      <c r="D118" s="287" t="s">
        <v>1381</v>
      </c>
      <c r="E118" s="524">
        <v>14592</v>
      </c>
      <c r="F118" s="482"/>
    </row>
    <row r="119" spans="1:6" s="275" customFormat="1" x14ac:dyDescent="0.15">
      <c r="A119" s="591" t="s">
        <v>1503</v>
      </c>
      <c r="B119" s="591"/>
      <c r="C119" s="287" t="s">
        <v>1504</v>
      </c>
      <c r="D119" s="287" t="s">
        <v>1505</v>
      </c>
      <c r="E119" s="524">
        <v>1910</v>
      </c>
      <c r="F119" s="482"/>
    </row>
    <row r="120" spans="1:6" s="275" customFormat="1" x14ac:dyDescent="0.15">
      <c r="A120" s="591" t="s">
        <v>1506</v>
      </c>
      <c r="B120" s="591"/>
      <c r="C120" s="287" t="s">
        <v>1507</v>
      </c>
      <c r="D120" s="287" t="s">
        <v>1245</v>
      </c>
      <c r="E120" s="524">
        <v>2320</v>
      </c>
      <c r="F120" s="482"/>
    </row>
    <row r="121" spans="1:6" s="275" customFormat="1" x14ac:dyDescent="0.15">
      <c r="A121" s="591" t="s">
        <v>1508</v>
      </c>
      <c r="B121" s="591"/>
      <c r="C121" s="287" t="s">
        <v>1242</v>
      </c>
      <c r="D121" s="287" t="s">
        <v>1509</v>
      </c>
      <c r="E121" s="524">
        <v>2440</v>
      </c>
      <c r="F121" s="278"/>
    </row>
    <row r="122" spans="1:6" s="275" customFormat="1" x14ac:dyDescent="0.15">
      <c r="A122" s="591" t="s">
        <v>1510</v>
      </c>
      <c r="B122" s="591"/>
      <c r="C122" s="287" t="s">
        <v>1271</v>
      </c>
      <c r="D122" s="287" t="s">
        <v>1272</v>
      </c>
      <c r="E122" s="524">
        <v>5522</v>
      </c>
      <c r="F122" s="278"/>
    </row>
    <row r="123" spans="1:6" s="275" customFormat="1" ht="14" x14ac:dyDescent="0.15">
      <c r="A123" s="591" t="s">
        <v>1511</v>
      </c>
      <c r="B123" s="591"/>
      <c r="C123" s="287" t="s">
        <v>1512</v>
      </c>
      <c r="D123" s="618" t="s">
        <v>1264</v>
      </c>
      <c r="E123" s="524">
        <v>1560</v>
      </c>
      <c r="F123" s="482"/>
    </row>
    <row r="124" spans="1:6" s="275" customFormat="1" x14ac:dyDescent="0.15">
      <c r="A124" s="591" t="s">
        <v>1513</v>
      </c>
      <c r="B124" s="591"/>
      <c r="C124" s="287" t="s">
        <v>1286</v>
      </c>
      <c r="D124" s="287" t="s">
        <v>1514</v>
      </c>
      <c r="E124" s="592">
        <f>40+174.4</f>
        <v>214.4</v>
      </c>
      <c r="F124" s="482"/>
    </row>
    <row r="125" spans="1:6" s="275" customFormat="1" x14ac:dyDescent="0.15">
      <c r="A125" s="617" t="s">
        <v>1515</v>
      </c>
      <c r="B125" s="617"/>
      <c r="C125" s="275" t="s">
        <v>1395</v>
      </c>
      <c r="D125" s="275" t="s">
        <v>1396</v>
      </c>
      <c r="E125" s="276">
        <v>0</v>
      </c>
      <c r="F125" s="482"/>
    </row>
    <row r="126" spans="1:6" s="275" customFormat="1" x14ac:dyDescent="0.15">
      <c r="A126" s="617" t="s">
        <v>1516</v>
      </c>
      <c r="B126" s="617"/>
      <c r="C126" s="275" t="s">
        <v>1517</v>
      </c>
      <c r="D126" s="275" t="s">
        <v>1518</v>
      </c>
      <c r="E126" s="276"/>
      <c r="F126" s="482"/>
    </row>
    <row r="127" spans="1:6" s="275" customFormat="1" x14ac:dyDescent="0.15">
      <c r="A127" s="591" t="s">
        <v>1519</v>
      </c>
      <c r="B127" s="591"/>
      <c r="C127" s="287" t="s">
        <v>1267</v>
      </c>
      <c r="D127" s="287" t="s">
        <v>1268</v>
      </c>
      <c r="E127" s="592">
        <f>2732+57.7</f>
        <v>2789.7</v>
      </c>
      <c r="F127" s="482"/>
    </row>
    <row r="128" spans="1:6" s="275" customFormat="1" x14ac:dyDescent="0.15">
      <c r="A128" s="591" t="s">
        <v>1520</v>
      </c>
      <c r="B128" s="591"/>
      <c r="C128" s="287" t="s">
        <v>1521</v>
      </c>
      <c r="D128" s="287" t="s">
        <v>1229</v>
      </c>
      <c r="E128" s="524">
        <v>2057</v>
      </c>
      <c r="F128" s="482"/>
    </row>
    <row r="129" spans="1:6" s="275" customFormat="1" x14ac:dyDescent="0.15">
      <c r="A129" s="591" t="s">
        <v>1495</v>
      </c>
      <c r="B129" s="591"/>
      <c r="C129" s="287" t="s">
        <v>1496</v>
      </c>
      <c r="D129" s="287" t="s">
        <v>1497</v>
      </c>
      <c r="E129" s="524">
        <v>6</v>
      </c>
      <c r="F129" s="482"/>
    </row>
    <row r="130" spans="1:6" s="275" customFormat="1" x14ac:dyDescent="0.15">
      <c r="A130" s="619" t="s">
        <v>1527</v>
      </c>
      <c r="B130" s="619"/>
      <c r="C130" s="619" t="s">
        <v>1334</v>
      </c>
      <c r="D130" s="619" t="s">
        <v>1462</v>
      </c>
      <c r="E130" s="592">
        <f>990.9+1274+55.4+71.2+414.7+553.2+38.9+50+207.9+267.3+22.6+29.1</f>
        <v>3975.2</v>
      </c>
      <c r="F130" s="482"/>
    </row>
    <row r="131" spans="1:6" s="275" customFormat="1" ht="14" thickBot="1" x14ac:dyDescent="0.2">
      <c r="A131" s="591"/>
      <c r="B131" s="591"/>
      <c r="C131" s="291" t="s">
        <v>1531</v>
      </c>
      <c r="D131" s="287"/>
      <c r="E131" s="292">
        <f>SUM(E89:E130)</f>
        <v>130123.99999999999</v>
      </c>
      <c r="F131" s="620">
        <v>19699.189999999999</v>
      </c>
    </row>
    <row r="132" spans="1:6" s="275" customFormat="1" ht="14" thickTop="1" x14ac:dyDescent="0.15">
      <c r="A132" s="619"/>
      <c r="B132" s="619"/>
      <c r="C132" s="619"/>
      <c r="D132" s="619"/>
      <c r="E132" s="592"/>
      <c r="F132" s="482"/>
    </row>
    <row r="133" spans="1:6" s="275" customFormat="1" ht="12" customHeight="1" x14ac:dyDescent="0.15">
      <c r="A133" s="591" t="s">
        <v>1447</v>
      </c>
      <c r="B133" s="591"/>
      <c r="C133" s="287" t="s">
        <v>1448</v>
      </c>
      <c r="D133" s="287" t="s">
        <v>1449</v>
      </c>
      <c r="E133" s="524">
        <v>160</v>
      </c>
      <c r="F133" s="482"/>
    </row>
    <row r="134" spans="1:6" s="275" customFormat="1" x14ac:dyDescent="0.15">
      <c r="A134" s="617" t="s">
        <v>1450</v>
      </c>
      <c r="B134" s="617"/>
      <c r="C134" s="275" t="s">
        <v>1451</v>
      </c>
      <c r="D134" s="275" t="s">
        <v>1452</v>
      </c>
      <c r="E134" s="276">
        <v>576</v>
      </c>
      <c r="F134" s="482"/>
    </row>
    <row r="135" spans="1:6" s="275" customFormat="1" x14ac:dyDescent="0.15">
      <c r="A135" s="591" t="s">
        <v>1453</v>
      </c>
      <c r="B135" s="591"/>
      <c r="C135" s="287" t="s">
        <v>1454</v>
      </c>
      <c r="D135" s="287" t="s">
        <v>1247</v>
      </c>
      <c r="E135" s="524">
        <v>2120</v>
      </c>
      <c r="F135" s="482"/>
    </row>
    <row r="136" spans="1:6" s="275" customFormat="1" x14ac:dyDescent="0.15">
      <c r="A136" s="591" t="s">
        <v>1455</v>
      </c>
      <c r="B136" s="591"/>
      <c r="C136" s="287" t="s">
        <v>1235</v>
      </c>
      <c r="D136" s="287" t="s">
        <v>1236</v>
      </c>
      <c r="E136" s="524">
        <v>5389</v>
      </c>
      <c r="F136" s="482"/>
    </row>
    <row r="137" spans="1:6" s="275" customFormat="1" x14ac:dyDescent="0.15">
      <c r="A137" s="591" t="s">
        <v>1456</v>
      </c>
      <c r="B137" s="591"/>
      <c r="C137" s="287" t="s">
        <v>1242</v>
      </c>
      <c r="D137" s="287" t="s">
        <v>1457</v>
      </c>
      <c r="E137" s="524">
        <v>444</v>
      </c>
      <c r="F137" s="482"/>
    </row>
    <row r="138" spans="1:6" s="275" customFormat="1" x14ac:dyDescent="0.15">
      <c r="A138" s="591" t="s">
        <v>1458</v>
      </c>
      <c r="B138" s="591"/>
      <c r="C138" s="287" t="s">
        <v>1459</v>
      </c>
      <c r="D138" s="287" t="s">
        <v>1251</v>
      </c>
      <c r="E138" s="524">
        <v>586</v>
      </c>
      <c r="F138" s="482"/>
    </row>
    <row r="139" spans="1:6" s="275" customFormat="1" x14ac:dyDescent="0.15">
      <c r="A139" s="591" t="s">
        <v>1524</v>
      </c>
      <c r="B139" s="591"/>
      <c r="C139" s="287" t="s">
        <v>1525</v>
      </c>
      <c r="D139" s="287" t="s">
        <v>1526</v>
      </c>
      <c r="E139" s="524">
        <v>7</v>
      </c>
      <c r="F139" s="482"/>
    </row>
    <row r="140" spans="1:6" s="275" customFormat="1" x14ac:dyDescent="0.15">
      <c r="A140" s="591" t="s">
        <v>1522</v>
      </c>
      <c r="B140" s="591"/>
      <c r="C140" s="287" t="s">
        <v>1523</v>
      </c>
      <c r="D140" s="287" t="s">
        <v>1266</v>
      </c>
      <c r="E140" s="524">
        <v>247</v>
      </c>
      <c r="F140" s="482"/>
    </row>
    <row r="141" spans="1:6" s="275" customFormat="1" x14ac:dyDescent="0.15">
      <c r="A141" s="591" t="s">
        <v>1460</v>
      </c>
      <c r="B141" s="591"/>
      <c r="C141" s="287" t="s">
        <v>1461</v>
      </c>
      <c r="D141" s="287" t="s">
        <v>1462</v>
      </c>
      <c r="E141" s="592">
        <v>13</v>
      </c>
      <c r="F141" s="482"/>
    </row>
    <row r="142" spans="1:6" s="275" customFormat="1" x14ac:dyDescent="0.15">
      <c r="A142" s="591" t="s">
        <v>1463</v>
      </c>
      <c r="B142" s="591"/>
      <c r="C142" s="287" t="s">
        <v>1464</v>
      </c>
      <c r="D142" s="287" t="s">
        <v>1285</v>
      </c>
      <c r="E142" s="524">
        <v>1189</v>
      </c>
      <c r="F142" s="482"/>
    </row>
    <row r="143" spans="1:6" s="275" customFormat="1" x14ac:dyDescent="0.15">
      <c r="A143" s="591" t="s">
        <v>1465</v>
      </c>
      <c r="B143" s="591"/>
      <c r="C143" s="287" t="s">
        <v>1377</v>
      </c>
      <c r="D143" s="287" t="s">
        <v>1378</v>
      </c>
      <c r="E143" s="524">
        <v>2210</v>
      </c>
      <c r="F143" s="482"/>
    </row>
    <row r="144" spans="1:6" s="275" customFormat="1" x14ac:dyDescent="0.15">
      <c r="A144" s="591" t="s">
        <v>1466</v>
      </c>
      <c r="B144" s="591"/>
      <c r="C144" s="287" t="s">
        <v>1240</v>
      </c>
      <c r="D144" s="287" t="s">
        <v>1467</v>
      </c>
      <c r="E144" s="524">
        <v>3070</v>
      </c>
      <c r="F144" s="482"/>
    </row>
    <row r="145" spans="1:6" s="275" customFormat="1" x14ac:dyDescent="0.15">
      <c r="A145" s="591" t="s">
        <v>1468</v>
      </c>
      <c r="B145" s="591"/>
      <c r="C145" s="287" t="s">
        <v>1469</v>
      </c>
      <c r="D145" s="287" t="s">
        <v>1470</v>
      </c>
      <c r="E145" s="524">
        <v>6720</v>
      </c>
      <c r="F145" s="482"/>
    </row>
    <row r="146" spans="1:6" s="275" customFormat="1" x14ac:dyDescent="0.15">
      <c r="A146" s="591" t="s">
        <v>1471</v>
      </c>
      <c r="B146" s="591"/>
      <c r="C146" s="287" t="s">
        <v>1472</v>
      </c>
      <c r="D146" s="287" t="s">
        <v>1473</v>
      </c>
      <c r="E146" s="524">
        <v>36</v>
      </c>
      <c r="F146" s="482"/>
    </row>
    <row r="147" spans="1:6" s="275" customFormat="1" x14ac:dyDescent="0.15">
      <c r="A147" s="591" t="s">
        <v>1474</v>
      </c>
      <c r="B147" s="591"/>
      <c r="C147" s="287" t="s">
        <v>1475</v>
      </c>
      <c r="D147" s="287" t="s">
        <v>1387</v>
      </c>
      <c r="E147" s="524">
        <v>476</v>
      </c>
      <c r="F147" s="482"/>
    </row>
    <row r="148" spans="1:6" s="275" customFormat="1" x14ac:dyDescent="0.15">
      <c r="A148" s="591" t="s">
        <v>1476</v>
      </c>
      <c r="B148" s="591"/>
      <c r="C148" s="287" t="s">
        <v>1477</v>
      </c>
      <c r="D148" s="287" t="s">
        <v>1289</v>
      </c>
      <c r="E148" s="524">
        <v>7320</v>
      </c>
      <c r="F148" s="482"/>
    </row>
    <row r="149" spans="1:6" s="275" customFormat="1" x14ac:dyDescent="0.15">
      <c r="A149" s="591" t="s">
        <v>1478</v>
      </c>
      <c r="B149" s="591"/>
      <c r="C149" s="287" t="s">
        <v>1479</v>
      </c>
      <c r="D149" s="287" t="s">
        <v>1231</v>
      </c>
      <c r="E149" s="524">
        <v>2981</v>
      </c>
      <c r="F149" s="482"/>
    </row>
    <row r="150" spans="1:6" s="275" customFormat="1" x14ac:dyDescent="0.15">
      <c r="A150" s="591" t="s">
        <v>1480</v>
      </c>
      <c r="B150" s="591"/>
      <c r="C150" s="287" t="s">
        <v>1269</v>
      </c>
      <c r="D150" s="287" t="s">
        <v>1270</v>
      </c>
      <c r="E150" s="524">
        <v>1300</v>
      </c>
      <c r="F150" s="482"/>
    </row>
    <row r="151" spans="1:6" s="622" customFormat="1" x14ac:dyDescent="0.15">
      <c r="A151" s="621" t="s">
        <v>1481</v>
      </c>
      <c r="B151" s="621"/>
      <c r="C151" s="622" t="s">
        <v>1248</v>
      </c>
      <c r="D151" s="622" t="s">
        <v>1482</v>
      </c>
      <c r="E151" s="623">
        <v>4045</v>
      </c>
      <c r="F151" s="484"/>
    </row>
    <row r="152" spans="1:6" s="275" customFormat="1" x14ac:dyDescent="0.15">
      <c r="A152" s="591" t="s">
        <v>1483</v>
      </c>
      <c r="B152" s="591"/>
      <c r="C152" s="287" t="s">
        <v>1405</v>
      </c>
      <c r="D152" s="287" t="s">
        <v>1280</v>
      </c>
      <c r="E152" s="524">
        <v>2160</v>
      </c>
      <c r="F152" s="482"/>
    </row>
    <row r="153" spans="1:6" s="275" customFormat="1" x14ac:dyDescent="0.15">
      <c r="A153" s="591" t="s">
        <v>1484</v>
      </c>
      <c r="B153" s="591"/>
      <c r="C153" s="287" t="s">
        <v>1485</v>
      </c>
      <c r="D153" s="287" t="s">
        <v>1486</v>
      </c>
      <c r="E153" s="524">
        <v>1440</v>
      </c>
      <c r="F153" s="482"/>
    </row>
    <row r="154" spans="1:6" s="275" customFormat="1" x14ac:dyDescent="0.15">
      <c r="A154" s="591" t="s">
        <v>1487</v>
      </c>
      <c r="B154" s="591"/>
      <c r="C154" s="287" t="s">
        <v>1257</v>
      </c>
      <c r="D154" s="287" t="s">
        <v>1258</v>
      </c>
      <c r="E154" s="524">
        <v>14240</v>
      </c>
      <c r="F154" s="482"/>
    </row>
    <row r="155" spans="1:6" s="275" customFormat="1" x14ac:dyDescent="0.15">
      <c r="A155" s="591" t="s">
        <v>1488</v>
      </c>
      <c r="B155" s="591"/>
      <c r="C155" s="287" t="s">
        <v>1489</v>
      </c>
      <c r="D155" s="287" t="s">
        <v>1490</v>
      </c>
      <c r="E155" s="524">
        <v>133</v>
      </c>
      <c r="F155" s="482"/>
    </row>
    <row r="156" spans="1:6" s="275" customFormat="1" x14ac:dyDescent="0.15">
      <c r="A156" s="591" t="s">
        <v>1491</v>
      </c>
      <c r="B156" s="591"/>
      <c r="C156" s="287" t="s">
        <v>1492</v>
      </c>
      <c r="D156" s="287" t="s">
        <v>1239</v>
      </c>
      <c r="E156" s="524">
        <v>10080</v>
      </c>
      <c r="F156" s="482"/>
    </row>
    <row r="157" spans="1:6" s="275" customFormat="1" x14ac:dyDescent="0.15">
      <c r="A157" s="591" t="s">
        <v>1493</v>
      </c>
      <c r="B157" s="591"/>
      <c r="C157" s="287" t="s">
        <v>1234</v>
      </c>
      <c r="D157" s="287" t="s">
        <v>1494</v>
      </c>
      <c r="E157" s="592">
        <f>4450+1.8+49.9</f>
        <v>4501.7</v>
      </c>
      <c r="F157" s="482"/>
    </row>
    <row r="158" spans="1:6" s="275" customFormat="1" x14ac:dyDescent="0.15">
      <c r="A158" s="591" t="s">
        <v>1498</v>
      </c>
      <c r="B158" s="591"/>
      <c r="C158" s="287" t="s">
        <v>1399</v>
      </c>
      <c r="D158" s="287" t="s">
        <v>1276</v>
      </c>
      <c r="E158" s="524">
        <v>6040</v>
      </c>
      <c r="F158" s="482"/>
    </row>
    <row r="159" spans="1:6" s="275" customFormat="1" x14ac:dyDescent="0.15">
      <c r="A159" s="591" t="s">
        <v>1499</v>
      </c>
      <c r="B159" s="591"/>
      <c r="C159" s="287" t="s">
        <v>1252</v>
      </c>
      <c r="D159" s="287" t="s">
        <v>1500</v>
      </c>
      <c r="E159" s="592">
        <f>3120+3.1+85.7</f>
        <v>3208.7999999999997</v>
      </c>
      <c r="F159" s="482"/>
    </row>
    <row r="160" spans="1:6" s="275" customFormat="1" x14ac:dyDescent="0.15">
      <c r="A160" s="591" t="s">
        <v>1530</v>
      </c>
      <c r="B160" s="591"/>
      <c r="C160" s="287" t="s">
        <v>1401</v>
      </c>
      <c r="D160" s="287" t="s">
        <v>1316</v>
      </c>
      <c r="E160" s="592">
        <v>109</v>
      </c>
      <c r="F160" s="482"/>
    </row>
    <row r="161" spans="1:6" s="275" customFormat="1" x14ac:dyDescent="0.15">
      <c r="A161" s="591" t="s">
        <v>1501</v>
      </c>
      <c r="B161" s="591"/>
      <c r="C161" s="287" t="s">
        <v>1502</v>
      </c>
      <c r="D161" s="287" t="s">
        <v>1381</v>
      </c>
      <c r="E161" s="524">
        <v>14784</v>
      </c>
      <c r="F161" s="482"/>
    </row>
    <row r="162" spans="1:6" s="275" customFormat="1" x14ac:dyDescent="0.15">
      <c r="A162" s="591" t="s">
        <v>1503</v>
      </c>
      <c r="B162" s="591"/>
      <c r="C162" s="287" t="s">
        <v>1504</v>
      </c>
      <c r="D162" s="287" t="s">
        <v>1505</v>
      </c>
      <c r="E162" s="524">
        <v>1837</v>
      </c>
      <c r="F162" s="482"/>
    </row>
    <row r="163" spans="1:6" s="275" customFormat="1" x14ac:dyDescent="0.15">
      <c r="A163" s="591" t="s">
        <v>1506</v>
      </c>
      <c r="B163" s="591"/>
      <c r="C163" s="287" t="s">
        <v>1507</v>
      </c>
      <c r="D163" s="287" t="s">
        <v>1245</v>
      </c>
      <c r="E163" s="524">
        <v>2440</v>
      </c>
      <c r="F163" s="482"/>
    </row>
    <row r="164" spans="1:6" s="275" customFormat="1" x14ac:dyDescent="0.15">
      <c r="A164" s="591" t="s">
        <v>1508</v>
      </c>
      <c r="B164" s="591"/>
      <c r="C164" s="287" t="s">
        <v>1242</v>
      </c>
      <c r="D164" s="287" t="s">
        <v>1509</v>
      </c>
      <c r="E164" s="524">
        <v>1720</v>
      </c>
      <c r="F164" s="278"/>
    </row>
    <row r="165" spans="1:6" s="275" customFormat="1" x14ac:dyDescent="0.15">
      <c r="A165" s="591" t="s">
        <v>1510</v>
      </c>
      <c r="B165" s="591"/>
      <c r="C165" s="287" t="s">
        <v>1271</v>
      </c>
      <c r="D165" s="287" t="s">
        <v>1272</v>
      </c>
      <c r="E165" s="524">
        <v>5834</v>
      </c>
      <c r="F165" s="278"/>
    </row>
    <row r="166" spans="1:6" s="275" customFormat="1" x14ac:dyDescent="0.15">
      <c r="A166" s="591" t="s">
        <v>1513</v>
      </c>
      <c r="B166" s="591"/>
      <c r="C166" s="287" t="s">
        <v>1286</v>
      </c>
      <c r="D166" s="287" t="s">
        <v>1514</v>
      </c>
      <c r="E166" s="592">
        <f>39+5.4+150.8</f>
        <v>195.20000000000002</v>
      </c>
      <c r="F166" s="482"/>
    </row>
    <row r="167" spans="1:6" s="275" customFormat="1" x14ac:dyDescent="0.15">
      <c r="A167" s="617" t="s">
        <v>1515</v>
      </c>
      <c r="B167" s="617"/>
      <c r="C167" s="275" t="s">
        <v>1395</v>
      </c>
      <c r="D167" s="275" t="s">
        <v>1396</v>
      </c>
      <c r="E167" s="276">
        <v>0</v>
      </c>
      <c r="F167" s="482"/>
    </row>
    <row r="168" spans="1:6" s="275" customFormat="1" x14ac:dyDescent="0.15">
      <c r="A168" s="617" t="s">
        <v>1516</v>
      </c>
      <c r="B168" s="617"/>
      <c r="C168" s="275" t="s">
        <v>1517</v>
      </c>
      <c r="D168" s="275" t="s">
        <v>1518</v>
      </c>
      <c r="E168" s="276">
        <v>5</v>
      </c>
      <c r="F168" s="482"/>
    </row>
    <row r="169" spans="1:6" s="275" customFormat="1" x14ac:dyDescent="0.15">
      <c r="A169" s="591" t="s">
        <v>1519</v>
      </c>
      <c r="B169" s="591"/>
      <c r="C169" s="287" t="s">
        <v>1267</v>
      </c>
      <c r="D169" s="287" t="s">
        <v>1268</v>
      </c>
      <c r="E169" s="592">
        <f>2675+1.8+49.9</f>
        <v>2726.7000000000003</v>
      </c>
      <c r="F169" s="482"/>
    </row>
    <row r="170" spans="1:6" s="275" customFormat="1" x14ac:dyDescent="0.15">
      <c r="A170" s="591" t="s">
        <v>1520</v>
      </c>
      <c r="B170" s="591"/>
      <c r="C170" s="287" t="s">
        <v>1521</v>
      </c>
      <c r="D170" s="287" t="s">
        <v>1229</v>
      </c>
      <c r="E170" s="524">
        <v>1655</v>
      </c>
      <c r="F170" s="482"/>
    </row>
    <row r="171" spans="1:6" s="275" customFormat="1" x14ac:dyDescent="0.15">
      <c r="A171" s="591" t="s">
        <v>1495</v>
      </c>
      <c r="B171" s="591"/>
      <c r="C171" s="287" t="s">
        <v>1496</v>
      </c>
      <c r="D171" s="287" t="s">
        <v>1497</v>
      </c>
      <c r="E171" s="524">
        <v>8</v>
      </c>
      <c r="F171" s="482"/>
    </row>
    <row r="172" spans="1:6" s="275" customFormat="1" ht="14" x14ac:dyDescent="0.15">
      <c r="A172" s="591" t="s">
        <v>1511</v>
      </c>
      <c r="B172" s="591"/>
      <c r="C172" s="287" t="s">
        <v>1512</v>
      </c>
      <c r="D172" s="618" t="s">
        <v>1264</v>
      </c>
      <c r="E172" s="524">
        <v>1440</v>
      </c>
      <c r="F172" s="482"/>
    </row>
    <row r="173" spans="1:6" s="275" customFormat="1" ht="14" thickBot="1" x14ac:dyDescent="0.2">
      <c r="A173" s="591"/>
      <c r="B173" s="591"/>
      <c r="C173" s="291" t="s">
        <v>1532</v>
      </c>
      <c r="D173" s="287"/>
      <c r="E173" s="292">
        <f>SUM(E133:E172)</f>
        <v>113446.39999999999</v>
      </c>
      <c r="F173" s="620">
        <v>18920.530000000002</v>
      </c>
    </row>
    <row r="174" spans="1:6" s="275" customFormat="1" ht="14" thickTop="1" x14ac:dyDescent="0.15">
      <c r="A174" s="617"/>
      <c r="B174" s="617"/>
      <c r="E174" s="276"/>
      <c r="F174" s="278"/>
    </row>
    <row r="175" spans="1:6" s="275" customFormat="1" ht="12" customHeight="1" x14ac:dyDescent="0.15">
      <c r="A175" s="591" t="s">
        <v>1447</v>
      </c>
      <c r="B175" s="591"/>
      <c r="C175" s="287" t="s">
        <v>1448</v>
      </c>
      <c r="D175" s="287" t="s">
        <v>1449</v>
      </c>
      <c r="E175" s="524">
        <v>153</v>
      </c>
      <c r="F175" s="482"/>
    </row>
    <row r="176" spans="1:6" s="275" customFormat="1" x14ac:dyDescent="0.15">
      <c r="A176" s="617" t="s">
        <v>1450</v>
      </c>
      <c r="B176" s="617"/>
      <c r="C176" s="275" t="s">
        <v>1451</v>
      </c>
      <c r="D176" s="275" t="s">
        <v>1452</v>
      </c>
      <c r="E176" s="276">
        <v>768</v>
      </c>
      <c r="F176" s="482"/>
    </row>
    <row r="177" spans="1:6" s="275" customFormat="1" x14ac:dyDescent="0.15">
      <c r="A177" s="591" t="s">
        <v>1453</v>
      </c>
      <c r="B177" s="591"/>
      <c r="C177" s="287" t="s">
        <v>1454</v>
      </c>
      <c r="D177" s="287" t="s">
        <v>1247</v>
      </c>
      <c r="E177" s="524">
        <v>3360</v>
      </c>
      <c r="F177" s="482"/>
    </row>
    <row r="178" spans="1:6" s="275" customFormat="1" x14ac:dyDescent="0.15">
      <c r="A178" s="591" t="s">
        <v>1455</v>
      </c>
      <c r="B178" s="591"/>
      <c r="C178" s="287" t="s">
        <v>1235</v>
      </c>
      <c r="D178" s="287" t="s">
        <v>1236</v>
      </c>
      <c r="E178" s="524">
        <v>5871</v>
      </c>
      <c r="F178" s="482"/>
    </row>
    <row r="179" spans="1:6" s="275" customFormat="1" x14ac:dyDescent="0.15">
      <c r="A179" s="591" t="s">
        <v>1456</v>
      </c>
      <c r="B179" s="591"/>
      <c r="C179" s="287" t="s">
        <v>1242</v>
      </c>
      <c r="D179" s="287" t="s">
        <v>1457</v>
      </c>
      <c r="E179" s="524">
        <v>372</v>
      </c>
      <c r="F179" s="482"/>
    </row>
    <row r="180" spans="1:6" s="275" customFormat="1" x14ac:dyDescent="0.15">
      <c r="A180" s="591" t="s">
        <v>1458</v>
      </c>
      <c r="B180" s="591"/>
      <c r="C180" s="287" t="s">
        <v>1459</v>
      </c>
      <c r="D180" s="287" t="s">
        <v>1251</v>
      </c>
      <c r="E180" s="524">
        <v>701</v>
      </c>
      <c r="F180" s="482"/>
    </row>
    <row r="181" spans="1:6" s="275" customFormat="1" x14ac:dyDescent="0.15">
      <c r="A181" s="591" t="s">
        <v>1524</v>
      </c>
      <c r="B181" s="591"/>
      <c r="C181" s="287" t="s">
        <v>1525</v>
      </c>
      <c r="D181" s="287" t="s">
        <v>1526</v>
      </c>
      <c r="E181" s="524">
        <v>8</v>
      </c>
      <c r="F181" s="482"/>
    </row>
    <row r="182" spans="1:6" s="275" customFormat="1" x14ac:dyDescent="0.15">
      <c r="A182" s="591" t="s">
        <v>1522</v>
      </c>
      <c r="B182" s="591"/>
      <c r="C182" s="287" t="s">
        <v>1523</v>
      </c>
      <c r="D182" s="287" t="s">
        <v>1266</v>
      </c>
      <c r="E182" s="524">
        <v>330</v>
      </c>
      <c r="F182" s="482"/>
    </row>
    <row r="183" spans="1:6" s="275" customFormat="1" x14ac:dyDescent="0.15">
      <c r="A183" s="591" t="s">
        <v>1460</v>
      </c>
      <c r="B183" s="591"/>
      <c r="C183" s="287" t="s">
        <v>1461</v>
      </c>
      <c r="D183" s="287" t="s">
        <v>1462</v>
      </c>
      <c r="E183" s="592">
        <v>0</v>
      </c>
      <c r="F183" s="482"/>
    </row>
    <row r="184" spans="1:6" s="275" customFormat="1" x14ac:dyDescent="0.15">
      <c r="A184" s="591" t="s">
        <v>1463</v>
      </c>
      <c r="B184" s="591"/>
      <c r="C184" s="287" t="s">
        <v>1464</v>
      </c>
      <c r="D184" s="287" t="s">
        <v>1285</v>
      </c>
      <c r="E184" s="524">
        <v>1566</v>
      </c>
      <c r="F184" s="482"/>
    </row>
    <row r="185" spans="1:6" s="275" customFormat="1" x14ac:dyDescent="0.15">
      <c r="A185" s="591" t="s">
        <v>1465</v>
      </c>
      <c r="B185" s="591"/>
      <c r="C185" s="287" t="s">
        <v>1377</v>
      </c>
      <c r="D185" s="287" t="s">
        <v>1378</v>
      </c>
      <c r="E185" s="524">
        <v>3302</v>
      </c>
      <c r="F185" s="482"/>
    </row>
    <row r="186" spans="1:6" s="275" customFormat="1" x14ac:dyDescent="0.15">
      <c r="A186" s="591" t="s">
        <v>1466</v>
      </c>
      <c r="B186" s="591"/>
      <c r="C186" s="287" t="s">
        <v>1240</v>
      </c>
      <c r="D186" s="287" t="s">
        <v>1467</v>
      </c>
      <c r="E186" s="524">
        <v>4684</v>
      </c>
      <c r="F186" s="482"/>
    </row>
    <row r="187" spans="1:6" s="295" customFormat="1" x14ac:dyDescent="0.15">
      <c r="A187" s="591" t="s">
        <v>1468</v>
      </c>
      <c r="B187" s="591"/>
      <c r="C187" s="287" t="s">
        <v>1469</v>
      </c>
      <c r="D187" s="287" t="s">
        <v>1470</v>
      </c>
      <c r="E187" s="524">
        <v>7840</v>
      </c>
      <c r="F187" s="482"/>
    </row>
    <row r="188" spans="1:6" s="275" customFormat="1" x14ac:dyDescent="0.15">
      <c r="A188" s="591" t="s">
        <v>1471</v>
      </c>
      <c r="B188" s="591"/>
      <c r="C188" s="287" t="s">
        <v>1472</v>
      </c>
      <c r="D188" s="287" t="s">
        <v>1473</v>
      </c>
      <c r="E188" s="524">
        <v>35</v>
      </c>
      <c r="F188" s="482"/>
    </row>
    <row r="189" spans="1:6" s="275" customFormat="1" x14ac:dyDescent="0.15">
      <c r="A189" s="591" t="s">
        <v>1474</v>
      </c>
      <c r="B189" s="591"/>
      <c r="C189" s="287" t="s">
        <v>1475</v>
      </c>
      <c r="D189" s="287" t="s">
        <v>1387</v>
      </c>
      <c r="E189" s="524">
        <v>486</v>
      </c>
      <c r="F189" s="482"/>
    </row>
    <row r="190" spans="1:6" s="295" customFormat="1" x14ac:dyDescent="0.15">
      <c r="A190" s="591" t="s">
        <v>1476</v>
      </c>
      <c r="B190" s="591"/>
      <c r="C190" s="287" t="s">
        <v>1477</v>
      </c>
      <c r="D190" s="287" t="s">
        <v>1289</v>
      </c>
      <c r="E190" s="524">
        <v>8880</v>
      </c>
      <c r="F190" s="482"/>
    </row>
    <row r="191" spans="1:6" s="275" customFormat="1" x14ac:dyDescent="0.15">
      <c r="A191" s="591" t="s">
        <v>1478</v>
      </c>
      <c r="B191" s="591"/>
      <c r="C191" s="287" t="s">
        <v>1479</v>
      </c>
      <c r="D191" s="287" t="s">
        <v>1231</v>
      </c>
      <c r="E191" s="524">
        <v>3556</v>
      </c>
      <c r="F191" s="482"/>
    </row>
    <row r="192" spans="1:6" s="275" customFormat="1" x14ac:dyDescent="0.15">
      <c r="A192" s="591" t="s">
        <v>1480</v>
      </c>
      <c r="B192" s="591"/>
      <c r="C192" s="287" t="s">
        <v>1269</v>
      </c>
      <c r="D192" s="287" t="s">
        <v>1270</v>
      </c>
      <c r="E192" s="524">
        <v>1787</v>
      </c>
      <c r="F192" s="482"/>
    </row>
    <row r="193" spans="1:7" s="275" customFormat="1" x14ac:dyDescent="0.15">
      <c r="A193" s="617" t="s">
        <v>1481</v>
      </c>
      <c r="B193" s="617"/>
      <c r="C193" s="275" t="s">
        <v>1248</v>
      </c>
      <c r="D193" s="275" t="s">
        <v>1482</v>
      </c>
      <c r="E193" s="276">
        <v>4888</v>
      </c>
      <c r="F193" s="278"/>
    </row>
    <row r="194" spans="1:7" s="275" customFormat="1" x14ac:dyDescent="0.15">
      <c r="A194" s="591" t="s">
        <v>1483</v>
      </c>
      <c r="B194" s="591"/>
      <c r="C194" s="287" t="s">
        <v>1405</v>
      </c>
      <c r="D194" s="287" t="s">
        <v>1280</v>
      </c>
      <c r="E194" s="524">
        <v>1960</v>
      </c>
      <c r="F194" s="482"/>
    </row>
    <row r="195" spans="1:7" s="275" customFormat="1" x14ac:dyDescent="0.15">
      <c r="A195" s="591" t="s">
        <v>1484</v>
      </c>
      <c r="B195" s="591"/>
      <c r="C195" s="287" t="s">
        <v>1485</v>
      </c>
      <c r="D195" s="287" t="s">
        <v>1486</v>
      </c>
      <c r="E195" s="524">
        <v>2720</v>
      </c>
      <c r="F195" s="482"/>
    </row>
    <row r="196" spans="1:7" s="275" customFormat="1" x14ac:dyDescent="0.15">
      <c r="A196" s="591" t="s">
        <v>1487</v>
      </c>
      <c r="B196" s="591"/>
      <c r="C196" s="287" t="s">
        <v>1257</v>
      </c>
      <c r="D196" s="287" t="s">
        <v>1258</v>
      </c>
      <c r="E196" s="524">
        <v>19520</v>
      </c>
      <c r="F196" s="482"/>
    </row>
    <row r="197" spans="1:7" s="275" customFormat="1" x14ac:dyDescent="0.15">
      <c r="A197" s="591" t="s">
        <v>1488</v>
      </c>
      <c r="B197" s="591"/>
      <c r="C197" s="287" t="s">
        <v>1489</v>
      </c>
      <c r="D197" s="287" t="s">
        <v>1490</v>
      </c>
      <c r="E197" s="524">
        <v>146</v>
      </c>
      <c r="F197" s="482"/>
    </row>
    <row r="198" spans="1:7" s="275" customFormat="1" x14ac:dyDescent="0.15">
      <c r="A198" s="591" t="s">
        <v>1491</v>
      </c>
      <c r="B198" s="591"/>
      <c r="C198" s="287" t="s">
        <v>1492</v>
      </c>
      <c r="D198" s="287" t="s">
        <v>1239</v>
      </c>
      <c r="E198" s="524">
        <v>13360</v>
      </c>
      <c r="F198" s="482"/>
    </row>
    <row r="199" spans="1:7" s="275" customFormat="1" x14ac:dyDescent="0.15">
      <c r="A199" s="591" t="s">
        <v>1493</v>
      </c>
      <c r="B199" s="591"/>
      <c r="C199" s="287" t="s">
        <v>1234</v>
      </c>
      <c r="D199" s="287" t="s">
        <v>1494</v>
      </c>
      <c r="E199" s="592">
        <f>3.5+51.9</f>
        <v>55.4</v>
      </c>
      <c r="F199" s="482"/>
    </row>
    <row r="200" spans="1:7" s="275" customFormat="1" x14ac:dyDescent="0.15">
      <c r="A200" s="591" t="s">
        <v>1498</v>
      </c>
      <c r="B200" s="591"/>
      <c r="C200" s="287" t="s">
        <v>1399</v>
      </c>
      <c r="D200" s="287" t="s">
        <v>1276</v>
      </c>
      <c r="E200" s="524">
        <v>6800</v>
      </c>
      <c r="F200" s="482"/>
    </row>
    <row r="201" spans="1:7" s="275" customFormat="1" x14ac:dyDescent="0.15">
      <c r="A201" s="591" t="s">
        <v>1499</v>
      </c>
      <c r="B201" s="591"/>
      <c r="C201" s="287" t="s">
        <v>1252</v>
      </c>
      <c r="D201" s="287" t="s">
        <v>1500</v>
      </c>
      <c r="E201" s="592">
        <f>3712+5.9+89.2</f>
        <v>3807.1</v>
      </c>
      <c r="F201" s="482"/>
    </row>
    <row r="202" spans="1:7" s="275" customFormat="1" x14ac:dyDescent="0.15">
      <c r="A202" s="591" t="s">
        <v>1530</v>
      </c>
      <c r="B202" s="591"/>
      <c r="C202" s="287" t="s">
        <v>1401</v>
      </c>
      <c r="D202" s="287" t="s">
        <v>1316</v>
      </c>
      <c r="E202" s="524">
        <v>96</v>
      </c>
      <c r="F202" s="482"/>
    </row>
    <row r="203" spans="1:7" s="275" customFormat="1" x14ac:dyDescent="0.15">
      <c r="A203" s="591" t="s">
        <v>1501</v>
      </c>
      <c r="B203" s="591"/>
      <c r="C203" s="287" t="s">
        <v>1502</v>
      </c>
      <c r="D203" s="287" t="s">
        <v>1381</v>
      </c>
      <c r="E203" s="524">
        <v>21504</v>
      </c>
      <c r="F203" s="482"/>
    </row>
    <row r="204" spans="1:7" s="275" customFormat="1" x14ac:dyDescent="0.15">
      <c r="A204" s="591" t="s">
        <v>1503</v>
      </c>
      <c r="B204" s="591"/>
      <c r="C204" s="287" t="s">
        <v>1504</v>
      </c>
      <c r="D204" s="287" t="s">
        <v>1505</v>
      </c>
      <c r="E204" s="524">
        <v>2148</v>
      </c>
      <c r="F204" s="482"/>
    </row>
    <row r="205" spans="1:7" s="275" customFormat="1" x14ac:dyDescent="0.15">
      <c r="A205" s="591" t="s">
        <v>1506</v>
      </c>
      <c r="B205" s="591"/>
      <c r="C205" s="287" t="s">
        <v>1507</v>
      </c>
      <c r="D205" s="287" t="s">
        <v>1245</v>
      </c>
      <c r="E205" s="524">
        <v>3080</v>
      </c>
      <c r="F205" s="482"/>
    </row>
    <row r="206" spans="1:7" s="275" customFormat="1" x14ac:dyDescent="0.15">
      <c r="A206" s="591" t="s">
        <v>1508</v>
      </c>
      <c r="B206" s="591"/>
      <c r="C206" s="287" t="s">
        <v>1242</v>
      </c>
      <c r="D206" s="287" t="s">
        <v>1509</v>
      </c>
      <c r="E206" s="524">
        <v>2120</v>
      </c>
      <c r="F206" s="278"/>
      <c r="G206" s="275" t="s">
        <v>279</v>
      </c>
    </row>
    <row r="207" spans="1:7" s="275" customFormat="1" x14ac:dyDescent="0.15">
      <c r="A207" s="591" t="s">
        <v>1510</v>
      </c>
      <c r="B207" s="591"/>
      <c r="C207" s="287" t="s">
        <v>1271</v>
      </c>
      <c r="D207" s="287" t="s">
        <v>1272</v>
      </c>
      <c r="E207" s="524">
        <v>8442</v>
      </c>
      <c r="F207" s="278"/>
    </row>
    <row r="208" spans="1:7" s="275" customFormat="1" x14ac:dyDescent="0.15">
      <c r="A208" s="591" t="s">
        <v>1513</v>
      </c>
      <c r="B208" s="591"/>
      <c r="C208" s="287" t="s">
        <v>1286</v>
      </c>
      <c r="D208" s="287" t="s">
        <v>1514</v>
      </c>
      <c r="E208" s="592">
        <f>43+10.5+156.9</f>
        <v>210.4</v>
      </c>
      <c r="F208" s="482"/>
    </row>
    <row r="209" spans="1:6" s="275" customFormat="1" x14ac:dyDescent="0.15">
      <c r="A209" s="617" t="s">
        <v>1515</v>
      </c>
      <c r="B209" s="617"/>
      <c r="C209" s="275" t="s">
        <v>1395</v>
      </c>
      <c r="D209" s="275" t="s">
        <v>1396</v>
      </c>
      <c r="E209" s="276">
        <v>33</v>
      </c>
      <c r="F209" s="482"/>
    </row>
    <row r="210" spans="1:6" s="275" customFormat="1" x14ac:dyDescent="0.15">
      <c r="A210" s="617" t="s">
        <v>1516</v>
      </c>
      <c r="B210" s="617"/>
      <c r="C210" s="275" t="s">
        <v>1517</v>
      </c>
      <c r="D210" s="275" t="s">
        <v>1518</v>
      </c>
      <c r="E210" s="276">
        <v>5</v>
      </c>
      <c r="F210" s="482"/>
    </row>
    <row r="211" spans="1:6" s="275" customFormat="1" x14ac:dyDescent="0.15">
      <c r="A211" s="591" t="s">
        <v>1519</v>
      </c>
      <c r="B211" s="591"/>
      <c r="C211" s="287" t="s">
        <v>1267</v>
      </c>
      <c r="D211" s="287" t="s">
        <v>1268</v>
      </c>
      <c r="E211" s="592">
        <f>4198+3.5+51.9</f>
        <v>4253.3999999999996</v>
      </c>
      <c r="F211" s="482"/>
    </row>
    <row r="212" spans="1:6" s="275" customFormat="1" x14ac:dyDescent="0.15">
      <c r="A212" s="591" t="s">
        <v>1520</v>
      </c>
      <c r="B212" s="591"/>
      <c r="C212" s="287" t="s">
        <v>1521</v>
      </c>
      <c r="D212" s="287" t="s">
        <v>1229</v>
      </c>
      <c r="E212" s="524">
        <v>1833</v>
      </c>
      <c r="F212" s="482"/>
    </row>
    <row r="213" spans="1:6" s="275" customFormat="1" ht="14" x14ac:dyDescent="0.15">
      <c r="A213" s="591" t="s">
        <v>1511</v>
      </c>
      <c r="B213" s="591"/>
      <c r="C213" s="287" t="s">
        <v>1512</v>
      </c>
      <c r="D213" s="618" t="s">
        <v>1264</v>
      </c>
      <c r="E213" s="524">
        <v>1600</v>
      </c>
      <c r="F213" s="482"/>
    </row>
    <row r="214" spans="1:6" s="275" customFormat="1" x14ac:dyDescent="0.15">
      <c r="A214" s="619" t="s">
        <v>1527</v>
      </c>
      <c r="B214" s="619"/>
      <c r="C214" s="619" t="s">
        <v>1334</v>
      </c>
      <c r="D214" s="619" t="s">
        <v>1462</v>
      </c>
      <c r="E214" s="592">
        <f>1176.1+1538.2+65.8+86+492.6+644.2+46.1+60.4+246.9+322.9+26.9+35.1</f>
        <v>4741.2</v>
      </c>
      <c r="F214" s="482"/>
    </row>
    <row r="215" spans="1:6" s="275" customFormat="1" ht="14" thickBot="1" x14ac:dyDescent="0.2">
      <c r="A215" s="591"/>
      <c r="B215" s="591"/>
      <c r="C215" s="291" t="s">
        <v>1533</v>
      </c>
      <c r="D215" s="287"/>
      <c r="E215" s="292">
        <f>SUM(E175:E214)</f>
        <v>147021.5</v>
      </c>
      <c r="F215" s="620">
        <v>23338.510000000002</v>
      </c>
    </row>
    <row r="216" spans="1:6" s="275" customFormat="1" ht="14" thickTop="1" x14ac:dyDescent="0.15">
      <c r="A216" s="617"/>
      <c r="B216" s="617"/>
      <c r="E216" s="276"/>
      <c r="F216" s="278"/>
    </row>
    <row r="217" spans="1:6" s="275" customFormat="1" x14ac:dyDescent="0.15">
      <c r="A217" s="617"/>
      <c r="B217" s="617"/>
      <c r="E217" s="276"/>
      <c r="F217" s="278"/>
    </row>
    <row r="218" spans="1:6" s="275" customFormat="1" x14ac:dyDescent="0.15">
      <c r="A218" s="617"/>
      <c r="B218" s="617"/>
      <c r="E218" s="276"/>
      <c r="F218" s="278"/>
    </row>
    <row r="219" spans="1:6" s="275" customFormat="1" x14ac:dyDescent="0.15">
      <c r="A219" s="617"/>
      <c r="B219" s="617"/>
      <c r="E219" s="276"/>
      <c r="F219" s="278"/>
    </row>
    <row r="220" spans="1:6" s="275" customFormat="1" x14ac:dyDescent="0.15">
      <c r="A220" s="591" t="s">
        <v>1534</v>
      </c>
      <c r="B220" s="591"/>
      <c r="C220" s="287" t="s">
        <v>1492</v>
      </c>
      <c r="D220" s="287" t="s">
        <v>1239</v>
      </c>
      <c r="E220" s="524">
        <v>11440</v>
      </c>
      <c r="F220" s="482"/>
    </row>
    <row r="221" spans="1:6" s="275" customFormat="1" x14ac:dyDescent="0.15">
      <c r="A221" s="591" t="s">
        <v>1535</v>
      </c>
      <c r="B221" s="591"/>
      <c r="C221" s="287" t="s">
        <v>1507</v>
      </c>
      <c r="D221" s="287" t="s">
        <v>1245</v>
      </c>
      <c r="E221" s="524">
        <v>2640</v>
      </c>
      <c r="F221" s="482"/>
    </row>
    <row r="222" spans="1:6" s="275" customFormat="1" x14ac:dyDescent="0.15">
      <c r="A222" s="591" t="s">
        <v>1536</v>
      </c>
      <c r="B222" s="591"/>
      <c r="C222" s="287" t="s">
        <v>1479</v>
      </c>
      <c r="D222" s="287" t="s">
        <v>1231</v>
      </c>
      <c r="E222" s="524">
        <v>2941</v>
      </c>
      <c r="F222" s="482"/>
    </row>
    <row r="223" spans="1:6" s="275" customFormat="1" x14ac:dyDescent="0.15">
      <c r="A223" s="591" t="s">
        <v>1537</v>
      </c>
      <c r="B223" s="591"/>
      <c r="C223" s="287" t="s">
        <v>1269</v>
      </c>
      <c r="D223" s="287" t="s">
        <v>1270</v>
      </c>
      <c r="E223" s="524">
        <v>1669</v>
      </c>
      <c r="F223" s="482"/>
    </row>
    <row r="224" spans="1:6" s="275" customFormat="1" x14ac:dyDescent="0.15">
      <c r="A224" s="617" t="s">
        <v>1538</v>
      </c>
      <c r="B224" s="617"/>
      <c r="C224" s="275" t="s">
        <v>1517</v>
      </c>
      <c r="D224" s="275" t="s">
        <v>1518</v>
      </c>
      <c r="E224" s="276">
        <v>5</v>
      </c>
      <c r="F224" s="482"/>
    </row>
    <row r="225" spans="1:6" s="275" customFormat="1" x14ac:dyDescent="0.15">
      <c r="A225" s="591" t="s">
        <v>1539</v>
      </c>
      <c r="B225" s="591"/>
      <c r="C225" s="287" t="s">
        <v>1405</v>
      </c>
      <c r="D225" s="287" t="s">
        <v>1280</v>
      </c>
      <c r="E225" s="524">
        <v>2520</v>
      </c>
      <c r="F225" s="482"/>
    </row>
    <row r="226" spans="1:6" s="275" customFormat="1" x14ac:dyDescent="0.15">
      <c r="A226" s="591" t="s">
        <v>1540</v>
      </c>
      <c r="B226" s="591"/>
      <c r="C226" s="287" t="s">
        <v>1257</v>
      </c>
      <c r="D226" s="287" t="s">
        <v>1258</v>
      </c>
      <c r="E226" s="524">
        <v>15600</v>
      </c>
      <c r="F226" s="482"/>
    </row>
    <row r="227" spans="1:6" s="275" customFormat="1" x14ac:dyDescent="0.15">
      <c r="A227" s="591" t="s">
        <v>1541</v>
      </c>
      <c r="B227" s="591"/>
      <c r="C227" s="287" t="s">
        <v>1252</v>
      </c>
      <c r="D227" s="287" t="s">
        <v>1500</v>
      </c>
      <c r="E227" s="592">
        <v>3120</v>
      </c>
      <c r="F227" s="482"/>
    </row>
    <row r="228" spans="1:6" s="275" customFormat="1" x14ac:dyDescent="0.15">
      <c r="A228" s="591" t="s">
        <v>1542</v>
      </c>
      <c r="B228" s="591"/>
      <c r="C228" s="287" t="s">
        <v>1240</v>
      </c>
      <c r="D228" s="287" t="s">
        <v>1467</v>
      </c>
      <c r="E228" s="524">
        <v>3980</v>
      </c>
      <c r="F228" s="482"/>
    </row>
    <row r="229" spans="1:6" s="275" customFormat="1" x14ac:dyDescent="0.15">
      <c r="A229" s="591" t="s">
        <v>1543</v>
      </c>
      <c r="B229" s="591"/>
      <c r="C229" s="287" t="s">
        <v>1523</v>
      </c>
      <c r="D229" s="287" t="s">
        <v>1266</v>
      </c>
      <c r="E229" s="524">
        <v>326</v>
      </c>
      <c r="F229" s="482"/>
    </row>
    <row r="230" spans="1:6" s="275" customFormat="1" x14ac:dyDescent="0.15">
      <c r="A230" s="591" t="s">
        <v>1544</v>
      </c>
      <c r="B230" s="591"/>
      <c r="C230" s="287" t="s">
        <v>1234</v>
      </c>
      <c r="D230" s="287" t="s">
        <v>1494</v>
      </c>
      <c r="E230" s="592">
        <v>4124</v>
      </c>
      <c r="F230" s="482"/>
    </row>
    <row r="231" spans="1:6" s="275" customFormat="1" x14ac:dyDescent="0.15">
      <c r="A231" s="591" t="s">
        <v>1545</v>
      </c>
      <c r="B231" s="591"/>
      <c r="C231" s="287" t="s">
        <v>1234</v>
      </c>
      <c r="D231" s="287" t="s">
        <v>1494</v>
      </c>
      <c r="E231" s="592">
        <v>2.1</v>
      </c>
      <c r="F231" s="482"/>
    </row>
    <row r="232" spans="1:6" s="275" customFormat="1" x14ac:dyDescent="0.15">
      <c r="A232" s="591" t="s">
        <v>1545</v>
      </c>
      <c r="B232" s="591"/>
      <c r="C232" s="287" t="s">
        <v>1234</v>
      </c>
      <c r="D232" s="287" t="s">
        <v>1494</v>
      </c>
      <c r="E232" s="592">
        <v>59.9</v>
      </c>
      <c r="F232" s="482"/>
    </row>
    <row r="233" spans="1:6" s="275" customFormat="1" x14ac:dyDescent="0.15">
      <c r="A233" s="591" t="s">
        <v>1546</v>
      </c>
      <c r="B233" s="591"/>
      <c r="C233" s="287" t="s">
        <v>1252</v>
      </c>
      <c r="D233" s="287" t="s">
        <v>1500</v>
      </c>
      <c r="E233" s="592">
        <v>3.5</v>
      </c>
      <c r="F233" s="482"/>
    </row>
    <row r="234" spans="1:6" s="275" customFormat="1" x14ac:dyDescent="0.15">
      <c r="A234" s="591" t="s">
        <v>1546</v>
      </c>
      <c r="B234" s="591"/>
      <c r="C234" s="287" t="s">
        <v>1252</v>
      </c>
      <c r="D234" s="287" t="s">
        <v>1500</v>
      </c>
      <c r="E234" s="592">
        <v>103</v>
      </c>
      <c r="F234" s="482"/>
    </row>
    <row r="235" spans="1:6" s="275" customFormat="1" x14ac:dyDescent="0.15">
      <c r="A235" s="591" t="s">
        <v>1547</v>
      </c>
      <c r="B235" s="591"/>
      <c r="C235" s="287" t="s">
        <v>1286</v>
      </c>
      <c r="D235" s="287" t="s">
        <v>1514</v>
      </c>
      <c r="E235" s="592">
        <v>6.2</v>
      </c>
      <c r="F235" s="482"/>
    </row>
    <row r="236" spans="1:6" s="275" customFormat="1" x14ac:dyDescent="0.15">
      <c r="A236" s="591" t="s">
        <v>1547</v>
      </c>
      <c r="B236" s="591"/>
      <c r="C236" s="287" t="s">
        <v>1286</v>
      </c>
      <c r="D236" s="287" t="s">
        <v>1514</v>
      </c>
      <c r="E236" s="592">
        <v>181</v>
      </c>
      <c r="F236" s="482"/>
    </row>
    <row r="237" spans="1:6" s="275" customFormat="1" x14ac:dyDescent="0.15">
      <c r="A237" s="591" t="s">
        <v>1548</v>
      </c>
      <c r="B237" s="591"/>
      <c r="C237" s="287" t="s">
        <v>1235</v>
      </c>
      <c r="D237" s="287" t="s">
        <v>1236</v>
      </c>
      <c r="E237" s="524">
        <v>0</v>
      </c>
      <c r="F237" s="482"/>
    </row>
    <row r="238" spans="1:6" s="275" customFormat="1" x14ac:dyDescent="0.15">
      <c r="A238" s="591" t="s">
        <v>1549</v>
      </c>
      <c r="B238" s="591"/>
      <c r="C238" s="287" t="s">
        <v>1459</v>
      </c>
      <c r="D238" s="287" t="s">
        <v>1251</v>
      </c>
      <c r="E238" s="524">
        <v>755</v>
      </c>
      <c r="F238" s="482"/>
    </row>
    <row r="239" spans="1:6" s="275" customFormat="1" x14ac:dyDescent="0.15">
      <c r="A239" s="591" t="s">
        <v>1550</v>
      </c>
      <c r="B239" s="591"/>
      <c r="C239" s="287" t="s">
        <v>1454</v>
      </c>
      <c r="D239" s="287" t="s">
        <v>1247</v>
      </c>
      <c r="E239" s="524">
        <v>2520</v>
      </c>
      <c r="F239" s="482"/>
    </row>
    <row r="240" spans="1:6" s="275" customFormat="1" x14ac:dyDescent="0.15">
      <c r="A240" s="591" t="s">
        <v>1551</v>
      </c>
      <c r="B240" s="591"/>
      <c r="C240" s="287" t="s">
        <v>1235</v>
      </c>
      <c r="D240" s="287" t="s">
        <v>1236</v>
      </c>
      <c r="E240" s="524">
        <v>3811</v>
      </c>
      <c r="F240" s="482"/>
    </row>
    <row r="241" spans="1:6" s="275" customFormat="1" x14ac:dyDescent="0.15">
      <c r="A241" s="591" t="s">
        <v>1552</v>
      </c>
      <c r="B241" s="591"/>
      <c r="C241" s="287" t="s">
        <v>1286</v>
      </c>
      <c r="D241" s="287" t="s">
        <v>1514</v>
      </c>
      <c r="E241" s="592">
        <v>0</v>
      </c>
      <c r="F241" s="482"/>
    </row>
    <row r="242" spans="1:6" s="275" customFormat="1" x14ac:dyDescent="0.15">
      <c r="A242" s="619" t="s">
        <v>1527</v>
      </c>
      <c r="B242" s="619"/>
      <c r="C242" s="619" t="s">
        <v>1334</v>
      </c>
      <c r="D242" s="619" t="s">
        <v>1462</v>
      </c>
      <c r="E242" s="592">
        <f>1319.5+1696.5+73.8+94.8+551.6+709.2+51.7+66.5+276.7+355.8+30.1+38.7</f>
        <v>5264.9000000000005</v>
      </c>
      <c r="F242" s="482"/>
    </row>
    <row r="243" spans="1:6" s="275" customFormat="1" x14ac:dyDescent="0.15">
      <c r="A243" s="591" t="s">
        <v>1553</v>
      </c>
      <c r="B243" s="591"/>
      <c r="C243" s="287" t="s">
        <v>1475</v>
      </c>
      <c r="D243" s="287" t="s">
        <v>1387</v>
      </c>
      <c r="E243" s="524">
        <v>516</v>
      </c>
      <c r="F243" s="482"/>
    </row>
    <row r="244" spans="1:6" s="275" customFormat="1" x14ac:dyDescent="0.15">
      <c r="A244" s="591" t="s">
        <v>1554</v>
      </c>
      <c r="B244" s="591"/>
      <c r="C244" s="287" t="s">
        <v>1399</v>
      </c>
      <c r="D244" s="287" t="s">
        <v>1276</v>
      </c>
      <c r="E244" s="524">
        <v>5440</v>
      </c>
      <c r="F244" s="482"/>
    </row>
    <row r="245" spans="1:6" s="275" customFormat="1" x14ac:dyDescent="0.15">
      <c r="A245" s="591" t="s">
        <v>1552</v>
      </c>
      <c r="B245" s="591"/>
      <c r="C245" s="287" t="s">
        <v>1286</v>
      </c>
      <c r="D245" s="287" t="s">
        <v>1514</v>
      </c>
      <c r="E245" s="592">
        <v>87</v>
      </c>
      <c r="F245" s="482"/>
    </row>
    <row r="246" spans="1:6" s="275" customFormat="1" ht="14" thickBot="1" x14ac:dyDescent="0.2">
      <c r="A246" s="591"/>
      <c r="B246" s="591"/>
      <c r="C246" s="291" t="s">
        <v>1148</v>
      </c>
      <c r="D246" s="287"/>
      <c r="E246" s="292">
        <f>SUM(E220:E245)</f>
        <v>67114.600000000006</v>
      </c>
      <c r="F246" s="620">
        <v>20884.499999999996</v>
      </c>
    </row>
    <row r="247" spans="1:6" s="275" customFormat="1" ht="14" thickTop="1" x14ac:dyDescent="0.15">
      <c r="A247" s="617"/>
      <c r="B247" s="617"/>
      <c r="E247" s="276"/>
      <c r="F247" s="278"/>
    </row>
    <row r="248" spans="1:6" s="275" customFormat="1" x14ac:dyDescent="0.15">
      <c r="A248" s="617"/>
      <c r="B248" s="617"/>
      <c r="E248" s="276"/>
      <c r="F248" s="278"/>
    </row>
    <row r="249" spans="1:6" s="275" customFormat="1" x14ac:dyDescent="0.15">
      <c r="A249" s="624" t="s">
        <v>1534</v>
      </c>
      <c r="B249" s="624"/>
      <c r="C249" s="625" t="s">
        <v>1492</v>
      </c>
      <c r="D249" s="625" t="s">
        <v>1239</v>
      </c>
      <c r="E249" s="626">
        <v>11440</v>
      </c>
      <c r="F249" s="627">
        <v>1612.1799999999998</v>
      </c>
    </row>
    <row r="250" spans="1:6" s="275" customFormat="1" x14ac:dyDescent="0.15">
      <c r="A250" s="624" t="s">
        <v>1535</v>
      </c>
      <c r="B250" s="624"/>
      <c r="C250" s="625" t="s">
        <v>1507</v>
      </c>
      <c r="D250" s="625" t="s">
        <v>1245</v>
      </c>
      <c r="E250" s="626">
        <v>2640</v>
      </c>
      <c r="F250" s="627">
        <v>388.55</v>
      </c>
    </row>
    <row r="251" spans="1:6" s="275" customFormat="1" x14ac:dyDescent="0.15">
      <c r="A251" s="624" t="s">
        <v>1536</v>
      </c>
      <c r="B251" s="624"/>
      <c r="C251" s="625" t="s">
        <v>1479</v>
      </c>
      <c r="D251" s="625" t="s">
        <v>1231</v>
      </c>
      <c r="E251" s="626">
        <v>2941</v>
      </c>
      <c r="F251" s="627">
        <v>438.60999999999996</v>
      </c>
    </row>
    <row r="252" spans="1:6" s="275" customFormat="1" x14ac:dyDescent="0.15">
      <c r="A252" s="624" t="s">
        <v>1537</v>
      </c>
      <c r="B252" s="624"/>
      <c r="C252" s="625" t="s">
        <v>1269</v>
      </c>
      <c r="D252" s="625" t="s">
        <v>1270</v>
      </c>
      <c r="E252" s="626">
        <v>1669</v>
      </c>
      <c r="F252" s="627">
        <v>295.93</v>
      </c>
    </row>
    <row r="253" spans="1:6" s="275" customFormat="1" x14ac:dyDescent="0.15">
      <c r="A253" s="628" t="s">
        <v>1538</v>
      </c>
      <c r="B253" s="628"/>
      <c r="C253" s="629" t="s">
        <v>1517</v>
      </c>
      <c r="D253" s="629" t="s">
        <v>1518</v>
      </c>
      <c r="E253" s="630">
        <v>5</v>
      </c>
      <c r="F253" s="627">
        <v>30.47</v>
      </c>
    </row>
    <row r="254" spans="1:6" s="275" customFormat="1" x14ac:dyDescent="0.15">
      <c r="A254" s="624" t="s">
        <v>1539</v>
      </c>
      <c r="B254" s="624"/>
      <c r="C254" s="625" t="s">
        <v>1405</v>
      </c>
      <c r="D254" s="625" t="s">
        <v>1280</v>
      </c>
      <c r="E254" s="626">
        <v>2520</v>
      </c>
      <c r="F254" s="627">
        <v>412.71999999999997</v>
      </c>
    </row>
    <row r="255" spans="1:6" s="275" customFormat="1" x14ac:dyDescent="0.15">
      <c r="A255" s="624" t="s">
        <v>1540</v>
      </c>
      <c r="B255" s="624"/>
      <c r="C255" s="625" t="s">
        <v>1257</v>
      </c>
      <c r="D255" s="625" t="s">
        <v>1258</v>
      </c>
      <c r="E255" s="626">
        <v>15600</v>
      </c>
      <c r="F255" s="627">
        <v>2122.81</v>
      </c>
    </row>
    <row r="256" spans="1:6" s="275" customFormat="1" x14ac:dyDescent="0.15">
      <c r="A256" s="624" t="s">
        <v>1541</v>
      </c>
      <c r="B256" s="624"/>
      <c r="C256" s="625" t="s">
        <v>1252</v>
      </c>
      <c r="D256" s="625" t="s">
        <v>1500</v>
      </c>
      <c r="E256" s="631">
        <v>3120</v>
      </c>
      <c r="F256" s="627">
        <v>512.64999999999986</v>
      </c>
    </row>
    <row r="257" spans="1:6" s="275" customFormat="1" x14ac:dyDescent="0.15">
      <c r="A257" s="624" t="s">
        <v>1542</v>
      </c>
      <c r="B257" s="624"/>
      <c r="C257" s="625" t="s">
        <v>1240</v>
      </c>
      <c r="D257" s="625" t="s">
        <v>1467</v>
      </c>
      <c r="E257" s="626">
        <v>3980</v>
      </c>
      <c r="F257" s="627">
        <v>544.79999999999995</v>
      </c>
    </row>
    <row r="258" spans="1:6" s="275" customFormat="1" x14ac:dyDescent="0.15">
      <c r="A258" s="624" t="s">
        <v>1543</v>
      </c>
      <c r="B258" s="624"/>
      <c r="C258" s="625" t="s">
        <v>1523</v>
      </c>
      <c r="D258" s="625" t="s">
        <v>1266</v>
      </c>
      <c r="E258" s="626">
        <v>326</v>
      </c>
      <c r="F258" s="627">
        <v>75.34</v>
      </c>
    </row>
    <row r="259" spans="1:6" s="275" customFormat="1" x14ac:dyDescent="0.15">
      <c r="A259" s="624" t="s">
        <v>1544</v>
      </c>
      <c r="B259" s="624"/>
      <c r="C259" s="625" t="s">
        <v>1234</v>
      </c>
      <c r="D259" s="625" t="s">
        <v>1494</v>
      </c>
      <c r="E259" s="631">
        <v>4124</v>
      </c>
      <c r="F259" s="627">
        <v>636.86999999999989</v>
      </c>
    </row>
    <row r="260" spans="1:6" s="275" customFormat="1" x14ac:dyDescent="0.15">
      <c r="A260" s="624" t="s">
        <v>1545</v>
      </c>
      <c r="B260" s="624"/>
      <c r="C260" s="625" t="s">
        <v>1234</v>
      </c>
      <c r="D260" s="625" t="s">
        <v>1494</v>
      </c>
      <c r="E260" s="631">
        <v>2.1</v>
      </c>
      <c r="F260" s="627">
        <v>0.4</v>
      </c>
    </row>
    <row r="261" spans="1:6" s="275" customFormat="1" x14ac:dyDescent="0.15">
      <c r="A261" s="624" t="s">
        <v>1545</v>
      </c>
      <c r="B261" s="624"/>
      <c r="C261" s="625" t="s">
        <v>1234</v>
      </c>
      <c r="D261" s="625" t="s">
        <v>1494</v>
      </c>
      <c r="E261" s="631">
        <v>59.9</v>
      </c>
      <c r="F261" s="627">
        <v>14.069999999999999</v>
      </c>
    </row>
    <row r="262" spans="1:6" s="275" customFormat="1" x14ac:dyDescent="0.15">
      <c r="A262" s="624" t="s">
        <v>1546</v>
      </c>
      <c r="B262" s="624"/>
      <c r="C262" s="625" t="s">
        <v>1252</v>
      </c>
      <c r="D262" s="625" t="s">
        <v>1500</v>
      </c>
      <c r="E262" s="631">
        <v>3.5</v>
      </c>
      <c r="F262" s="627">
        <v>0.98</v>
      </c>
    </row>
    <row r="263" spans="1:6" s="275" customFormat="1" x14ac:dyDescent="0.15">
      <c r="A263" s="624" t="s">
        <v>1546</v>
      </c>
      <c r="B263" s="624"/>
      <c r="C263" s="625" t="s">
        <v>1252</v>
      </c>
      <c r="D263" s="625" t="s">
        <v>1500</v>
      </c>
      <c r="E263" s="631">
        <v>103</v>
      </c>
      <c r="F263" s="627">
        <v>33.719999999999992</v>
      </c>
    </row>
    <row r="264" spans="1:6" s="275" customFormat="1" x14ac:dyDescent="0.15">
      <c r="A264" s="624" t="s">
        <v>1547</v>
      </c>
      <c r="B264" s="624"/>
      <c r="C264" s="625" t="s">
        <v>1286</v>
      </c>
      <c r="D264" s="625" t="s">
        <v>1514</v>
      </c>
      <c r="E264" s="631">
        <v>6.2</v>
      </c>
      <c r="F264" s="627">
        <v>1.38</v>
      </c>
    </row>
    <row r="265" spans="1:6" s="275" customFormat="1" x14ac:dyDescent="0.15">
      <c r="A265" s="624" t="s">
        <v>1547</v>
      </c>
      <c r="B265" s="624"/>
      <c r="C265" s="625" t="s">
        <v>1286</v>
      </c>
      <c r="D265" s="625" t="s">
        <v>1514</v>
      </c>
      <c r="E265" s="631">
        <v>181</v>
      </c>
      <c r="F265" s="627">
        <v>43.349999999999994</v>
      </c>
    </row>
    <row r="266" spans="1:6" s="275" customFormat="1" x14ac:dyDescent="0.15">
      <c r="A266" s="624" t="s">
        <v>1548</v>
      </c>
      <c r="B266" s="624"/>
      <c r="C266" s="625" t="s">
        <v>1235</v>
      </c>
      <c r="D266" s="625" t="s">
        <v>1236</v>
      </c>
      <c r="E266" s="626">
        <v>0</v>
      </c>
      <c r="F266" s="627">
        <v>0</v>
      </c>
    </row>
    <row r="267" spans="1:6" s="275" customFormat="1" x14ac:dyDescent="0.15">
      <c r="A267" s="624" t="s">
        <v>1549</v>
      </c>
      <c r="B267" s="624"/>
      <c r="C267" s="625" t="s">
        <v>1459</v>
      </c>
      <c r="D267" s="625" t="s">
        <v>1251</v>
      </c>
      <c r="E267" s="626">
        <v>755</v>
      </c>
      <c r="F267" s="627">
        <v>137.59</v>
      </c>
    </row>
    <row r="268" spans="1:6" s="275" customFormat="1" x14ac:dyDescent="0.15">
      <c r="A268" s="624" t="s">
        <v>1550</v>
      </c>
      <c r="B268" s="624"/>
      <c r="C268" s="625" t="s">
        <v>1454</v>
      </c>
      <c r="D268" s="625" t="s">
        <v>1247</v>
      </c>
      <c r="E268" s="626">
        <v>2520</v>
      </c>
      <c r="F268" s="627">
        <v>921.77</v>
      </c>
    </row>
    <row r="269" spans="1:6" s="275" customFormat="1" x14ac:dyDescent="0.15">
      <c r="A269" s="624" t="s">
        <v>1551</v>
      </c>
      <c r="B269" s="624"/>
      <c r="C269" s="625" t="s">
        <v>1235</v>
      </c>
      <c r="D269" s="625" t="s">
        <v>1236</v>
      </c>
      <c r="E269" s="626">
        <v>3811</v>
      </c>
      <c r="F269" s="627">
        <v>564.29999999999995</v>
      </c>
    </row>
    <row r="270" spans="1:6" s="275" customFormat="1" x14ac:dyDescent="0.15">
      <c r="A270" s="624" t="s">
        <v>1552</v>
      </c>
      <c r="B270" s="624"/>
      <c r="C270" s="625" t="s">
        <v>1286</v>
      </c>
      <c r="D270" s="625" t="s">
        <v>1514</v>
      </c>
      <c r="E270" s="631">
        <v>0</v>
      </c>
      <c r="F270" s="627">
        <v>2</v>
      </c>
    </row>
    <row r="271" spans="1:6" s="275" customFormat="1" x14ac:dyDescent="0.15">
      <c r="A271" s="632" t="s">
        <v>1527</v>
      </c>
      <c r="B271" s="632"/>
      <c r="C271" s="632" t="s">
        <v>1334</v>
      </c>
      <c r="D271" s="632" t="s">
        <v>1462</v>
      </c>
      <c r="E271" s="631">
        <f>1319.5+1696.5+73.8+94.8+551.6+709.2+51.7+66.5+276.7+355.8+30.1+38.7</f>
        <v>5264.9000000000005</v>
      </c>
      <c r="F271" s="627">
        <v>1040.83</v>
      </c>
    </row>
    <row r="272" spans="1:6" s="275" customFormat="1" x14ac:dyDescent="0.15">
      <c r="A272" s="624" t="s">
        <v>1553</v>
      </c>
      <c r="B272" s="624"/>
      <c r="C272" s="625" t="s">
        <v>1475</v>
      </c>
      <c r="D272" s="625" t="s">
        <v>1387</v>
      </c>
      <c r="E272" s="626">
        <v>516</v>
      </c>
      <c r="F272" s="627">
        <v>81.58</v>
      </c>
    </row>
    <row r="273" spans="1:8" s="275" customFormat="1" x14ac:dyDescent="0.15">
      <c r="A273" s="624" t="s">
        <v>1554</v>
      </c>
      <c r="B273" s="624"/>
      <c r="C273" s="625" t="s">
        <v>1399</v>
      </c>
      <c r="D273" s="625" t="s">
        <v>1276</v>
      </c>
      <c r="E273" s="626">
        <v>5440</v>
      </c>
      <c r="F273" s="627">
        <v>740.9799999999999</v>
      </c>
    </row>
    <row r="274" spans="1:8" s="275" customFormat="1" x14ac:dyDescent="0.15">
      <c r="A274" s="624" t="s">
        <v>1552</v>
      </c>
      <c r="B274" s="624"/>
      <c r="C274" s="625" t="s">
        <v>1286</v>
      </c>
      <c r="D274" s="625" t="s">
        <v>1514</v>
      </c>
      <c r="E274" s="631">
        <v>87</v>
      </c>
      <c r="F274" s="627">
        <v>38.29</v>
      </c>
    </row>
    <row r="275" spans="1:8" s="275" customFormat="1" ht="14" thickBot="1" x14ac:dyDescent="0.2">
      <c r="A275" s="624"/>
      <c r="B275" s="624"/>
      <c r="C275" s="633" t="s">
        <v>1555</v>
      </c>
      <c r="D275" s="625"/>
      <c r="E275" s="634">
        <f>SUM(E249:E274)</f>
        <v>67114.600000000006</v>
      </c>
      <c r="F275" s="635">
        <v>10692.169999999996</v>
      </c>
      <c r="H275" s="636">
        <f>F246-F275</f>
        <v>10192.33</v>
      </c>
    </row>
    <row r="276" spans="1:8" s="275" customFormat="1" ht="14" thickTop="1" x14ac:dyDescent="0.15">
      <c r="A276" s="617"/>
      <c r="B276" s="617"/>
      <c r="E276" s="276"/>
      <c r="F276" s="278"/>
    </row>
    <row r="277" spans="1:8" s="275" customFormat="1" x14ac:dyDescent="0.15">
      <c r="A277" s="617"/>
      <c r="B277" s="617"/>
      <c r="E277" s="276"/>
      <c r="F277" s="278"/>
    </row>
    <row r="278" spans="1:8" s="275" customFormat="1" ht="12" customHeight="1" x14ac:dyDescent="0.15">
      <c r="A278" s="617" t="s">
        <v>1556</v>
      </c>
      <c r="B278" s="617"/>
      <c r="C278" s="275" t="s">
        <v>1248</v>
      </c>
      <c r="D278" s="275" t="s">
        <v>1482</v>
      </c>
      <c r="E278" s="637">
        <v>4427</v>
      </c>
      <c r="F278" s="482">
        <v>672.87</v>
      </c>
    </row>
    <row r="279" spans="1:8" s="275" customFormat="1" x14ac:dyDescent="0.15">
      <c r="A279" s="591" t="s">
        <v>1557</v>
      </c>
      <c r="B279" s="591"/>
      <c r="C279" s="287" t="s">
        <v>1477</v>
      </c>
      <c r="D279" s="287" t="s">
        <v>1289</v>
      </c>
      <c r="E279" s="637">
        <v>9560</v>
      </c>
      <c r="F279" s="482">
        <v>1372.36</v>
      </c>
    </row>
    <row r="280" spans="1:8" s="275" customFormat="1" x14ac:dyDescent="0.15">
      <c r="A280" s="591" t="s">
        <v>1558</v>
      </c>
      <c r="B280" s="591"/>
      <c r="C280" s="287" t="s">
        <v>1469</v>
      </c>
      <c r="D280" s="287" t="s">
        <v>1470</v>
      </c>
      <c r="E280" s="637">
        <v>7040</v>
      </c>
      <c r="F280" s="482">
        <v>1014.61</v>
      </c>
    </row>
    <row r="281" spans="1:8" s="275" customFormat="1" x14ac:dyDescent="0.15">
      <c r="A281" s="591" t="s">
        <v>1559</v>
      </c>
      <c r="B281" s="591"/>
      <c r="C281" s="287" t="s">
        <v>1502</v>
      </c>
      <c r="D281" s="287" t="s">
        <v>1381</v>
      </c>
      <c r="E281" s="637">
        <v>26592</v>
      </c>
      <c r="F281" s="482">
        <v>2917.95</v>
      </c>
    </row>
    <row r="282" spans="1:8" s="275" customFormat="1" x14ac:dyDescent="0.15">
      <c r="A282" s="591" t="s">
        <v>1560</v>
      </c>
      <c r="B282" s="591"/>
      <c r="C282" s="287" t="s">
        <v>1504</v>
      </c>
      <c r="D282" s="287" t="s">
        <v>1505</v>
      </c>
      <c r="E282" s="637">
        <v>2015</v>
      </c>
      <c r="F282" s="482">
        <v>286.23</v>
      </c>
    </row>
    <row r="283" spans="1:8" s="275" customFormat="1" x14ac:dyDescent="0.15">
      <c r="A283" s="591" t="s">
        <v>1561</v>
      </c>
      <c r="B283" s="591"/>
      <c r="C283" s="287" t="s">
        <v>1562</v>
      </c>
      <c r="D283" s="287" t="s">
        <v>1509</v>
      </c>
      <c r="E283" s="637">
        <v>1880</v>
      </c>
      <c r="F283" s="482">
        <v>337.43</v>
      </c>
    </row>
    <row r="284" spans="1:8" s="275" customFormat="1" x14ac:dyDescent="0.15">
      <c r="A284" s="591" t="s">
        <v>1563</v>
      </c>
      <c r="B284" s="591"/>
      <c r="C284" s="287" t="s">
        <v>1267</v>
      </c>
      <c r="D284" s="287" t="s">
        <v>1268</v>
      </c>
      <c r="E284" s="637">
        <f>2.1+59.9</f>
        <v>62</v>
      </c>
      <c r="F284" s="482">
        <v>11.04</v>
      </c>
    </row>
    <row r="285" spans="1:8" s="275" customFormat="1" x14ac:dyDescent="0.15">
      <c r="A285" s="591" t="s">
        <v>1564</v>
      </c>
      <c r="B285" s="591"/>
      <c r="C285" s="287" t="s">
        <v>1485</v>
      </c>
      <c r="D285" s="287" t="s">
        <v>1486</v>
      </c>
      <c r="E285" s="637">
        <v>2160</v>
      </c>
      <c r="F285" s="482">
        <v>385.5</v>
      </c>
    </row>
    <row r="286" spans="1:8" s="275" customFormat="1" x14ac:dyDescent="0.15">
      <c r="A286" s="591" t="s">
        <v>1565</v>
      </c>
      <c r="B286" s="591"/>
      <c r="C286" s="287" t="s">
        <v>1566</v>
      </c>
      <c r="D286" s="287" t="s">
        <v>1268</v>
      </c>
      <c r="E286" s="637">
        <v>3957</v>
      </c>
      <c r="F286" s="482">
        <v>619.04999999999995</v>
      </c>
    </row>
    <row r="287" spans="1:8" s="275" customFormat="1" x14ac:dyDescent="0.15">
      <c r="A287" s="591" t="s">
        <v>1567</v>
      </c>
      <c r="B287" s="591"/>
      <c r="C287" s="287" t="s">
        <v>1568</v>
      </c>
      <c r="D287" s="287" t="s">
        <v>1457</v>
      </c>
      <c r="E287" s="637">
        <v>390</v>
      </c>
      <c r="F287" s="482">
        <v>74.31</v>
      </c>
    </row>
    <row r="288" spans="1:8" s="275" customFormat="1" x14ac:dyDescent="0.15">
      <c r="A288" s="591" t="s">
        <v>1569</v>
      </c>
      <c r="B288" s="591"/>
      <c r="C288" s="287" t="s">
        <v>1464</v>
      </c>
      <c r="D288" s="287" t="s">
        <v>1285</v>
      </c>
      <c r="E288" s="637">
        <v>1136</v>
      </c>
      <c r="F288" s="482">
        <v>223.79</v>
      </c>
    </row>
    <row r="289" spans="1:8" s="275" customFormat="1" x14ac:dyDescent="0.15">
      <c r="A289" s="591" t="s">
        <v>1570</v>
      </c>
      <c r="B289" s="591"/>
      <c r="C289" s="287" t="s">
        <v>1472</v>
      </c>
      <c r="D289" s="287" t="s">
        <v>1473</v>
      </c>
      <c r="E289" s="637">
        <v>86</v>
      </c>
      <c r="F289" s="482">
        <v>38.200000000000003</v>
      </c>
    </row>
    <row r="290" spans="1:8" s="295" customFormat="1" x14ac:dyDescent="0.15">
      <c r="A290" s="591" t="s">
        <v>1571</v>
      </c>
      <c r="B290" s="591"/>
      <c r="C290" s="287" t="s">
        <v>1489</v>
      </c>
      <c r="D290" s="287" t="s">
        <v>1490</v>
      </c>
      <c r="E290" s="637">
        <v>170</v>
      </c>
      <c r="F290" s="482">
        <v>46.21</v>
      </c>
    </row>
    <row r="291" spans="1:8" s="275" customFormat="1" x14ac:dyDescent="0.15">
      <c r="A291" s="591" t="s">
        <v>1572</v>
      </c>
      <c r="B291" s="591"/>
      <c r="C291" s="287" t="s">
        <v>1271</v>
      </c>
      <c r="D291" s="287" t="s">
        <v>1272</v>
      </c>
      <c r="E291" s="637">
        <v>7617</v>
      </c>
      <c r="F291" s="482">
        <v>1034.04</v>
      </c>
    </row>
    <row r="292" spans="1:8" s="275" customFormat="1" x14ac:dyDescent="0.15">
      <c r="A292" s="591" t="s">
        <v>1573</v>
      </c>
      <c r="B292" s="591"/>
      <c r="C292" s="287" t="s">
        <v>1461</v>
      </c>
      <c r="D292" s="287" t="s">
        <v>1462</v>
      </c>
      <c r="E292" s="637">
        <f>0.9+13</f>
        <v>13.9</v>
      </c>
      <c r="F292" s="627">
        <v>29.049999999999997</v>
      </c>
    </row>
    <row r="293" spans="1:8" s="295" customFormat="1" x14ac:dyDescent="0.15">
      <c r="A293" s="591" t="s">
        <v>1574</v>
      </c>
      <c r="B293" s="591"/>
      <c r="C293" s="287" t="s">
        <v>1377</v>
      </c>
      <c r="D293" s="287" t="s">
        <v>1378</v>
      </c>
      <c r="E293" s="637">
        <v>2543</v>
      </c>
      <c r="F293" s="482">
        <v>407.78</v>
      </c>
    </row>
    <row r="294" spans="1:8" s="275" customFormat="1" x14ac:dyDescent="0.15">
      <c r="A294" s="591" t="s">
        <v>1575</v>
      </c>
      <c r="B294" s="591"/>
      <c r="C294" s="287" t="s">
        <v>1448</v>
      </c>
      <c r="D294" s="287" t="s">
        <v>1449</v>
      </c>
      <c r="E294" s="637">
        <v>138</v>
      </c>
      <c r="F294" s="482">
        <v>26.23</v>
      </c>
    </row>
    <row r="295" spans="1:8" s="275" customFormat="1" x14ac:dyDescent="0.15">
      <c r="A295" s="591" t="s">
        <v>1576</v>
      </c>
      <c r="B295" s="591"/>
      <c r="C295" s="287" t="s">
        <v>1401</v>
      </c>
      <c r="D295" s="287" t="s">
        <v>1316</v>
      </c>
      <c r="E295" s="637">
        <v>104</v>
      </c>
      <c r="F295" s="482">
        <v>40.5</v>
      </c>
    </row>
    <row r="296" spans="1:8" s="275" customFormat="1" x14ac:dyDescent="0.15">
      <c r="A296" s="617" t="s">
        <v>1577</v>
      </c>
      <c r="B296" s="617"/>
      <c r="C296" s="275" t="s">
        <v>1395</v>
      </c>
      <c r="D296" s="275" t="s">
        <v>1396</v>
      </c>
      <c r="E296" s="637">
        <v>94</v>
      </c>
      <c r="F296" s="482">
        <v>19.77</v>
      </c>
    </row>
    <row r="297" spans="1:8" s="275" customFormat="1" x14ac:dyDescent="0.15">
      <c r="A297" s="591" t="s">
        <v>1578</v>
      </c>
      <c r="B297" s="591"/>
      <c r="C297" s="287" t="s">
        <v>1579</v>
      </c>
      <c r="D297" s="287" t="s">
        <v>1497</v>
      </c>
      <c r="E297" s="637">
        <v>4</v>
      </c>
      <c r="F297" s="482">
        <v>30.37</v>
      </c>
    </row>
    <row r="298" spans="1:8" s="275" customFormat="1" x14ac:dyDescent="0.15">
      <c r="A298" s="617" t="s">
        <v>1580</v>
      </c>
      <c r="B298" s="617"/>
      <c r="C298" s="275" t="s">
        <v>1451</v>
      </c>
      <c r="D298" s="275" t="s">
        <v>1452</v>
      </c>
      <c r="E298" s="637">
        <v>1536</v>
      </c>
      <c r="F298" s="482">
        <v>1707.28</v>
      </c>
    </row>
    <row r="299" spans="1:8" s="275" customFormat="1" x14ac:dyDescent="0.15">
      <c r="A299" s="591" t="s">
        <v>1581</v>
      </c>
      <c r="B299" s="591"/>
      <c r="C299" s="287" t="s">
        <v>1521</v>
      </c>
      <c r="D299" s="287" t="s">
        <v>1229</v>
      </c>
      <c r="E299" s="637">
        <v>1844</v>
      </c>
      <c r="F299" s="482">
        <v>305.52999999999997</v>
      </c>
    </row>
    <row r="300" spans="1:8" s="275" customFormat="1" x14ac:dyDescent="0.15">
      <c r="A300" s="591" t="s">
        <v>1582</v>
      </c>
      <c r="B300" s="591"/>
      <c r="C300" s="287" t="s">
        <v>1525</v>
      </c>
      <c r="D300" s="287" t="s">
        <v>1526</v>
      </c>
      <c r="E300" s="637">
        <v>20</v>
      </c>
      <c r="F300" s="482">
        <v>8.93</v>
      </c>
    </row>
    <row r="301" spans="1:8" s="275" customFormat="1" ht="14" x14ac:dyDescent="0.15">
      <c r="A301" s="591" t="s">
        <v>1583</v>
      </c>
      <c r="B301" s="591"/>
      <c r="C301" s="287" t="s">
        <v>1584</v>
      </c>
      <c r="D301" s="618" t="s">
        <v>1264</v>
      </c>
      <c r="E301" s="637">
        <v>1200</v>
      </c>
      <c r="F301" s="482">
        <v>343.77</v>
      </c>
    </row>
    <row r="302" spans="1:8" s="295" customFormat="1" ht="14" thickBot="1" x14ac:dyDescent="0.2">
      <c r="A302" s="591"/>
      <c r="B302" s="591"/>
      <c r="C302" s="291" t="s">
        <v>1585</v>
      </c>
      <c r="D302" s="287"/>
      <c r="E302" s="638">
        <f>SUM(E278:E301)</f>
        <v>74588.899999999994</v>
      </c>
      <c r="F302" s="620">
        <v>11952.800000000005</v>
      </c>
      <c r="H302" s="639"/>
    </row>
    <row r="303" spans="1:8" s="275" customFormat="1" ht="14" thickTop="1" x14ac:dyDescent="0.15">
      <c r="A303" s="617"/>
      <c r="B303" s="617"/>
      <c r="E303" s="276"/>
      <c r="F303" s="278"/>
    </row>
    <row r="304" spans="1:8" s="275" customFormat="1" x14ac:dyDescent="0.15">
      <c r="A304" s="617"/>
      <c r="B304" s="617"/>
      <c r="E304" s="276"/>
      <c r="F304" s="278"/>
    </row>
    <row r="305" spans="1:6" s="275" customFormat="1" x14ac:dyDescent="0.15">
      <c r="A305" s="591" t="s">
        <v>1534</v>
      </c>
      <c r="B305" s="591"/>
      <c r="C305" s="287" t="s">
        <v>1492</v>
      </c>
      <c r="D305" s="287" t="s">
        <v>1239</v>
      </c>
      <c r="E305" s="637">
        <v>13520</v>
      </c>
      <c r="F305" s="482">
        <v>1831.92</v>
      </c>
    </row>
    <row r="306" spans="1:6" s="275" customFormat="1" x14ac:dyDescent="0.15">
      <c r="A306" s="591" t="s">
        <v>1535</v>
      </c>
      <c r="B306" s="591"/>
      <c r="C306" s="287" t="s">
        <v>1507</v>
      </c>
      <c r="D306" s="287" t="s">
        <v>1245</v>
      </c>
      <c r="E306" s="637">
        <v>3480</v>
      </c>
      <c r="F306" s="482">
        <v>554.08000000000004</v>
      </c>
    </row>
    <row r="307" spans="1:6" s="275" customFormat="1" x14ac:dyDescent="0.15">
      <c r="A307" s="591" t="s">
        <v>1536</v>
      </c>
      <c r="B307" s="591"/>
      <c r="C307" s="287" t="s">
        <v>1479</v>
      </c>
      <c r="D307" s="287" t="s">
        <v>1231</v>
      </c>
      <c r="E307" s="637">
        <v>5026</v>
      </c>
      <c r="F307" s="482">
        <v>701.51</v>
      </c>
    </row>
    <row r="308" spans="1:6" s="275" customFormat="1" x14ac:dyDescent="0.15">
      <c r="A308" s="591" t="s">
        <v>1537</v>
      </c>
      <c r="B308" s="591"/>
      <c r="C308" s="287" t="s">
        <v>1269</v>
      </c>
      <c r="D308" s="287" t="s">
        <v>1270</v>
      </c>
      <c r="E308" s="637">
        <v>3285</v>
      </c>
      <c r="F308" s="482">
        <v>478.54</v>
      </c>
    </row>
    <row r="309" spans="1:6" s="275" customFormat="1" x14ac:dyDescent="0.15">
      <c r="A309" s="640" t="s">
        <v>1538</v>
      </c>
      <c r="B309" s="640"/>
      <c r="C309" s="295" t="s">
        <v>1517</v>
      </c>
      <c r="D309" s="295" t="s">
        <v>1518</v>
      </c>
      <c r="E309" s="637">
        <v>5</v>
      </c>
      <c r="F309" s="482">
        <v>30.47</v>
      </c>
    </row>
    <row r="310" spans="1:6" s="275" customFormat="1" x14ac:dyDescent="0.15">
      <c r="A310" s="591" t="s">
        <v>1539</v>
      </c>
      <c r="B310" s="591"/>
      <c r="C310" s="287" t="s">
        <v>1405</v>
      </c>
      <c r="D310" s="287" t="s">
        <v>1280</v>
      </c>
      <c r="E310" s="637">
        <v>3360</v>
      </c>
      <c r="F310" s="482">
        <v>620.97</v>
      </c>
    </row>
    <row r="311" spans="1:6" s="275" customFormat="1" x14ac:dyDescent="0.15">
      <c r="A311" s="591" t="s">
        <v>1540</v>
      </c>
      <c r="B311" s="591"/>
      <c r="C311" s="287" t="s">
        <v>1257</v>
      </c>
      <c r="D311" s="287" t="s">
        <v>1258</v>
      </c>
      <c r="E311" s="637">
        <v>22560</v>
      </c>
      <c r="F311" s="482">
        <v>2921.82</v>
      </c>
    </row>
    <row r="312" spans="1:6" s="275" customFormat="1" x14ac:dyDescent="0.15">
      <c r="A312" s="591" t="s">
        <v>1541</v>
      </c>
      <c r="B312" s="591"/>
      <c r="C312" s="287" t="s">
        <v>1586</v>
      </c>
      <c r="D312" s="287" t="s">
        <v>1500</v>
      </c>
      <c r="E312" s="637">
        <v>3960</v>
      </c>
      <c r="F312" s="482">
        <v>628.35</v>
      </c>
    </row>
    <row r="313" spans="1:6" s="275" customFormat="1" x14ac:dyDescent="0.15">
      <c r="A313" s="591" t="s">
        <v>1542</v>
      </c>
      <c r="B313" s="591"/>
      <c r="C313" s="287" t="s">
        <v>1240</v>
      </c>
      <c r="D313" s="287" t="s">
        <v>1467</v>
      </c>
      <c r="E313" s="637">
        <v>4507</v>
      </c>
      <c r="F313" s="482">
        <v>616.42999999999995</v>
      </c>
    </row>
    <row r="314" spans="1:6" s="275" customFormat="1" x14ac:dyDescent="0.15">
      <c r="A314" s="591" t="s">
        <v>1543</v>
      </c>
      <c r="B314" s="591"/>
      <c r="C314" s="287" t="s">
        <v>1523</v>
      </c>
      <c r="D314" s="287" t="s">
        <v>1266</v>
      </c>
      <c r="E314" s="637">
        <v>824</v>
      </c>
      <c r="F314" s="482">
        <v>172.66</v>
      </c>
    </row>
    <row r="315" spans="1:6" s="275" customFormat="1" x14ac:dyDescent="0.15">
      <c r="A315" s="591" t="s">
        <v>1544</v>
      </c>
      <c r="B315" s="591"/>
      <c r="C315" s="287" t="s">
        <v>1234</v>
      </c>
      <c r="D315" s="287" t="s">
        <v>1494</v>
      </c>
      <c r="E315" s="637">
        <v>4982</v>
      </c>
      <c r="F315" s="482">
        <v>797</v>
      </c>
    </row>
    <row r="316" spans="1:6" s="275" customFormat="1" x14ac:dyDescent="0.15">
      <c r="A316" s="591" t="s">
        <v>1545</v>
      </c>
      <c r="B316" s="591"/>
      <c r="C316" s="287" t="s">
        <v>1234</v>
      </c>
      <c r="D316" s="287" t="s">
        <v>1494</v>
      </c>
      <c r="E316" s="637">
        <v>4.5999999999999996</v>
      </c>
      <c r="F316" s="482">
        <v>1.01</v>
      </c>
    </row>
    <row r="317" spans="1:6" s="275" customFormat="1" x14ac:dyDescent="0.15">
      <c r="A317" s="591" t="s">
        <v>1545</v>
      </c>
      <c r="B317" s="591"/>
      <c r="C317" s="287" t="s">
        <v>1234</v>
      </c>
      <c r="D317" s="287" t="s">
        <v>1494</v>
      </c>
      <c r="E317" s="637">
        <v>64.2</v>
      </c>
      <c r="F317" s="482">
        <v>13.75</v>
      </c>
    </row>
    <row r="318" spans="1:6" s="275" customFormat="1" x14ac:dyDescent="0.15">
      <c r="A318" s="591" t="s">
        <v>1546</v>
      </c>
      <c r="B318" s="591"/>
      <c r="C318" s="287" t="s">
        <v>1586</v>
      </c>
      <c r="D318" s="287" t="s">
        <v>1500</v>
      </c>
      <c r="E318" s="637">
        <v>7.9</v>
      </c>
      <c r="F318" s="482">
        <v>2.4</v>
      </c>
    </row>
    <row r="319" spans="1:6" s="275" customFormat="1" x14ac:dyDescent="0.15">
      <c r="A319" s="591" t="s">
        <v>1546</v>
      </c>
      <c r="B319" s="591"/>
      <c r="C319" s="287" t="s">
        <v>1586</v>
      </c>
      <c r="D319" s="287" t="s">
        <v>1500</v>
      </c>
      <c r="E319" s="637">
        <v>110.3</v>
      </c>
      <c r="F319" s="482">
        <v>32.81</v>
      </c>
    </row>
    <row r="320" spans="1:6" s="275" customFormat="1" x14ac:dyDescent="0.15">
      <c r="A320" s="591" t="s">
        <v>1547</v>
      </c>
      <c r="B320" s="591"/>
      <c r="C320" s="287" t="s">
        <v>1286</v>
      </c>
      <c r="D320" s="287" t="s">
        <v>1514</v>
      </c>
      <c r="E320" s="637">
        <v>13.9</v>
      </c>
      <c r="F320" s="482">
        <v>3.12</v>
      </c>
    </row>
    <row r="321" spans="1:8" s="275" customFormat="1" x14ac:dyDescent="0.15">
      <c r="A321" s="591" t="s">
        <v>1547</v>
      </c>
      <c r="B321" s="591"/>
      <c r="C321" s="287" t="s">
        <v>1286</v>
      </c>
      <c r="D321" s="287" t="s">
        <v>1514</v>
      </c>
      <c r="E321" s="637">
        <v>194.1</v>
      </c>
      <c r="F321" s="482">
        <v>42.5</v>
      </c>
    </row>
    <row r="322" spans="1:8" s="275" customFormat="1" x14ac:dyDescent="0.15">
      <c r="A322" s="591" t="s">
        <v>1548</v>
      </c>
      <c r="B322" s="591"/>
      <c r="C322" s="287" t="s">
        <v>1235</v>
      </c>
      <c r="D322" s="287" t="s">
        <v>1236</v>
      </c>
      <c r="E322" s="637">
        <v>0</v>
      </c>
      <c r="F322" s="482">
        <v>0</v>
      </c>
    </row>
    <row r="323" spans="1:8" s="275" customFormat="1" x14ac:dyDescent="0.15">
      <c r="A323" s="591" t="s">
        <v>1549</v>
      </c>
      <c r="B323" s="591"/>
      <c r="C323" s="287" t="s">
        <v>1459</v>
      </c>
      <c r="D323" s="287" t="s">
        <v>1251</v>
      </c>
      <c r="E323" s="637">
        <v>1011</v>
      </c>
      <c r="F323" s="482">
        <v>197.62</v>
      </c>
    </row>
    <row r="324" spans="1:8" s="275" customFormat="1" x14ac:dyDescent="0.15">
      <c r="A324" s="591" t="s">
        <v>1550</v>
      </c>
      <c r="B324" s="591"/>
      <c r="C324" s="287" t="s">
        <v>1454</v>
      </c>
      <c r="D324" s="287" t="s">
        <v>1247</v>
      </c>
      <c r="E324" s="637">
        <v>4200</v>
      </c>
      <c r="F324" s="482">
        <v>615.61</v>
      </c>
    </row>
    <row r="325" spans="1:8" s="275" customFormat="1" x14ac:dyDescent="0.15">
      <c r="A325" s="591" t="s">
        <v>1551</v>
      </c>
      <c r="B325" s="591"/>
      <c r="C325" s="287" t="s">
        <v>1235</v>
      </c>
      <c r="D325" s="287" t="s">
        <v>1236</v>
      </c>
      <c r="E325" s="637">
        <v>9481</v>
      </c>
      <c r="F325" s="482">
        <v>1275.8699999999999</v>
      </c>
    </row>
    <row r="326" spans="1:8" s="275" customFormat="1" x14ac:dyDescent="0.15">
      <c r="A326" s="591" t="s">
        <v>1552</v>
      </c>
      <c r="B326" s="591"/>
      <c r="C326" s="287" t="s">
        <v>1286</v>
      </c>
      <c r="D326" s="287" t="s">
        <v>1514</v>
      </c>
      <c r="E326" s="637">
        <v>0</v>
      </c>
      <c r="F326" s="482">
        <v>0</v>
      </c>
    </row>
    <row r="327" spans="1:8" s="275" customFormat="1" x14ac:dyDescent="0.15">
      <c r="A327" s="619" t="s">
        <v>1527</v>
      </c>
      <c r="B327" s="619"/>
      <c r="C327" s="619" t="s">
        <v>1334</v>
      </c>
      <c r="D327" s="619" t="s">
        <v>1462</v>
      </c>
      <c r="E327" s="637">
        <f>1448.4+2051.9+80.9+114.7+606.1+858.7+56.9+80.5+304.1+430.7+33.1+46.8</f>
        <v>6112.8</v>
      </c>
      <c r="F327" s="482">
        <v>1105.96</v>
      </c>
    </row>
    <row r="328" spans="1:8" s="275" customFormat="1" x14ac:dyDescent="0.15">
      <c r="A328" s="591" t="s">
        <v>1553</v>
      </c>
      <c r="B328" s="591"/>
      <c r="C328" s="287" t="s">
        <v>1475</v>
      </c>
      <c r="D328" s="287" t="s">
        <v>1387</v>
      </c>
      <c r="E328" s="637">
        <v>1083</v>
      </c>
      <c r="F328" s="482">
        <v>169.43</v>
      </c>
    </row>
    <row r="329" spans="1:8" s="275" customFormat="1" x14ac:dyDescent="0.15">
      <c r="A329" s="591" t="s">
        <v>1554</v>
      </c>
      <c r="B329" s="591"/>
      <c r="C329" s="287" t="s">
        <v>1399</v>
      </c>
      <c r="D329" s="287" t="s">
        <v>1276</v>
      </c>
      <c r="E329" s="637">
        <v>5080</v>
      </c>
      <c r="F329" s="482">
        <v>728.02</v>
      </c>
      <c r="H329" s="478" t="s">
        <v>1587</v>
      </c>
    </row>
    <row r="330" spans="1:8" s="275" customFormat="1" x14ac:dyDescent="0.15">
      <c r="A330" s="591" t="s">
        <v>1552</v>
      </c>
      <c r="B330" s="591"/>
      <c r="C330" s="287" t="s">
        <v>1286</v>
      </c>
      <c r="D330" s="287" t="s">
        <v>1514</v>
      </c>
      <c r="E330" s="637">
        <v>0</v>
      </c>
      <c r="F330" s="482">
        <v>0</v>
      </c>
      <c r="H330" s="290">
        <v>54085771020</v>
      </c>
    </row>
    <row r="331" spans="1:8" s="275" customFormat="1" ht="14" thickBot="1" x14ac:dyDescent="0.2">
      <c r="A331" s="591"/>
      <c r="B331" s="591"/>
      <c r="C331" s="291" t="s">
        <v>1588</v>
      </c>
      <c r="D331" s="287"/>
      <c r="E331" s="638">
        <f>SUM(E305:E330)</f>
        <v>92871.8</v>
      </c>
      <c r="F331" s="641">
        <v>13541.85</v>
      </c>
      <c r="H331" s="636">
        <f>F331-H275-F327</f>
        <v>2243.5600000000004</v>
      </c>
    </row>
    <row r="332" spans="1:8" s="275" customFormat="1" ht="14" thickTop="1" x14ac:dyDescent="0.15">
      <c r="A332" s="640"/>
      <c r="B332" s="640"/>
      <c r="C332" s="295"/>
      <c r="D332" s="295"/>
      <c r="E332" s="296"/>
      <c r="F332" s="298"/>
    </row>
    <row r="333" spans="1:8" s="275" customFormat="1" x14ac:dyDescent="0.15">
      <c r="A333" s="640"/>
      <c r="B333" s="640"/>
      <c r="C333" s="295"/>
      <c r="D333" s="295"/>
      <c r="E333" s="296"/>
      <c r="F333" s="298"/>
    </row>
    <row r="334" spans="1:8" s="275" customFormat="1" x14ac:dyDescent="0.15">
      <c r="A334" s="640" t="s">
        <v>1556</v>
      </c>
      <c r="B334" s="640"/>
      <c r="C334" s="295" t="s">
        <v>1248</v>
      </c>
      <c r="D334" s="295" t="s">
        <v>1482</v>
      </c>
      <c r="E334" s="642">
        <v>3676</v>
      </c>
      <c r="F334" s="482">
        <v>572.78</v>
      </c>
    </row>
    <row r="335" spans="1:8" s="275" customFormat="1" x14ac:dyDescent="0.15">
      <c r="A335" s="591" t="s">
        <v>1557</v>
      </c>
      <c r="B335" s="591"/>
      <c r="C335" s="287" t="s">
        <v>1477</v>
      </c>
      <c r="D335" s="287" t="s">
        <v>1289</v>
      </c>
      <c r="E335" s="642">
        <v>8320</v>
      </c>
      <c r="F335" s="482">
        <v>1254.6600000000001</v>
      </c>
    </row>
    <row r="336" spans="1:8" s="275" customFormat="1" x14ac:dyDescent="0.15">
      <c r="A336" s="591" t="s">
        <v>1558</v>
      </c>
      <c r="B336" s="591"/>
      <c r="C336" s="287" t="s">
        <v>1469</v>
      </c>
      <c r="D336" s="287" t="s">
        <v>1470</v>
      </c>
      <c r="E336" s="642">
        <v>6560</v>
      </c>
      <c r="F336" s="482">
        <v>961.74</v>
      </c>
    </row>
    <row r="337" spans="1:6" s="275" customFormat="1" x14ac:dyDescent="0.15">
      <c r="A337" s="591" t="s">
        <v>1559</v>
      </c>
      <c r="B337" s="591"/>
      <c r="C337" s="287" t="s">
        <v>1502</v>
      </c>
      <c r="D337" s="287" t="s">
        <v>1381</v>
      </c>
      <c r="E337" s="642">
        <v>23136</v>
      </c>
      <c r="F337" s="482">
        <v>2568.6</v>
      </c>
    </row>
    <row r="338" spans="1:6" s="275" customFormat="1" x14ac:dyDescent="0.15">
      <c r="A338" s="591" t="s">
        <v>1560</v>
      </c>
      <c r="B338" s="591"/>
      <c r="C338" s="287" t="s">
        <v>1504</v>
      </c>
      <c r="D338" s="287" t="s">
        <v>1505</v>
      </c>
      <c r="E338" s="642">
        <v>1872</v>
      </c>
      <c r="F338" s="482">
        <v>279.7</v>
      </c>
    </row>
    <row r="339" spans="1:6" s="275" customFormat="1" x14ac:dyDescent="0.15">
      <c r="A339" s="591" t="s">
        <v>1561</v>
      </c>
      <c r="B339" s="591"/>
      <c r="C339" s="287" t="s">
        <v>1562</v>
      </c>
      <c r="D339" s="287" t="s">
        <v>1509</v>
      </c>
      <c r="E339" s="642">
        <v>3760</v>
      </c>
      <c r="F339" s="482">
        <v>545.20000000000005</v>
      </c>
    </row>
    <row r="340" spans="1:6" s="275" customFormat="1" x14ac:dyDescent="0.15">
      <c r="A340" s="591" t="s">
        <v>1563</v>
      </c>
      <c r="B340" s="591"/>
      <c r="C340" s="287" t="s">
        <v>1267</v>
      </c>
      <c r="D340" s="287" t="s">
        <v>1268</v>
      </c>
      <c r="E340" s="642">
        <f>4.2+62.5+2.1</f>
        <v>68.8</v>
      </c>
      <c r="F340" s="482">
        <v>11.37</v>
      </c>
    </row>
    <row r="341" spans="1:6" s="275" customFormat="1" x14ac:dyDescent="0.15">
      <c r="A341" s="591" t="s">
        <v>1564</v>
      </c>
      <c r="B341" s="591"/>
      <c r="C341" s="287" t="s">
        <v>1485</v>
      </c>
      <c r="D341" s="287" t="s">
        <v>1486</v>
      </c>
      <c r="E341" s="642">
        <v>1600</v>
      </c>
      <c r="F341" s="482">
        <v>396.17</v>
      </c>
    </row>
    <row r="342" spans="1:6" s="275" customFormat="1" x14ac:dyDescent="0.15">
      <c r="A342" s="591" t="s">
        <v>1565</v>
      </c>
      <c r="B342" s="591"/>
      <c r="C342" s="287" t="s">
        <v>1267</v>
      </c>
      <c r="D342" s="287" t="s">
        <v>1268</v>
      </c>
      <c r="E342" s="642">
        <v>2969</v>
      </c>
      <c r="F342" s="482">
        <v>464.46</v>
      </c>
    </row>
    <row r="343" spans="1:6" s="275" customFormat="1" x14ac:dyDescent="0.15">
      <c r="A343" s="591" t="s">
        <v>1567</v>
      </c>
      <c r="B343" s="591"/>
      <c r="C343" s="287" t="s">
        <v>1568</v>
      </c>
      <c r="D343" s="287" t="s">
        <v>1457</v>
      </c>
      <c r="E343" s="642">
        <v>900</v>
      </c>
      <c r="F343" s="482">
        <v>215.5</v>
      </c>
    </row>
    <row r="344" spans="1:6" s="275" customFormat="1" x14ac:dyDescent="0.15">
      <c r="A344" s="591" t="s">
        <v>1569</v>
      </c>
      <c r="B344" s="591"/>
      <c r="C344" s="287" t="s">
        <v>1464</v>
      </c>
      <c r="D344" s="287" t="s">
        <v>1285</v>
      </c>
      <c r="E344" s="642">
        <v>911</v>
      </c>
      <c r="F344" s="482">
        <v>202.32</v>
      </c>
    </row>
    <row r="345" spans="1:6" s="275" customFormat="1" x14ac:dyDescent="0.15">
      <c r="A345" s="591" t="s">
        <v>1570</v>
      </c>
      <c r="B345" s="591"/>
      <c r="C345" s="287" t="s">
        <v>1472</v>
      </c>
      <c r="D345" s="287" t="s">
        <v>1473</v>
      </c>
      <c r="E345" s="642">
        <v>33</v>
      </c>
      <c r="F345" s="482">
        <v>33.15</v>
      </c>
    </row>
    <row r="346" spans="1:6" s="275" customFormat="1" x14ac:dyDescent="0.15">
      <c r="A346" s="591" t="s">
        <v>1571</v>
      </c>
      <c r="B346" s="591"/>
      <c r="C346" s="287" t="s">
        <v>1489</v>
      </c>
      <c r="D346" s="287" t="s">
        <v>1490</v>
      </c>
      <c r="E346" s="642">
        <v>157</v>
      </c>
      <c r="F346" s="482">
        <v>44.97</v>
      </c>
    </row>
    <row r="347" spans="1:6" s="275" customFormat="1" x14ac:dyDescent="0.15">
      <c r="A347" s="591" t="s">
        <v>1572</v>
      </c>
      <c r="B347" s="591"/>
      <c r="C347" s="287" t="s">
        <v>1271</v>
      </c>
      <c r="D347" s="287" t="s">
        <v>1272</v>
      </c>
      <c r="E347" s="642">
        <v>6723</v>
      </c>
      <c r="F347" s="482">
        <v>984.39</v>
      </c>
    </row>
    <row r="348" spans="1:6" s="275" customFormat="1" x14ac:dyDescent="0.15">
      <c r="A348" s="591" t="s">
        <v>1573</v>
      </c>
      <c r="B348" s="591"/>
      <c r="C348" s="287" t="s">
        <v>1461</v>
      </c>
      <c r="D348" s="287" t="s">
        <v>1462</v>
      </c>
      <c r="E348" s="642">
        <v>26</v>
      </c>
      <c r="F348" s="482">
        <v>16.23</v>
      </c>
    </row>
    <row r="349" spans="1:6" s="275" customFormat="1" x14ac:dyDescent="0.15">
      <c r="A349" s="591" t="s">
        <v>1574</v>
      </c>
      <c r="B349" s="591"/>
      <c r="C349" s="287" t="s">
        <v>1377</v>
      </c>
      <c r="D349" s="287" t="s">
        <v>1378</v>
      </c>
      <c r="E349" s="642">
        <v>2503</v>
      </c>
      <c r="F349" s="482">
        <v>382.61</v>
      </c>
    </row>
    <row r="350" spans="1:6" s="275" customFormat="1" x14ac:dyDescent="0.15">
      <c r="A350" s="591" t="s">
        <v>1575</v>
      </c>
      <c r="B350" s="591"/>
      <c r="C350" s="287" t="s">
        <v>1448</v>
      </c>
      <c r="D350" s="287" t="s">
        <v>1449</v>
      </c>
      <c r="E350" s="642">
        <v>55</v>
      </c>
      <c r="F350" s="482">
        <v>14.06</v>
      </c>
    </row>
    <row r="351" spans="1:6" s="275" customFormat="1" x14ac:dyDescent="0.15">
      <c r="A351" s="591" t="s">
        <v>1576</v>
      </c>
      <c r="B351" s="591"/>
      <c r="C351" s="287" t="s">
        <v>1401</v>
      </c>
      <c r="D351" s="287" t="s">
        <v>1316</v>
      </c>
      <c r="E351" s="642">
        <v>133</v>
      </c>
      <c r="F351" s="482">
        <v>43.41</v>
      </c>
    </row>
    <row r="352" spans="1:6" s="275" customFormat="1" x14ac:dyDescent="0.15">
      <c r="A352" s="640" t="s">
        <v>1577</v>
      </c>
      <c r="B352" s="640"/>
      <c r="C352" s="295" t="s">
        <v>1395</v>
      </c>
      <c r="D352" s="295" t="s">
        <v>1396</v>
      </c>
      <c r="E352" s="642">
        <v>137</v>
      </c>
      <c r="F352" s="482">
        <v>26.06</v>
      </c>
    </row>
    <row r="353" spans="1:10" s="275" customFormat="1" x14ac:dyDescent="0.15">
      <c r="A353" s="591" t="s">
        <v>1578</v>
      </c>
      <c r="B353" s="591"/>
      <c r="C353" s="287" t="s">
        <v>1579</v>
      </c>
      <c r="D353" s="287" t="s">
        <v>1497</v>
      </c>
      <c r="E353" s="642">
        <f>0+23.2+0.8</f>
        <v>24</v>
      </c>
      <c r="F353" s="482">
        <v>62.29</v>
      </c>
    </row>
    <row r="354" spans="1:10" s="275" customFormat="1" x14ac:dyDescent="0.15">
      <c r="A354" s="640" t="s">
        <v>1580</v>
      </c>
      <c r="B354" s="640"/>
      <c r="C354" s="295" t="s">
        <v>1451</v>
      </c>
      <c r="D354" s="295" t="s">
        <v>1452</v>
      </c>
      <c r="E354" s="642">
        <v>2304</v>
      </c>
      <c r="F354" s="482">
        <v>1801.87</v>
      </c>
    </row>
    <row r="355" spans="1:10" s="275" customFormat="1" x14ac:dyDescent="0.15">
      <c r="A355" s="591" t="s">
        <v>1581</v>
      </c>
      <c r="B355" s="591"/>
      <c r="C355" s="287" t="s">
        <v>1521</v>
      </c>
      <c r="D355" s="287" t="s">
        <v>1229</v>
      </c>
      <c r="E355" s="642">
        <v>2050</v>
      </c>
      <c r="F355" s="482">
        <v>346.55</v>
      </c>
    </row>
    <row r="356" spans="1:10" s="275" customFormat="1" x14ac:dyDescent="0.15">
      <c r="A356" s="591" t="s">
        <v>1582</v>
      </c>
      <c r="B356" s="591"/>
      <c r="C356" s="287" t="s">
        <v>1525</v>
      </c>
      <c r="D356" s="287" t="s">
        <v>1526</v>
      </c>
      <c r="E356" s="642">
        <f>10.6+0.4</f>
        <v>11</v>
      </c>
      <c r="F356" s="482">
        <v>7.63</v>
      </c>
      <c r="H356" s="478" t="s">
        <v>1587</v>
      </c>
    </row>
    <row r="357" spans="1:10" s="275" customFormat="1" ht="14" x14ac:dyDescent="0.15">
      <c r="A357" s="591" t="s">
        <v>1583</v>
      </c>
      <c r="B357" s="591"/>
      <c r="C357" s="287" t="s">
        <v>1584</v>
      </c>
      <c r="D357" s="618" t="s">
        <v>1264</v>
      </c>
      <c r="E357" s="642">
        <v>1160</v>
      </c>
      <c r="F357" s="482">
        <v>290.14</v>
      </c>
      <c r="H357" s="290">
        <v>54004571089</v>
      </c>
      <c r="J357" s="478" t="s">
        <v>1589</v>
      </c>
    </row>
    <row r="358" spans="1:10" s="275" customFormat="1" ht="14" thickBot="1" x14ac:dyDescent="0.2">
      <c r="A358" s="591"/>
      <c r="B358" s="591"/>
      <c r="C358" s="291" t="s">
        <v>1590</v>
      </c>
      <c r="D358" s="287"/>
      <c r="E358" s="643">
        <f>SUM(E334:E357)</f>
        <v>69088.800000000003</v>
      </c>
      <c r="F358" s="641">
        <v>11525.859999999999</v>
      </c>
      <c r="H358" s="636">
        <f>F302+F358</f>
        <v>23478.660000000003</v>
      </c>
      <c r="J358" s="636">
        <f>SUM(H331,H358)</f>
        <v>25722.220000000005</v>
      </c>
    </row>
    <row r="359" spans="1:10" s="275" customFormat="1" ht="14" thickTop="1" x14ac:dyDescent="0.15">
      <c r="A359" s="617"/>
      <c r="B359" s="617"/>
      <c r="E359" s="276"/>
      <c r="F359" s="278"/>
    </row>
    <row r="360" spans="1:10" s="275" customFormat="1" x14ac:dyDescent="0.15">
      <c r="A360" s="617"/>
      <c r="B360" s="617"/>
      <c r="E360" s="276"/>
      <c r="F360" s="278"/>
    </row>
    <row r="361" spans="1:10" s="275" customFormat="1" x14ac:dyDescent="0.15">
      <c r="A361" s="591" t="s">
        <v>1534</v>
      </c>
      <c r="B361" s="591"/>
      <c r="C361" s="287" t="s">
        <v>1492</v>
      </c>
      <c r="D361" s="287" t="s">
        <v>1239</v>
      </c>
      <c r="E361" s="642">
        <f>913.3+13246.7</f>
        <v>14160</v>
      </c>
      <c r="F361" s="482">
        <v>1864.15</v>
      </c>
    </row>
    <row r="362" spans="1:10" s="275" customFormat="1" x14ac:dyDescent="0.15">
      <c r="A362" s="591" t="s">
        <v>1535</v>
      </c>
      <c r="B362" s="591"/>
      <c r="C362" s="287" t="s">
        <v>1507</v>
      </c>
      <c r="D362" s="287" t="s">
        <v>1245</v>
      </c>
      <c r="E362" s="642">
        <f>247.6+3592.4</f>
        <v>3840</v>
      </c>
      <c r="F362" s="482">
        <v>602.54</v>
      </c>
    </row>
    <row r="363" spans="1:10" s="275" customFormat="1" x14ac:dyDescent="0.15">
      <c r="A363" s="591" t="s">
        <v>1536</v>
      </c>
      <c r="B363" s="591"/>
      <c r="C363" s="287" t="s">
        <v>1479</v>
      </c>
      <c r="D363" s="287" t="s">
        <v>1231</v>
      </c>
      <c r="E363" s="642">
        <f>338.6+4912.4</f>
        <v>5251</v>
      </c>
      <c r="F363" s="482">
        <v>708.62</v>
      </c>
    </row>
    <row r="364" spans="1:10" s="275" customFormat="1" x14ac:dyDescent="0.15">
      <c r="A364" s="591" t="s">
        <v>1537</v>
      </c>
      <c r="B364" s="591"/>
      <c r="C364" s="287" t="s">
        <v>1269</v>
      </c>
      <c r="D364" s="287" t="s">
        <v>1270</v>
      </c>
      <c r="E364" s="642">
        <f>226.3+3283.7</f>
        <v>3510</v>
      </c>
      <c r="F364" s="482">
        <v>499.91</v>
      </c>
    </row>
    <row r="365" spans="1:10" s="275" customFormat="1" x14ac:dyDescent="0.15">
      <c r="A365" s="640" t="s">
        <v>1538</v>
      </c>
      <c r="B365" s="640"/>
      <c r="C365" s="295" t="s">
        <v>1517</v>
      </c>
      <c r="D365" s="295" t="s">
        <v>1518</v>
      </c>
      <c r="E365" s="642">
        <f>0.2+3.8</f>
        <v>4</v>
      </c>
      <c r="F365" s="482">
        <v>30.37</v>
      </c>
    </row>
    <row r="366" spans="1:10" s="275" customFormat="1" x14ac:dyDescent="0.15">
      <c r="A366" s="591" t="s">
        <v>1539</v>
      </c>
      <c r="B366" s="591"/>
      <c r="C366" s="287" t="s">
        <v>1405</v>
      </c>
      <c r="D366" s="287" t="s">
        <v>1280</v>
      </c>
      <c r="E366" s="642">
        <f>268.3+3891.7</f>
        <v>4160</v>
      </c>
      <c r="F366" s="482">
        <v>697.09</v>
      </c>
    </row>
    <row r="367" spans="1:10" s="275" customFormat="1" x14ac:dyDescent="0.15">
      <c r="A367" s="591" t="s">
        <v>1540</v>
      </c>
      <c r="B367" s="591"/>
      <c r="C367" s="287" t="s">
        <v>1257</v>
      </c>
      <c r="D367" s="287" t="s">
        <v>1258</v>
      </c>
      <c r="E367" s="642">
        <f>1609.9+23350.1</f>
        <v>24960</v>
      </c>
      <c r="F367" s="482">
        <v>3192.89</v>
      </c>
    </row>
    <row r="368" spans="1:10" s="275" customFormat="1" x14ac:dyDescent="0.15">
      <c r="A368" s="591" t="s">
        <v>1541</v>
      </c>
      <c r="B368" s="591"/>
      <c r="C368" s="287" t="s">
        <v>1586</v>
      </c>
      <c r="D368" s="287" t="s">
        <v>1500</v>
      </c>
      <c r="E368" s="642">
        <f>270.9+3929.1</f>
        <v>4200</v>
      </c>
      <c r="F368" s="482">
        <v>643.96999999999991</v>
      </c>
    </row>
    <row r="369" spans="1:8" s="275" customFormat="1" x14ac:dyDescent="0.15">
      <c r="A369" s="591" t="s">
        <v>1542</v>
      </c>
      <c r="B369" s="591"/>
      <c r="C369" s="287" t="s">
        <v>1240</v>
      </c>
      <c r="D369" s="287" t="s">
        <v>1467</v>
      </c>
      <c r="E369" s="642">
        <f>311.7+4522.3</f>
        <v>4834</v>
      </c>
      <c r="F369" s="482">
        <v>654.66</v>
      </c>
    </row>
    <row r="370" spans="1:8" s="275" customFormat="1" x14ac:dyDescent="0.15">
      <c r="A370" s="591" t="s">
        <v>1543</v>
      </c>
      <c r="B370" s="591"/>
      <c r="C370" s="287" t="s">
        <v>1523</v>
      </c>
      <c r="D370" s="287" t="s">
        <v>1266</v>
      </c>
      <c r="E370" s="642">
        <f>55.9+811.1</f>
        <v>867</v>
      </c>
      <c r="F370" s="482">
        <v>162.51</v>
      </c>
    </row>
    <row r="371" spans="1:8" s="275" customFormat="1" x14ac:dyDescent="0.15">
      <c r="A371" s="591" t="s">
        <v>1544</v>
      </c>
      <c r="B371" s="591"/>
      <c r="C371" s="287" t="s">
        <v>1234</v>
      </c>
      <c r="D371" s="287" t="s">
        <v>1494</v>
      </c>
      <c r="E371" s="642">
        <f>359.3+5212.7</f>
        <v>5572</v>
      </c>
      <c r="F371" s="482">
        <v>824.64</v>
      </c>
    </row>
    <row r="372" spans="1:8" s="275" customFormat="1" x14ac:dyDescent="0.15">
      <c r="A372" s="591" t="s">
        <v>1545</v>
      </c>
      <c r="B372" s="591"/>
      <c r="C372" s="287" t="s">
        <v>1234</v>
      </c>
      <c r="D372" s="287" t="s">
        <v>1494</v>
      </c>
      <c r="E372" s="642">
        <f>5.2+74.7</f>
        <v>79.900000000000006</v>
      </c>
      <c r="F372" s="482">
        <v>15.77</v>
      </c>
    </row>
    <row r="373" spans="1:8" s="275" customFormat="1" x14ac:dyDescent="0.15">
      <c r="A373" s="591" t="s">
        <v>1546</v>
      </c>
      <c r="B373" s="591"/>
      <c r="C373" s="287" t="s">
        <v>1586</v>
      </c>
      <c r="D373" s="287" t="s">
        <v>1500</v>
      </c>
      <c r="E373" s="642">
        <f>8.9+128.5</f>
        <v>137.4</v>
      </c>
      <c r="F373" s="482">
        <v>36.93</v>
      </c>
    </row>
    <row r="374" spans="1:8" s="275" customFormat="1" x14ac:dyDescent="0.15">
      <c r="A374" s="591" t="s">
        <v>1547</v>
      </c>
      <c r="B374" s="591"/>
      <c r="C374" s="287" t="s">
        <v>1286</v>
      </c>
      <c r="D374" s="287" t="s">
        <v>1514</v>
      </c>
      <c r="E374" s="642">
        <f>14.2+220.1+7.1</f>
        <v>241.39999999999998</v>
      </c>
      <c r="F374" s="482">
        <v>48.44</v>
      </c>
    </row>
    <row r="375" spans="1:8" s="275" customFormat="1" x14ac:dyDescent="0.15">
      <c r="A375" s="591" t="s">
        <v>1548</v>
      </c>
      <c r="B375" s="591"/>
      <c r="C375" s="287" t="s">
        <v>1235</v>
      </c>
      <c r="D375" s="287" t="s">
        <v>1236</v>
      </c>
      <c r="E375" s="642">
        <v>0</v>
      </c>
      <c r="F375" s="482">
        <v>0</v>
      </c>
    </row>
    <row r="376" spans="1:8" s="275" customFormat="1" x14ac:dyDescent="0.15">
      <c r="A376" s="591" t="s">
        <v>1549</v>
      </c>
      <c r="B376" s="591"/>
      <c r="C376" s="287" t="s">
        <v>1459</v>
      </c>
      <c r="D376" s="287" t="s">
        <v>1251</v>
      </c>
      <c r="E376" s="642">
        <f>82.8+1201.2</f>
        <v>1284</v>
      </c>
      <c r="F376" s="482">
        <v>209.38000000000002</v>
      </c>
    </row>
    <row r="377" spans="1:8" s="275" customFormat="1" x14ac:dyDescent="0.15">
      <c r="A377" s="591" t="s">
        <v>1550</v>
      </c>
      <c r="B377" s="591"/>
      <c r="C377" s="287" t="s">
        <v>1454</v>
      </c>
      <c r="D377" s="287" t="s">
        <v>1247</v>
      </c>
      <c r="E377" s="642">
        <f>281.2+4078.8</f>
        <v>4360</v>
      </c>
      <c r="F377" s="482">
        <v>637.91</v>
      </c>
    </row>
    <row r="378" spans="1:8" s="275" customFormat="1" x14ac:dyDescent="0.15">
      <c r="A378" s="591" t="s">
        <v>1551</v>
      </c>
      <c r="B378" s="591"/>
      <c r="C378" s="287" t="s">
        <v>1235</v>
      </c>
      <c r="D378" s="287" t="s">
        <v>1236</v>
      </c>
      <c r="E378" s="642">
        <f>652.1+9458.9</f>
        <v>10111</v>
      </c>
      <c r="F378" s="482">
        <v>1342.87</v>
      </c>
    </row>
    <row r="379" spans="1:8" s="275" customFormat="1" x14ac:dyDescent="0.15">
      <c r="A379" s="619" t="s">
        <v>1527</v>
      </c>
      <c r="B379" s="619"/>
      <c r="C379" s="619" t="s">
        <v>1334</v>
      </c>
      <c r="D379" s="619" t="s">
        <v>1462</v>
      </c>
      <c r="E379" s="642">
        <v>0</v>
      </c>
      <c r="F379" s="482">
        <v>0</v>
      </c>
    </row>
    <row r="380" spans="1:8" s="275" customFormat="1" x14ac:dyDescent="0.15">
      <c r="A380" s="591" t="s">
        <v>1553</v>
      </c>
      <c r="B380" s="591"/>
      <c r="C380" s="287" t="s">
        <v>1475</v>
      </c>
      <c r="D380" s="287" t="s">
        <v>1387</v>
      </c>
      <c r="E380" s="642">
        <f>79.5+1153.5</f>
        <v>1233</v>
      </c>
      <c r="F380" s="482">
        <v>192.83999999999997</v>
      </c>
    </row>
    <row r="381" spans="1:8" s="275" customFormat="1" x14ac:dyDescent="0.15">
      <c r="A381" s="591" t="s">
        <v>1554</v>
      </c>
      <c r="B381" s="591"/>
      <c r="C381" s="287" t="s">
        <v>1399</v>
      </c>
      <c r="D381" s="287" t="s">
        <v>1276</v>
      </c>
      <c r="E381" s="642">
        <f>335.4+4864.6</f>
        <v>5200</v>
      </c>
      <c r="F381" s="482">
        <v>760.7</v>
      </c>
      <c r="H381" s="478" t="s">
        <v>1587</v>
      </c>
    </row>
    <row r="382" spans="1:8" s="275" customFormat="1" x14ac:dyDescent="0.15">
      <c r="A382" s="591" t="s">
        <v>1552</v>
      </c>
      <c r="B382" s="591"/>
      <c r="C382" s="287" t="s">
        <v>1286</v>
      </c>
      <c r="D382" s="287" t="s">
        <v>1514</v>
      </c>
      <c r="E382" s="642">
        <v>0</v>
      </c>
      <c r="F382" s="482">
        <v>0</v>
      </c>
      <c r="H382" s="290">
        <v>54085771020</v>
      </c>
    </row>
    <row r="383" spans="1:8" s="275" customFormat="1" ht="14" thickBot="1" x14ac:dyDescent="0.2">
      <c r="A383" s="591"/>
      <c r="B383" s="591"/>
      <c r="C383" s="291" t="s">
        <v>1591</v>
      </c>
      <c r="D383" s="287"/>
      <c r="E383" s="638">
        <f>SUM(E361:E382)</f>
        <v>94004.699999999983</v>
      </c>
      <c r="F383" s="641">
        <v>13126.19</v>
      </c>
      <c r="H383" s="636">
        <f>H331+F383</f>
        <v>15369.75</v>
      </c>
    </row>
    <row r="384" spans="1:8" s="275" customFormat="1" ht="14" thickTop="1" x14ac:dyDescent="0.15">
      <c r="A384" s="640"/>
      <c r="B384" s="640"/>
      <c r="C384" s="295"/>
      <c r="D384" s="295"/>
      <c r="E384" s="296"/>
      <c r="F384" s="298"/>
    </row>
    <row r="385" spans="1:6" s="275" customFormat="1" x14ac:dyDescent="0.15">
      <c r="A385" s="640"/>
      <c r="B385" s="640"/>
      <c r="C385" s="295"/>
      <c r="D385" s="295"/>
      <c r="E385" s="296"/>
      <c r="F385" s="298"/>
    </row>
    <row r="386" spans="1:6" s="275" customFormat="1" x14ac:dyDescent="0.15">
      <c r="A386" s="640" t="s">
        <v>1556</v>
      </c>
      <c r="B386" s="640"/>
      <c r="C386" s="295" t="s">
        <v>1248</v>
      </c>
      <c r="D386" s="295" t="s">
        <v>1482</v>
      </c>
      <c r="E386" s="642">
        <f>233.3+3384.7</f>
        <v>3618</v>
      </c>
      <c r="F386" s="482">
        <v>538.66</v>
      </c>
    </row>
    <row r="387" spans="1:6" s="275" customFormat="1" x14ac:dyDescent="0.15">
      <c r="A387" s="591" t="s">
        <v>1557</v>
      </c>
      <c r="B387" s="591"/>
      <c r="C387" s="287" t="s">
        <v>1477</v>
      </c>
      <c r="D387" s="287" t="s">
        <v>1289</v>
      </c>
      <c r="E387" s="642">
        <f>459.2+6660.8</f>
        <v>7120</v>
      </c>
      <c r="F387" s="482">
        <v>1164.45</v>
      </c>
    </row>
    <row r="388" spans="1:6" s="275" customFormat="1" x14ac:dyDescent="0.15">
      <c r="A388" s="591" t="s">
        <v>1558</v>
      </c>
      <c r="B388" s="591"/>
      <c r="C388" s="287" t="s">
        <v>1469</v>
      </c>
      <c r="D388" s="287" t="s">
        <v>1470</v>
      </c>
      <c r="E388" s="642">
        <f>433.4+6286.6</f>
        <v>6720</v>
      </c>
      <c r="F388" s="482">
        <v>934.09</v>
      </c>
    </row>
    <row r="389" spans="1:6" s="275" customFormat="1" x14ac:dyDescent="0.15">
      <c r="A389" s="591" t="s">
        <v>1559</v>
      </c>
      <c r="B389" s="591"/>
      <c r="C389" s="287" t="s">
        <v>1502</v>
      </c>
      <c r="D389" s="287" t="s">
        <v>1381</v>
      </c>
      <c r="E389" s="642">
        <f>1052.6+15267.4</f>
        <v>16320</v>
      </c>
      <c r="F389" s="482">
        <v>2006.1599999999999</v>
      </c>
    </row>
    <row r="390" spans="1:6" s="275" customFormat="1" x14ac:dyDescent="0.15">
      <c r="A390" s="591" t="s">
        <v>1560</v>
      </c>
      <c r="B390" s="591"/>
      <c r="C390" s="287" t="s">
        <v>1504</v>
      </c>
      <c r="D390" s="287" t="s">
        <v>1505</v>
      </c>
      <c r="E390" s="642">
        <f>127.9+1856.1</f>
        <v>1984</v>
      </c>
      <c r="F390" s="482">
        <v>269.02999999999997</v>
      </c>
    </row>
    <row r="391" spans="1:6" s="275" customFormat="1" x14ac:dyDescent="0.15">
      <c r="A391" s="591" t="s">
        <v>1561</v>
      </c>
      <c r="B391" s="591"/>
      <c r="C391" s="287" t="s">
        <v>1562</v>
      </c>
      <c r="D391" s="287" t="s">
        <v>1509</v>
      </c>
      <c r="E391" s="642">
        <f>221.8+3218.2</f>
        <v>3440</v>
      </c>
      <c r="F391" s="482">
        <v>500.37</v>
      </c>
    </row>
    <row r="392" spans="1:6" s="275" customFormat="1" x14ac:dyDescent="0.15">
      <c r="A392" s="591" t="s">
        <v>1563</v>
      </c>
      <c r="B392" s="591"/>
      <c r="C392" s="287" t="s">
        <v>1267</v>
      </c>
      <c r="D392" s="287" t="s">
        <v>1268</v>
      </c>
      <c r="E392" s="642">
        <v>79.900000000000006</v>
      </c>
      <c r="F392" s="482">
        <v>12.37</v>
      </c>
    </row>
    <row r="393" spans="1:6" s="275" customFormat="1" x14ac:dyDescent="0.15">
      <c r="A393" s="591" t="s">
        <v>1564</v>
      </c>
      <c r="B393" s="591"/>
      <c r="C393" s="287" t="s">
        <v>1485</v>
      </c>
      <c r="D393" s="287" t="s">
        <v>1486</v>
      </c>
      <c r="E393" s="642">
        <f>85.1+1234.9</f>
        <v>1320</v>
      </c>
      <c r="F393" s="482">
        <v>255.52</v>
      </c>
    </row>
    <row r="394" spans="1:6" s="275" customFormat="1" x14ac:dyDescent="0.15">
      <c r="A394" s="591" t="s">
        <v>1565</v>
      </c>
      <c r="B394" s="591"/>
      <c r="C394" s="287" t="s">
        <v>1267</v>
      </c>
      <c r="D394" s="287" t="s">
        <v>1268</v>
      </c>
      <c r="E394" s="642">
        <f>150+2177</f>
        <v>2327</v>
      </c>
      <c r="F394" s="482">
        <v>363.92</v>
      </c>
    </row>
    <row r="395" spans="1:6" s="275" customFormat="1" x14ac:dyDescent="0.15">
      <c r="A395" s="591" t="s">
        <v>1567</v>
      </c>
      <c r="B395" s="591"/>
      <c r="C395" s="287" t="s">
        <v>1568</v>
      </c>
      <c r="D395" s="287" t="s">
        <v>1457</v>
      </c>
      <c r="E395" s="642">
        <f>195+2829</f>
        <v>3024</v>
      </c>
      <c r="F395" s="482">
        <v>467.81</v>
      </c>
    </row>
    <row r="396" spans="1:6" s="275" customFormat="1" x14ac:dyDescent="0.15">
      <c r="A396" s="591" t="s">
        <v>1569</v>
      </c>
      <c r="B396" s="591"/>
      <c r="C396" s="287" t="s">
        <v>1464</v>
      </c>
      <c r="D396" s="287" t="s">
        <v>1285</v>
      </c>
      <c r="E396" s="642">
        <f>60.1+871.9</f>
        <v>932</v>
      </c>
      <c r="F396" s="482">
        <v>197.14999999999998</v>
      </c>
    </row>
    <row r="397" spans="1:6" s="275" customFormat="1" x14ac:dyDescent="0.15">
      <c r="A397" s="591" t="s">
        <v>1570</v>
      </c>
      <c r="B397" s="591"/>
      <c r="C397" s="287" t="s">
        <v>1472</v>
      </c>
      <c r="D397" s="287" t="s">
        <v>1473</v>
      </c>
      <c r="E397" s="642">
        <f>4.1+59.9</f>
        <v>64</v>
      </c>
      <c r="F397" s="482">
        <v>36.11</v>
      </c>
    </row>
    <row r="398" spans="1:6" s="275" customFormat="1" x14ac:dyDescent="0.15">
      <c r="A398" s="591" t="s">
        <v>1571</v>
      </c>
      <c r="B398" s="591"/>
      <c r="C398" s="287" t="s">
        <v>1489</v>
      </c>
      <c r="D398" s="287" t="s">
        <v>1490</v>
      </c>
      <c r="E398" s="642">
        <f>11.6+169.4</f>
        <v>181</v>
      </c>
      <c r="F398" s="482">
        <v>47.25</v>
      </c>
    </row>
    <row r="399" spans="1:6" s="275" customFormat="1" x14ac:dyDescent="0.15">
      <c r="A399" s="591" t="s">
        <v>1572</v>
      </c>
      <c r="B399" s="591"/>
      <c r="C399" s="287" t="s">
        <v>1271</v>
      </c>
      <c r="D399" s="287" t="s">
        <v>1272</v>
      </c>
      <c r="E399" s="642">
        <f>307.9+4466.1</f>
        <v>4774</v>
      </c>
      <c r="F399" s="482">
        <v>663.14</v>
      </c>
    </row>
    <row r="400" spans="1:6" s="275" customFormat="1" x14ac:dyDescent="0.15">
      <c r="A400" s="591" t="s">
        <v>1573</v>
      </c>
      <c r="B400" s="591"/>
      <c r="C400" s="287" t="s">
        <v>1461</v>
      </c>
      <c r="D400" s="287" t="s">
        <v>1462</v>
      </c>
      <c r="E400" s="642">
        <v>13</v>
      </c>
      <c r="F400" s="482">
        <v>16.23</v>
      </c>
    </row>
    <row r="401" spans="1:10" s="275" customFormat="1" x14ac:dyDescent="0.15">
      <c r="A401" s="591" t="s">
        <v>1574</v>
      </c>
      <c r="B401" s="591"/>
      <c r="C401" s="287" t="s">
        <v>1377</v>
      </c>
      <c r="D401" s="287" t="s">
        <v>1378</v>
      </c>
      <c r="E401" s="642">
        <f>151.3+2194.7</f>
        <v>2346</v>
      </c>
      <c r="F401" s="482">
        <v>360.47</v>
      </c>
    </row>
    <row r="402" spans="1:10" s="275" customFormat="1" x14ac:dyDescent="0.15">
      <c r="A402" s="591" t="s">
        <v>1575</v>
      </c>
      <c r="B402" s="591"/>
      <c r="C402" s="287" t="s">
        <v>1448</v>
      </c>
      <c r="D402" s="287" t="s">
        <v>1449</v>
      </c>
      <c r="E402" s="642">
        <f>3.1+45.9</f>
        <v>49</v>
      </c>
      <c r="F402" s="482">
        <v>13.14</v>
      </c>
    </row>
    <row r="403" spans="1:10" s="275" customFormat="1" x14ac:dyDescent="0.15">
      <c r="A403" s="591" t="s">
        <v>1576</v>
      </c>
      <c r="B403" s="591"/>
      <c r="C403" s="287" t="s">
        <v>1401</v>
      </c>
      <c r="D403" s="287" t="s">
        <v>1316</v>
      </c>
      <c r="E403" s="642">
        <f>7.9+115.1</f>
        <v>123</v>
      </c>
      <c r="F403" s="482">
        <v>42.41</v>
      </c>
    </row>
    <row r="404" spans="1:10" s="275" customFormat="1" x14ac:dyDescent="0.15">
      <c r="A404" s="640" t="s">
        <v>1577</v>
      </c>
      <c r="B404" s="640"/>
      <c r="C404" s="295" t="s">
        <v>1395</v>
      </c>
      <c r="D404" s="295" t="s">
        <v>1396</v>
      </c>
      <c r="E404" s="642">
        <f>5.6+81.4</f>
        <v>87</v>
      </c>
      <c r="F404" s="482">
        <v>18.73</v>
      </c>
    </row>
    <row r="405" spans="1:10" s="275" customFormat="1" x14ac:dyDescent="0.15">
      <c r="A405" s="591" t="s">
        <v>1578</v>
      </c>
      <c r="B405" s="591"/>
      <c r="C405" s="287" t="s">
        <v>1579</v>
      </c>
      <c r="D405" s="287" t="s">
        <v>1497</v>
      </c>
      <c r="E405" s="642">
        <v>32</v>
      </c>
      <c r="F405" s="482">
        <v>33.049999999999997</v>
      </c>
    </row>
    <row r="406" spans="1:10" s="275" customFormat="1" x14ac:dyDescent="0.15">
      <c r="A406" s="640" t="s">
        <v>1580</v>
      </c>
      <c r="B406" s="640"/>
      <c r="C406" s="295" t="s">
        <v>1451</v>
      </c>
      <c r="D406" s="295" t="s">
        <v>1452</v>
      </c>
      <c r="E406" s="642">
        <f>260+3772</f>
        <v>4032</v>
      </c>
      <c r="F406" s="482">
        <v>1986.98</v>
      </c>
    </row>
    <row r="407" spans="1:10" s="275" customFormat="1" x14ac:dyDescent="0.15">
      <c r="A407" s="591" t="s">
        <v>1581</v>
      </c>
      <c r="B407" s="591"/>
      <c r="C407" s="287" t="s">
        <v>1521</v>
      </c>
      <c r="D407" s="287" t="s">
        <v>1229</v>
      </c>
      <c r="E407" s="642">
        <f>178.7+2593.3</f>
        <v>2772</v>
      </c>
      <c r="F407" s="482">
        <v>401.07</v>
      </c>
    </row>
    <row r="408" spans="1:10" s="275" customFormat="1" x14ac:dyDescent="0.15">
      <c r="A408" s="591" t="s">
        <v>1582</v>
      </c>
      <c r="B408" s="591"/>
      <c r="C408" s="287" t="s">
        <v>1525</v>
      </c>
      <c r="D408" s="287" t="s">
        <v>1526</v>
      </c>
      <c r="E408" s="642">
        <v>11</v>
      </c>
      <c r="F408" s="482">
        <v>7.61</v>
      </c>
      <c r="H408" s="478" t="s">
        <v>1587</v>
      </c>
    </row>
    <row r="409" spans="1:10" s="275" customFormat="1" ht="14" x14ac:dyDescent="0.15">
      <c r="A409" s="591" t="s">
        <v>1583</v>
      </c>
      <c r="B409" s="591"/>
      <c r="C409" s="287" t="s">
        <v>1584</v>
      </c>
      <c r="D409" s="618" t="s">
        <v>1264</v>
      </c>
      <c r="E409" s="642">
        <f>87.7+1272.3</f>
        <v>1360</v>
      </c>
      <c r="F409" s="482">
        <v>259.32</v>
      </c>
      <c r="H409" s="290">
        <v>54004571089</v>
      </c>
      <c r="J409" s="478" t="s">
        <v>1589</v>
      </c>
    </row>
    <row r="410" spans="1:10" s="275" customFormat="1" ht="14" thickBot="1" x14ac:dyDescent="0.2">
      <c r="A410" s="591"/>
      <c r="B410" s="591"/>
      <c r="C410" s="291" t="s">
        <v>1592</v>
      </c>
      <c r="D410" s="287"/>
      <c r="E410" s="643">
        <f>SUM(E386:E409)</f>
        <v>62728.9</v>
      </c>
      <c r="F410" s="641">
        <v>10595.04</v>
      </c>
      <c r="H410" s="636">
        <f>H358+F410</f>
        <v>34073.700000000004</v>
      </c>
      <c r="J410" s="636">
        <f>SUM(H383,H410)</f>
        <v>49443.450000000004</v>
      </c>
    </row>
    <row r="411" spans="1:10" s="275" customFormat="1" ht="14" thickTop="1" x14ac:dyDescent="0.15">
      <c r="A411" s="617"/>
      <c r="B411" s="617"/>
      <c r="E411" s="276"/>
      <c r="F411" s="278"/>
    </row>
    <row r="412" spans="1:10" s="275" customFormat="1" x14ac:dyDescent="0.15">
      <c r="A412" s="591" t="s">
        <v>1534</v>
      </c>
      <c r="B412" s="591"/>
      <c r="C412" s="287" t="s">
        <v>1492</v>
      </c>
      <c r="D412" s="287" t="s">
        <v>1239</v>
      </c>
      <c r="E412" s="642">
        <v>14000</v>
      </c>
      <c r="F412" s="482">
        <v>1841.75</v>
      </c>
    </row>
    <row r="413" spans="1:10" s="275" customFormat="1" x14ac:dyDescent="0.15">
      <c r="A413" s="591" t="s">
        <v>1535</v>
      </c>
      <c r="B413" s="591"/>
      <c r="C413" s="287" t="s">
        <v>1507</v>
      </c>
      <c r="D413" s="287" t="s">
        <v>1245</v>
      </c>
      <c r="E413" s="642">
        <v>4280</v>
      </c>
      <c r="F413" s="482">
        <v>651.59</v>
      </c>
    </row>
    <row r="414" spans="1:10" s="275" customFormat="1" x14ac:dyDescent="0.15">
      <c r="A414" s="591" t="s">
        <v>1536</v>
      </c>
      <c r="B414" s="591"/>
      <c r="C414" s="287" t="s">
        <v>1479</v>
      </c>
      <c r="D414" s="287" t="s">
        <v>1231</v>
      </c>
      <c r="E414" s="642">
        <v>5207</v>
      </c>
      <c r="F414" s="482">
        <v>718.66</v>
      </c>
    </row>
    <row r="415" spans="1:10" s="275" customFormat="1" x14ac:dyDescent="0.15">
      <c r="A415" s="591" t="s">
        <v>1537</v>
      </c>
      <c r="B415" s="591"/>
      <c r="C415" s="287" t="s">
        <v>1269</v>
      </c>
      <c r="D415" s="287" t="s">
        <v>1270</v>
      </c>
      <c r="E415" s="642">
        <v>3434</v>
      </c>
      <c r="F415" s="482">
        <v>492.66</v>
      </c>
    </row>
    <row r="416" spans="1:10" s="275" customFormat="1" x14ac:dyDescent="0.15">
      <c r="A416" s="640" t="s">
        <v>1538</v>
      </c>
      <c r="B416" s="640"/>
      <c r="C416" s="295" t="s">
        <v>1517</v>
      </c>
      <c r="D416" s="295" t="s">
        <v>1518</v>
      </c>
      <c r="E416" s="642">
        <v>5</v>
      </c>
      <c r="F416" s="482">
        <v>30.47</v>
      </c>
    </row>
    <row r="417" spans="1:8" s="275" customFormat="1" x14ac:dyDescent="0.15">
      <c r="A417" s="591" t="s">
        <v>1539</v>
      </c>
      <c r="B417" s="591"/>
      <c r="C417" s="287" t="s">
        <v>1405</v>
      </c>
      <c r="D417" s="287" t="s">
        <v>1280</v>
      </c>
      <c r="E417" s="642">
        <v>6360</v>
      </c>
      <c r="F417" s="482">
        <v>935.32</v>
      </c>
    </row>
    <row r="418" spans="1:8" s="275" customFormat="1" x14ac:dyDescent="0.15">
      <c r="A418" s="591" t="s">
        <v>1540</v>
      </c>
      <c r="B418" s="591"/>
      <c r="C418" s="287" t="s">
        <v>1257</v>
      </c>
      <c r="D418" s="287" t="s">
        <v>1258</v>
      </c>
      <c r="E418" s="642">
        <v>25040</v>
      </c>
      <c r="F418" s="482">
        <v>3193.35</v>
      </c>
    </row>
    <row r="419" spans="1:8" s="275" customFormat="1" x14ac:dyDescent="0.15">
      <c r="A419" s="591" t="s">
        <v>1541</v>
      </c>
      <c r="B419" s="591"/>
      <c r="C419" s="287" t="s">
        <v>1586</v>
      </c>
      <c r="D419" s="287" t="s">
        <v>1500</v>
      </c>
      <c r="E419" s="642">
        <v>4080</v>
      </c>
      <c r="F419" s="482">
        <v>618.28</v>
      </c>
    </row>
    <row r="420" spans="1:8" s="275" customFormat="1" x14ac:dyDescent="0.15">
      <c r="A420" s="591" t="s">
        <v>1542</v>
      </c>
      <c r="B420" s="591"/>
      <c r="C420" s="287" t="s">
        <v>1240</v>
      </c>
      <c r="D420" s="287" t="s">
        <v>1467</v>
      </c>
      <c r="E420" s="642">
        <v>5089</v>
      </c>
      <c r="F420" s="482">
        <v>671.81</v>
      </c>
    </row>
    <row r="421" spans="1:8" s="275" customFormat="1" x14ac:dyDescent="0.15">
      <c r="A421" s="591" t="s">
        <v>1543</v>
      </c>
      <c r="B421" s="591"/>
      <c r="C421" s="287" t="s">
        <v>1523</v>
      </c>
      <c r="D421" s="287" t="s">
        <v>1266</v>
      </c>
      <c r="E421" s="642">
        <v>924</v>
      </c>
      <c r="F421" s="482">
        <v>160.80000000000001</v>
      </c>
    </row>
    <row r="422" spans="1:8" s="275" customFormat="1" x14ac:dyDescent="0.15">
      <c r="A422" s="591" t="s">
        <v>1544</v>
      </c>
      <c r="B422" s="591"/>
      <c r="C422" s="287" t="s">
        <v>1234</v>
      </c>
      <c r="D422" s="287" t="s">
        <v>1494</v>
      </c>
      <c r="E422" s="642">
        <v>6105</v>
      </c>
      <c r="F422" s="482">
        <v>875.42</v>
      </c>
    </row>
    <row r="423" spans="1:8" s="275" customFormat="1" x14ac:dyDescent="0.15">
      <c r="A423" s="591" t="s">
        <v>1545</v>
      </c>
      <c r="B423" s="591"/>
      <c r="C423" s="287" t="s">
        <v>1234</v>
      </c>
      <c r="D423" s="287" t="s">
        <v>1494</v>
      </c>
      <c r="E423" s="642">
        <f>5.5+79.5</f>
        <v>85</v>
      </c>
      <c r="F423" s="482">
        <v>16.420000000000002</v>
      </c>
    </row>
    <row r="424" spans="1:8" s="275" customFormat="1" x14ac:dyDescent="0.15">
      <c r="A424" s="591" t="s">
        <v>1546</v>
      </c>
      <c r="B424" s="591"/>
      <c r="C424" s="287" t="s">
        <v>1586</v>
      </c>
      <c r="D424" s="287" t="s">
        <v>1500</v>
      </c>
      <c r="E424" s="642">
        <f>9.1+137</f>
        <v>146.1</v>
      </c>
      <c r="F424" s="482">
        <v>38.019999999999996</v>
      </c>
    </row>
    <row r="425" spans="1:8" s="275" customFormat="1" x14ac:dyDescent="0.15">
      <c r="A425" s="591" t="s">
        <v>1547</v>
      </c>
      <c r="B425" s="591"/>
      <c r="C425" s="287" t="s">
        <v>1286</v>
      </c>
      <c r="D425" s="287" t="s">
        <v>1514</v>
      </c>
      <c r="E425" s="642">
        <f>232.9+24.1</f>
        <v>257</v>
      </c>
      <c r="F425" s="482">
        <v>50.95</v>
      </c>
    </row>
    <row r="426" spans="1:8" s="275" customFormat="1" x14ac:dyDescent="0.15">
      <c r="A426" s="591" t="s">
        <v>1548</v>
      </c>
      <c r="B426" s="591"/>
      <c r="C426" s="287" t="s">
        <v>1235</v>
      </c>
      <c r="D426" s="287" t="s">
        <v>1236</v>
      </c>
      <c r="E426" s="642">
        <v>0</v>
      </c>
      <c r="F426" s="482">
        <v>0</v>
      </c>
    </row>
    <row r="427" spans="1:8" s="275" customFormat="1" x14ac:dyDescent="0.15">
      <c r="A427" s="591" t="s">
        <v>1549</v>
      </c>
      <c r="B427" s="591"/>
      <c r="C427" s="287" t="s">
        <v>1459</v>
      </c>
      <c r="D427" s="287" t="s">
        <v>1251</v>
      </c>
      <c r="E427" s="642">
        <v>1839</v>
      </c>
      <c r="F427" s="482">
        <v>276.51</v>
      </c>
    </row>
    <row r="428" spans="1:8" s="275" customFormat="1" x14ac:dyDescent="0.15">
      <c r="A428" s="591" t="s">
        <v>1550</v>
      </c>
      <c r="B428" s="591"/>
      <c r="C428" s="287" t="s">
        <v>1454</v>
      </c>
      <c r="D428" s="287" t="s">
        <v>1247</v>
      </c>
      <c r="E428" s="642">
        <v>4400</v>
      </c>
      <c r="F428" s="482">
        <v>641.70000000000005</v>
      </c>
    </row>
    <row r="429" spans="1:8" s="275" customFormat="1" x14ac:dyDescent="0.15">
      <c r="A429" s="591" t="s">
        <v>1551</v>
      </c>
      <c r="B429" s="591"/>
      <c r="C429" s="287" t="s">
        <v>1235</v>
      </c>
      <c r="D429" s="287" t="s">
        <v>1236</v>
      </c>
      <c r="E429" s="642">
        <v>9368</v>
      </c>
      <c r="F429" s="482">
        <v>1250.6300000000001</v>
      </c>
    </row>
    <row r="430" spans="1:8" s="275" customFormat="1" x14ac:dyDescent="0.15">
      <c r="A430" s="619" t="s">
        <v>1527</v>
      </c>
      <c r="B430" s="619"/>
      <c r="C430" s="619" t="s">
        <v>1334</v>
      </c>
      <c r="D430" s="619" t="s">
        <v>1462</v>
      </c>
      <c r="E430" s="644">
        <v>0</v>
      </c>
      <c r="F430" s="482">
        <v>0</v>
      </c>
    </row>
    <row r="431" spans="1:8" s="275" customFormat="1" x14ac:dyDescent="0.15">
      <c r="A431" s="591" t="s">
        <v>1553</v>
      </c>
      <c r="B431" s="591"/>
      <c r="C431" s="287" t="s">
        <v>1475</v>
      </c>
      <c r="D431" s="287" t="s">
        <v>1387</v>
      </c>
      <c r="E431" s="642">
        <v>1331</v>
      </c>
      <c r="F431" s="482">
        <v>208.16</v>
      </c>
    </row>
    <row r="432" spans="1:8" s="275" customFormat="1" x14ac:dyDescent="0.15">
      <c r="A432" s="591" t="s">
        <v>1554</v>
      </c>
      <c r="B432" s="591"/>
      <c r="C432" s="287" t="s">
        <v>1399</v>
      </c>
      <c r="D432" s="287" t="s">
        <v>1276</v>
      </c>
      <c r="E432" s="642">
        <v>4520</v>
      </c>
      <c r="F432" s="482">
        <v>667.38</v>
      </c>
      <c r="H432" s="478" t="s">
        <v>1587</v>
      </c>
    </row>
    <row r="433" spans="1:8" s="275" customFormat="1" x14ac:dyDescent="0.15">
      <c r="A433" s="591" t="s">
        <v>1552</v>
      </c>
      <c r="B433" s="591"/>
      <c r="C433" s="287" t="s">
        <v>1286</v>
      </c>
      <c r="D433" s="287" t="s">
        <v>1514</v>
      </c>
      <c r="E433" s="642">
        <v>0</v>
      </c>
      <c r="F433" s="482">
        <v>0</v>
      </c>
      <c r="H433" s="290">
        <v>54085771020</v>
      </c>
    </row>
    <row r="434" spans="1:8" s="275" customFormat="1" ht="14" thickBot="1" x14ac:dyDescent="0.2">
      <c r="A434" s="591"/>
      <c r="B434" s="591"/>
      <c r="C434" s="291" t="s">
        <v>1593</v>
      </c>
      <c r="D434" s="287"/>
      <c r="E434" s="638">
        <f>SUM(E412:E433)</f>
        <v>96470.1</v>
      </c>
      <c r="F434" s="620">
        <v>13339.88</v>
      </c>
      <c r="H434" s="636">
        <f>F434</f>
        <v>13339.88</v>
      </c>
    </row>
    <row r="435" spans="1:8" s="275" customFormat="1" ht="14" thickTop="1" x14ac:dyDescent="0.15">
      <c r="A435" s="640"/>
      <c r="B435" s="640"/>
      <c r="C435" s="295"/>
      <c r="D435" s="295"/>
      <c r="E435" s="296"/>
      <c r="F435" s="298"/>
    </row>
    <row r="436" spans="1:8" s="275" customFormat="1" x14ac:dyDescent="0.15">
      <c r="A436" s="640"/>
      <c r="B436" s="640"/>
      <c r="C436" s="299" t="s">
        <v>1594</v>
      </c>
      <c r="D436" s="295"/>
      <c r="E436" s="296"/>
      <c r="F436" s="298"/>
    </row>
    <row r="437" spans="1:8" s="275" customFormat="1" x14ac:dyDescent="0.15">
      <c r="A437" s="640"/>
      <c r="B437" s="640"/>
      <c r="C437" s="293" t="s">
        <v>1446</v>
      </c>
      <c r="D437" s="295"/>
      <c r="E437" s="296"/>
      <c r="F437" s="298"/>
    </row>
    <row r="438" spans="1:8" s="275" customFormat="1" x14ac:dyDescent="0.15">
      <c r="A438" s="640"/>
      <c r="B438" s="640"/>
      <c r="C438" s="379">
        <v>41253</v>
      </c>
      <c r="D438" s="295"/>
      <c r="E438" s="296"/>
      <c r="F438" s="298"/>
    </row>
    <row r="439" spans="1:8" s="275" customFormat="1" x14ac:dyDescent="0.15">
      <c r="A439" s="640"/>
      <c r="B439" s="640"/>
      <c r="C439" s="295"/>
      <c r="D439" s="295"/>
      <c r="E439" s="296"/>
      <c r="F439" s="298"/>
    </row>
    <row r="440" spans="1:8" s="275" customFormat="1" x14ac:dyDescent="0.15">
      <c r="A440" s="640" t="s">
        <v>1556</v>
      </c>
      <c r="B440" s="640"/>
      <c r="C440" s="295" t="s">
        <v>1248</v>
      </c>
      <c r="D440" s="295" t="s">
        <v>1482</v>
      </c>
      <c r="E440" s="642">
        <v>3857</v>
      </c>
      <c r="F440" s="482">
        <v>561.46</v>
      </c>
    </row>
    <row r="441" spans="1:8" s="275" customFormat="1" x14ac:dyDescent="0.15">
      <c r="A441" s="591" t="s">
        <v>1557</v>
      </c>
      <c r="B441" s="591"/>
      <c r="C441" s="287" t="s">
        <v>1477</v>
      </c>
      <c r="D441" s="287" t="s">
        <v>1289</v>
      </c>
      <c r="E441" s="642">
        <v>6880</v>
      </c>
      <c r="F441" s="482">
        <v>1113.3800000000001</v>
      </c>
    </row>
    <row r="442" spans="1:8" s="275" customFormat="1" x14ac:dyDescent="0.15">
      <c r="A442" s="591" t="s">
        <v>1558</v>
      </c>
      <c r="B442" s="591"/>
      <c r="C442" s="287" t="s">
        <v>1469</v>
      </c>
      <c r="D442" s="287" t="s">
        <v>1470</v>
      </c>
      <c r="E442" s="642">
        <v>6640</v>
      </c>
      <c r="F442" s="482">
        <v>926.45</v>
      </c>
    </row>
    <row r="443" spans="1:8" s="275" customFormat="1" x14ac:dyDescent="0.15">
      <c r="A443" s="591" t="s">
        <v>1559</v>
      </c>
      <c r="B443" s="591"/>
      <c r="C443" s="287" t="s">
        <v>1502</v>
      </c>
      <c r="D443" s="287" t="s">
        <v>1381</v>
      </c>
      <c r="E443" s="642">
        <v>19104</v>
      </c>
      <c r="F443" s="482">
        <v>2295.86</v>
      </c>
    </row>
    <row r="444" spans="1:8" s="275" customFormat="1" x14ac:dyDescent="0.15">
      <c r="A444" s="591" t="s">
        <v>1560</v>
      </c>
      <c r="B444" s="591"/>
      <c r="C444" s="287" t="s">
        <v>1504</v>
      </c>
      <c r="D444" s="287" t="s">
        <v>1505</v>
      </c>
      <c r="E444" s="642">
        <v>1808</v>
      </c>
      <c r="F444" s="482">
        <v>238</v>
      </c>
    </row>
    <row r="445" spans="1:8" s="275" customFormat="1" x14ac:dyDescent="0.15">
      <c r="A445" s="591" t="s">
        <v>1561</v>
      </c>
      <c r="B445" s="591"/>
      <c r="C445" s="287" t="s">
        <v>1562</v>
      </c>
      <c r="D445" s="287" t="s">
        <v>1509</v>
      </c>
      <c r="E445" s="642">
        <v>2400</v>
      </c>
      <c r="F445" s="482">
        <v>415.4</v>
      </c>
    </row>
    <row r="446" spans="1:8" s="275" customFormat="1" x14ac:dyDescent="0.15">
      <c r="A446" s="591" t="s">
        <v>1563</v>
      </c>
      <c r="B446" s="591"/>
      <c r="C446" s="287" t="s">
        <v>1267</v>
      </c>
      <c r="D446" s="287" t="s">
        <v>1268</v>
      </c>
      <c r="E446" s="642">
        <f>5.5+79.5</f>
        <v>85</v>
      </c>
      <c r="F446" s="482">
        <v>13.01</v>
      </c>
    </row>
    <row r="447" spans="1:8" s="275" customFormat="1" x14ac:dyDescent="0.15">
      <c r="A447" s="591" t="s">
        <v>1564</v>
      </c>
      <c r="B447" s="591"/>
      <c r="C447" s="287" t="s">
        <v>1485</v>
      </c>
      <c r="D447" s="287" t="s">
        <v>1486</v>
      </c>
      <c r="E447" s="642">
        <v>1760</v>
      </c>
      <c r="F447" s="482">
        <v>318.8</v>
      </c>
    </row>
    <row r="448" spans="1:8" s="275" customFormat="1" x14ac:dyDescent="0.15">
      <c r="A448" s="591" t="s">
        <v>1565</v>
      </c>
      <c r="B448" s="591"/>
      <c r="C448" s="287" t="s">
        <v>1267</v>
      </c>
      <c r="D448" s="287" t="s">
        <v>1268</v>
      </c>
      <c r="E448" s="642">
        <v>2418</v>
      </c>
      <c r="F448" s="482">
        <v>378.13</v>
      </c>
    </row>
    <row r="449" spans="1:10" s="275" customFormat="1" x14ac:dyDescent="0.15">
      <c r="A449" s="591" t="s">
        <v>1567</v>
      </c>
      <c r="B449" s="591"/>
      <c r="C449" s="287" t="s">
        <v>1568</v>
      </c>
      <c r="D449" s="287" t="s">
        <v>1457</v>
      </c>
      <c r="E449" s="642">
        <v>4355</v>
      </c>
      <c r="F449" s="482">
        <v>672.97</v>
      </c>
    </row>
    <row r="450" spans="1:10" s="275" customFormat="1" x14ac:dyDescent="0.15">
      <c r="A450" s="591" t="s">
        <v>1569</v>
      </c>
      <c r="B450" s="591"/>
      <c r="C450" s="287" t="s">
        <v>1464</v>
      </c>
      <c r="D450" s="287" t="s">
        <v>1285</v>
      </c>
      <c r="E450" s="642">
        <v>1122</v>
      </c>
      <c r="F450" s="482">
        <v>236.62</v>
      </c>
    </row>
    <row r="451" spans="1:10" s="275" customFormat="1" x14ac:dyDescent="0.15">
      <c r="A451" s="591" t="s">
        <v>1570</v>
      </c>
      <c r="B451" s="591"/>
      <c r="C451" s="287" t="s">
        <v>1472</v>
      </c>
      <c r="D451" s="287" t="s">
        <v>1473</v>
      </c>
      <c r="E451" s="642">
        <v>36</v>
      </c>
      <c r="F451" s="482">
        <v>33.42</v>
      </c>
    </row>
    <row r="452" spans="1:10" s="275" customFormat="1" x14ac:dyDescent="0.15">
      <c r="A452" s="591" t="s">
        <v>1571</v>
      </c>
      <c r="B452" s="591"/>
      <c r="C452" s="287" t="s">
        <v>1489</v>
      </c>
      <c r="D452" s="287" t="s">
        <v>1490</v>
      </c>
      <c r="E452" s="642">
        <v>190</v>
      </c>
      <c r="F452" s="482">
        <v>48.12</v>
      </c>
    </row>
    <row r="453" spans="1:10" s="275" customFormat="1" x14ac:dyDescent="0.15">
      <c r="A453" s="591" t="s">
        <v>1572</v>
      </c>
      <c r="B453" s="591"/>
      <c r="C453" s="287" t="s">
        <v>1271</v>
      </c>
      <c r="D453" s="287" t="s">
        <v>1272</v>
      </c>
      <c r="E453" s="642">
        <v>5060</v>
      </c>
      <c r="F453" s="482">
        <v>740.2</v>
      </c>
    </row>
    <row r="454" spans="1:10" s="275" customFormat="1" x14ac:dyDescent="0.15">
      <c r="A454" s="591" t="s">
        <v>1573</v>
      </c>
      <c r="B454" s="591"/>
      <c r="C454" s="287" t="s">
        <v>1461</v>
      </c>
      <c r="D454" s="287" t="s">
        <v>1462</v>
      </c>
      <c r="E454" s="642">
        <v>13</v>
      </c>
      <c r="F454" s="482">
        <v>16.23</v>
      </c>
    </row>
    <row r="455" spans="1:10" s="275" customFormat="1" x14ac:dyDescent="0.15">
      <c r="A455" s="591" t="s">
        <v>1574</v>
      </c>
      <c r="B455" s="591"/>
      <c r="C455" s="287" t="s">
        <v>1377</v>
      </c>
      <c r="D455" s="287" t="s">
        <v>1378</v>
      </c>
      <c r="E455" s="642">
        <v>2075</v>
      </c>
      <c r="F455" s="482">
        <v>334.59</v>
      </c>
    </row>
    <row r="456" spans="1:10" s="275" customFormat="1" x14ac:dyDescent="0.15">
      <c r="A456" s="591" t="s">
        <v>1575</v>
      </c>
      <c r="B456" s="591"/>
      <c r="C456" s="287" t="s">
        <v>1448</v>
      </c>
      <c r="D456" s="287" t="s">
        <v>1449</v>
      </c>
      <c r="E456" s="642">
        <v>79</v>
      </c>
      <c r="F456" s="482">
        <v>17.579999999999998</v>
      </c>
    </row>
    <row r="457" spans="1:10" s="275" customFormat="1" x14ac:dyDescent="0.15">
      <c r="A457" s="591" t="s">
        <v>1576</v>
      </c>
      <c r="B457" s="591"/>
      <c r="C457" s="287" t="s">
        <v>1401</v>
      </c>
      <c r="D457" s="287" t="s">
        <v>1316</v>
      </c>
      <c r="E457" s="642">
        <v>156</v>
      </c>
      <c r="F457" s="482">
        <v>45.71</v>
      </c>
    </row>
    <row r="458" spans="1:10" s="275" customFormat="1" x14ac:dyDescent="0.15">
      <c r="A458" s="640" t="s">
        <v>1577</v>
      </c>
      <c r="B458" s="640"/>
      <c r="C458" s="295" t="s">
        <v>1395</v>
      </c>
      <c r="D458" s="295" t="s">
        <v>1396</v>
      </c>
      <c r="E458" s="642">
        <v>626</v>
      </c>
      <c r="F458" s="482">
        <v>97.88</v>
      </c>
    </row>
    <row r="459" spans="1:10" s="275" customFormat="1" x14ac:dyDescent="0.15">
      <c r="A459" s="591" t="s">
        <v>1578</v>
      </c>
      <c r="B459" s="591"/>
      <c r="C459" s="287" t="s">
        <v>1579</v>
      </c>
      <c r="D459" s="287" t="s">
        <v>1497</v>
      </c>
      <c r="E459" s="642">
        <v>0</v>
      </c>
      <c r="F459" s="482">
        <v>30</v>
      </c>
    </row>
    <row r="460" spans="1:10" s="275" customFormat="1" x14ac:dyDescent="0.15">
      <c r="A460" s="640" t="s">
        <v>1580</v>
      </c>
      <c r="B460" s="640"/>
      <c r="C460" s="295" t="s">
        <v>1451</v>
      </c>
      <c r="D460" s="295" t="s">
        <v>1452</v>
      </c>
      <c r="E460" s="642">
        <v>6912</v>
      </c>
      <c r="F460" s="482">
        <v>2261.54</v>
      </c>
    </row>
    <row r="461" spans="1:10" s="275" customFormat="1" x14ac:dyDescent="0.15">
      <c r="A461" s="591" t="s">
        <v>1581</v>
      </c>
      <c r="B461" s="591"/>
      <c r="C461" s="287" t="s">
        <v>1521</v>
      </c>
      <c r="D461" s="287" t="s">
        <v>1229</v>
      </c>
      <c r="E461" s="642">
        <v>3317</v>
      </c>
      <c r="F461" s="482">
        <v>488.61</v>
      </c>
    </row>
    <row r="462" spans="1:10" s="275" customFormat="1" x14ac:dyDescent="0.15">
      <c r="A462" s="591" t="s">
        <v>1582</v>
      </c>
      <c r="B462" s="591"/>
      <c r="C462" s="287" t="s">
        <v>1525</v>
      </c>
      <c r="D462" s="287" t="s">
        <v>1526</v>
      </c>
      <c r="E462" s="642">
        <v>13</v>
      </c>
      <c r="F462" s="482">
        <v>7.9</v>
      </c>
      <c r="H462" s="478" t="s">
        <v>1587</v>
      </c>
    </row>
    <row r="463" spans="1:10" s="275" customFormat="1" ht="14" x14ac:dyDescent="0.15">
      <c r="A463" s="591" t="s">
        <v>1583</v>
      </c>
      <c r="B463" s="591"/>
      <c r="C463" s="287" t="s">
        <v>1584</v>
      </c>
      <c r="D463" s="618" t="s">
        <v>1264</v>
      </c>
      <c r="E463" s="642">
        <v>1280</v>
      </c>
      <c r="F463" s="482">
        <v>230.33</v>
      </c>
      <c r="H463" s="290">
        <v>54004571089</v>
      </c>
      <c r="J463" s="478" t="s">
        <v>1589</v>
      </c>
    </row>
    <row r="464" spans="1:10" s="275" customFormat="1" ht="14" thickBot="1" x14ac:dyDescent="0.2">
      <c r="A464" s="591"/>
      <c r="B464" s="591"/>
      <c r="C464" s="291" t="s">
        <v>1595</v>
      </c>
      <c r="D464" s="287"/>
      <c r="E464" s="643">
        <f>SUM(E440:E463)</f>
        <v>70186</v>
      </c>
      <c r="F464" s="620">
        <v>11522.19</v>
      </c>
      <c r="H464" s="636">
        <f>F464</f>
        <v>11522.19</v>
      </c>
      <c r="J464" s="636">
        <f>SUM(H434,H464)</f>
        <v>24862.07</v>
      </c>
    </row>
    <row r="465" spans="1:6" s="275" customFormat="1" ht="14" thickTop="1" x14ac:dyDescent="0.15">
      <c r="A465" s="617"/>
      <c r="B465" s="617"/>
      <c r="E465" s="276"/>
      <c r="F465" s="278"/>
    </row>
    <row r="466" spans="1:6" s="275" customFormat="1" x14ac:dyDescent="0.15">
      <c r="A466" s="617"/>
      <c r="B466" s="617"/>
      <c r="C466" s="299" t="s">
        <v>1594</v>
      </c>
      <c r="E466" s="276"/>
      <c r="F466" s="278"/>
    </row>
    <row r="467" spans="1:6" s="275" customFormat="1" x14ac:dyDescent="0.15">
      <c r="A467" s="617"/>
      <c r="B467" s="617"/>
      <c r="C467" s="293" t="s">
        <v>1446</v>
      </c>
      <c r="E467" s="276"/>
      <c r="F467" s="278"/>
    </row>
    <row r="468" spans="1:6" s="275" customFormat="1" x14ac:dyDescent="0.15">
      <c r="A468" s="617"/>
      <c r="B468" s="617"/>
      <c r="C468" s="379">
        <v>41255</v>
      </c>
      <c r="E468" s="276"/>
      <c r="F468" s="278"/>
    </row>
    <row r="469" spans="1:6" s="275" customFormat="1" x14ac:dyDescent="0.15">
      <c r="A469" s="617"/>
      <c r="B469" s="617"/>
      <c r="C469" s="379"/>
      <c r="E469" s="276"/>
      <c r="F469" s="278"/>
    </row>
    <row r="470" spans="1:6" s="275" customFormat="1" x14ac:dyDescent="0.15">
      <c r="A470" s="617" t="s">
        <v>1596</v>
      </c>
      <c r="B470" s="617"/>
      <c r="C470" s="619" t="s">
        <v>1334</v>
      </c>
      <c r="D470" s="619" t="s">
        <v>1462</v>
      </c>
      <c r="E470" s="276">
        <f>1799.1+1927.3+100.5+107.7+752.8+806.4+70.5+75.6+377.6+404.5+41+44</f>
        <v>6507</v>
      </c>
      <c r="F470" s="278"/>
    </row>
    <row r="471" spans="1:6" s="275" customFormat="1" x14ac:dyDescent="0.15">
      <c r="A471" s="617"/>
      <c r="B471" s="617"/>
      <c r="E471" s="276"/>
      <c r="F471" s="278"/>
    </row>
    <row r="472" spans="1:6" s="275" customFormat="1" x14ac:dyDescent="0.15">
      <c r="A472" s="617"/>
      <c r="B472" s="617"/>
      <c r="E472" s="276"/>
      <c r="F472" s="278"/>
    </row>
    <row r="473" spans="1:6" s="275" customFormat="1" x14ac:dyDescent="0.15">
      <c r="A473" s="617"/>
      <c r="B473" s="617"/>
      <c r="E473" s="276"/>
      <c r="F473" s="278"/>
    </row>
    <row r="474" spans="1:6" s="275" customFormat="1" x14ac:dyDescent="0.15">
      <c r="A474" s="617" t="s">
        <v>1596</v>
      </c>
      <c r="B474" s="617"/>
      <c r="C474" s="619" t="s">
        <v>1334</v>
      </c>
      <c r="D474" s="619" t="s">
        <v>1462</v>
      </c>
      <c r="E474" s="276">
        <f>1869.3+2118.5+104.6+118.6+782.3+886.6+73.3+83+392.4+444.7+42.7+48.3</f>
        <v>6964.3</v>
      </c>
      <c r="F474" s="278"/>
    </row>
    <row r="475" spans="1:6" s="275" customFormat="1" x14ac:dyDescent="0.15">
      <c r="A475" s="617"/>
      <c r="B475" s="617"/>
      <c r="E475" s="276"/>
      <c r="F475" s="278"/>
    </row>
    <row r="476" spans="1:6" s="275" customFormat="1" x14ac:dyDescent="0.15">
      <c r="A476" s="617"/>
      <c r="B476" s="617"/>
      <c r="E476" s="276"/>
      <c r="F476" s="278"/>
    </row>
    <row r="477" spans="1:6" s="275" customFormat="1" x14ac:dyDescent="0.15">
      <c r="A477" s="591" t="s">
        <v>1534</v>
      </c>
      <c r="B477" s="591"/>
      <c r="C477" s="287" t="s">
        <v>1492</v>
      </c>
      <c r="D477" s="287" t="s">
        <v>1239</v>
      </c>
      <c r="E477" s="642">
        <v>13600</v>
      </c>
      <c r="F477" s="482">
        <v>1832.06</v>
      </c>
    </row>
    <row r="478" spans="1:6" s="275" customFormat="1" x14ac:dyDescent="0.15">
      <c r="A478" s="591" t="s">
        <v>1535</v>
      </c>
      <c r="B478" s="591"/>
      <c r="C478" s="287" t="s">
        <v>1507</v>
      </c>
      <c r="D478" s="287" t="s">
        <v>1245</v>
      </c>
      <c r="E478" s="642">
        <v>4200</v>
      </c>
      <c r="F478" s="482">
        <v>636.83000000000004</v>
      </c>
    </row>
    <row r="479" spans="1:6" s="275" customFormat="1" x14ac:dyDescent="0.15">
      <c r="A479" s="591" t="s">
        <v>1536</v>
      </c>
      <c r="B479" s="591"/>
      <c r="C479" s="287" t="s">
        <v>1479</v>
      </c>
      <c r="D479" s="287" t="s">
        <v>1231</v>
      </c>
      <c r="E479" s="642">
        <v>5121</v>
      </c>
      <c r="F479" s="482">
        <v>717.58</v>
      </c>
    </row>
    <row r="480" spans="1:6" s="275" customFormat="1" x14ac:dyDescent="0.15">
      <c r="A480" s="591" t="s">
        <v>1537</v>
      </c>
      <c r="B480" s="591"/>
      <c r="C480" s="287" t="s">
        <v>1269</v>
      </c>
      <c r="D480" s="287" t="s">
        <v>1270</v>
      </c>
      <c r="E480" s="642">
        <v>3415</v>
      </c>
      <c r="F480" s="482">
        <v>512.21</v>
      </c>
    </row>
    <row r="481" spans="1:6" s="275" customFormat="1" x14ac:dyDescent="0.15">
      <c r="A481" s="640" t="s">
        <v>1538</v>
      </c>
      <c r="B481" s="640"/>
      <c r="C481" s="295" t="s">
        <v>1517</v>
      </c>
      <c r="D481" s="295" t="s">
        <v>1518</v>
      </c>
      <c r="E481" s="642">
        <v>4</v>
      </c>
      <c r="F481" s="482">
        <v>30.37</v>
      </c>
    </row>
    <row r="482" spans="1:6" s="275" customFormat="1" x14ac:dyDescent="0.15">
      <c r="A482" s="591" t="s">
        <v>1539</v>
      </c>
      <c r="B482" s="591"/>
      <c r="C482" s="287" t="s">
        <v>1405</v>
      </c>
      <c r="D482" s="287" t="s">
        <v>1280</v>
      </c>
      <c r="E482" s="642">
        <v>9520</v>
      </c>
      <c r="F482" s="482">
        <v>1307.82</v>
      </c>
    </row>
    <row r="483" spans="1:6" s="275" customFormat="1" x14ac:dyDescent="0.15">
      <c r="A483" s="591" t="s">
        <v>1540</v>
      </c>
      <c r="B483" s="591"/>
      <c r="C483" s="287" t="s">
        <v>1257</v>
      </c>
      <c r="D483" s="287" t="s">
        <v>1258</v>
      </c>
      <c r="E483" s="642">
        <v>25520</v>
      </c>
      <c r="F483" s="482">
        <v>3331.63</v>
      </c>
    </row>
    <row r="484" spans="1:6" s="275" customFormat="1" x14ac:dyDescent="0.15">
      <c r="A484" s="591" t="s">
        <v>1541</v>
      </c>
      <c r="B484" s="591"/>
      <c r="C484" s="287" t="s">
        <v>1586</v>
      </c>
      <c r="D484" s="287" t="s">
        <v>1500</v>
      </c>
      <c r="E484" s="642">
        <v>4400</v>
      </c>
      <c r="F484" s="482">
        <v>670.16</v>
      </c>
    </row>
    <row r="485" spans="1:6" s="275" customFormat="1" x14ac:dyDescent="0.15">
      <c r="A485" s="591" t="s">
        <v>1542</v>
      </c>
      <c r="B485" s="591"/>
      <c r="C485" s="287" t="s">
        <v>1240</v>
      </c>
      <c r="D485" s="287" t="s">
        <v>1467</v>
      </c>
      <c r="E485" s="642">
        <v>5254</v>
      </c>
      <c r="F485" s="482">
        <v>694.68</v>
      </c>
    </row>
    <row r="486" spans="1:6" s="275" customFormat="1" x14ac:dyDescent="0.15">
      <c r="A486" s="591" t="s">
        <v>1543</v>
      </c>
      <c r="B486" s="591"/>
      <c r="C486" s="287" t="s">
        <v>1523</v>
      </c>
      <c r="D486" s="287" t="s">
        <v>1266</v>
      </c>
      <c r="E486" s="642">
        <v>885</v>
      </c>
      <c r="F486" s="482">
        <v>142.83000000000001</v>
      </c>
    </row>
    <row r="487" spans="1:6" s="275" customFormat="1" x14ac:dyDescent="0.15">
      <c r="A487" s="591" t="s">
        <v>1544</v>
      </c>
      <c r="B487" s="591"/>
      <c r="C487" s="287" t="s">
        <v>1234</v>
      </c>
      <c r="D487" s="287" t="s">
        <v>1494</v>
      </c>
      <c r="E487" s="642">
        <v>6067</v>
      </c>
      <c r="F487" s="482">
        <v>850.45</v>
      </c>
    </row>
    <row r="488" spans="1:6" s="275" customFormat="1" x14ac:dyDescent="0.15">
      <c r="A488" s="591" t="s">
        <v>1545</v>
      </c>
      <c r="B488" s="591"/>
      <c r="C488" s="287" t="s">
        <v>1234</v>
      </c>
      <c r="D488" s="287" t="s">
        <v>1494</v>
      </c>
      <c r="E488" s="642">
        <f>2.8+88.2</f>
        <v>91</v>
      </c>
      <c r="F488" s="482">
        <v>18.169999999999998</v>
      </c>
    </row>
    <row r="489" spans="1:6" s="275" customFormat="1" x14ac:dyDescent="0.15">
      <c r="A489" s="591" t="s">
        <v>1546</v>
      </c>
      <c r="B489" s="591"/>
      <c r="C489" s="287" t="s">
        <v>1586</v>
      </c>
      <c r="D489" s="287" t="s">
        <v>1500</v>
      </c>
      <c r="E489" s="642">
        <v>68.5</v>
      </c>
      <c r="F489" s="482">
        <v>19.89</v>
      </c>
    </row>
    <row r="490" spans="1:6" s="275" customFormat="1" x14ac:dyDescent="0.15">
      <c r="A490" s="591" t="s">
        <v>1547</v>
      </c>
      <c r="B490" s="591"/>
      <c r="C490" s="287" t="s">
        <v>1286</v>
      </c>
      <c r="D490" s="287" t="s">
        <v>1514</v>
      </c>
      <c r="E490" s="642">
        <f>256.7+18.3</f>
        <v>275</v>
      </c>
      <c r="F490" s="482">
        <v>56.089999999999996</v>
      </c>
    </row>
    <row r="491" spans="1:6" s="275" customFormat="1" x14ac:dyDescent="0.15">
      <c r="A491" s="591" t="s">
        <v>1548</v>
      </c>
      <c r="B491" s="591"/>
      <c r="C491" s="287" t="s">
        <v>1235</v>
      </c>
      <c r="D491" s="287" t="s">
        <v>1236</v>
      </c>
      <c r="E491" s="642">
        <v>0</v>
      </c>
      <c r="F491" s="482">
        <v>0</v>
      </c>
    </row>
    <row r="492" spans="1:6" s="275" customFormat="1" x14ac:dyDescent="0.15">
      <c r="A492" s="591" t="s">
        <v>1549</v>
      </c>
      <c r="B492" s="591"/>
      <c r="C492" s="287" t="s">
        <v>1459</v>
      </c>
      <c r="D492" s="287" t="s">
        <v>1251</v>
      </c>
      <c r="E492" s="642">
        <v>2280</v>
      </c>
      <c r="F492" s="482">
        <v>332.8</v>
      </c>
    </row>
    <row r="493" spans="1:6" s="275" customFormat="1" x14ac:dyDescent="0.15">
      <c r="A493" s="591" t="s">
        <v>1597</v>
      </c>
      <c r="B493" s="591"/>
      <c r="C493" s="287" t="s">
        <v>1454</v>
      </c>
      <c r="D493" s="287" t="s">
        <v>1247</v>
      </c>
      <c r="E493" s="642">
        <v>4760</v>
      </c>
      <c r="F493" s="482">
        <v>690.26</v>
      </c>
    </row>
    <row r="494" spans="1:6" s="275" customFormat="1" x14ac:dyDescent="0.15">
      <c r="A494" s="591" t="s">
        <v>1551</v>
      </c>
      <c r="B494" s="591"/>
      <c r="C494" s="287" t="s">
        <v>1235</v>
      </c>
      <c r="D494" s="287" t="s">
        <v>1236</v>
      </c>
      <c r="E494" s="642">
        <v>10055</v>
      </c>
      <c r="F494" s="482">
        <v>1330.39</v>
      </c>
    </row>
    <row r="495" spans="1:6" s="275" customFormat="1" x14ac:dyDescent="0.15">
      <c r="A495" s="591" t="s">
        <v>1553</v>
      </c>
      <c r="B495" s="591"/>
      <c r="C495" s="287" t="s">
        <v>1475</v>
      </c>
      <c r="D495" s="287" t="s">
        <v>1387</v>
      </c>
      <c r="E495" s="642">
        <v>1325</v>
      </c>
      <c r="F495" s="482">
        <v>207.21</v>
      </c>
    </row>
    <row r="496" spans="1:6" s="275" customFormat="1" x14ac:dyDescent="0.15">
      <c r="A496" s="591" t="s">
        <v>1554</v>
      </c>
      <c r="B496" s="591"/>
      <c r="C496" s="287" t="s">
        <v>1399</v>
      </c>
      <c r="D496" s="287" t="s">
        <v>1276</v>
      </c>
      <c r="E496" s="642">
        <v>4680</v>
      </c>
      <c r="F496" s="482">
        <v>703.98</v>
      </c>
    </row>
    <row r="497" spans="1:8" s="275" customFormat="1" x14ac:dyDescent="0.15">
      <c r="A497" s="591" t="s">
        <v>1552</v>
      </c>
      <c r="B497" s="591"/>
      <c r="C497" s="287" t="s">
        <v>1286</v>
      </c>
      <c r="D497" s="287" t="s">
        <v>1514</v>
      </c>
      <c r="E497" s="642">
        <v>0</v>
      </c>
      <c r="F497" s="482">
        <v>0</v>
      </c>
      <c r="H497" s="478" t="s">
        <v>1587</v>
      </c>
    </row>
    <row r="498" spans="1:8" s="275" customFormat="1" x14ac:dyDescent="0.15">
      <c r="A498" s="591" t="s">
        <v>1598</v>
      </c>
      <c r="B498" s="591"/>
      <c r="C498" s="287" t="s">
        <v>1586</v>
      </c>
      <c r="D498" s="287" t="s">
        <v>1500</v>
      </c>
      <c r="E498" s="642">
        <f>42.9+5.8+52.1</f>
        <v>100.8</v>
      </c>
      <c r="F498" s="482">
        <v>33.19</v>
      </c>
      <c r="H498" s="290">
        <v>54085771020</v>
      </c>
    </row>
    <row r="499" spans="1:8" s="275" customFormat="1" x14ac:dyDescent="0.15">
      <c r="A499" s="619" t="s">
        <v>1527</v>
      </c>
      <c r="B499" s="619"/>
      <c r="C499" s="619" t="s">
        <v>1334</v>
      </c>
      <c r="D499" s="619" t="s">
        <v>1462</v>
      </c>
      <c r="E499" s="644">
        <v>0</v>
      </c>
      <c r="F499" s="482">
        <v>0</v>
      </c>
    </row>
    <row r="500" spans="1:8" s="275" customFormat="1" ht="14" thickBot="1" x14ac:dyDescent="0.2">
      <c r="A500" s="591"/>
      <c r="B500" s="591"/>
      <c r="C500" s="291" t="s">
        <v>1599</v>
      </c>
      <c r="D500" s="287"/>
      <c r="E500" s="638">
        <f>SUM(E477:E499)</f>
        <v>101621.3</v>
      </c>
      <c r="F500" s="620">
        <v>14118.6</v>
      </c>
      <c r="H500" s="636">
        <f>F500</f>
        <v>14118.6</v>
      </c>
    </row>
    <row r="501" spans="1:8" s="275" customFormat="1" ht="14" thickTop="1" x14ac:dyDescent="0.15">
      <c r="A501" s="640"/>
      <c r="B501" s="640"/>
      <c r="C501" s="295"/>
      <c r="D501" s="295"/>
      <c r="E501" s="296"/>
      <c r="F501" s="298"/>
    </row>
    <row r="502" spans="1:8" s="275" customFormat="1" x14ac:dyDescent="0.15">
      <c r="A502" s="640"/>
      <c r="B502" s="640"/>
      <c r="C502" s="299" t="s">
        <v>1594</v>
      </c>
      <c r="D502" s="295"/>
      <c r="E502" s="296"/>
      <c r="F502" s="298"/>
    </row>
    <row r="503" spans="1:8" s="275" customFormat="1" x14ac:dyDescent="0.15">
      <c r="A503" s="640"/>
      <c r="B503" s="640"/>
      <c r="C503" s="293" t="s">
        <v>1446</v>
      </c>
      <c r="D503" s="295"/>
      <c r="E503" s="296"/>
      <c r="F503" s="298"/>
    </row>
    <row r="504" spans="1:8" s="275" customFormat="1" x14ac:dyDescent="0.15">
      <c r="A504" s="640"/>
      <c r="B504" s="640"/>
      <c r="C504" s="379">
        <v>41285</v>
      </c>
      <c r="D504" s="295"/>
      <c r="E504" s="296"/>
      <c r="F504" s="298"/>
    </row>
    <row r="505" spans="1:8" s="275" customFormat="1" x14ac:dyDescent="0.15">
      <c r="A505" s="640"/>
      <c r="B505" s="640"/>
      <c r="C505" s="295"/>
      <c r="D505" s="295"/>
      <c r="E505" s="296"/>
      <c r="F505" s="298"/>
    </row>
    <row r="506" spans="1:8" s="275" customFormat="1" x14ac:dyDescent="0.15">
      <c r="A506" s="640" t="s">
        <v>1556</v>
      </c>
      <c r="B506" s="640"/>
      <c r="C506" s="295" t="s">
        <v>1248</v>
      </c>
      <c r="D506" s="295" t="s">
        <v>1482</v>
      </c>
      <c r="E506" s="642">
        <v>3848</v>
      </c>
      <c r="F506" s="482">
        <v>567.70000000000005</v>
      </c>
    </row>
    <row r="507" spans="1:8" s="275" customFormat="1" x14ac:dyDescent="0.15">
      <c r="A507" s="591" t="s">
        <v>1557</v>
      </c>
      <c r="B507" s="591"/>
      <c r="C507" s="287" t="s">
        <v>1477</v>
      </c>
      <c r="D507" s="287" t="s">
        <v>1289</v>
      </c>
      <c r="E507" s="642">
        <v>7000</v>
      </c>
      <c r="F507" s="482">
        <v>1123.8699999999999</v>
      </c>
    </row>
    <row r="508" spans="1:8" s="275" customFormat="1" x14ac:dyDescent="0.15">
      <c r="A508" s="591" t="s">
        <v>1558</v>
      </c>
      <c r="B508" s="591"/>
      <c r="C508" s="287" t="s">
        <v>1469</v>
      </c>
      <c r="D508" s="287" t="s">
        <v>1470</v>
      </c>
      <c r="E508" s="642">
        <v>7120</v>
      </c>
      <c r="F508" s="482">
        <v>993.57</v>
      </c>
    </row>
    <row r="509" spans="1:8" s="275" customFormat="1" x14ac:dyDescent="0.15">
      <c r="A509" s="591" t="s">
        <v>1559</v>
      </c>
      <c r="B509" s="591"/>
      <c r="C509" s="287" t="s">
        <v>1502</v>
      </c>
      <c r="D509" s="287" t="s">
        <v>1381</v>
      </c>
      <c r="E509" s="642">
        <v>18720</v>
      </c>
      <c r="F509" s="482">
        <v>2204.88</v>
      </c>
    </row>
    <row r="510" spans="1:8" s="275" customFormat="1" x14ac:dyDescent="0.15">
      <c r="A510" s="591" t="s">
        <v>1560</v>
      </c>
      <c r="B510" s="591"/>
      <c r="C510" s="287" t="s">
        <v>1504</v>
      </c>
      <c r="D510" s="287" t="s">
        <v>1505</v>
      </c>
      <c r="E510" s="642">
        <v>1712</v>
      </c>
      <c r="F510" s="482">
        <v>243.08</v>
      </c>
    </row>
    <row r="511" spans="1:8" s="275" customFormat="1" x14ac:dyDescent="0.15">
      <c r="A511" s="591" t="s">
        <v>1561</v>
      </c>
      <c r="B511" s="591"/>
      <c r="C511" s="287" t="s">
        <v>1562</v>
      </c>
      <c r="D511" s="287" t="s">
        <v>1509</v>
      </c>
      <c r="E511" s="642">
        <v>0</v>
      </c>
      <c r="F511" s="627">
        <v>8</v>
      </c>
    </row>
    <row r="512" spans="1:8" s="275" customFormat="1" x14ac:dyDescent="0.15">
      <c r="A512" s="591" t="s">
        <v>1563</v>
      </c>
      <c r="B512" s="591"/>
      <c r="C512" s="287" t="s">
        <v>1267</v>
      </c>
      <c r="D512" s="287" t="s">
        <v>1268</v>
      </c>
      <c r="E512" s="642">
        <f>2.7+83+5.4</f>
        <v>91.100000000000009</v>
      </c>
      <c r="F512" s="482">
        <v>14.81</v>
      </c>
    </row>
    <row r="513" spans="1:8" s="275" customFormat="1" x14ac:dyDescent="0.15">
      <c r="A513" s="591" t="s">
        <v>1564</v>
      </c>
      <c r="B513" s="591"/>
      <c r="C513" s="287" t="s">
        <v>1485</v>
      </c>
      <c r="D513" s="287" t="s">
        <v>1486</v>
      </c>
      <c r="E513" s="642">
        <v>2360</v>
      </c>
      <c r="F513" s="482">
        <v>368.89</v>
      </c>
    </row>
    <row r="514" spans="1:8" s="275" customFormat="1" x14ac:dyDescent="0.15">
      <c r="A514" s="591" t="s">
        <v>1565</v>
      </c>
      <c r="B514" s="591"/>
      <c r="C514" s="287" t="s">
        <v>1267</v>
      </c>
      <c r="D514" s="287" t="s">
        <v>1268</v>
      </c>
      <c r="E514" s="642">
        <v>2629</v>
      </c>
      <c r="F514" s="482">
        <v>411.1</v>
      </c>
    </row>
    <row r="515" spans="1:8" s="275" customFormat="1" x14ac:dyDescent="0.15">
      <c r="A515" s="591" t="s">
        <v>1567</v>
      </c>
      <c r="B515" s="591"/>
      <c r="C515" s="287" t="s">
        <v>1568</v>
      </c>
      <c r="D515" s="287" t="s">
        <v>1457</v>
      </c>
      <c r="E515" s="642">
        <v>2823</v>
      </c>
      <c r="F515" s="482">
        <v>384.57</v>
      </c>
    </row>
    <row r="516" spans="1:8" s="275" customFormat="1" x14ac:dyDescent="0.15">
      <c r="A516" s="591" t="s">
        <v>1569</v>
      </c>
      <c r="B516" s="591"/>
      <c r="C516" s="287" t="s">
        <v>1464</v>
      </c>
      <c r="D516" s="287" t="s">
        <v>1285</v>
      </c>
      <c r="E516" s="642">
        <v>1194</v>
      </c>
      <c r="F516" s="482">
        <v>243.47</v>
      </c>
    </row>
    <row r="517" spans="1:8" s="275" customFormat="1" x14ac:dyDescent="0.15">
      <c r="A517" s="591" t="s">
        <v>1570</v>
      </c>
      <c r="B517" s="591"/>
      <c r="C517" s="287" t="s">
        <v>1472</v>
      </c>
      <c r="D517" s="287" t="s">
        <v>1473</v>
      </c>
      <c r="E517" s="642">
        <v>37</v>
      </c>
      <c r="F517" s="482">
        <v>33.53</v>
      </c>
    </row>
    <row r="518" spans="1:8" s="275" customFormat="1" x14ac:dyDescent="0.15">
      <c r="A518" s="591" t="s">
        <v>1571</v>
      </c>
      <c r="B518" s="591"/>
      <c r="C518" s="287" t="s">
        <v>1489</v>
      </c>
      <c r="D518" s="287" t="s">
        <v>1490</v>
      </c>
      <c r="E518" s="642">
        <v>206</v>
      </c>
      <c r="F518" s="482">
        <v>49.65</v>
      </c>
    </row>
    <row r="519" spans="1:8" s="275" customFormat="1" x14ac:dyDescent="0.15">
      <c r="A519" s="591" t="s">
        <v>1572</v>
      </c>
      <c r="B519" s="591"/>
      <c r="C519" s="287" t="s">
        <v>1271</v>
      </c>
      <c r="D519" s="287" t="s">
        <v>1272</v>
      </c>
      <c r="E519" s="642">
        <v>5778</v>
      </c>
      <c r="F519" s="482">
        <v>765.99</v>
      </c>
    </row>
    <row r="520" spans="1:8" s="275" customFormat="1" x14ac:dyDescent="0.15">
      <c r="A520" s="591" t="s">
        <v>1573</v>
      </c>
      <c r="B520" s="591"/>
      <c r="C520" s="287" t="s">
        <v>1461</v>
      </c>
      <c r="D520" s="287" t="s">
        <v>1462</v>
      </c>
      <c r="E520" s="642">
        <v>13</v>
      </c>
      <c r="F520" s="482">
        <v>16.23</v>
      </c>
    </row>
    <row r="521" spans="1:8" s="275" customFormat="1" x14ac:dyDescent="0.15">
      <c r="A521" s="591" t="s">
        <v>1574</v>
      </c>
      <c r="B521" s="591"/>
      <c r="C521" s="287" t="s">
        <v>1377</v>
      </c>
      <c r="D521" s="287" t="s">
        <v>1378</v>
      </c>
      <c r="E521" s="642">
        <v>2005</v>
      </c>
      <c r="F521" s="482">
        <v>327.92</v>
      </c>
    </row>
    <row r="522" spans="1:8" s="275" customFormat="1" x14ac:dyDescent="0.15">
      <c r="A522" s="591" t="s">
        <v>1575</v>
      </c>
      <c r="B522" s="591"/>
      <c r="C522" s="287" t="s">
        <v>1448</v>
      </c>
      <c r="D522" s="287" t="s">
        <v>1449</v>
      </c>
      <c r="E522" s="642">
        <v>42</v>
      </c>
      <c r="F522" s="482">
        <v>12.14</v>
      </c>
    </row>
    <row r="523" spans="1:8" s="275" customFormat="1" x14ac:dyDescent="0.15">
      <c r="A523" s="591" t="s">
        <v>1576</v>
      </c>
      <c r="B523" s="591"/>
      <c r="C523" s="287" t="s">
        <v>1401</v>
      </c>
      <c r="D523" s="287" t="s">
        <v>1316</v>
      </c>
      <c r="E523" s="642">
        <v>184</v>
      </c>
      <c r="F523" s="482">
        <v>48.55</v>
      </c>
    </row>
    <row r="524" spans="1:8" s="275" customFormat="1" x14ac:dyDescent="0.15">
      <c r="A524" s="640" t="s">
        <v>1577</v>
      </c>
      <c r="B524" s="640"/>
      <c r="C524" s="295" t="s">
        <v>1395</v>
      </c>
      <c r="D524" s="295" t="s">
        <v>1396</v>
      </c>
      <c r="E524" s="642">
        <v>2231</v>
      </c>
      <c r="F524" s="482">
        <v>348.88</v>
      </c>
    </row>
    <row r="525" spans="1:8" s="275" customFormat="1" x14ac:dyDescent="0.15">
      <c r="A525" s="591" t="s">
        <v>1578</v>
      </c>
      <c r="B525" s="591"/>
      <c r="C525" s="287" t="s">
        <v>1579</v>
      </c>
      <c r="D525" s="287" t="s">
        <v>1497</v>
      </c>
      <c r="E525" s="642">
        <v>0</v>
      </c>
      <c r="F525" s="482">
        <v>30</v>
      </c>
    </row>
    <row r="526" spans="1:8" s="275" customFormat="1" x14ac:dyDescent="0.15">
      <c r="A526" s="640" t="s">
        <v>1580</v>
      </c>
      <c r="B526" s="640"/>
      <c r="C526" s="295" t="s">
        <v>1451</v>
      </c>
      <c r="D526" s="295" t="s">
        <v>1452</v>
      </c>
      <c r="E526" s="642">
        <v>2304</v>
      </c>
      <c r="F526" s="482">
        <v>1815.01</v>
      </c>
    </row>
    <row r="527" spans="1:8" s="275" customFormat="1" x14ac:dyDescent="0.15">
      <c r="A527" s="591" t="s">
        <v>1581</v>
      </c>
      <c r="B527" s="591"/>
      <c r="C527" s="287" t="s">
        <v>1521</v>
      </c>
      <c r="D527" s="287" t="s">
        <v>1229</v>
      </c>
      <c r="E527" s="642">
        <v>3511</v>
      </c>
      <c r="F527" s="482">
        <v>507.11</v>
      </c>
    </row>
    <row r="528" spans="1:8" s="275" customFormat="1" x14ac:dyDescent="0.15">
      <c r="A528" s="591" t="s">
        <v>1582</v>
      </c>
      <c r="B528" s="591"/>
      <c r="C528" s="287" t="s">
        <v>1525</v>
      </c>
      <c r="D528" s="287" t="s">
        <v>1526</v>
      </c>
      <c r="E528" s="642">
        <v>17</v>
      </c>
      <c r="F528" s="482">
        <v>8.49</v>
      </c>
      <c r="H528" s="478" t="s">
        <v>1587</v>
      </c>
    </row>
    <row r="529" spans="1:10" s="275" customFormat="1" ht="14" x14ac:dyDescent="0.15">
      <c r="A529" s="591" t="s">
        <v>1583</v>
      </c>
      <c r="B529" s="591"/>
      <c r="C529" s="287" t="s">
        <v>1584</v>
      </c>
      <c r="D529" s="618" t="s">
        <v>1264</v>
      </c>
      <c r="E529" s="642">
        <v>1320</v>
      </c>
      <c r="F529" s="482">
        <v>326.62</v>
      </c>
      <c r="H529" s="290">
        <v>54004571089</v>
      </c>
      <c r="J529" s="478" t="s">
        <v>1589</v>
      </c>
    </row>
    <row r="530" spans="1:10" s="275" customFormat="1" ht="14" thickBot="1" x14ac:dyDescent="0.2">
      <c r="A530" s="591"/>
      <c r="B530" s="591"/>
      <c r="C530" s="291" t="s">
        <v>1600</v>
      </c>
      <c r="D530" s="287"/>
      <c r="E530" s="643">
        <f>SUM(E506:E529)</f>
        <v>65145.1</v>
      </c>
      <c r="F530" s="635">
        <v>10854.060000000001</v>
      </c>
      <c r="H530" s="636">
        <f>F530</f>
        <v>10854.060000000001</v>
      </c>
      <c r="J530" s="636">
        <f>SUM(H500,H530)</f>
        <v>24972.660000000003</v>
      </c>
    </row>
    <row r="531" spans="1:10" s="275" customFormat="1" ht="14" thickTop="1" x14ac:dyDescent="0.15">
      <c r="A531" s="617"/>
      <c r="B531" s="617"/>
      <c r="E531" s="276"/>
      <c r="F531" s="278"/>
    </row>
    <row r="532" spans="1:10" s="275" customFormat="1" x14ac:dyDescent="0.15">
      <c r="A532" s="617"/>
      <c r="B532" s="617"/>
      <c r="C532" s="299" t="s">
        <v>1594</v>
      </c>
      <c r="E532" s="276"/>
      <c r="F532" s="278"/>
    </row>
    <row r="533" spans="1:10" s="275" customFormat="1" x14ac:dyDescent="0.15">
      <c r="A533" s="617"/>
      <c r="B533" s="617"/>
      <c r="C533" s="293" t="s">
        <v>1446</v>
      </c>
      <c r="E533" s="276"/>
      <c r="F533" s="278"/>
    </row>
    <row r="534" spans="1:10" s="275" customFormat="1" x14ac:dyDescent="0.15">
      <c r="A534" s="617"/>
      <c r="B534" s="617"/>
      <c r="C534" s="379">
        <v>41285</v>
      </c>
      <c r="E534" s="276"/>
      <c r="F534" s="278"/>
    </row>
    <row r="535" spans="1:10" s="275" customFormat="1" x14ac:dyDescent="0.15">
      <c r="A535" s="617"/>
      <c r="B535" s="617"/>
      <c r="E535" s="276"/>
      <c r="F535" s="278"/>
    </row>
    <row r="536" spans="1:10" s="275" customFormat="1" x14ac:dyDescent="0.15">
      <c r="A536" s="591" t="s">
        <v>1534</v>
      </c>
      <c r="B536" s="591"/>
      <c r="C536" s="287" t="s">
        <v>1492</v>
      </c>
      <c r="D536" s="287" t="s">
        <v>1239</v>
      </c>
      <c r="E536" s="642">
        <v>11840</v>
      </c>
      <c r="F536" s="482">
        <v>1763.22</v>
      </c>
    </row>
    <row r="537" spans="1:10" s="275" customFormat="1" x14ac:dyDescent="0.15">
      <c r="A537" s="591" t="s">
        <v>1535</v>
      </c>
      <c r="B537" s="591"/>
      <c r="C537" s="287" t="s">
        <v>1507</v>
      </c>
      <c r="D537" s="287" t="s">
        <v>1245</v>
      </c>
      <c r="E537" s="642">
        <v>3360</v>
      </c>
      <c r="F537" s="482">
        <v>554.51</v>
      </c>
    </row>
    <row r="538" spans="1:10" s="275" customFormat="1" x14ac:dyDescent="0.15">
      <c r="A538" s="591" t="s">
        <v>1536</v>
      </c>
      <c r="B538" s="591"/>
      <c r="C538" s="287" t="s">
        <v>1479</v>
      </c>
      <c r="D538" s="287" t="s">
        <v>1231</v>
      </c>
      <c r="E538" s="642">
        <v>3841</v>
      </c>
      <c r="F538" s="482">
        <v>604.22</v>
      </c>
    </row>
    <row r="539" spans="1:10" s="275" customFormat="1" x14ac:dyDescent="0.15">
      <c r="A539" s="591" t="s">
        <v>1537</v>
      </c>
      <c r="B539" s="591"/>
      <c r="C539" s="287" t="s">
        <v>1269</v>
      </c>
      <c r="D539" s="287" t="s">
        <v>1270</v>
      </c>
      <c r="E539" s="642">
        <v>2577</v>
      </c>
      <c r="F539" s="482">
        <v>436.68</v>
      </c>
    </row>
    <row r="540" spans="1:10" s="275" customFormat="1" x14ac:dyDescent="0.15">
      <c r="A540" s="640" t="s">
        <v>1538</v>
      </c>
      <c r="B540" s="640"/>
      <c r="C540" s="295" t="s">
        <v>1517</v>
      </c>
      <c r="D540" s="295" t="s">
        <v>1518</v>
      </c>
      <c r="E540" s="642">
        <v>4</v>
      </c>
      <c r="F540" s="482">
        <v>30.4</v>
      </c>
    </row>
    <row r="541" spans="1:10" s="275" customFormat="1" x14ac:dyDescent="0.15">
      <c r="A541" s="591" t="s">
        <v>1539</v>
      </c>
      <c r="B541" s="591"/>
      <c r="C541" s="287" t="s">
        <v>1405</v>
      </c>
      <c r="D541" s="287" t="s">
        <v>1280</v>
      </c>
      <c r="E541" s="642">
        <v>9840</v>
      </c>
      <c r="F541" s="482">
        <v>1423.56</v>
      </c>
    </row>
    <row r="542" spans="1:10" s="275" customFormat="1" x14ac:dyDescent="0.15">
      <c r="A542" s="591" t="s">
        <v>1540</v>
      </c>
      <c r="B542" s="591"/>
      <c r="C542" s="287" t="s">
        <v>1257</v>
      </c>
      <c r="D542" s="287" t="s">
        <v>1258</v>
      </c>
      <c r="E542" s="642">
        <v>20960</v>
      </c>
      <c r="F542" s="482">
        <v>3060.23</v>
      </c>
    </row>
    <row r="543" spans="1:10" s="275" customFormat="1" x14ac:dyDescent="0.15">
      <c r="A543" s="591" t="s">
        <v>1541</v>
      </c>
      <c r="B543" s="591"/>
      <c r="C543" s="287" t="s">
        <v>1586</v>
      </c>
      <c r="D543" s="287" t="s">
        <v>1500</v>
      </c>
      <c r="E543" s="642">
        <v>3560</v>
      </c>
      <c r="F543" s="482">
        <v>626.95000000000005</v>
      </c>
    </row>
    <row r="544" spans="1:10" s="275" customFormat="1" x14ac:dyDescent="0.15">
      <c r="A544" s="591" t="s">
        <v>1542</v>
      </c>
      <c r="B544" s="591"/>
      <c r="C544" s="287" t="s">
        <v>1240</v>
      </c>
      <c r="D544" s="287" t="s">
        <v>1467</v>
      </c>
      <c r="E544" s="642">
        <v>4444</v>
      </c>
      <c r="F544" s="482">
        <v>681.29</v>
      </c>
    </row>
    <row r="545" spans="1:6" s="275" customFormat="1" x14ac:dyDescent="0.15">
      <c r="A545" s="591" t="s">
        <v>1543</v>
      </c>
      <c r="B545" s="591"/>
      <c r="C545" s="287" t="s">
        <v>1523</v>
      </c>
      <c r="D545" s="287" t="s">
        <v>1266</v>
      </c>
      <c r="E545" s="642">
        <v>760</v>
      </c>
      <c r="F545" s="482">
        <v>138.09</v>
      </c>
    </row>
    <row r="546" spans="1:6" s="275" customFormat="1" x14ac:dyDescent="0.15">
      <c r="A546" s="591" t="s">
        <v>1544</v>
      </c>
      <c r="B546" s="591"/>
      <c r="C546" s="287" t="s">
        <v>1234</v>
      </c>
      <c r="D546" s="287" t="s">
        <v>1494</v>
      </c>
      <c r="E546" s="642">
        <v>5254</v>
      </c>
      <c r="F546" s="482">
        <v>846.28</v>
      </c>
    </row>
    <row r="547" spans="1:6" s="275" customFormat="1" x14ac:dyDescent="0.15">
      <c r="A547" s="591" t="s">
        <v>1601</v>
      </c>
      <c r="B547" s="591"/>
      <c r="C547" s="287" t="s">
        <v>1334</v>
      </c>
      <c r="D547" s="287" t="s">
        <v>1462</v>
      </c>
      <c r="E547" s="642">
        <f>1823.1+1302</f>
        <v>3125.1</v>
      </c>
      <c r="F547" s="482">
        <v>540.70000000000005</v>
      </c>
    </row>
    <row r="548" spans="1:6" s="275" customFormat="1" x14ac:dyDescent="0.15">
      <c r="A548" s="591" t="s">
        <v>1545</v>
      </c>
      <c r="B548" s="591"/>
      <c r="C548" s="287" t="s">
        <v>1234</v>
      </c>
      <c r="D548" s="287" t="s">
        <v>1494</v>
      </c>
      <c r="E548" s="642">
        <v>89.2</v>
      </c>
      <c r="F548" s="482">
        <v>18.7</v>
      </c>
    </row>
    <row r="549" spans="1:6" s="275" customFormat="1" x14ac:dyDescent="0.15">
      <c r="A549" s="591" t="s">
        <v>1602</v>
      </c>
      <c r="B549" s="591"/>
      <c r="C549" s="287" t="s">
        <v>1334</v>
      </c>
      <c r="D549" s="287" t="s">
        <v>1462</v>
      </c>
      <c r="E549" s="642">
        <f>101.9+72.8</f>
        <v>174.7</v>
      </c>
      <c r="F549" s="482">
        <v>40.269999999999996</v>
      </c>
    </row>
    <row r="550" spans="1:6" s="275" customFormat="1" x14ac:dyDescent="0.15">
      <c r="A550" s="591" t="s">
        <v>1546</v>
      </c>
      <c r="B550" s="591"/>
      <c r="C550" s="287" t="s">
        <v>1586</v>
      </c>
      <c r="D550" s="287" t="s">
        <v>1500</v>
      </c>
      <c r="E550" s="642">
        <v>102.2</v>
      </c>
      <c r="F550" s="482">
        <v>29.45</v>
      </c>
    </row>
    <row r="551" spans="1:6" s="275" customFormat="1" x14ac:dyDescent="0.15">
      <c r="A551" s="591" t="s">
        <v>1547</v>
      </c>
      <c r="B551" s="591"/>
      <c r="C551" s="287" t="s">
        <v>1286</v>
      </c>
      <c r="D551" s="287" t="s">
        <v>1514</v>
      </c>
      <c r="E551" s="642">
        <f>242.5+18+9</f>
        <v>269.5</v>
      </c>
      <c r="F551" s="482">
        <v>57.12</v>
      </c>
    </row>
    <row r="552" spans="1:6" s="275" customFormat="1" x14ac:dyDescent="0.15">
      <c r="A552" s="591" t="s">
        <v>1548</v>
      </c>
      <c r="B552" s="591"/>
      <c r="C552" s="287" t="s">
        <v>1235</v>
      </c>
      <c r="D552" s="287" t="s">
        <v>1236</v>
      </c>
      <c r="E552" s="642">
        <v>0</v>
      </c>
      <c r="F552" s="482">
        <v>0</v>
      </c>
    </row>
    <row r="553" spans="1:6" s="275" customFormat="1" x14ac:dyDescent="0.15">
      <c r="A553" s="591" t="s">
        <v>1549</v>
      </c>
      <c r="B553" s="591"/>
      <c r="C553" s="287" t="s">
        <v>1459</v>
      </c>
      <c r="D553" s="287" t="s">
        <v>1251</v>
      </c>
      <c r="E553" s="642">
        <v>2382</v>
      </c>
      <c r="F553" s="482">
        <v>379.57</v>
      </c>
    </row>
    <row r="554" spans="1:6" s="275" customFormat="1" x14ac:dyDescent="0.15">
      <c r="A554" s="591" t="s">
        <v>1603</v>
      </c>
      <c r="B554" s="591"/>
      <c r="C554" s="287" t="s">
        <v>1334</v>
      </c>
      <c r="D554" s="287" t="s">
        <v>1462</v>
      </c>
      <c r="E554" s="642">
        <f>763.1+545</f>
        <v>1308.0999999999999</v>
      </c>
      <c r="F554" s="482">
        <v>239.5</v>
      </c>
    </row>
    <row r="555" spans="1:6" s="275" customFormat="1" x14ac:dyDescent="0.15">
      <c r="A555" s="591" t="s">
        <v>1597</v>
      </c>
      <c r="B555" s="591"/>
      <c r="C555" s="287" t="s">
        <v>1454</v>
      </c>
      <c r="D555" s="287" t="s">
        <v>1247</v>
      </c>
      <c r="E555" s="642">
        <v>3840</v>
      </c>
      <c r="F555" s="482">
        <v>596.72</v>
      </c>
    </row>
    <row r="556" spans="1:6" s="275" customFormat="1" x14ac:dyDescent="0.15">
      <c r="A556" s="591" t="s">
        <v>1604</v>
      </c>
      <c r="B556" s="591"/>
      <c r="C556" s="287" t="s">
        <v>1334</v>
      </c>
      <c r="D556" s="287" t="s">
        <v>1462</v>
      </c>
      <c r="E556" s="642">
        <f>95.4+68.1</f>
        <v>163.5</v>
      </c>
      <c r="F556" s="482">
        <v>43.34</v>
      </c>
    </row>
    <row r="557" spans="1:6" s="275" customFormat="1" x14ac:dyDescent="0.15">
      <c r="A557" s="591" t="s">
        <v>1551</v>
      </c>
      <c r="B557" s="591"/>
      <c r="C557" s="287" t="s">
        <v>1235</v>
      </c>
      <c r="D557" s="287" t="s">
        <v>1236</v>
      </c>
      <c r="E557" s="642">
        <v>8438</v>
      </c>
      <c r="F557" s="482">
        <v>1249.1500000000001</v>
      </c>
    </row>
    <row r="558" spans="1:6" s="275" customFormat="1" x14ac:dyDescent="0.15">
      <c r="A558" s="591" t="s">
        <v>1553</v>
      </c>
      <c r="B558" s="591"/>
      <c r="C558" s="287" t="s">
        <v>1475</v>
      </c>
      <c r="D558" s="287" t="s">
        <v>1387</v>
      </c>
      <c r="E558" s="642">
        <v>1048</v>
      </c>
      <c r="F558" s="482">
        <v>175.15</v>
      </c>
    </row>
    <row r="559" spans="1:6" s="275" customFormat="1" x14ac:dyDescent="0.15">
      <c r="A559" s="591" t="s">
        <v>1554</v>
      </c>
      <c r="B559" s="591"/>
      <c r="C559" s="287" t="s">
        <v>1399</v>
      </c>
      <c r="D559" s="287" t="s">
        <v>1276</v>
      </c>
      <c r="E559" s="642">
        <v>4000</v>
      </c>
      <c r="F559" s="482">
        <v>650.20000000000005</v>
      </c>
    </row>
    <row r="560" spans="1:6" s="275" customFormat="1" x14ac:dyDescent="0.15">
      <c r="A560" s="591" t="s">
        <v>1605</v>
      </c>
      <c r="B560" s="591"/>
      <c r="C560" s="287" t="s">
        <v>1334</v>
      </c>
      <c r="D560" s="287" t="s">
        <v>1462</v>
      </c>
      <c r="E560" s="642">
        <f>347.7+248.3</f>
        <v>596</v>
      </c>
      <c r="F560" s="482">
        <v>157.74</v>
      </c>
    </row>
    <row r="561" spans="1:8" s="275" customFormat="1" x14ac:dyDescent="0.15">
      <c r="A561" s="591" t="s">
        <v>1552</v>
      </c>
      <c r="B561" s="591"/>
      <c r="C561" s="287" t="s">
        <v>1286</v>
      </c>
      <c r="D561" s="287" t="s">
        <v>1514</v>
      </c>
      <c r="E561" s="642">
        <v>0</v>
      </c>
      <c r="F561" s="482">
        <v>0</v>
      </c>
    </row>
    <row r="562" spans="1:8" s="275" customFormat="1" x14ac:dyDescent="0.15">
      <c r="A562" s="591" t="s">
        <v>1598</v>
      </c>
      <c r="B562" s="591"/>
      <c r="C562" s="287" t="s">
        <v>1586</v>
      </c>
      <c r="D562" s="287" t="s">
        <v>1500</v>
      </c>
      <c r="E562" s="642">
        <v>51.1</v>
      </c>
      <c r="F562" s="482">
        <v>17.43</v>
      </c>
      <c r="H562" s="478" t="s">
        <v>1587</v>
      </c>
    </row>
    <row r="563" spans="1:8" s="275" customFormat="1" x14ac:dyDescent="0.15">
      <c r="A563" s="591" t="s">
        <v>1606</v>
      </c>
      <c r="B563" s="591"/>
      <c r="C563" s="287" t="s">
        <v>1334</v>
      </c>
      <c r="D563" s="287" t="s">
        <v>1462</v>
      </c>
      <c r="E563" s="642">
        <f>41.6+29.7</f>
        <v>71.3</v>
      </c>
      <c r="F563" s="482">
        <v>11.86</v>
      </c>
      <c r="H563" s="290">
        <v>54085771020</v>
      </c>
    </row>
    <row r="564" spans="1:8" s="275" customFormat="1" ht="14" thickBot="1" x14ac:dyDescent="0.2">
      <c r="A564" s="591"/>
      <c r="B564" s="591"/>
      <c r="C564" s="291" t="s">
        <v>1607</v>
      </c>
      <c r="D564" s="287"/>
      <c r="E564" s="638">
        <f>SUM(E536:E563)</f>
        <v>92098.700000000012</v>
      </c>
      <c r="F564" s="620">
        <v>14372.330000000002</v>
      </c>
      <c r="H564" s="636">
        <f>F564</f>
        <v>14372.330000000002</v>
      </c>
    </row>
    <row r="565" spans="1:8" s="275" customFormat="1" ht="14" thickTop="1" x14ac:dyDescent="0.15">
      <c r="A565" s="640"/>
      <c r="B565" s="640"/>
      <c r="C565" s="295"/>
      <c r="D565" s="295"/>
      <c r="E565" s="296"/>
      <c r="F565" s="298"/>
    </row>
    <row r="566" spans="1:8" s="275" customFormat="1" x14ac:dyDescent="0.15">
      <c r="A566" s="640"/>
      <c r="B566" s="640"/>
      <c r="C566" s="299" t="s">
        <v>1594</v>
      </c>
      <c r="D566" s="295"/>
      <c r="E566" s="296"/>
      <c r="F566" s="298"/>
    </row>
    <row r="567" spans="1:8" s="275" customFormat="1" x14ac:dyDescent="0.15">
      <c r="A567" s="640"/>
      <c r="B567" s="640"/>
      <c r="C567" s="293" t="s">
        <v>1446</v>
      </c>
      <c r="D567" s="295"/>
      <c r="E567" s="296"/>
      <c r="F567" s="298"/>
    </row>
    <row r="568" spans="1:8" s="275" customFormat="1" x14ac:dyDescent="0.15">
      <c r="A568" s="640"/>
      <c r="B568" s="640"/>
      <c r="C568" s="379">
        <v>41325</v>
      </c>
      <c r="D568" s="295"/>
      <c r="E568" s="296"/>
      <c r="F568" s="298"/>
    </row>
    <row r="569" spans="1:8" s="275" customFormat="1" x14ac:dyDescent="0.15">
      <c r="A569" s="640"/>
      <c r="B569" s="640"/>
      <c r="C569" s="295"/>
      <c r="D569" s="295"/>
      <c r="E569" s="296"/>
      <c r="F569" s="298"/>
    </row>
    <row r="570" spans="1:8" s="275" customFormat="1" x14ac:dyDescent="0.15">
      <c r="A570" s="640" t="s">
        <v>1556</v>
      </c>
      <c r="B570" s="640"/>
      <c r="C570" s="295" t="s">
        <v>1248</v>
      </c>
      <c r="D570" s="295" t="s">
        <v>1482</v>
      </c>
      <c r="E570" s="642">
        <v>3735</v>
      </c>
      <c r="F570" s="482">
        <v>585.87</v>
      </c>
    </row>
    <row r="571" spans="1:8" s="275" customFormat="1" x14ac:dyDescent="0.15">
      <c r="A571" s="591" t="s">
        <v>1557</v>
      </c>
      <c r="B571" s="591"/>
      <c r="C571" s="287" t="s">
        <v>1477</v>
      </c>
      <c r="D571" s="287" t="s">
        <v>1289</v>
      </c>
      <c r="E571" s="642">
        <v>6960</v>
      </c>
      <c r="F571" s="482">
        <v>1381.5</v>
      </c>
    </row>
    <row r="572" spans="1:8" s="275" customFormat="1" x14ac:dyDescent="0.15">
      <c r="A572" s="591" t="s">
        <v>1558</v>
      </c>
      <c r="B572" s="591"/>
      <c r="C572" s="287" t="s">
        <v>1469</v>
      </c>
      <c r="D572" s="287" t="s">
        <v>1470</v>
      </c>
      <c r="E572" s="642">
        <v>7040</v>
      </c>
      <c r="F572" s="482">
        <v>1067.75</v>
      </c>
    </row>
    <row r="573" spans="1:8" s="275" customFormat="1" x14ac:dyDescent="0.15">
      <c r="A573" s="591" t="s">
        <v>1559</v>
      </c>
      <c r="B573" s="591"/>
      <c r="C573" s="287" t="s">
        <v>1502</v>
      </c>
      <c r="D573" s="287" t="s">
        <v>1381</v>
      </c>
      <c r="E573" s="642">
        <v>17952</v>
      </c>
      <c r="F573" s="482">
        <v>2791.7</v>
      </c>
    </row>
    <row r="574" spans="1:8" s="275" customFormat="1" x14ac:dyDescent="0.15">
      <c r="A574" s="591" t="s">
        <v>1560</v>
      </c>
      <c r="B574" s="591"/>
      <c r="C574" s="287" t="s">
        <v>1504</v>
      </c>
      <c r="D574" s="287" t="s">
        <v>1505</v>
      </c>
      <c r="E574" s="642">
        <v>1429</v>
      </c>
      <c r="F574" s="482">
        <v>207.19</v>
      </c>
    </row>
    <row r="575" spans="1:8" s="275" customFormat="1" x14ac:dyDescent="0.15">
      <c r="A575" s="591" t="s">
        <v>1561</v>
      </c>
      <c r="B575" s="591"/>
      <c r="C575" s="287" t="s">
        <v>1562</v>
      </c>
      <c r="D575" s="287" t="s">
        <v>1509</v>
      </c>
      <c r="E575" s="642">
        <v>0</v>
      </c>
      <c r="F575" s="482">
        <v>0</v>
      </c>
    </row>
    <row r="576" spans="1:8" s="275" customFormat="1" x14ac:dyDescent="0.15">
      <c r="A576" s="591" t="s">
        <v>1563</v>
      </c>
      <c r="B576" s="591"/>
      <c r="C576" s="287" t="s">
        <v>1267</v>
      </c>
      <c r="D576" s="287" t="s">
        <v>1268</v>
      </c>
      <c r="E576" s="642">
        <v>89.2</v>
      </c>
      <c r="F576" s="482">
        <v>15.18</v>
      </c>
    </row>
    <row r="577" spans="1:8" s="275" customFormat="1" x14ac:dyDescent="0.15">
      <c r="A577" s="591" t="s">
        <v>1564</v>
      </c>
      <c r="B577" s="591"/>
      <c r="C577" s="287" t="s">
        <v>1485</v>
      </c>
      <c r="D577" s="287" t="s">
        <v>1486</v>
      </c>
      <c r="E577" s="642">
        <v>1960</v>
      </c>
      <c r="F577" s="482">
        <v>291.63</v>
      </c>
    </row>
    <row r="578" spans="1:8" s="275" customFormat="1" x14ac:dyDescent="0.15">
      <c r="A578" s="591" t="s">
        <v>1565</v>
      </c>
      <c r="B578" s="591"/>
      <c r="C578" s="287" t="s">
        <v>1267</v>
      </c>
      <c r="D578" s="287" t="s">
        <v>1268</v>
      </c>
      <c r="E578" s="642">
        <v>2326</v>
      </c>
      <c r="F578" s="482">
        <v>388.74</v>
      </c>
    </row>
    <row r="579" spans="1:8" s="275" customFormat="1" x14ac:dyDescent="0.15">
      <c r="A579" s="591" t="s">
        <v>1567</v>
      </c>
      <c r="B579" s="591"/>
      <c r="C579" s="287" t="s">
        <v>1568</v>
      </c>
      <c r="D579" s="287" t="s">
        <v>1457</v>
      </c>
      <c r="E579" s="642">
        <v>4888</v>
      </c>
      <c r="F579" s="482">
        <v>808.47</v>
      </c>
    </row>
    <row r="580" spans="1:8" s="275" customFormat="1" x14ac:dyDescent="0.15">
      <c r="A580" s="591" t="s">
        <v>1569</v>
      </c>
      <c r="B580" s="591"/>
      <c r="C580" s="287" t="s">
        <v>1464</v>
      </c>
      <c r="D580" s="287" t="s">
        <v>1285</v>
      </c>
      <c r="E580" s="642">
        <v>1117</v>
      </c>
      <c r="F580" s="482">
        <v>263.63</v>
      </c>
    </row>
    <row r="581" spans="1:8" s="275" customFormat="1" x14ac:dyDescent="0.15">
      <c r="A581" s="591" t="s">
        <v>1570</v>
      </c>
      <c r="B581" s="591"/>
      <c r="C581" s="287" t="s">
        <v>1472</v>
      </c>
      <c r="D581" s="287" t="s">
        <v>1473</v>
      </c>
      <c r="E581" s="642">
        <v>38</v>
      </c>
      <c r="F581" s="482">
        <v>33.94</v>
      </c>
    </row>
    <row r="582" spans="1:8" s="275" customFormat="1" x14ac:dyDescent="0.15">
      <c r="A582" s="591" t="s">
        <v>1571</v>
      </c>
      <c r="B582" s="591"/>
      <c r="C582" s="287" t="s">
        <v>1489</v>
      </c>
      <c r="D582" s="287" t="s">
        <v>1490</v>
      </c>
      <c r="E582" s="642">
        <v>187</v>
      </c>
      <c r="F582" s="482">
        <v>49.33</v>
      </c>
    </row>
    <row r="583" spans="1:8" s="275" customFormat="1" x14ac:dyDescent="0.15">
      <c r="A583" s="591" t="s">
        <v>1572</v>
      </c>
      <c r="B583" s="591"/>
      <c r="C583" s="287" t="s">
        <v>1271</v>
      </c>
      <c r="D583" s="287" t="s">
        <v>1272</v>
      </c>
      <c r="E583" s="642">
        <v>4845</v>
      </c>
      <c r="F583" s="482">
        <v>722.71</v>
      </c>
    </row>
    <row r="584" spans="1:8" s="275" customFormat="1" x14ac:dyDescent="0.15">
      <c r="A584" s="591" t="s">
        <v>1573</v>
      </c>
      <c r="B584" s="591"/>
      <c r="C584" s="287" t="s">
        <v>1461</v>
      </c>
      <c r="D584" s="287" t="s">
        <v>1462</v>
      </c>
      <c r="E584" s="642">
        <v>13</v>
      </c>
      <c r="F584" s="482">
        <v>16.329999999999998</v>
      </c>
    </row>
    <row r="585" spans="1:8" s="275" customFormat="1" x14ac:dyDescent="0.15">
      <c r="A585" s="591" t="s">
        <v>1574</v>
      </c>
      <c r="B585" s="591"/>
      <c r="C585" s="287" t="s">
        <v>1377</v>
      </c>
      <c r="D585" s="287" t="s">
        <v>1378</v>
      </c>
      <c r="E585" s="642">
        <v>1629</v>
      </c>
      <c r="F585" s="482">
        <v>272.2</v>
      </c>
    </row>
    <row r="586" spans="1:8" s="275" customFormat="1" x14ac:dyDescent="0.15">
      <c r="A586" s="591" t="s">
        <v>1575</v>
      </c>
      <c r="B586" s="591"/>
      <c r="C586" s="287" t="s">
        <v>1448</v>
      </c>
      <c r="D586" s="287" t="s">
        <v>1449</v>
      </c>
      <c r="E586" s="642">
        <v>36</v>
      </c>
      <c r="F586" s="482">
        <v>11.66</v>
      </c>
    </row>
    <row r="587" spans="1:8" s="275" customFormat="1" x14ac:dyDescent="0.15">
      <c r="A587" s="591" t="s">
        <v>1576</v>
      </c>
      <c r="B587" s="591"/>
      <c r="C587" s="287" t="s">
        <v>1401</v>
      </c>
      <c r="D587" s="287" t="s">
        <v>1316</v>
      </c>
      <c r="E587" s="642">
        <v>259</v>
      </c>
      <c r="F587" s="482">
        <v>105.42</v>
      </c>
    </row>
    <row r="588" spans="1:8" s="275" customFormat="1" x14ac:dyDescent="0.15">
      <c r="A588" s="640" t="s">
        <v>1577</v>
      </c>
      <c r="B588" s="640"/>
      <c r="C588" s="295" t="s">
        <v>1395</v>
      </c>
      <c r="D588" s="295" t="s">
        <v>1396</v>
      </c>
      <c r="E588" s="642">
        <v>779</v>
      </c>
      <c r="F588" s="482">
        <v>130.16</v>
      </c>
    </row>
    <row r="589" spans="1:8" s="275" customFormat="1" x14ac:dyDescent="0.15">
      <c r="A589" s="591" t="s">
        <v>1578</v>
      </c>
      <c r="B589" s="591"/>
      <c r="C589" s="287" t="s">
        <v>1579</v>
      </c>
      <c r="D589" s="287" t="s">
        <v>1497</v>
      </c>
      <c r="E589" s="642">
        <v>0</v>
      </c>
      <c r="F589" s="482">
        <v>30</v>
      </c>
    </row>
    <row r="590" spans="1:8" s="275" customFormat="1" x14ac:dyDescent="0.15">
      <c r="A590" s="640" t="s">
        <v>1580</v>
      </c>
      <c r="B590" s="640"/>
      <c r="C590" s="295" t="s">
        <v>1451</v>
      </c>
      <c r="D590" s="295" t="s">
        <v>1452</v>
      </c>
      <c r="E590" s="642">
        <v>960</v>
      </c>
      <c r="F590" s="482">
        <v>1740.21</v>
      </c>
    </row>
    <row r="591" spans="1:8" s="275" customFormat="1" x14ac:dyDescent="0.15">
      <c r="A591" s="591" t="s">
        <v>1581</v>
      </c>
      <c r="B591" s="591"/>
      <c r="C591" s="287" t="s">
        <v>1521</v>
      </c>
      <c r="D591" s="287" t="s">
        <v>1229</v>
      </c>
      <c r="E591" s="642">
        <v>3307</v>
      </c>
      <c r="F591" s="482">
        <v>497.31</v>
      </c>
    </row>
    <row r="592" spans="1:8" s="275" customFormat="1" x14ac:dyDescent="0.15">
      <c r="A592" s="591" t="s">
        <v>1582</v>
      </c>
      <c r="B592" s="591"/>
      <c r="C592" s="287" t="s">
        <v>1525</v>
      </c>
      <c r="D592" s="287" t="s">
        <v>1526</v>
      </c>
      <c r="E592" s="642">
        <v>12</v>
      </c>
      <c r="F592" s="482">
        <v>7.87</v>
      </c>
      <c r="H592" s="478" t="s">
        <v>1587</v>
      </c>
    </row>
    <row r="593" spans="1:10" s="275" customFormat="1" ht="14" x14ac:dyDescent="0.15">
      <c r="A593" s="591" t="s">
        <v>1583</v>
      </c>
      <c r="B593" s="591"/>
      <c r="C593" s="287" t="s">
        <v>1584</v>
      </c>
      <c r="D593" s="618" t="s">
        <v>1264</v>
      </c>
      <c r="E593" s="642">
        <v>1240</v>
      </c>
      <c r="F593" s="482">
        <v>261.57</v>
      </c>
      <c r="H593" s="290">
        <v>54004571089</v>
      </c>
      <c r="J593" s="478" t="s">
        <v>1589</v>
      </c>
    </row>
    <row r="594" spans="1:10" s="275" customFormat="1" ht="14" thickBot="1" x14ac:dyDescent="0.2">
      <c r="A594" s="591"/>
      <c r="B594" s="591"/>
      <c r="C594" s="291" t="s">
        <v>1608</v>
      </c>
      <c r="D594" s="287"/>
      <c r="E594" s="643">
        <f>SUM(E570:E593)</f>
        <v>60801.2</v>
      </c>
      <c r="F594" s="620">
        <v>11680.369999999997</v>
      </c>
      <c r="H594" s="636">
        <f>F594</f>
        <v>11680.369999999997</v>
      </c>
      <c r="J594" s="636">
        <f>SUM(H564,H594)</f>
        <v>26052.699999999997</v>
      </c>
    </row>
    <row r="595" spans="1:10" s="275" customFormat="1" ht="14" thickTop="1" x14ac:dyDescent="0.15">
      <c r="A595" s="617"/>
      <c r="B595" s="617"/>
      <c r="E595" s="276"/>
      <c r="F595" s="278"/>
    </row>
    <row r="596" spans="1:10" s="275" customFormat="1" x14ac:dyDescent="0.15">
      <c r="A596" s="617"/>
      <c r="B596" s="617"/>
      <c r="C596" s="299" t="s">
        <v>1594</v>
      </c>
      <c r="E596" s="276"/>
      <c r="F596" s="278"/>
    </row>
    <row r="597" spans="1:10" s="275" customFormat="1" x14ac:dyDescent="0.15">
      <c r="A597" s="617"/>
      <c r="B597" s="617"/>
      <c r="C597" s="293" t="s">
        <v>1446</v>
      </c>
      <c r="E597" s="276"/>
      <c r="F597" s="278"/>
    </row>
    <row r="598" spans="1:10" s="275" customFormat="1" x14ac:dyDescent="0.15">
      <c r="A598" s="617"/>
      <c r="B598" s="617"/>
      <c r="C598" s="379">
        <v>41325</v>
      </c>
      <c r="E598" s="276"/>
      <c r="F598" s="278"/>
    </row>
    <row r="599" spans="1:10" s="275" customFormat="1" x14ac:dyDescent="0.15">
      <c r="A599" s="617"/>
      <c r="B599" s="617"/>
      <c r="E599" s="276"/>
      <c r="F599" s="278"/>
    </row>
    <row r="600" spans="1:10" s="275" customFormat="1" x14ac:dyDescent="0.15">
      <c r="A600" s="591" t="s">
        <v>1534</v>
      </c>
      <c r="B600" s="591"/>
      <c r="C600" s="287" t="s">
        <v>1492</v>
      </c>
      <c r="D600" s="287" t="s">
        <v>1239</v>
      </c>
      <c r="E600" s="642">
        <v>16320</v>
      </c>
      <c r="F600" s="482">
        <v>2246.25</v>
      </c>
    </row>
    <row r="601" spans="1:10" s="275" customFormat="1" x14ac:dyDescent="0.15">
      <c r="A601" s="591" t="s">
        <v>1535</v>
      </c>
      <c r="B601" s="591"/>
      <c r="C601" s="287" t="s">
        <v>1507</v>
      </c>
      <c r="D601" s="287" t="s">
        <v>1245</v>
      </c>
      <c r="E601" s="642">
        <v>4600</v>
      </c>
      <c r="F601" s="482">
        <v>695.92</v>
      </c>
    </row>
    <row r="602" spans="1:10" s="275" customFormat="1" x14ac:dyDescent="0.15">
      <c r="A602" s="591" t="s">
        <v>1536</v>
      </c>
      <c r="B602" s="591"/>
      <c r="C602" s="287" t="s">
        <v>1479</v>
      </c>
      <c r="D602" s="287" t="s">
        <v>1231</v>
      </c>
      <c r="E602" s="642">
        <v>5271</v>
      </c>
      <c r="F602" s="482">
        <v>771.32</v>
      </c>
    </row>
    <row r="603" spans="1:10" s="275" customFormat="1" x14ac:dyDescent="0.15">
      <c r="A603" s="591" t="s">
        <v>1537</v>
      </c>
      <c r="B603" s="591"/>
      <c r="C603" s="287" t="s">
        <v>1269</v>
      </c>
      <c r="D603" s="287" t="s">
        <v>1270</v>
      </c>
      <c r="E603" s="642">
        <v>3777</v>
      </c>
      <c r="F603" s="482">
        <v>560.72</v>
      </c>
    </row>
    <row r="604" spans="1:10" s="275" customFormat="1" x14ac:dyDescent="0.15">
      <c r="A604" s="640" t="s">
        <v>1538</v>
      </c>
      <c r="B604" s="640"/>
      <c r="C604" s="295" t="s">
        <v>1517</v>
      </c>
      <c r="D604" s="295" t="s">
        <v>1518</v>
      </c>
      <c r="E604" s="642">
        <v>4</v>
      </c>
      <c r="F604" s="482">
        <v>30.4</v>
      </c>
    </row>
    <row r="605" spans="1:10" s="275" customFormat="1" x14ac:dyDescent="0.15">
      <c r="A605" s="591" t="s">
        <v>1539</v>
      </c>
      <c r="B605" s="591"/>
      <c r="C605" s="287" t="s">
        <v>1405</v>
      </c>
      <c r="D605" s="287" t="s">
        <v>1280</v>
      </c>
      <c r="E605" s="642">
        <v>9280</v>
      </c>
      <c r="F605" s="482">
        <v>1347.76</v>
      </c>
    </row>
    <row r="606" spans="1:10" s="275" customFormat="1" x14ac:dyDescent="0.15">
      <c r="A606" s="591" t="s">
        <v>1540</v>
      </c>
      <c r="B606" s="591"/>
      <c r="C606" s="287" t="s">
        <v>1257</v>
      </c>
      <c r="D606" s="287" t="s">
        <v>1258</v>
      </c>
      <c r="E606" s="642">
        <v>24880</v>
      </c>
      <c r="F606" s="482">
        <v>3380.17</v>
      </c>
    </row>
    <row r="607" spans="1:10" s="275" customFormat="1" x14ac:dyDescent="0.15">
      <c r="A607" s="591" t="s">
        <v>1541</v>
      </c>
      <c r="B607" s="591"/>
      <c r="C607" s="287" t="s">
        <v>1586</v>
      </c>
      <c r="D607" s="287" t="s">
        <v>1500</v>
      </c>
      <c r="E607" s="642">
        <v>4760</v>
      </c>
      <c r="F607" s="482">
        <v>771.27</v>
      </c>
    </row>
    <row r="608" spans="1:10" s="275" customFormat="1" x14ac:dyDescent="0.15">
      <c r="A608" s="591" t="s">
        <v>1542</v>
      </c>
      <c r="B608" s="591"/>
      <c r="C608" s="287" t="s">
        <v>1240</v>
      </c>
      <c r="D608" s="287" t="s">
        <v>1467</v>
      </c>
      <c r="E608" s="642">
        <v>5563</v>
      </c>
      <c r="F608" s="482">
        <v>778.79</v>
      </c>
    </row>
    <row r="609" spans="1:6" s="275" customFormat="1" x14ac:dyDescent="0.15">
      <c r="A609" s="591" t="s">
        <v>1543</v>
      </c>
      <c r="B609" s="591"/>
      <c r="C609" s="287" t="s">
        <v>1523</v>
      </c>
      <c r="D609" s="287" t="s">
        <v>1266</v>
      </c>
      <c r="E609" s="642">
        <v>863</v>
      </c>
      <c r="F609" s="482">
        <v>132.28</v>
      </c>
    </row>
    <row r="610" spans="1:6" s="275" customFormat="1" x14ac:dyDescent="0.15">
      <c r="A610" s="591" t="s">
        <v>1544</v>
      </c>
      <c r="B610" s="591"/>
      <c r="C610" s="287" t="s">
        <v>1234</v>
      </c>
      <c r="D610" s="287" t="s">
        <v>1494</v>
      </c>
      <c r="E610" s="642">
        <v>6161</v>
      </c>
      <c r="F610" s="482">
        <v>935.46</v>
      </c>
    </row>
    <row r="611" spans="1:6" s="275" customFormat="1" x14ac:dyDescent="0.15">
      <c r="A611" s="591" t="s">
        <v>1601</v>
      </c>
      <c r="B611" s="591"/>
      <c r="C611" s="287" t="s">
        <v>1334</v>
      </c>
      <c r="D611" s="287" t="s">
        <v>1462</v>
      </c>
      <c r="E611" s="642">
        <f>1738.8+183.2+1372.8</f>
        <v>3294.8</v>
      </c>
      <c r="F611" s="482">
        <v>614.82000000000005</v>
      </c>
    </row>
    <row r="612" spans="1:6" s="275" customFormat="1" x14ac:dyDescent="0.15">
      <c r="A612" s="591" t="s">
        <v>1545</v>
      </c>
      <c r="B612" s="591"/>
      <c r="C612" s="287" t="s">
        <v>1234</v>
      </c>
      <c r="D612" s="287" t="s">
        <v>1494</v>
      </c>
      <c r="E612" s="642">
        <f>5+67.7+2.5</f>
        <v>75.2</v>
      </c>
      <c r="F612" s="482">
        <v>16.740000000000002</v>
      </c>
    </row>
    <row r="613" spans="1:6" s="275" customFormat="1" x14ac:dyDescent="0.15">
      <c r="A613" s="591" t="s">
        <v>1602</v>
      </c>
      <c r="B613" s="591"/>
      <c r="C613" s="287" t="s">
        <v>1334</v>
      </c>
      <c r="D613" s="287" t="s">
        <v>1462</v>
      </c>
      <c r="E613" s="642">
        <f>97.2+10.2+76.8</f>
        <v>184.2</v>
      </c>
      <c r="F613" s="482">
        <v>46.95</v>
      </c>
    </row>
    <row r="614" spans="1:6" s="275" customFormat="1" x14ac:dyDescent="0.15">
      <c r="A614" s="591" t="s">
        <v>1546</v>
      </c>
      <c r="B614" s="591"/>
      <c r="C614" s="287" t="s">
        <v>1586</v>
      </c>
      <c r="D614" s="287" t="s">
        <v>1500</v>
      </c>
      <c r="E614" s="642">
        <f>5.7+77.4+2.9</f>
        <v>86.000000000000014</v>
      </c>
      <c r="F614" s="482">
        <v>26.97</v>
      </c>
    </row>
    <row r="615" spans="1:6" s="275" customFormat="1" x14ac:dyDescent="0.15">
      <c r="A615" s="591" t="s">
        <v>1547</v>
      </c>
      <c r="B615" s="591"/>
      <c r="C615" s="287" t="s">
        <v>1286</v>
      </c>
      <c r="D615" s="287" t="s">
        <v>1514</v>
      </c>
      <c r="E615" s="642">
        <f>211+8.1+8.1</f>
        <v>227.2</v>
      </c>
      <c r="F615" s="482">
        <v>51.44</v>
      </c>
    </row>
    <row r="616" spans="1:6" s="275" customFormat="1" x14ac:dyDescent="0.15">
      <c r="A616" s="591" t="s">
        <v>1548</v>
      </c>
      <c r="B616" s="591"/>
      <c r="C616" s="287" t="s">
        <v>1235</v>
      </c>
      <c r="D616" s="287" t="s">
        <v>1236</v>
      </c>
      <c r="E616" s="642">
        <v>0</v>
      </c>
      <c r="F616" s="482">
        <v>0</v>
      </c>
    </row>
    <row r="617" spans="1:6" s="275" customFormat="1" x14ac:dyDescent="0.15">
      <c r="A617" s="591" t="s">
        <v>1549</v>
      </c>
      <c r="B617" s="591"/>
      <c r="C617" s="287" t="s">
        <v>1459</v>
      </c>
      <c r="D617" s="287" t="s">
        <v>1251</v>
      </c>
      <c r="E617" s="642">
        <v>2373</v>
      </c>
      <c r="F617" s="482">
        <v>366.67</v>
      </c>
    </row>
    <row r="618" spans="1:6" s="275" customFormat="1" x14ac:dyDescent="0.15">
      <c r="A618" s="591" t="s">
        <v>1603</v>
      </c>
      <c r="B618" s="591"/>
      <c r="C618" s="287" t="s">
        <v>1334</v>
      </c>
      <c r="D618" s="287" t="s">
        <v>1462</v>
      </c>
      <c r="E618" s="642">
        <f>727.5+76.6+574.4</f>
        <v>1378.5</v>
      </c>
      <c r="F618" s="482">
        <v>273.72999999999996</v>
      </c>
    </row>
    <row r="619" spans="1:6" s="275" customFormat="1" x14ac:dyDescent="0.15">
      <c r="A619" s="591" t="s">
        <v>1597</v>
      </c>
      <c r="B619" s="591"/>
      <c r="C619" s="287" t="s">
        <v>1454</v>
      </c>
      <c r="D619" s="287" t="s">
        <v>1247</v>
      </c>
      <c r="E619" s="642">
        <v>4720</v>
      </c>
      <c r="F619" s="482">
        <v>700.69</v>
      </c>
    </row>
    <row r="620" spans="1:6" s="275" customFormat="1" x14ac:dyDescent="0.15">
      <c r="A620" s="591" t="s">
        <v>1604</v>
      </c>
      <c r="B620" s="591"/>
      <c r="C620" s="287" t="s">
        <v>1334</v>
      </c>
      <c r="D620" s="287" t="s">
        <v>1462</v>
      </c>
      <c r="E620" s="642">
        <f>90.8+9.6+71.7</f>
        <v>172.1</v>
      </c>
      <c r="F620" s="482">
        <v>50.89</v>
      </c>
    </row>
    <row r="621" spans="1:6" s="275" customFormat="1" x14ac:dyDescent="0.15">
      <c r="A621" s="591" t="s">
        <v>1551</v>
      </c>
      <c r="B621" s="591"/>
      <c r="C621" s="287" t="s">
        <v>1235</v>
      </c>
      <c r="D621" s="287" t="s">
        <v>1236</v>
      </c>
      <c r="E621" s="642">
        <v>10550</v>
      </c>
      <c r="F621" s="482">
        <v>1461.76</v>
      </c>
    </row>
    <row r="622" spans="1:6" s="275" customFormat="1" x14ac:dyDescent="0.15">
      <c r="A622" s="591" t="s">
        <v>1553</v>
      </c>
      <c r="B622" s="591"/>
      <c r="C622" s="287" t="s">
        <v>1475</v>
      </c>
      <c r="D622" s="287" t="s">
        <v>1387</v>
      </c>
      <c r="E622" s="642">
        <v>1368</v>
      </c>
      <c r="F622" s="482">
        <v>225.98</v>
      </c>
    </row>
    <row r="623" spans="1:6" s="275" customFormat="1" x14ac:dyDescent="0.15">
      <c r="A623" s="591" t="s">
        <v>1554</v>
      </c>
      <c r="B623" s="591"/>
      <c r="C623" s="287" t="s">
        <v>1399</v>
      </c>
      <c r="D623" s="287" t="s">
        <v>1276</v>
      </c>
      <c r="E623" s="642">
        <v>5000</v>
      </c>
      <c r="F623" s="482">
        <v>773.41</v>
      </c>
    </row>
    <row r="624" spans="1:6" s="275" customFormat="1" x14ac:dyDescent="0.15">
      <c r="A624" s="591" t="s">
        <v>1605</v>
      </c>
      <c r="B624" s="591"/>
      <c r="C624" s="287" t="s">
        <v>1334</v>
      </c>
      <c r="D624" s="287" t="s">
        <v>1462</v>
      </c>
      <c r="E624" s="642">
        <f>331.5+34.9+261.7</f>
        <v>628.09999999999991</v>
      </c>
      <c r="F624" s="482">
        <v>185.6</v>
      </c>
    </row>
    <row r="625" spans="1:8" s="275" customFormat="1" x14ac:dyDescent="0.15">
      <c r="A625" s="591" t="s">
        <v>1552</v>
      </c>
      <c r="B625" s="591"/>
      <c r="C625" s="287" t="s">
        <v>1286</v>
      </c>
      <c r="D625" s="287" t="s">
        <v>1514</v>
      </c>
      <c r="E625" s="642">
        <v>0</v>
      </c>
      <c r="F625" s="482">
        <v>0</v>
      </c>
    </row>
    <row r="626" spans="1:8" s="275" customFormat="1" x14ac:dyDescent="0.15">
      <c r="A626" s="591" t="s">
        <v>1598</v>
      </c>
      <c r="B626" s="591"/>
      <c r="C626" s="287" t="s">
        <v>1586</v>
      </c>
      <c r="D626" s="287" t="s">
        <v>1500</v>
      </c>
      <c r="E626" s="642">
        <f>2.9+38.7+1.4</f>
        <v>43</v>
      </c>
      <c r="F626" s="482">
        <v>16.190000000000001</v>
      </c>
      <c r="H626" s="478" t="s">
        <v>1587</v>
      </c>
    </row>
    <row r="627" spans="1:8" s="275" customFormat="1" x14ac:dyDescent="0.15">
      <c r="A627" s="591" t="s">
        <v>1606</v>
      </c>
      <c r="B627" s="591"/>
      <c r="C627" s="287" t="s">
        <v>1334</v>
      </c>
      <c r="D627" s="287" t="s">
        <v>1462</v>
      </c>
      <c r="E627" s="642">
        <f>39.7+4.2+31.3</f>
        <v>75.2</v>
      </c>
      <c r="F627" s="482">
        <v>13.45</v>
      </c>
      <c r="H627" s="290">
        <v>54085771020</v>
      </c>
    </row>
    <row r="628" spans="1:8" s="275" customFormat="1" ht="14" thickBot="1" x14ac:dyDescent="0.2">
      <c r="A628" s="591"/>
      <c r="B628" s="591"/>
      <c r="C628" s="291" t="s">
        <v>1609</v>
      </c>
      <c r="D628" s="287"/>
      <c r="E628" s="638">
        <f>SUM(E600:E627)</f>
        <v>111654.3</v>
      </c>
      <c r="F628" s="620">
        <v>16475.63</v>
      </c>
      <c r="H628" s="636">
        <f>F628</f>
        <v>16475.63</v>
      </c>
    </row>
    <row r="629" spans="1:8" s="275" customFormat="1" ht="14" thickTop="1" x14ac:dyDescent="0.15">
      <c r="A629" s="640"/>
      <c r="B629" s="640"/>
      <c r="C629" s="295"/>
      <c r="D629" s="295"/>
      <c r="E629" s="296"/>
      <c r="F629" s="298"/>
    </row>
    <row r="630" spans="1:8" s="275" customFormat="1" x14ac:dyDescent="0.15">
      <c r="A630" s="640"/>
      <c r="B630" s="640"/>
      <c r="C630" s="299" t="s">
        <v>1594</v>
      </c>
      <c r="D630" s="295"/>
      <c r="E630" s="296"/>
      <c r="F630" s="298"/>
    </row>
    <row r="631" spans="1:8" s="275" customFormat="1" x14ac:dyDescent="0.15">
      <c r="A631" s="640"/>
      <c r="B631" s="640"/>
      <c r="C631" s="293" t="s">
        <v>1446</v>
      </c>
      <c r="D631" s="295"/>
      <c r="E631" s="296"/>
      <c r="F631" s="298"/>
    </row>
    <row r="632" spans="1:8" s="275" customFormat="1" x14ac:dyDescent="0.15">
      <c r="A632" s="640"/>
      <c r="B632" s="640"/>
      <c r="C632" s="379">
        <v>41347</v>
      </c>
      <c r="D632" s="295"/>
      <c r="E632" s="296"/>
      <c r="F632" s="298"/>
    </row>
    <row r="633" spans="1:8" s="275" customFormat="1" x14ac:dyDescent="0.15">
      <c r="A633" s="640"/>
      <c r="B633" s="640"/>
      <c r="C633" s="295"/>
      <c r="D633" s="295"/>
      <c r="E633" s="296"/>
      <c r="F633" s="298"/>
    </row>
    <row r="634" spans="1:8" s="275" customFormat="1" x14ac:dyDescent="0.15">
      <c r="A634" s="640" t="s">
        <v>1556</v>
      </c>
      <c r="B634" s="640"/>
      <c r="C634" s="295" t="s">
        <v>1248</v>
      </c>
      <c r="D634" s="295" t="s">
        <v>1482</v>
      </c>
      <c r="E634" s="642">
        <v>3946</v>
      </c>
      <c r="F634" s="482">
        <v>600.03</v>
      </c>
    </row>
    <row r="635" spans="1:8" s="275" customFormat="1" x14ac:dyDescent="0.15">
      <c r="A635" s="591" t="s">
        <v>1557</v>
      </c>
      <c r="B635" s="591"/>
      <c r="C635" s="287" t="s">
        <v>1477</v>
      </c>
      <c r="D635" s="287" t="s">
        <v>1289</v>
      </c>
      <c r="E635" s="642">
        <v>7760</v>
      </c>
      <c r="F635" s="482">
        <v>1403.62</v>
      </c>
    </row>
    <row r="636" spans="1:8" s="275" customFormat="1" x14ac:dyDescent="0.15">
      <c r="A636" s="591" t="s">
        <v>1558</v>
      </c>
      <c r="B636" s="591"/>
      <c r="C636" s="287" t="s">
        <v>1469</v>
      </c>
      <c r="D636" s="287" t="s">
        <v>1470</v>
      </c>
      <c r="E636" s="642">
        <v>7520</v>
      </c>
      <c r="F636" s="482">
        <v>1110.22</v>
      </c>
    </row>
    <row r="637" spans="1:8" s="275" customFormat="1" x14ac:dyDescent="0.15">
      <c r="A637" s="591" t="s">
        <v>1559</v>
      </c>
      <c r="B637" s="591"/>
      <c r="C637" s="287" t="s">
        <v>1502</v>
      </c>
      <c r="D637" s="287" t="s">
        <v>1381</v>
      </c>
      <c r="E637" s="642">
        <v>17856</v>
      </c>
      <c r="F637" s="482">
        <v>2675.68</v>
      </c>
    </row>
    <row r="638" spans="1:8" s="275" customFormat="1" x14ac:dyDescent="0.15">
      <c r="A638" s="591" t="s">
        <v>1560</v>
      </c>
      <c r="B638" s="591"/>
      <c r="C638" s="287" t="s">
        <v>1504</v>
      </c>
      <c r="D638" s="287" t="s">
        <v>1505</v>
      </c>
      <c r="E638" s="642">
        <v>1635</v>
      </c>
      <c r="F638" s="482">
        <v>232.74</v>
      </c>
    </row>
    <row r="639" spans="1:8" s="275" customFormat="1" x14ac:dyDescent="0.15">
      <c r="A639" s="591" t="s">
        <v>1561</v>
      </c>
      <c r="B639" s="591"/>
      <c r="C639" s="287" t="s">
        <v>1562</v>
      </c>
      <c r="D639" s="287" t="s">
        <v>1509</v>
      </c>
      <c r="E639" s="642">
        <v>0</v>
      </c>
      <c r="F639" s="482">
        <v>0</v>
      </c>
    </row>
    <row r="640" spans="1:8" s="275" customFormat="1" x14ac:dyDescent="0.15">
      <c r="A640" s="591" t="s">
        <v>1563</v>
      </c>
      <c r="B640" s="591"/>
      <c r="C640" s="287" t="s">
        <v>1267</v>
      </c>
      <c r="D640" s="287" t="s">
        <v>1268</v>
      </c>
      <c r="E640" s="642">
        <f>5+67.7+2.5</f>
        <v>75.2</v>
      </c>
      <c r="F640" s="482">
        <v>13.34</v>
      </c>
    </row>
    <row r="641" spans="1:8" s="275" customFormat="1" x14ac:dyDescent="0.15">
      <c r="A641" s="591" t="s">
        <v>1564</v>
      </c>
      <c r="B641" s="591"/>
      <c r="C641" s="287" t="s">
        <v>1485</v>
      </c>
      <c r="D641" s="287" t="s">
        <v>1486</v>
      </c>
      <c r="E641" s="642">
        <v>2560</v>
      </c>
      <c r="F641" s="482">
        <v>393.04</v>
      </c>
    </row>
    <row r="642" spans="1:8" s="275" customFormat="1" x14ac:dyDescent="0.15">
      <c r="A642" s="591" t="s">
        <v>1565</v>
      </c>
      <c r="B642" s="591"/>
      <c r="C642" s="287" t="s">
        <v>1267</v>
      </c>
      <c r="D642" s="287" t="s">
        <v>1268</v>
      </c>
      <c r="E642" s="642">
        <v>2198</v>
      </c>
      <c r="F642" s="482">
        <v>363.07</v>
      </c>
    </row>
    <row r="643" spans="1:8" s="275" customFormat="1" x14ac:dyDescent="0.15">
      <c r="A643" s="591" t="s">
        <v>1610</v>
      </c>
      <c r="B643" s="591"/>
      <c r="C643" s="287" t="s">
        <v>1568</v>
      </c>
      <c r="D643" s="287" t="s">
        <v>1457</v>
      </c>
      <c r="E643" s="642">
        <v>5264</v>
      </c>
      <c r="F643" s="482">
        <v>733.66</v>
      </c>
    </row>
    <row r="644" spans="1:8" s="275" customFormat="1" x14ac:dyDescent="0.15">
      <c r="A644" s="591" t="s">
        <v>1569</v>
      </c>
      <c r="B644" s="591"/>
      <c r="C644" s="287" t="s">
        <v>1464</v>
      </c>
      <c r="D644" s="287" t="s">
        <v>1285</v>
      </c>
      <c r="E644" s="642">
        <v>1165</v>
      </c>
      <c r="F644" s="482">
        <v>229.42</v>
      </c>
    </row>
    <row r="645" spans="1:8" s="275" customFormat="1" x14ac:dyDescent="0.15">
      <c r="A645" s="591" t="s">
        <v>1570</v>
      </c>
      <c r="B645" s="591"/>
      <c r="C645" s="287" t="s">
        <v>1472</v>
      </c>
      <c r="D645" s="287" t="s">
        <v>1473</v>
      </c>
      <c r="E645" s="642">
        <v>77</v>
      </c>
      <c r="F645" s="482">
        <v>37.81</v>
      </c>
    </row>
    <row r="646" spans="1:8" s="275" customFormat="1" x14ac:dyDescent="0.15">
      <c r="A646" s="591" t="s">
        <v>1571</v>
      </c>
      <c r="B646" s="591"/>
      <c r="C646" s="287" t="s">
        <v>1489</v>
      </c>
      <c r="D646" s="287" t="s">
        <v>1490</v>
      </c>
      <c r="E646" s="642">
        <v>184</v>
      </c>
      <c r="F646" s="482">
        <v>48.65</v>
      </c>
    </row>
    <row r="647" spans="1:8" s="275" customFormat="1" x14ac:dyDescent="0.15">
      <c r="A647" s="591" t="s">
        <v>1572</v>
      </c>
      <c r="B647" s="591"/>
      <c r="C647" s="287" t="s">
        <v>1271</v>
      </c>
      <c r="D647" s="287" t="s">
        <v>1272</v>
      </c>
      <c r="E647" s="642">
        <v>5486</v>
      </c>
      <c r="F647" s="482">
        <v>778.34</v>
      </c>
    </row>
    <row r="648" spans="1:8" s="275" customFormat="1" x14ac:dyDescent="0.15">
      <c r="A648" s="591" t="s">
        <v>1573</v>
      </c>
      <c r="B648" s="591"/>
      <c r="C648" s="287" t="s">
        <v>1461</v>
      </c>
      <c r="D648" s="287" t="s">
        <v>1462</v>
      </c>
      <c r="E648" s="642">
        <f>0.4+11.7+0.9</f>
        <v>13</v>
      </c>
      <c r="F648" s="482">
        <v>16.329999999999998</v>
      </c>
    </row>
    <row r="649" spans="1:8" s="275" customFormat="1" x14ac:dyDescent="0.15">
      <c r="A649" s="591" t="s">
        <v>1574</v>
      </c>
      <c r="B649" s="591"/>
      <c r="C649" s="287" t="s">
        <v>1377</v>
      </c>
      <c r="D649" s="287" t="s">
        <v>1378</v>
      </c>
      <c r="E649" s="642">
        <v>1822</v>
      </c>
      <c r="F649" s="482">
        <v>288.62</v>
      </c>
    </row>
    <row r="650" spans="1:8" s="275" customFormat="1" x14ac:dyDescent="0.15">
      <c r="A650" s="591" t="s">
        <v>1575</v>
      </c>
      <c r="B650" s="591"/>
      <c r="C650" s="287" t="s">
        <v>1448</v>
      </c>
      <c r="D650" s="287" t="s">
        <v>1449</v>
      </c>
      <c r="E650" s="642">
        <v>38</v>
      </c>
      <c r="F650" s="482">
        <v>11.91</v>
      </c>
    </row>
    <row r="651" spans="1:8" s="275" customFormat="1" x14ac:dyDescent="0.15">
      <c r="A651" s="591" t="s">
        <v>1576</v>
      </c>
      <c r="B651" s="591"/>
      <c r="C651" s="287" t="s">
        <v>1401</v>
      </c>
      <c r="D651" s="287" t="s">
        <v>1316</v>
      </c>
      <c r="E651" s="642">
        <v>183</v>
      </c>
      <c r="F651" s="482">
        <v>49.6</v>
      </c>
    </row>
    <row r="652" spans="1:8" s="275" customFormat="1" x14ac:dyDescent="0.15">
      <c r="A652" s="640" t="s">
        <v>1577</v>
      </c>
      <c r="B652" s="640"/>
      <c r="C652" s="295" t="s">
        <v>1395</v>
      </c>
      <c r="D652" s="295" t="s">
        <v>1396</v>
      </c>
      <c r="E652" s="642">
        <v>266</v>
      </c>
      <c r="F652" s="482">
        <v>47.27</v>
      </c>
    </row>
    <row r="653" spans="1:8" s="275" customFormat="1" x14ac:dyDescent="0.15">
      <c r="A653" s="591" t="s">
        <v>1578</v>
      </c>
      <c r="B653" s="591"/>
      <c r="C653" s="287" t="s">
        <v>1579</v>
      </c>
      <c r="D653" s="287" t="s">
        <v>1497</v>
      </c>
      <c r="E653" s="642">
        <v>0</v>
      </c>
      <c r="F653" s="482">
        <v>30</v>
      </c>
    </row>
    <row r="654" spans="1:8" s="275" customFormat="1" x14ac:dyDescent="0.15">
      <c r="A654" s="640" t="s">
        <v>1580</v>
      </c>
      <c r="B654" s="640"/>
      <c r="C654" s="295" t="s">
        <v>1451</v>
      </c>
      <c r="D654" s="295" t="s">
        <v>1452</v>
      </c>
      <c r="E654" s="642">
        <v>6720</v>
      </c>
      <c r="F654" s="482">
        <v>2359.29</v>
      </c>
    </row>
    <row r="655" spans="1:8" s="275" customFormat="1" x14ac:dyDescent="0.15">
      <c r="A655" s="591" t="s">
        <v>1581</v>
      </c>
      <c r="B655" s="591"/>
      <c r="C655" s="287" t="s">
        <v>1521</v>
      </c>
      <c r="D655" s="287" t="s">
        <v>1229</v>
      </c>
      <c r="E655" s="642">
        <v>3711</v>
      </c>
      <c r="F655" s="482">
        <v>546.69000000000005</v>
      </c>
    </row>
    <row r="656" spans="1:8" s="275" customFormat="1" x14ac:dyDescent="0.15">
      <c r="A656" s="591" t="s">
        <v>1582</v>
      </c>
      <c r="B656" s="591"/>
      <c r="C656" s="287" t="s">
        <v>1525</v>
      </c>
      <c r="D656" s="287" t="s">
        <v>1526</v>
      </c>
      <c r="E656" s="642">
        <v>13</v>
      </c>
      <c r="F656" s="482">
        <v>8</v>
      </c>
      <c r="H656" s="478" t="s">
        <v>1587</v>
      </c>
    </row>
    <row r="657" spans="1:10" s="275" customFormat="1" ht="14" x14ac:dyDescent="0.15">
      <c r="A657" s="591" t="s">
        <v>1583</v>
      </c>
      <c r="B657" s="591"/>
      <c r="C657" s="287" t="s">
        <v>1584</v>
      </c>
      <c r="D657" s="618" t="s">
        <v>1264</v>
      </c>
      <c r="E657" s="642">
        <v>1440</v>
      </c>
      <c r="F657" s="482">
        <v>286.82</v>
      </c>
      <c r="H657" s="290">
        <v>54004571089</v>
      </c>
      <c r="J657" s="478" t="s">
        <v>1589</v>
      </c>
    </row>
    <row r="658" spans="1:10" s="275" customFormat="1" ht="14" thickBot="1" x14ac:dyDescent="0.2">
      <c r="A658" s="591"/>
      <c r="B658" s="591"/>
      <c r="C658" s="291" t="s">
        <v>1611</v>
      </c>
      <c r="D658" s="287"/>
      <c r="E658" s="643">
        <f>SUM(E634:E657)</f>
        <v>69932.2</v>
      </c>
      <c r="F658" s="620">
        <v>12264.150000000001</v>
      </c>
      <c r="H658" s="636">
        <f>F658</f>
        <v>12264.150000000001</v>
      </c>
      <c r="J658" s="636">
        <f>SUM(H628,H658)</f>
        <v>28739.780000000002</v>
      </c>
    </row>
    <row r="659" spans="1:10" s="275" customFormat="1" ht="14" thickTop="1" x14ac:dyDescent="0.15">
      <c r="A659" s="617"/>
      <c r="B659" s="617"/>
      <c r="E659" s="276"/>
      <c r="F659" s="278"/>
    </row>
    <row r="660" spans="1:10" s="275" customFormat="1" x14ac:dyDescent="0.15">
      <c r="A660" s="617"/>
      <c r="B660" s="617"/>
      <c r="C660" s="299" t="s">
        <v>1594</v>
      </c>
      <c r="E660" s="276"/>
      <c r="F660" s="278"/>
    </row>
    <row r="661" spans="1:10" s="275" customFormat="1" x14ac:dyDescent="0.15">
      <c r="A661" s="617"/>
      <c r="B661" s="617"/>
      <c r="C661" s="293" t="s">
        <v>1446</v>
      </c>
      <c r="E661" s="276"/>
      <c r="F661" s="278"/>
    </row>
    <row r="662" spans="1:10" s="275" customFormat="1" x14ac:dyDescent="0.15">
      <c r="A662" s="617"/>
      <c r="B662" s="617"/>
      <c r="C662" s="379">
        <v>41347</v>
      </c>
      <c r="E662" s="276"/>
      <c r="F662" s="278"/>
    </row>
    <row r="663" spans="1:10" s="275" customFormat="1" x14ac:dyDescent="0.15">
      <c r="A663" s="617"/>
      <c r="B663" s="617"/>
      <c r="E663" s="276"/>
      <c r="F663" s="278"/>
    </row>
    <row r="664" spans="1:10" s="295" customFormat="1" x14ac:dyDescent="0.15">
      <c r="A664" s="591" t="s">
        <v>1534</v>
      </c>
      <c r="B664" s="591"/>
      <c r="C664" s="287" t="s">
        <v>1492</v>
      </c>
      <c r="D664" s="287" t="s">
        <v>1239</v>
      </c>
      <c r="E664" s="642">
        <v>13760</v>
      </c>
      <c r="F664" s="482">
        <v>1991.99</v>
      </c>
    </row>
    <row r="665" spans="1:10" s="295" customFormat="1" x14ac:dyDescent="0.15">
      <c r="A665" s="591" t="s">
        <v>1535</v>
      </c>
      <c r="B665" s="591"/>
      <c r="C665" s="287" t="s">
        <v>1507</v>
      </c>
      <c r="D665" s="287" t="s">
        <v>1245</v>
      </c>
      <c r="E665" s="642">
        <v>4120</v>
      </c>
      <c r="F665" s="482">
        <v>677.62</v>
      </c>
    </row>
    <row r="666" spans="1:10" s="295" customFormat="1" x14ac:dyDescent="0.15">
      <c r="A666" s="591" t="s">
        <v>1536</v>
      </c>
      <c r="B666" s="591"/>
      <c r="C666" s="287" t="s">
        <v>1479</v>
      </c>
      <c r="D666" s="287" t="s">
        <v>1231</v>
      </c>
      <c r="E666" s="642">
        <v>4400</v>
      </c>
      <c r="F666" s="482">
        <v>677.01</v>
      </c>
    </row>
    <row r="667" spans="1:10" s="295" customFormat="1" x14ac:dyDescent="0.15">
      <c r="A667" s="591" t="s">
        <v>1537</v>
      </c>
      <c r="B667" s="591"/>
      <c r="C667" s="287" t="s">
        <v>1269</v>
      </c>
      <c r="D667" s="287" t="s">
        <v>1270</v>
      </c>
      <c r="E667" s="642">
        <v>3110</v>
      </c>
      <c r="F667" s="482">
        <v>506.7</v>
      </c>
    </row>
    <row r="668" spans="1:10" s="295" customFormat="1" x14ac:dyDescent="0.15">
      <c r="A668" s="640" t="s">
        <v>1538</v>
      </c>
      <c r="B668" s="640"/>
      <c r="C668" s="295" t="s">
        <v>1517</v>
      </c>
      <c r="D668" s="295" t="s">
        <v>1518</v>
      </c>
      <c r="E668" s="642">
        <v>4</v>
      </c>
      <c r="F668" s="482">
        <v>30.4</v>
      </c>
    </row>
    <row r="669" spans="1:10" s="295" customFormat="1" x14ac:dyDescent="0.15">
      <c r="A669" s="591" t="s">
        <v>1539</v>
      </c>
      <c r="B669" s="591"/>
      <c r="C669" s="287" t="s">
        <v>1405</v>
      </c>
      <c r="D669" s="287" t="s">
        <v>1280</v>
      </c>
      <c r="E669" s="642">
        <v>7960</v>
      </c>
      <c r="F669" s="482">
        <v>1178.07</v>
      </c>
    </row>
    <row r="670" spans="1:10" s="295" customFormat="1" x14ac:dyDescent="0.15">
      <c r="A670" s="591" t="s">
        <v>1540</v>
      </c>
      <c r="B670" s="591"/>
      <c r="C670" s="287" t="s">
        <v>1257</v>
      </c>
      <c r="D670" s="287" t="s">
        <v>1258</v>
      </c>
      <c r="E670" s="642">
        <v>21840</v>
      </c>
      <c r="F670" s="482">
        <v>3093.33</v>
      </c>
    </row>
    <row r="671" spans="1:10" s="295" customFormat="1" x14ac:dyDescent="0.15">
      <c r="A671" s="591" t="s">
        <v>1541</v>
      </c>
      <c r="B671" s="591"/>
      <c r="C671" s="287" t="s">
        <v>1586</v>
      </c>
      <c r="D671" s="287" t="s">
        <v>1500</v>
      </c>
      <c r="E671" s="642">
        <v>3920</v>
      </c>
      <c r="F671" s="482">
        <v>642.17999999999995</v>
      </c>
    </row>
    <row r="672" spans="1:10" s="295" customFormat="1" x14ac:dyDescent="0.15">
      <c r="A672" s="591" t="s">
        <v>1542</v>
      </c>
      <c r="B672" s="591"/>
      <c r="C672" s="287" t="s">
        <v>1240</v>
      </c>
      <c r="D672" s="287" t="s">
        <v>1467</v>
      </c>
      <c r="E672" s="642">
        <v>4590</v>
      </c>
      <c r="F672" s="482">
        <v>674.5</v>
      </c>
    </row>
    <row r="673" spans="1:6" s="295" customFormat="1" x14ac:dyDescent="0.15">
      <c r="A673" s="591" t="s">
        <v>1543</v>
      </c>
      <c r="B673" s="591"/>
      <c r="C673" s="287" t="s">
        <v>1523</v>
      </c>
      <c r="D673" s="287" t="s">
        <v>1266</v>
      </c>
      <c r="E673" s="642">
        <v>712</v>
      </c>
      <c r="F673" s="482">
        <v>111.02</v>
      </c>
    </row>
    <row r="674" spans="1:6" s="295" customFormat="1" x14ac:dyDescent="0.15">
      <c r="A674" s="591" t="s">
        <v>1544</v>
      </c>
      <c r="B674" s="591"/>
      <c r="C674" s="287" t="s">
        <v>1234</v>
      </c>
      <c r="D674" s="287" t="s">
        <v>1494</v>
      </c>
      <c r="E674" s="642">
        <v>5336</v>
      </c>
      <c r="F674" s="482">
        <v>869.86</v>
      </c>
    </row>
    <row r="675" spans="1:6" s="295" customFormat="1" x14ac:dyDescent="0.15">
      <c r="A675" s="591" t="s">
        <v>1601</v>
      </c>
      <c r="B675" s="591"/>
      <c r="C675" s="287" t="s">
        <v>1334</v>
      </c>
      <c r="D675" s="287" t="s">
        <v>1462</v>
      </c>
      <c r="E675" s="642">
        <f>1270.8+106+1906</f>
        <v>3282.8</v>
      </c>
      <c r="F675" s="482">
        <v>592.57999999999993</v>
      </c>
    </row>
    <row r="676" spans="1:6" s="295" customFormat="1" x14ac:dyDescent="0.15">
      <c r="A676" s="591" t="s">
        <v>1545</v>
      </c>
      <c r="B676" s="591"/>
      <c r="C676" s="287" t="s">
        <v>1234</v>
      </c>
      <c r="D676" s="287" t="s">
        <v>1494</v>
      </c>
      <c r="E676" s="642">
        <f>5+67.7+2.5</f>
        <v>75.2</v>
      </c>
      <c r="F676" s="482">
        <v>16.100000000000001</v>
      </c>
    </row>
    <row r="677" spans="1:6" s="295" customFormat="1" x14ac:dyDescent="0.15">
      <c r="A677" s="591" t="s">
        <v>1602</v>
      </c>
      <c r="B677" s="591"/>
      <c r="C677" s="287" t="s">
        <v>1334</v>
      </c>
      <c r="D677" s="287" t="s">
        <v>1462</v>
      </c>
      <c r="E677" s="642">
        <f>71.1+5.9+106.6</f>
        <v>183.6</v>
      </c>
      <c r="F677" s="482">
        <v>45.69</v>
      </c>
    </row>
    <row r="678" spans="1:6" s="295" customFormat="1" x14ac:dyDescent="0.15">
      <c r="A678" s="591" t="s">
        <v>1546</v>
      </c>
      <c r="B678" s="591"/>
      <c r="C678" s="287" t="s">
        <v>1586</v>
      </c>
      <c r="D678" s="287" t="s">
        <v>1500</v>
      </c>
      <c r="E678" s="642">
        <v>85.8</v>
      </c>
      <c r="F678" s="482">
        <v>26.46</v>
      </c>
    </row>
    <row r="679" spans="1:6" s="295" customFormat="1" x14ac:dyDescent="0.15">
      <c r="A679" s="591" t="s">
        <v>1547</v>
      </c>
      <c r="B679" s="591"/>
      <c r="C679" s="287" t="s">
        <v>1286</v>
      </c>
      <c r="D679" s="287" t="s">
        <v>1514</v>
      </c>
      <c r="E679" s="642">
        <f>219.1+7.3</f>
        <v>226.4</v>
      </c>
      <c r="F679" s="482">
        <v>49.269999999999996</v>
      </c>
    </row>
    <row r="680" spans="1:6" s="295" customFormat="1" x14ac:dyDescent="0.15">
      <c r="A680" s="591" t="s">
        <v>1548</v>
      </c>
      <c r="B680" s="591"/>
      <c r="C680" s="287" t="s">
        <v>1235</v>
      </c>
      <c r="D680" s="287" t="s">
        <v>1236</v>
      </c>
      <c r="E680" s="642">
        <v>0</v>
      </c>
      <c r="F680" s="482">
        <v>0</v>
      </c>
    </row>
    <row r="681" spans="1:6" s="295" customFormat="1" x14ac:dyDescent="0.15">
      <c r="A681" s="591" t="s">
        <v>1549</v>
      </c>
      <c r="B681" s="591"/>
      <c r="C681" s="287" t="s">
        <v>1459</v>
      </c>
      <c r="D681" s="287" t="s">
        <v>1251</v>
      </c>
      <c r="E681" s="642">
        <v>1900</v>
      </c>
      <c r="F681" s="482">
        <v>307.73</v>
      </c>
    </row>
    <row r="682" spans="1:6" s="295" customFormat="1" x14ac:dyDescent="0.15">
      <c r="A682" s="591" t="s">
        <v>1603</v>
      </c>
      <c r="B682" s="591"/>
      <c r="C682" s="287" t="s">
        <v>1334</v>
      </c>
      <c r="D682" s="287" t="s">
        <v>1462</v>
      </c>
      <c r="E682" s="642">
        <f>532+44.4+798</f>
        <v>1374.4</v>
      </c>
      <c r="F682" s="482">
        <v>264.39999999999998</v>
      </c>
    </row>
    <row r="683" spans="1:6" s="295" customFormat="1" x14ac:dyDescent="0.15">
      <c r="A683" s="591" t="s">
        <v>1597</v>
      </c>
      <c r="B683" s="591"/>
      <c r="C683" s="287" t="s">
        <v>1454</v>
      </c>
      <c r="D683" s="287" t="s">
        <v>1247</v>
      </c>
      <c r="E683" s="642">
        <v>4080</v>
      </c>
      <c r="F683" s="482">
        <v>643.91999999999996</v>
      </c>
    </row>
    <row r="684" spans="1:6" s="295" customFormat="1" x14ac:dyDescent="0.15">
      <c r="A684" s="591" t="s">
        <v>1604</v>
      </c>
      <c r="B684" s="591"/>
      <c r="C684" s="287" t="s">
        <v>1334</v>
      </c>
      <c r="D684" s="287" t="s">
        <v>1462</v>
      </c>
      <c r="E684" s="642">
        <f>66.4+5.5+99.6</f>
        <v>171.5</v>
      </c>
      <c r="F684" s="482">
        <v>49.69</v>
      </c>
    </row>
    <row r="685" spans="1:6" s="295" customFormat="1" x14ac:dyDescent="0.15">
      <c r="A685" s="591" t="s">
        <v>1551</v>
      </c>
      <c r="B685" s="591"/>
      <c r="C685" s="287" t="s">
        <v>1235</v>
      </c>
      <c r="D685" s="287" t="s">
        <v>1236</v>
      </c>
      <c r="E685" s="642">
        <v>8703</v>
      </c>
      <c r="F685" s="482">
        <v>1277.05</v>
      </c>
    </row>
    <row r="686" spans="1:6" s="295" customFormat="1" x14ac:dyDescent="0.15">
      <c r="A686" s="591" t="s">
        <v>1553</v>
      </c>
      <c r="B686" s="591"/>
      <c r="C686" s="287" t="s">
        <v>1475</v>
      </c>
      <c r="D686" s="287" t="s">
        <v>1387</v>
      </c>
      <c r="E686" s="642">
        <v>1240</v>
      </c>
      <c r="F686" s="482">
        <v>207.31</v>
      </c>
    </row>
    <row r="687" spans="1:6" s="295" customFormat="1" x14ac:dyDescent="0.15">
      <c r="A687" s="591" t="s">
        <v>1554</v>
      </c>
      <c r="B687" s="591"/>
      <c r="C687" s="287" t="s">
        <v>1399</v>
      </c>
      <c r="D687" s="287" t="s">
        <v>1276</v>
      </c>
      <c r="E687" s="642">
        <v>4280</v>
      </c>
      <c r="F687" s="482">
        <v>694.16</v>
      </c>
    </row>
    <row r="688" spans="1:6" s="295" customFormat="1" x14ac:dyDescent="0.15">
      <c r="A688" s="591" t="s">
        <v>1605</v>
      </c>
      <c r="B688" s="591"/>
      <c r="C688" s="287" t="s">
        <v>1334</v>
      </c>
      <c r="D688" s="287" t="s">
        <v>1462</v>
      </c>
      <c r="E688" s="642">
        <f>242.3+20.2+363.5</f>
        <v>626</v>
      </c>
      <c r="F688" s="482">
        <v>181.07</v>
      </c>
    </row>
    <row r="689" spans="1:10" s="295" customFormat="1" x14ac:dyDescent="0.15">
      <c r="A689" s="591" t="s">
        <v>1552</v>
      </c>
      <c r="B689" s="591"/>
      <c r="C689" s="287" t="s">
        <v>1286</v>
      </c>
      <c r="D689" s="287" t="s">
        <v>1514</v>
      </c>
      <c r="E689" s="642">
        <v>0</v>
      </c>
      <c r="F689" s="482">
        <v>0</v>
      </c>
    </row>
    <row r="690" spans="1:10" s="295" customFormat="1" x14ac:dyDescent="0.15">
      <c r="A690" s="591" t="s">
        <v>1598</v>
      </c>
      <c r="B690" s="591"/>
      <c r="C690" s="287" t="s">
        <v>1586</v>
      </c>
      <c r="D690" s="287" t="s">
        <v>1500</v>
      </c>
      <c r="E690" s="642">
        <v>42.9</v>
      </c>
      <c r="F690" s="482">
        <v>15.84</v>
      </c>
      <c r="H690" s="645"/>
    </row>
    <row r="691" spans="1:10" s="295" customFormat="1" x14ac:dyDescent="0.15">
      <c r="A691" s="591" t="s">
        <v>1606</v>
      </c>
      <c r="B691" s="591"/>
      <c r="C691" s="287" t="s">
        <v>1334</v>
      </c>
      <c r="D691" s="287" t="s">
        <v>1462</v>
      </c>
      <c r="E691" s="642">
        <f>29+2.4+43.5</f>
        <v>74.900000000000006</v>
      </c>
      <c r="F691" s="482">
        <v>12.93</v>
      </c>
      <c r="H691" s="299"/>
    </row>
    <row r="692" spans="1:10" s="275" customFormat="1" ht="14" thickBot="1" x14ac:dyDescent="0.2">
      <c r="A692" s="591"/>
      <c r="B692" s="591"/>
      <c r="C692" s="291" t="s">
        <v>1612</v>
      </c>
      <c r="D692" s="287"/>
      <c r="E692" s="638">
        <f>SUM(E664:E691)</f>
        <v>96098.499999999985</v>
      </c>
      <c r="F692" s="620">
        <v>14836.88</v>
      </c>
      <c r="H692" s="636"/>
      <c r="J692" s="646">
        <f>F692/E692</f>
        <v>0.15439242027711153</v>
      </c>
    </row>
    <row r="693" spans="1:10" s="275" customFormat="1" ht="14" thickTop="1" x14ac:dyDescent="0.15">
      <c r="A693" s="640"/>
      <c r="B693" s="640"/>
      <c r="C693" s="295"/>
      <c r="D693" s="295"/>
      <c r="E693" s="296"/>
      <c r="F693" s="298"/>
    </row>
    <row r="694" spans="1:10" s="275" customFormat="1" x14ac:dyDescent="0.15">
      <c r="A694" s="640"/>
      <c r="B694" s="640"/>
      <c r="C694" s="299" t="s">
        <v>1594</v>
      </c>
      <c r="D694" s="295"/>
      <c r="E694" s="296"/>
      <c r="F694" s="298"/>
    </row>
    <row r="695" spans="1:10" s="275" customFormat="1" x14ac:dyDescent="0.15">
      <c r="A695" s="640"/>
      <c r="B695" s="640"/>
      <c r="C695" s="293" t="s">
        <v>1446</v>
      </c>
      <c r="D695" s="295"/>
      <c r="E695" s="296"/>
      <c r="F695" s="298"/>
    </row>
    <row r="696" spans="1:10" s="275" customFormat="1" x14ac:dyDescent="0.15">
      <c r="A696" s="640"/>
      <c r="B696" s="640"/>
      <c r="C696" s="386">
        <v>41374</v>
      </c>
      <c r="D696" s="295"/>
      <c r="E696" s="296"/>
      <c r="F696" s="298"/>
    </row>
    <row r="697" spans="1:10" s="275" customFormat="1" x14ac:dyDescent="0.15">
      <c r="A697" s="640"/>
      <c r="B697" s="640"/>
      <c r="C697" s="295"/>
      <c r="D697" s="295"/>
      <c r="E697" s="296"/>
      <c r="F697" s="298"/>
    </row>
    <row r="698" spans="1:10" s="295" customFormat="1" x14ac:dyDescent="0.15">
      <c r="A698" s="640" t="s">
        <v>1556</v>
      </c>
      <c r="B698" s="640"/>
      <c r="C698" s="295" t="s">
        <v>1248</v>
      </c>
      <c r="D698" s="295" t="s">
        <v>1482</v>
      </c>
      <c r="E698" s="642">
        <v>3707</v>
      </c>
      <c r="F698" s="482">
        <v>583.20000000000005</v>
      </c>
    </row>
    <row r="699" spans="1:10" s="295" customFormat="1" x14ac:dyDescent="0.15">
      <c r="A699" s="591" t="s">
        <v>1557</v>
      </c>
      <c r="B699" s="591"/>
      <c r="C699" s="287" t="s">
        <v>1477</v>
      </c>
      <c r="D699" s="287" t="s">
        <v>1289</v>
      </c>
      <c r="E699" s="642">
        <v>6760</v>
      </c>
      <c r="F699" s="482">
        <v>1172.32</v>
      </c>
    </row>
    <row r="700" spans="1:10" s="295" customFormat="1" x14ac:dyDescent="0.15">
      <c r="A700" s="591" t="s">
        <v>1558</v>
      </c>
      <c r="B700" s="591"/>
      <c r="C700" s="287" t="s">
        <v>1469</v>
      </c>
      <c r="D700" s="287" t="s">
        <v>1470</v>
      </c>
      <c r="E700" s="642">
        <v>6560</v>
      </c>
      <c r="F700" s="482">
        <v>1003.8</v>
      </c>
    </row>
    <row r="701" spans="1:10" s="295" customFormat="1" x14ac:dyDescent="0.15">
      <c r="A701" s="591" t="s">
        <v>1559</v>
      </c>
      <c r="B701" s="591"/>
      <c r="C701" s="287" t="s">
        <v>1502</v>
      </c>
      <c r="D701" s="287" t="s">
        <v>1381</v>
      </c>
      <c r="E701" s="642">
        <v>15264</v>
      </c>
      <c r="F701" s="482">
        <v>2032.55</v>
      </c>
    </row>
    <row r="702" spans="1:10" s="295" customFormat="1" x14ac:dyDescent="0.15">
      <c r="A702" s="591" t="s">
        <v>1560</v>
      </c>
      <c r="B702" s="591"/>
      <c r="C702" s="287" t="s">
        <v>1504</v>
      </c>
      <c r="D702" s="287" t="s">
        <v>1505</v>
      </c>
      <c r="E702" s="642">
        <v>940</v>
      </c>
      <c r="F702" s="482">
        <v>156.72999999999999</v>
      </c>
    </row>
    <row r="703" spans="1:10" s="295" customFormat="1" x14ac:dyDescent="0.15">
      <c r="A703" s="591" t="s">
        <v>1561</v>
      </c>
      <c r="B703" s="591"/>
      <c r="C703" s="287" t="s">
        <v>1562</v>
      </c>
      <c r="D703" s="287" t="s">
        <v>1509</v>
      </c>
      <c r="E703" s="642">
        <v>0</v>
      </c>
      <c r="F703" s="482">
        <v>0</v>
      </c>
    </row>
    <row r="704" spans="1:10" s="295" customFormat="1" x14ac:dyDescent="0.15">
      <c r="A704" s="591" t="s">
        <v>1563</v>
      </c>
      <c r="B704" s="591"/>
      <c r="C704" s="287" t="s">
        <v>1267</v>
      </c>
      <c r="D704" s="287" t="s">
        <v>1268</v>
      </c>
      <c r="E704" s="642">
        <f>5+67.7+2.5</f>
        <v>75.2</v>
      </c>
      <c r="F704" s="482">
        <v>12.58</v>
      </c>
    </row>
    <row r="705" spans="1:10" s="295" customFormat="1" x14ac:dyDescent="0.15">
      <c r="A705" s="591" t="s">
        <v>1564</v>
      </c>
      <c r="B705" s="591"/>
      <c r="C705" s="287" t="s">
        <v>1485</v>
      </c>
      <c r="D705" s="287" t="s">
        <v>1486</v>
      </c>
      <c r="E705" s="642">
        <v>2160</v>
      </c>
      <c r="F705" s="482">
        <v>430.67</v>
      </c>
    </row>
    <row r="706" spans="1:10" s="295" customFormat="1" x14ac:dyDescent="0.15">
      <c r="A706" s="591" t="s">
        <v>1565</v>
      </c>
      <c r="B706" s="591"/>
      <c r="C706" s="287" t="s">
        <v>1267</v>
      </c>
      <c r="D706" s="287" t="s">
        <v>1268</v>
      </c>
      <c r="E706" s="642">
        <v>1991</v>
      </c>
      <c r="F706" s="482">
        <v>332.86</v>
      </c>
    </row>
    <row r="707" spans="1:10" s="295" customFormat="1" x14ac:dyDescent="0.15">
      <c r="A707" s="591" t="s">
        <v>1569</v>
      </c>
      <c r="B707" s="591"/>
      <c r="C707" s="287" t="s">
        <v>1464</v>
      </c>
      <c r="D707" s="287" t="s">
        <v>1285</v>
      </c>
      <c r="E707" s="642">
        <v>1098</v>
      </c>
      <c r="F707" s="482">
        <v>246.98</v>
      </c>
    </row>
    <row r="708" spans="1:10" s="295" customFormat="1" x14ac:dyDescent="0.15">
      <c r="A708" s="591" t="s">
        <v>1570</v>
      </c>
      <c r="B708" s="591"/>
      <c r="C708" s="287" t="s">
        <v>1472</v>
      </c>
      <c r="D708" s="287" t="s">
        <v>1473</v>
      </c>
      <c r="E708" s="642">
        <v>30</v>
      </c>
      <c r="F708" s="482">
        <v>33.11</v>
      </c>
    </row>
    <row r="709" spans="1:10" s="295" customFormat="1" x14ac:dyDescent="0.15">
      <c r="A709" s="591" t="s">
        <v>1571</v>
      </c>
      <c r="B709" s="591"/>
      <c r="C709" s="287" t="s">
        <v>1489</v>
      </c>
      <c r="D709" s="287" t="s">
        <v>1490</v>
      </c>
      <c r="E709" s="642">
        <v>155</v>
      </c>
      <c r="F709" s="482">
        <v>46.04</v>
      </c>
    </row>
    <row r="710" spans="1:10" s="295" customFormat="1" x14ac:dyDescent="0.15">
      <c r="A710" s="591" t="s">
        <v>1572</v>
      </c>
      <c r="B710" s="591"/>
      <c r="C710" s="287" t="s">
        <v>1271</v>
      </c>
      <c r="D710" s="287" t="s">
        <v>1272</v>
      </c>
      <c r="E710" s="642">
        <v>4732</v>
      </c>
      <c r="F710" s="482">
        <v>703.95</v>
      </c>
    </row>
    <row r="711" spans="1:10" s="275" customFormat="1" x14ac:dyDescent="0.15">
      <c r="A711" s="591" t="s">
        <v>1573</v>
      </c>
      <c r="B711" s="591"/>
      <c r="C711" s="287" t="s">
        <v>1461</v>
      </c>
      <c r="D711" s="287" t="s">
        <v>1462</v>
      </c>
      <c r="E711" s="642">
        <f>0.4+11.7+0.9</f>
        <v>13</v>
      </c>
      <c r="F711" s="482">
        <v>16.329999999999998</v>
      </c>
    </row>
    <row r="712" spans="1:10" s="275" customFormat="1" x14ac:dyDescent="0.15">
      <c r="A712" s="591" t="s">
        <v>1574</v>
      </c>
      <c r="B712" s="591"/>
      <c r="C712" s="287" t="s">
        <v>1377</v>
      </c>
      <c r="D712" s="287" t="s">
        <v>1378</v>
      </c>
      <c r="E712" s="642">
        <v>1540</v>
      </c>
      <c r="F712" s="482">
        <v>263.10000000000002</v>
      </c>
    </row>
    <row r="713" spans="1:10" s="295" customFormat="1" x14ac:dyDescent="0.15">
      <c r="A713" s="591" t="s">
        <v>1575</v>
      </c>
      <c r="B713" s="591"/>
      <c r="C713" s="287" t="s">
        <v>1448</v>
      </c>
      <c r="D713" s="287" t="s">
        <v>1449</v>
      </c>
      <c r="E713" s="642">
        <v>89</v>
      </c>
      <c r="F713" s="482">
        <v>19.989999999999998</v>
      </c>
    </row>
    <row r="714" spans="1:10" s="295" customFormat="1" x14ac:dyDescent="0.15">
      <c r="A714" s="591" t="s">
        <v>1576</v>
      </c>
      <c r="B714" s="591"/>
      <c r="C714" s="287" t="s">
        <v>1401</v>
      </c>
      <c r="D714" s="287" t="s">
        <v>1316</v>
      </c>
      <c r="E714" s="642">
        <v>186</v>
      </c>
      <c r="F714" s="482">
        <v>81.75</v>
      </c>
    </row>
    <row r="715" spans="1:10" s="295" customFormat="1" x14ac:dyDescent="0.15">
      <c r="A715" s="640" t="s">
        <v>1577</v>
      </c>
      <c r="B715" s="640"/>
      <c r="C715" s="295" t="s">
        <v>1395</v>
      </c>
      <c r="D715" s="295" t="s">
        <v>1396</v>
      </c>
      <c r="E715" s="642">
        <v>121</v>
      </c>
      <c r="F715" s="482">
        <v>25.03</v>
      </c>
    </row>
    <row r="716" spans="1:10" s="295" customFormat="1" x14ac:dyDescent="0.15">
      <c r="A716" s="591" t="s">
        <v>1578</v>
      </c>
      <c r="B716" s="591"/>
      <c r="C716" s="287" t="s">
        <v>1579</v>
      </c>
      <c r="D716" s="287" t="s">
        <v>1497</v>
      </c>
      <c r="E716" s="642">
        <v>0</v>
      </c>
      <c r="F716" s="482">
        <v>0</v>
      </c>
    </row>
    <row r="717" spans="1:10" s="295" customFormat="1" x14ac:dyDescent="0.15">
      <c r="A717" s="640" t="s">
        <v>1580</v>
      </c>
      <c r="B717" s="640"/>
      <c r="C717" s="295" t="s">
        <v>1451</v>
      </c>
      <c r="D717" s="295" t="s">
        <v>1452</v>
      </c>
      <c r="E717" s="642">
        <v>6720</v>
      </c>
      <c r="F717" s="482">
        <v>2365.3000000000002</v>
      </c>
    </row>
    <row r="718" spans="1:10" s="275" customFormat="1" x14ac:dyDescent="0.15">
      <c r="A718" s="591" t="s">
        <v>1581</v>
      </c>
      <c r="B718" s="591"/>
      <c r="C718" s="287" t="s">
        <v>1521</v>
      </c>
      <c r="D718" s="287" t="s">
        <v>1229</v>
      </c>
      <c r="E718" s="642">
        <v>3364</v>
      </c>
      <c r="F718" s="482">
        <v>532.96</v>
      </c>
    </row>
    <row r="719" spans="1:10" s="295" customFormat="1" x14ac:dyDescent="0.15">
      <c r="A719" s="591" t="s">
        <v>1582</v>
      </c>
      <c r="B719" s="591"/>
      <c r="C719" s="287" t="s">
        <v>1525</v>
      </c>
      <c r="D719" s="287" t="s">
        <v>1526</v>
      </c>
      <c r="E719" s="642">
        <v>10</v>
      </c>
      <c r="F719" s="482">
        <v>7.58</v>
      </c>
      <c r="H719" s="645"/>
    </row>
    <row r="720" spans="1:10" s="295" customFormat="1" ht="15" thickBot="1" x14ac:dyDescent="0.2">
      <c r="A720" s="591" t="s">
        <v>1583</v>
      </c>
      <c r="B720" s="591"/>
      <c r="C720" s="287" t="s">
        <v>1584</v>
      </c>
      <c r="D720" s="618" t="s">
        <v>1264</v>
      </c>
      <c r="E720" s="642">
        <v>1320</v>
      </c>
      <c r="F720" s="482">
        <v>269.91000000000003</v>
      </c>
      <c r="J720" s="645"/>
    </row>
    <row r="721" spans="1:10" s="275" customFormat="1" x14ac:dyDescent="0.15">
      <c r="A721" s="591" t="s">
        <v>1610</v>
      </c>
      <c r="B721" s="591"/>
      <c r="C721" s="287" t="s">
        <v>1568</v>
      </c>
      <c r="D721" s="287" t="s">
        <v>1457</v>
      </c>
      <c r="E721" s="642">
        <v>6610</v>
      </c>
      <c r="F721" s="482">
        <v>935.04</v>
      </c>
      <c r="H721" s="647" t="s">
        <v>1589</v>
      </c>
    </row>
    <row r="722" spans="1:10" s="275" customFormat="1" ht="14" thickBot="1" x14ac:dyDescent="0.2">
      <c r="A722" s="591"/>
      <c r="B722" s="591"/>
      <c r="C722" s="291" t="s">
        <v>1613</v>
      </c>
      <c r="D722" s="287"/>
      <c r="E722" s="643">
        <f>SUM(E698:E721)</f>
        <v>63445.2</v>
      </c>
      <c r="F722" s="620">
        <v>11271.779999999995</v>
      </c>
      <c r="H722" s="648">
        <f>SUM(F692,F722)</f>
        <v>26108.659999999996</v>
      </c>
      <c r="J722" s="646">
        <f>F722/E722</f>
        <v>0.17766166707646908</v>
      </c>
    </row>
    <row r="723" spans="1:10" s="275" customFormat="1" ht="14" thickTop="1" x14ac:dyDescent="0.15">
      <c r="A723" s="617"/>
      <c r="B723" s="617"/>
      <c r="E723" s="276"/>
      <c r="F723" s="278"/>
    </row>
    <row r="724" spans="1:10" s="275" customFormat="1" x14ac:dyDescent="0.15">
      <c r="A724" s="617"/>
      <c r="B724" s="617"/>
      <c r="C724" s="299" t="s">
        <v>1594</v>
      </c>
      <c r="E724" s="276"/>
      <c r="F724" s="278"/>
    </row>
    <row r="725" spans="1:10" s="275" customFormat="1" x14ac:dyDescent="0.15">
      <c r="A725" s="617"/>
      <c r="B725" s="617"/>
      <c r="C725" s="293" t="s">
        <v>1446</v>
      </c>
      <c r="E725" s="276"/>
      <c r="F725" s="278"/>
    </row>
    <row r="726" spans="1:10" s="275" customFormat="1" x14ac:dyDescent="0.15">
      <c r="A726" s="617"/>
      <c r="B726" s="617"/>
      <c r="C726" s="386">
        <v>41374</v>
      </c>
      <c r="E726" s="276"/>
      <c r="F726" s="278"/>
    </row>
    <row r="727" spans="1:10" s="275" customFormat="1" x14ac:dyDescent="0.15">
      <c r="A727" s="617"/>
      <c r="B727" s="617"/>
      <c r="E727" s="276"/>
      <c r="F727" s="278"/>
    </row>
    <row r="728" spans="1:10" s="295" customFormat="1" x14ac:dyDescent="0.15">
      <c r="A728" s="591" t="s">
        <v>1534</v>
      </c>
      <c r="B728" s="591" t="s">
        <v>1614</v>
      </c>
      <c r="C728" s="287" t="s">
        <v>1492</v>
      </c>
      <c r="D728" s="287" t="s">
        <v>1239</v>
      </c>
      <c r="E728" s="642">
        <v>16000</v>
      </c>
      <c r="F728" s="482">
        <v>1962.04</v>
      </c>
    </row>
    <row r="729" spans="1:10" s="295" customFormat="1" x14ac:dyDescent="0.15">
      <c r="A729" s="591" t="s">
        <v>1535</v>
      </c>
      <c r="B729" s="591" t="s">
        <v>1615</v>
      </c>
      <c r="C729" s="287" t="s">
        <v>1507</v>
      </c>
      <c r="D729" s="287" t="s">
        <v>1245</v>
      </c>
      <c r="E729" s="642">
        <v>3920</v>
      </c>
      <c r="F729" s="482">
        <v>642.17999999999995</v>
      </c>
    </row>
    <row r="730" spans="1:10" s="295" customFormat="1" x14ac:dyDescent="0.15">
      <c r="A730" s="591" t="s">
        <v>1536</v>
      </c>
      <c r="B730" s="591" t="s">
        <v>1616</v>
      </c>
      <c r="C730" s="287" t="s">
        <v>1479</v>
      </c>
      <c r="D730" s="287" t="s">
        <v>1231</v>
      </c>
      <c r="E730" s="642">
        <v>5191</v>
      </c>
      <c r="F730" s="482">
        <v>751.41</v>
      </c>
    </row>
    <row r="731" spans="1:10" s="295" customFormat="1" x14ac:dyDescent="0.15">
      <c r="A731" s="591" t="s">
        <v>1537</v>
      </c>
      <c r="B731" s="591" t="s">
        <v>1617</v>
      </c>
      <c r="C731" s="287" t="s">
        <v>1269</v>
      </c>
      <c r="D731" s="287" t="s">
        <v>1270</v>
      </c>
      <c r="E731" s="642">
        <v>3703</v>
      </c>
      <c r="F731" s="482">
        <v>560.61</v>
      </c>
    </row>
    <row r="732" spans="1:10" s="295" customFormat="1" x14ac:dyDescent="0.15">
      <c r="A732" s="640" t="s">
        <v>1538</v>
      </c>
      <c r="B732" s="640" t="s">
        <v>1618</v>
      </c>
      <c r="C732" s="295" t="s">
        <v>1517</v>
      </c>
      <c r="D732" s="295" t="s">
        <v>1518</v>
      </c>
      <c r="E732" s="642">
        <v>4</v>
      </c>
      <c r="F732" s="482">
        <v>30.4</v>
      </c>
    </row>
    <row r="733" spans="1:10" s="295" customFormat="1" x14ac:dyDescent="0.15">
      <c r="A733" s="591" t="s">
        <v>1539</v>
      </c>
      <c r="B733" s="591" t="s">
        <v>1619</v>
      </c>
      <c r="C733" s="287" t="s">
        <v>1405</v>
      </c>
      <c r="D733" s="287" t="s">
        <v>1280</v>
      </c>
      <c r="E733" s="642">
        <v>5960</v>
      </c>
      <c r="F733" s="482">
        <v>949.15</v>
      </c>
    </row>
    <row r="734" spans="1:10" s="295" customFormat="1" x14ac:dyDescent="0.15">
      <c r="A734" s="591" t="s">
        <v>1540</v>
      </c>
      <c r="B734" s="591" t="s">
        <v>1620</v>
      </c>
      <c r="C734" s="287" t="s">
        <v>1257</v>
      </c>
      <c r="D734" s="287" t="s">
        <v>1258</v>
      </c>
      <c r="E734" s="642">
        <v>25920</v>
      </c>
      <c r="F734" s="482">
        <v>3522.52</v>
      </c>
    </row>
    <row r="735" spans="1:10" s="295" customFormat="1" x14ac:dyDescent="0.15">
      <c r="A735" s="591" t="s">
        <v>1541</v>
      </c>
      <c r="B735" s="591" t="s">
        <v>1621</v>
      </c>
      <c r="C735" s="287" t="s">
        <v>1586</v>
      </c>
      <c r="D735" s="287" t="s">
        <v>1500</v>
      </c>
      <c r="E735" s="642">
        <v>4680</v>
      </c>
      <c r="F735" s="482">
        <v>713.37</v>
      </c>
    </row>
    <row r="736" spans="1:10" s="295" customFormat="1" x14ac:dyDescent="0.15">
      <c r="A736" s="591" t="s">
        <v>1542</v>
      </c>
      <c r="B736" s="591" t="s">
        <v>1622</v>
      </c>
      <c r="C736" s="287" t="s">
        <v>1240</v>
      </c>
      <c r="D736" s="287" t="s">
        <v>1467</v>
      </c>
      <c r="E736" s="642">
        <v>5245</v>
      </c>
      <c r="F736" s="482">
        <v>734.8</v>
      </c>
    </row>
    <row r="737" spans="1:6" s="295" customFormat="1" x14ac:dyDescent="0.15">
      <c r="A737" s="591" t="s">
        <v>1543</v>
      </c>
      <c r="B737" s="591" t="s">
        <v>1623</v>
      </c>
      <c r="C737" s="287" t="s">
        <v>1523</v>
      </c>
      <c r="D737" s="287" t="s">
        <v>1266</v>
      </c>
      <c r="E737" s="642">
        <v>840</v>
      </c>
      <c r="F737" s="482">
        <v>139.01</v>
      </c>
    </row>
    <row r="738" spans="1:6" s="295" customFormat="1" x14ac:dyDescent="0.15">
      <c r="A738" s="591" t="s">
        <v>1544</v>
      </c>
      <c r="B738" s="591" t="s">
        <v>1624</v>
      </c>
      <c r="C738" s="287" t="s">
        <v>1234</v>
      </c>
      <c r="D738" s="287" t="s">
        <v>1494</v>
      </c>
      <c r="E738" s="642">
        <v>5953</v>
      </c>
      <c r="F738" s="482">
        <v>926.24</v>
      </c>
    </row>
    <row r="739" spans="1:6" s="295" customFormat="1" x14ac:dyDescent="0.15">
      <c r="A739" s="591" t="s">
        <v>1601</v>
      </c>
      <c r="B739" s="591"/>
      <c r="C739" s="287" t="s">
        <v>1334</v>
      </c>
      <c r="D739" s="287" t="s">
        <v>1462</v>
      </c>
      <c r="E739" s="642">
        <f>1212.6+1585.9</f>
        <v>2798.5</v>
      </c>
      <c r="F739" s="482">
        <v>526.54</v>
      </c>
    </row>
    <row r="740" spans="1:6" s="295" customFormat="1" x14ac:dyDescent="0.15">
      <c r="A740" s="591" t="s">
        <v>1545</v>
      </c>
      <c r="B740" s="591"/>
      <c r="C740" s="287" t="s">
        <v>1234</v>
      </c>
      <c r="D740" s="287" t="s">
        <v>1494</v>
      </c>
      <c r="E740" s="642">
        <f>5.8+58</f>
        <v>63.8</v>
      </c>
      <c r="F740" s="482">
        <v>14.75</v>
      </c>
    </row>
    <row r="741" spans="1:6" s="295" customFormat="1" x14ac:dyDescent="0.15">
      <c r="A741" s="591" t="s">
        <v>1602</v>
      </c>
      <c r="B741" s="591"/>
      <c r="C741" s="287" t="s">
        <v>1334</v>
      </c>
      <c r="D741" s="287" t="s">
        <v>1462</v>
      </c>
      <c r="E741" s="642">
        <f>67.9+88.7</f>
        <v>156.60000000000002</v>
      </c>
      <c r="F741" s="482">
        <v>42.03</v>
      </c>
    </row>
    <row r="742" spans="1:6" s="295" customFormat="1" x14ac:dyDescent="0.15">
      <c r="A742" s="591" t="s">
        <v>1546</v>
      </c>
      <c r="B742" s="591"/>
      <c r="C742" s="287" t="s">
        <v>1586</v>
      </c>
      <c r="D742" s="287" t="s">
        <v>1500</v>
      </c>
      <c r="E742" s="642">
        <f>6.7+66.5</f>
        <v>73.2</v>
      </c>
      <c r="F742" s="482">
        <v>24.73</v>
      </c>
    </row>
    <row r="743" spans="1:6" s="295" customFormat="1" x14ac:dyDescent="0.15">
      <c r="A743" s="591" t="s">
        <v>1547</v>
      </c>
      <c r="B743" s="591"/>
      <c r="C743" s="287" t="s">
        <v>1286</v>
      </c>
      <c r="D743" s="287" t="s">
        <v>1514</v>
      </c>
      <c r="E743" s="642">
        <f>186.6+6.4</f>
        <v>193</v>
      </c>
      <c r="F743" s="482">
        <v>45.510000000000005</v>
      </c>
    </row>
    <row r="744" spans="1:6" s="295" customFormat="1" x14ac:dyDescent="0.15">
      <c r="A744" s="591" t="s">
        <v>1548</v>
      </c>
      <c r="B744" s="591"/>
      <c r="C744" s="287" t="s">
        <v>1235</v>
      </c>
      <c r="D744" s="287" t="s">
        <v>1236</v>
      </c>
      <c r="E744" s="642">
        <v>0</v>
      </c>
      <c r="F744" s="482">
        <v>0</v>
      </c>
    </row>
    <row r="745" spans="1:6" s="295" customFormat="1" x14ac:dyDescent="0.15">
      <c r="A745" s="591" t="s">
        <v>1549</v>
      </c>
      <c r="B745" s="591" t="s">
        <v>1625</v>
      </c>
      <c r="C745" s="287" t="s">
        <v>1459</v>
      </c>
      <c r="D745" s="287" t="s">
        <v>1251</v>
      </c>
      <c r="E745" s="642">
        <v>1858</v>
      </c>
      <c r="F745" s="482">
        <v>295.99</v>
      </c>
    </row>
    <row r="746" spans="1:6" s="295" customFormat="1" x14ac:dyDescent="0.15">
      <c r="A746" s="591" t="s">
        <v>1603</v>
      </c>
      <c r="B746" s="591"/>
      <c r="C746" s="287" t="s">
        <v>1334</v>
      </c>
      <c r="D746" s="287" t="s">
        <v>1462</v>
      </c>
      <c r="E746" s="642">
        <f>507.1+663.3</f>
        <v>1170.4000000000001</v>
      </c>
      <c r="F746" s="482">
        <v>236.76999999999998</v>
      </c>
    </row>
    <row r="747" spans="1:6" s="295" customFormat="1" x14ac:dyDescent="0.15">
      <c r="A747" s="591" t="s">
        <v>1597</v>
      </c>
      <c r="B747" s="591" t="s">
        <v>1626</v>
      </c>
      <c r="C747" s="287" t="s">
        <v>1454</v>
      </c>
      <c r="D747" s="287" t="s">
        <v>1247</v>
      </c>
      <c r="E747" s="642">
        <v>4880</v>
      </c>
      <c r="F747" s="482">
        <v>734.04</v>
      </c>
    </row>
    <row r="748" spans="1:6" s="295" customFormat="1" x14ac:dyDescent="0.15">
      <c r="A748" s="591" t="s">
        <v>1604</v>
      </c>
      <c r="B748" s="591"/>
      <c r="C748" s="287" t="s">
        <v>1334</v>
      </c>
      <c r="D748" s="287" t="s">
        <v>1462</v>
      </c>
      <c r="E748" s="642">
        <f>63.4+83</f>
        <v>146.4</v>
      </c>
      <c r="F748" s="482">
        <v>46.39</v>
      </c>
    </row>
    <row r="749" spans="1:6" s="295" customFormat="1" x14ac:dyDescent="0.15">
      <c r="A749" s="591" t="s">
        <v>1551</v>
      </c>
      <c r="B749" s="591" t="s">
        <v>1627</v>
      </c>
      <c r="C749" s="287" t="s">
        <v>1235</v>
      </c>
      <c r="D749" s="287" t="s">
        <v>1236</v>
      </c>
      <c r="E749" s="642">
        <v>10213</v>
      </c>
      <c r="F749" s="482">
        <v>1440.55</v>
      </c>
    </row>
    <row r="750" spans="1:6" s="295" customFormat="1" x14ac:dyDescent="0.15">
      <c r="A750" s="591" t="s">
        <v>1553</v>
      </c>
      <c r="B750" s="591" t="s">
        <v>1628</v>
      </c>
      <c r="C750" s="287" t="s">
        <v>1475</v>
      </c>
      <c r="D750" s="287" t="s">
        <v>1387</v>
      </c>
      <c r="E750" s="642">
        <v>1467</v>
      </c>
      <c r="F750" s="482">
        <v>245.24</v>
      </c>
    </row>
    <row r="751" spans="1:6" s="295" customFormat="1" x14ac:dyDescent="0.15">
      <c r="A751" s="591" t="s">
        <v>1554</v>
      </c>
      <c r="B751" s="591" t="s">
        <v>1629</v>
      </c>
      <c r="C751" s="287" t="s">
        <v>1399</v>
      </c>
      <c r="D751" s="287" t="s">
        <v>1276</v>
      </c>
      <c r="E751" s="642">
        <v>5160</v>
      </c>
      <c r="F751" s="482">
        <v>777.77</v>
      </c>
    </row>
    <row r="752" spans="1:6" s="295" customFormat="1" x14ac:dyDescent="0.15">
      <c r="A752" s="591" t="s">
        <v>1605</v>
      </c>
      <c r="B752" s="591"/>
      <c r="C752" s="287" t="s">
        <v>1334</v>
      </c>
      <c r="D752" s="287" t="s">
        <v>1462</v>
      </c>
      <c r="E752" s="642">
        <f>231.4+302.6</f>
        <v>534</v>
      </c>
      <c r="F752" s="482">
        <v>168.82999999999998</v>
      </c>
    </row>
    <row r="753" spans="1:10" s="295" customFormat="1" x14ac:dyDescent="0.15">
      <c r="A753" s="591" t="s">
        <v>1552</v>
      </c>
      <c r="B753" s="591"/>
      <c r="C753" s="287" t="s">
        <v>1286</v>
      </c>
      <c r="D753" s="287" t="s">
        <v>1514</v>
      </c>
      <c r="E753" s="642">
        <v>0</v>
      </c>
      <c r="F753" s="482">
        <v>0</v>
      </c>
    </row>
    <row r="754" spans="1:10" s="295" customFormat="1" x14ac:dyDescent="0.15">
      <c r="A754" s="591" t="s">
        <v>1598</v>
      </c>
      <c r="B754" s="591"/>
      <c r="C754" s="287" t="s">
        <v>1586</v>
      </c>
      <c r="D754" s="287" t="s">
        <v>1500</v>
      </c>
      <c r="E754" s="642">
        <f>3.3+33.3</f>
        <v>36.599999999999994</v>
      </c>
      <c r="F754" s="482">
        <v>14.969999999999999</v>
      </c>
      <c r="H754" s="645"/>
    </row>
    <row r="755" spans="1:10" s="295" customFormat="1" x14ac:dyDescent="0.15">
      <c r="A755" s="591" t="s">
        <v>1606</v>
      </c>
      <c r="B755" s="591"/>
      <c r="C755" s="287" t="s">
        <v>1334</v>
      </c>
      <c r="D755" s="287" t="s">
        <v>1462</v>
      </c>
      <c r="E755" s="642">
        <f>27.6+36.2</f>
        <v>63.800000000000004</v>
      </c>
      <c r="F755" s="482">
        <v>11.41</v>
      </c>
      <c r="H755" s="299"/>
    </row>
    <row r="756" spans="1:10" s="275" customFormat="1" ht="14" thickBot="1" x14ac:dyDescent="0.2">
      <c r="A756" s="591"/>
      <c r="B756" s="591"/>
      <c r="C756" s="291" t="s">
        <v>1630</v>
      </c>
      <c r="D756" s="287"/>
      <c r="E756" s="638">
        <f>SUM(E728:E755)</f>
        <v>106230.3</v>
      </c>
      <c r="F756" s="620">
        <v>15557.249999999996</v>
      </c>
      <c r="H756" s="636"/>
      <c r="J756" s="646">
        <f>F756/E756</f>
        <v>0.14644832971383867</v>
      </c>
    </row>
    <row r="757" spans="1:10" s="275" customFormat="1" ht="14" thickTop="1" x14ac:dyDescent="0.15">
      <c r="A757" s="640"/>
      <c r="B757" s="640"/>
      <c r="C757" s="295"/>
      <c r="D757" s="295"/>
      <c r="E757" s="296"/>
      <c r="F757" s="298"/>
    </row>
    <row r="758" spans="1:10" s="275" customFormat="1" x14ac:dyDescent="0.15">
      <c r="A758" s="640"/>
      <c r="B758" s="640"/>
      <c r="C758" s="299" t="s">
        <v>1594</v>
      </c>
      <c r="D758" s="295"/>
      <c r="E758" s="296"/>
      <c r="F758" s="298"/>
    </row>
    <row r="759" spans="1:10" s="275" customFormat="1" x14ac:dyDescent="0.15">
      <c r="A759" s="640"/>
      <c r="B759" s="640"/>
      <c r="C759" s="293" t="s">
        <v>1446</v>
      </c>
      <c r="D759" s="295"/>
      <c r="E759" s="296"/>
      <c r="F759" s="298"/>
    </row>
    <row r="760" spans="1:10" s="275" customFormat="1" x14ac:dyDescent="0.15">
      <c r="A760" s="640"/>
      <c r="B760" s="640"/>
      <c r="C760" s="386">
        <v>41402</v>
      </c>
      <c r="D760" s="295"/>
      <c r="E760" s="296"/>
      <c r="F760" s="298"/>
    </row>
    <row r="761" spans="1:10" s="275" customFormat="1" x14ac:dyDescent="0.15">
      <c r="A761" s="640"/>
      <c r="B761" s="640"/>
      <c r="C761" s="295"/>
      <c r="D761" s="295"/>
      <c r="E761" s="296"/>
      <c r="F761" s="298"/>
    </row>
    <row r="762" spans="1:10" s="295" customFormat="1" x14ac:dyDescent="0.15">
      <c r="A762" s="640" t="s">
        <v>1556</v>
      </c>
      <c r="B762" s="640" t="s">
        <v>1631</v>
      </c>
      <c r="C762" s="295" t="s">
        <v>1248</v>
      </c>
      <c r="D762" s="295" t="s">
        <v>1482</v>
      </c>
      <c r="E762" s="642">
        <v>3992</v>
      </c>
      <c r="F762" s="482">
        <v>399.5</v>
      </c>
    </row>
    <row r="763" spans="1:10" s="295" customFormat="1" x14ac:dyDescent="0.15">
      <c r="A763" s="591" t="s">
        <v>1557</v>
      </c>
      <c r="B763" s="591" t="s">
        <v>1632</v>
      </c>
      <c r="C763" s="287" t="s">
        <v>1477</v>
      </c>
      <c r="D763" s="287" t="s">
        <v>1289</v>
      </c>
      <c r="E763" s="642">
        <v>7560</v>
      </c>
      <c r="F763" s="482">
        <v>1182.94</v>
      </c>
    </row>
    <row r="764" spans="1:10" s="295" customFormat="1" x14ac:dyDescent="0.15">
      <c r="A764" s="591" t="s">
        <v>1558</v>
      </c>
      <c r="B764" s="591" t="s">
        <v>1633</v>
      </c>
      <c r="C764" s="287" t="s">
        <v>1469</v>
      </c>
      <c r="D764" s="287" t="s">
        <v>1470</v>
      </c>
      <c r="E764" s="642">
        <v>7040</v>
      </c>
      <c r="F764" s="482">
        <v>1009.05</v>
      </c>
    </row>
    <row r="765" spans="1:10" s="295" customFormat="1" x14ac:dyDescent="0.15">
      <c r="A765" s="591" t="s">
        <v>1559</v>
      </c>
      <c r="B765" s="591" t="s">
        <v>1634</v>
      </c>
      <c r="C765" s="287" t="s">
        <v>1502</v>
      </c>
      <c r="D765" s="287" t="s">
        <v>1381</v>
      </c>
      <c r="E765" s="642">
        <v>17376</v>
      </c>
      <c r="F765" s="482">
        <v>2127.41</v>
      </c>
    </row>
    <row r="766" spans="1:10" s="295" customFormat="1" x14ac:dyDescent="0.15">
      <c r="A766" s="591" t="s">
        <v>1560</v>
      </c>
      <c r="B766" s="591" t="s">
        <v>1635</v>
      </c>
      <c r="C766" s="287" t="s">
        <v>1504</v>
      </c>
      <c r="D766" s="287" t="s">
        <v>1505</v>
      </c>
      <c r="E766" s="642">
        <v>2116</v>
      </c>
      <c r="F766" s="482">
        <v>300.49</v>
      </c>
    </row>
    <row r="767" spans="1:10" s="295" customFormat="1" x14ac:dyDescent="0.15">
      <c r="A767" s="591" t="s">
        <v>1561</v>
      </c>
      <c r="B767" s="591"/>
      <c r="C767" s="287" t="s">
        <v>1562</v>
      </c>
      <c r="D767" s="287" t="s">
        <v>1509</v>
      </c>
      <c r="E767" s="642">
        <v>0</v>
      </c>
      <c r="F767" s="482">
        <v>0</v>
      </c>
    </row>
    <row r="768" spans="1:10" s="295" customFormat="1" x14ac:dyDescent="0.15">
      <c r="A768" s="591" t="s">
        <v>1563</v>
      </c>
      <c r="B768" s="591"/>
      <c r="C768" s="287" t="s">
        <v>1267</v>
      </c>
      <c r="D768" s="287" t="s">
        <v>1268</v>
      </c>
      <c r="E768" s="642">
        <f>5.8+58</f>
        <v>63.8</v>
      </c>
      <c r="F768" s="482">
        <v>11.35</v>
      </c>
    </row>
    <row r="769" spans="1:10" s="295" customFormat="1" x14ac:dyDescent="0.15">
      <c r="A769" s="591" t="s">
        <v>1564</v>
      </c>
      <c r="B769" s="591" t="s">
        <v>1636</v>
      </c>
      <c r="C769" s="287" t="s">
        <v>1485</v>
      </c>
      <c r="D769" s="287" t="s">
        <v>1486</v>
      </c>
      <c r="E769" s="642">
        <v>1920</v>
      </c>
      <c r="F769" s="482">
        <v>324.58</v>
      </c>
    </row>
    <row r="770" spans="1:10" s="295" customFormat="1" x14ac:dyDescent="0.15">
      <c r="A770" s="591" t="s">
        <v>1565</v>
      </c>
      <c r="B770" s="591" t="s">
        <v>1637</v>
      </c>
      <c r="C770" s="287" t="s">
        <v>1267</v>
      </c>
      <c r="D770" s="287" t="s">
        <v>1268</v>
      </c>
      <c r="E770" s="642">
        <v>2434</v>
      </c>
      <c r="F770" s="482">
        <v>406.92</v>
      </c>
    </row>
    <row r="771" spans="1:10" s="295" customFormat="1" x14ac:dyDescent="0.15">
      <c r="A771" s="591" t="s">
        <v>1569</v>
      </c>
      <c r="B771" s="591" t="s">
        <v>1638</v>
      </c>
      <c r="C771" s="287" t="s">
        <v>1464</v>
      </c>
      <c r="D771" s="287" t="s">
        <v>1285</v>
      </c>
      <c r="E771" s="642">
        <v>1067</v>
      </c>
      <c r="F771" s="482">
        <v>236.39</v>
      </c>
    </row>
    <row r="772" spans="1:10" s="295" customFormat="1" x14ac:dyDescent="0.15">
      <c r="A772" s="591" t="s">
        <v>1570</v>
      </c>
      <c r="B772" s="591" t="s">
        <v>1639</v>
      </c>
      <c r="C772" s="287" t="s">
        <v>1472</v>
      </c>
      <c r="D772" s="287" t="s">
        <v>1473</v>
      </c>
      <c r="E772" s="642">
        <v>70</v>
      </c>
      <c r="F772" s="482">
        <v>37.24</v>
      </c>
    </row>
    <row r="773" spans="1:10" s="295" customFormat="1" x14ac:dyDescent="0.15">
      <c r="A773" s="591" t="s">
        <v>1571</v>
      </c>
      <c r="B773" s="591" t="s">
        <v>1640</v>
      </c>
      <c r="C773" s="287" t="s">
        <v>1489</v>
      </c>
      <c r="D773" s="287" t="s">
        <v>1490</v>
      </c>
      <c r="E773" s="642">
        <v>180</v>
      </c>
      <c r="F773" s="482">
        <v>48.61</v>
      </c>
    </row>
    <row r="774" spans="1:10" s="295" customFormat="1" x14ac:dyDescent="0.15">
      <c r="A774" s="591" t="s">
        <v>1572</v>
      </c>
      <c r="B774" s="591" t="s">
        <v>1641</v>
      </c>
      <c r="C774" s="287" t="s">
        <v>1271</v>
      </c>
      <c r="D774" s="287" t="s">
        <v>1272</v>
      </c>
      <c r="E774" s="642">
        <v>5065</v>
      </c>
      <c r="F774" s="482">
        <v>716.19</v>
      </c>
    </row>
    <row r="775" spans="1:10" s="275" customFormat="1" x14ac:dyDescent="0.15">
      <c r="A775" s="591" t="s">
        <v>1573</v>
      </c>
      <c r="B775" s="591"/>
      <c r="C775" s="287" t="s">
        <v>1461</v>
      </c>
      <c r="D775" s="287" t="s">
        <v>1462</v>
      </c>
      <c r="E775" s="642">
        <f>0.4+11.7+0.9</f>
        <v>13</v>
      </c>
      <c r="F775" s="482">
        <v>16.329999999999998</v>
      </c>
    </row>
    <row r="776" spans="1:10" s="275" customFormat="1" x14ac:dyDescent="0.15">
      <c r="A776" s="591" t="s">
        <v>1574</v>
      </c>
      <c r="B776" s="591" t="s">
        <v>1642</v>
      </c>
      <c r="C776" s="287" t="s">
        <v>1377</v>
      </c>
      <c r="D776" s="287" t="s">
        <v>1378</v>
      </c>
      <c r="E776" s="642">
        <v>1780</v>
      </c>
      <c r="F776" s="482">
        <v>302.68</v>
      </c>
    </row>
    <row r="777" spans="1:10" s="295" customFormat="1" x14ac:dyDescent="0.15">
      <c r="A777" s="591" t="s">
        <v>1575</v>
      </c>
      <c r="B777" s="591" t="s">
        <v>1643</v>
      </c>
      <c r="C777" s="287" t="s">
        <v>1448</v>
      </c>
      <c r="D777" s="287" t="s">
        <v>1449</v>
      </c>
      <c r="E777" s="642">
        <v>55</v>
      </c>
      <c r="F777" s="482">
        <v>14.66</v>
      </c>
    </row>
    <row r="778" spans="1:10" s="295" customFormat="1" x14ac:dyDescent="0.15">
      <c r="A778" s="591" t="s">
        <v>1576</v>
      </c>
      <c r="B778" s="591" t="s">
        <v>1644</v>
      </c>
      <c r="C778" s="287" t="s">
        <v>1401</v>
      </c>
      <c r="D778" s="287" t="s">
        <v>1316</v>
      </c>
      <c r="E778" s="642">
        <v>172</v>
      </c>
      <c r="F778" s="482">
        <v>48.8</v>
      </c>
    </row>
    <row r="779" spans="1:10" s="295" customFormat="1" x14ac:dyDescent="0.15">
      <c r="A779" s="640" t="s">
        <v>1577</v>
      </c>
      <c r="B779" s="640" t="s">
        <v>1645</v>
      </c>
      <c r="C779" s="295" t="s">
        <v>1395</v>
      </c>
      <c r="D779" s="295" t="s">
        <v>1396</v>
      </c>
      <c r="E779" s="642">
        <v>83</v>
      </c>
      <c r="F779" s="482">
        <v>19.03</v>
      </c>
    </row>
    <row r="780" spans="1:10" s="295" customFormat="1" x14ac:dyDescent="0.15">
      <c r="A780" s="591" t="s">
        <v>1578</v>
      </c>
      <c r="B780" s="591" t="s">
        <v>1646</v>
      </c>
      <c r="C780" s="287" t="s">
        <v>1579</v>
      </c>
      <c r="D780" s="287" t="s">
        <v>1497</v>
      </c>
      <c r="E780" s="642">
        <v>33</v>
      </c>
      <c r="F780" s="482">
        <v>33.43</v>
      </c>
    </row>
    <row r="781" spans="1:10" s="295" customFormat="1" x14ac:dyDescent="0.15">
      <c r="A781" s="640" t="s">
        <v>1580</v>
      </c>
      <c r="B781" s="640" t="s">
        <v>1647</v>
      </c>
      <c r="C781" s="295" t="s">
        <v>1451</v>
      </c>
      <c r="D781" s="295" t="s">
        <v>1452</v>
      </c>
      <c r="E781" s="642">
        <v>5376</v>
      </c>
      <c r="F781" s="482">
        <v>2233.7600000000002</v>
      </c>
    </row>
    <row r="782" spans="1:10" s="275" customFormat="1" x14ac:dyDescent="0.15">
      <c r="A782" s="591" t="s">
        <v>1581</v>
      </c>
      <c r="B782" s="591" t="s">
        <v>1648</v>
      </c>
      <c r="C782" s="287" t="s">
        <v>1521</v>
      </c>
      <c r="D782" s="287" t="s">
        <v>1229</v>
      </c>
      <c r="E782" s="642">
        <v>3735</v>
      </c>
      <c r="F782" s="482">
        <v>549.14</v>
      </c>
    </row>
    <row r="783" spans="1:10" s="295" customFormat="1" x14ac:dyDescent="0.15">
      <c r="A783" s="591" t="s">
        <v>1582</v>
      </c>
      <c r="B783" s="591" t="s">
        <v>1649</v>
      </c>
      <c r="C783" s="287" t="s">
        <v>1525</v>
      </c>
      <c r="D783" s="287" t="s">
        <v>1526</v>
      </c>
      <c r="E783" s="642">
        <v>18</v>
      </c>
      <c r="F783" s="482">
        <v>8.83</v>
      </c>
      <c r="H783" s="645"/>
    </row>
    <row r="784" spans="1:10" s="295" customFormat="1" ht="15" thickBot="1" x14ac:dyDescent="0.2">
      <c r="A784" s="591" t="s">
        <v>1583</v>
      </c>
      <c r="B784" s="591" t="s">
        <v>1650</v>
      </c>
      <c r="C784" s="287" t="s">
        <v>1584</v>
      </c>
      <c r="D784" s="618" t="s">
        <v>1264</v>
      </c>
      <c r="E784" s="642">
        <v>1520</v>
      </c>
      <c r="F784" s="482">
        <v>290.61</v>
      </c>
      <c r="J784" s="645"/>
    </row>
    <row r="785" spans="1:10" s="275" customFormat="1" x14ac:dyDescent="0.15">
      <c r="A785" s="591" t="s">
        <v>1610</v>
      </c>
      <c r="B785" s="591" t="s">
        <v>1651</v>
      </c>
      <c r="C785" s="287" t="s">
        <v>1568</v>
      </c>
      <c r="D785" s="287" t="s">
        <v>1457</v>
      </c>
      <c r="E785" s="642">
        <v>7674</v>
      </c>
      <c r="F785" s="482">
        <v>1126.33</v>
      </c>
      <c r="H785" s="647" t="s">
        <v>1589</v>
      </c>
    </row>
    <row r="786" spans="1:10" s="275" customFormat="1" ht="14" thickBot="1" x14ac:dyDescent="0.2">
      <c r="A786" s="591"/>
      <c r="B786" s="591"/>
      <c r="C786" s="291" t="s">
        <v>1652</v>
      </c>
      <c r="D786" s="287"/>
      <c r="E786" s="643">
        <f>SUM(E762:E785)</f>
        <v>69342.8</v>
      </c>
      <c r="F786" s="620">
        <v>11444.269999999999</v>
      </c>
      <c r="H786" s="648">
        <f>SUM(F756,F786)</f>
        <v>27001.519999999997</v>
      </c>
      <c r="J786" s="646">
        <f>F786/E786</f>
        <v>0.16503905236015848</v>
      </c>
    </row>
    <row r="787" spans="1:10" s="275" customFormat="1" ht="14" thickTop="1" x14ac:dyDescent="0.15">
      <c r="A787" s="617"/>
      <c r="B787" s="617"/>
      <c r="E787" s="276"/>
      <c r="F787" s="278"/>
    </row>
    <row r="788" spans="1:10" s="275" customFormat="1" x14ac:dyDescent="0.15">
      <c r="A788" s="617"/>
      <c r="B788" s="617"/>
      <c r="C788" s="299" t="s">
        <v>1594</v>
      </c>
      <c r="E788" s="276"/>
      <c r="F788" s="278"/>
    </row>
    <row r="789" spans="1:10" s="275" customFormat="1" x14ac:dyDescent="0.15">
      <c r="A789" s="617"/>
      <c r="B789" s="617"/>
      <c r="C789" s="293" t="s">
        <v>1446</v>
      </c>
      <c r="E789" s="276"/>
      <c r="F789" s="278"/>
    </row>
    <row r="790" spans="1:10" s="275" customFormat="1" x14ac:dyDescent="0.15">
      <c r="A790" s="617"/>
      <c r="B790" s="617"/>
      <c r="C790" s="386">
        <v>41402</v>
      </c>
      <c r="E790" s="276"/>
      <c r="F790" s="278"/>
    </row>
    <row r="791" spans="1:10" s="275" customFormat="1" x14ac:dyDescent="0.15">
      <c r="A791" s="617"/>
      <c r="B791" s="617"/>
      <c r="E791" s="276"/>
      <c r="F791" s="278"/>
    </row>
    <row r="792" spans="1:10" s="275" customFormat="1" x14ac:dyDescent="0.15">
      <c r="A792" s="591" t="s">
        <v>1534</v>
      </c>
      <c r="B792" s="591" t="s">
        <v>1614</v>
      </c>
      <c r="C792" s="287" t="s">
        <v>1492</v>
      </c>
      <c r="D792" s="287" t="s">
        <v>1239</v>
      </c>
      <c r="E792" s="642">
        <v>13200</v>
      </c>
      <c r="F792" s="482">
        <v>1867.57</v>
      </c>
      <c r="G792" s="295"/>
      <c r="H792" s="295"/>
      <c r="I792" s="295"/>
      <c r="J792" s="295"/>
    </row>
    <row r="793" spans="1:10" s="275" customFormat="1" x14ac:dyDescent="0.15">
      <c r="A793" s="591" t="s">
        <v>1535</v>
      </c>
      <c r="B793" s="591" t="s">
        <v>1615</v>
      </c>
      <c r="C793" s="287" t="s">
        <v>1507</v>
      </c>
      <c r="D793" s="287" t="s">
        <v>1245</v>
      </c>
      <c r="E793" s="642">
        <v>3120</v>
      </c>
      <c r="F793" s="482">
        <v>522.52</v>
      </c>
      <c r="G793" s="295"/>
      <c r="H793" s="295"/>
      <c r="I793" s="295"/>
      <c r="J793" s="295"/>
    </row>
    <row r="794" spans="1:10" s="275" customFormat="1" x14ac:dyDescent="0.15">
      <c r="A794" s="591" t="s">
        <v>1536</v>
      </c>
      <c r="B794" s="591" t="s">
        <v>1616</v>
      </c>
      <c r="C794" s="287" t="s">
        <v>1479</v>
      </c>
      <c r="D794" s="287" t="s">
        <v>1231</v>
      </c>
      <c r="E794" s="642">
        <v>4475</v>
      </c>
      <c r="F794" s="482">
        <v>677.4</v>
      </c>
      <c r="G794" s="295"/>
      <c r="H794" s="295"/>
      <c r="I794" s="295"/>
      <c r="J794" s="295"/>
    </row>
    <row r="795" spans="1:10" s="275" customFormat="1" x14ac:dyDescent="0.15">
      <c r="A795" s="591" t="s">
        <v>1537</v>
      </c>
      <c r="B795" s="591" t="s">
        <v>1617</v>
      </c>
      <c r="C795" s="287" t="s">
        <v>1269</v>
      </c>
      <c r="D795" s="287" t="s">
        <v>1270</v>
      </c>
      <c r="E795" s="642">
        <v>2581</v>
      </c>
      <c r="F795" s="482">
        <v>415.06</v>
      </c>
      <c r="G795" s="295"/>
      <c r="H795" s="295"/>
      <c r="I795" s="295"/>
      <c r="J795" s="295"/>
    </row>
    <row r="796" spans="1:10" s="275" customFormat="1" x14ac:dyDescent="0.15">
      <c r="A796" s="640" t="s">
        <v>1538</v>
      </c>
      <c r="B796" s="640" t="s">
        <v>1618</v>
      </c>
      <c r="C796" s="295" t="s">
        <v>1517</v>
      </c>
      <c r="D796" s="295" t="s">
        <v>1518</v>
      </c>
      <c r="E796" s="642">
        <v>4</v>
      </c>
      <c r="F796" s="482">
        <v>30.4</v>
      </c>
      <c r="G796" s="295"/>
      <c r="H796" s="295"/>
      <c r="I796" s="295"/>
      <c r="J796" s="295"/>
    </row>
    <row r="797" spans="1:10" s="275" customFormat="1" x14ac:dyDescent="0.15">
      <c r="A797" s="591" t="s">
        <v>1539</v>
      </c>
      <c r="B797" s="591" t="s">
        <v>1619</v>
      </c>
      <c r="C797" s="287" t="s">
        <v>1405</v>
      </c>
      <c r="D797" s="287" t="s">
        <v>1280</v>
      </c>
      <c r="E797" s="642">
        <v>4320</v>
      </c>
      <c r="F797" s="482">
        <v>801.75</v>
      </c>
      <c r="G797" s="295"/>
      <c r="H797" s="295"/>
      <c r="I797" s="295"/>
      <c r="J797" s="295"/>
    </row>
    <row r="798" spans="1:10" s="275" customFormat="1" x14ac:dyDescent="0.15">
      <c r="A798" s="591" t="s">
        <v>1540</v>
      </c>
      <c r="B798" s="591" t="s">
        <v>1620</v>
      </c>
      <c r="C798" s="287" t="s">
        <v>1257</v>
      </c>
      <c r="D798" s="287" t="s">
        <v>1258</v>
      </c>
      <c r="E798" s="642">
        <v>21360</v>
      </c>
      <c r="F798" s="482">
        <v>2947.63</v>
      </c>
      <c r="G798" s="295"/>
      <c r="H798" s="295"/>
      <c r="I798" s="295"/>
      <c r="J798" s="295"/>
    </row>
    <row r="799" spans="1:10" s="275" customFormat="1" x14ac:dyDescent="0.15">
      <c r="A799" s="591" t="s">
        <v>1541</v>
      </c>
      <c r="B799" s="591" t="s">
        <v>1621</v>
      </c>
      <c r="C799" s="287" t="s">
        <v>1586</v>
      </c>
      <c r="D799" s="287" t="s">
        <v>1500</v>
      </c>
      <c r="E799" s="642">
        <v>3960</v>
      </c>
      <c r="F799" s="482">
        <v>661.09</v>
      </c>
      <c r="G799" s="295"/>
      <c r="H799" s="295"/>
      <c r="I799" s="295"/>
      <c r="J799" s="295"/>
    </row>
    <row r="800" spans="1:10" s="275" customFormat="1" x14ac:dyDescent="0.15">
      <c r="A800" s="591" t="s">
        <v>1542</v>
      </c>
      <c r="B800" s="591" t="s">
        <v>1622</v>
      </c>
      <c r="C800" s="287" t="s">
        <v>1240</v>
      </c>
      <c r="D800" s="287" t="s">
        <v>1467</v>
      </c>
      <c r="E800" s="642">
        <v>4624</v>
      </c>
      <c r="F800" s="482">
        <v>678</v>
      </c>
      <c r="G800" s="295"/>
      <c r="H800" s="295"/>
      <c r="I800" s="295"/>
      <c r="J800" s="295"/>
    </row>
    <row r="801" spans="1:10" s="275" customFormat="1" x14ac:dyDescent="0.15">
      <c r="A801" s="591" t="s">
        <v>1543</v>
      </c>
      <c r="B801" s="591" t="s">
        <v>1623</v>
      </c>
      <c r="C801" s="287" t="s">
        <v>1523</v>
      </c>
      <c r="D801" s="287" t="s">
        <v>1266</v>
      </c>
      <c r="E801" s="642">
        <v>774</v>
      </c>
      <c r="F801" s="482">
        <v>139.58000000000001</v>
      </c>
      <c r="G801" s="295"/>
      <c r="H801" s="295"/>
      <c r="I801" s="295"/>
      <c r="J801" s="295"/>
    </row>
    <row r="802" spans="1:10" s="275" customFormat="1" x14ac:dyDescent="0.15">
      <c r="A802" s="591" t="s">
        <v>1544</v>
      </c>
      <c r="B802" s="591" t="s">
        <v>1624</v>
      </c>
      <c r="C802" s="287" t="s">
        <v>1234</v>
      </c>
      <c r="D802" s="287" t="s">
        <v>1494</v>
      </c>
      <c r="E802" s="642">
        <v>4278</v>
      </c>
      <c r="F802" s="482">
        <v>723.53</v>
      </c>
      <c r="G802" s="295"/>
      <c r="H802" s="295"/>
      <c r="I802" s="295"/>
      <c r="J802" s="295"/>
    </row>
    <row r="803" spans="1:10" s="275" customFormat="1" x14ac:dyDescent="0.15">
      <c r="A803" s="591" t="s">
        <v>1601</v>
      </c>
      <c r="B803" s="591"/>
      <c r="C803" s="287" t="s">
        <v>1334</v>
      </c>
      <c r="D803" s="287" t="s">
        <v>1462</v>
      </c>
      <c r="E803" s="642">
        <f>1095.7+1433.1</f>
        <v>2528.8000000000002</v>
      </c>
      <c r="F803" s="482">
        <v>497.33000000000004</v>
      </c>
      <c r="G803" s="295"/>
      <c r="H803" s="295"/>
      <c r="I803" s="295"/>
      <c r="J803" s="295"/>
    </row>
    <row r="804" spans="1:10" s="275" customFormat="1" x14ac:dyDescent="0.15">
      <c r="A804" s="591" t="s">
        <v>1545</v>
      </c>
      <c r="B804" s="591"/>
      <c r="C804" s="287" t="s">
        <v>1234</v>
      </c>
      <c r="D804" s="287" t="s">
        <v>1494</v>
      </c>
      <c r="E804" s="642">
        <v>57.7</v>
      </c>
      <c r="F804" s="482">
        <v>14.27</v>
      </c>
      <c r="G804" s="295"/>
      <c r="H804" s="295"/>
      <c r="I804" s="295"/>
      <c r="J804" s="295"/>
    </row>
    <row r="805" spans="1:10" s="275" customFormat="1" x14ac:dyDescent="0.15">
      <c r="A805" s="591" t="s">
        <v>1602</v>
      </c>
      <c r="B805" s="591"/>
      <c r="C805" s="287" t="s">
        <v>1334</v>
      </c>
      <c r="D805" s="287" t="s">
        <v>1462</v>
      </c>
      <c r="E805" s="642">
        <f>61.1+79.9</f>
        <v>141</v>
      </c>
      <c r="F805" s="482">
        <v>40.35</v>
      </c>
      <c r="G805" s="295"/>
      <c r="H805" s="295"/>
      <c r="I805" s="295"/>
      <c r="J805" s="295"/>
    </row>
    <row r="806" spans="1:10" s="275" customFormat="1" x14ac:dyDescent="0.15">
      <c r="A806" s="591" t="s">
        <v>1546</v>
      </c>
      <c r="B806" s="591"/>
      <c r="C806" s="287" t="s">
        <v>1586</v>
      </c>
      <c r="D806" s="287" t="s">
        <v>1500</v>
      </c>
      <c r="E806" s="642">
        <v>66</v>
      </c>
      <c r="F806" s="482">
        <v>24.36</v>
      </c>
      <c r="G806" s="295"/>
      <c r="H806" s="295"/>
      <c r="I806" s="295"/>
      <c r="J806" s="295"/>
    </row>
    <row r="807" spans="1:10" s="275" customFormat="1" x14ac:dyDescent="0.15">
      <c r="A807" s="591" t="s">
        <v>1547</v>
      </c>
      <c r="B807" s="591"/>
      <c r="C807" s="287" t="s">
        <v>1286</v>
      </c>
      <c r="D807" s="287" t="s">
        <v>1514</v>
      </c>
      <c r="E807" s="642">
        <v>174.4</v>
      </c>
      <c r="F807" s="482">
        <v>43.96</v>
      </c>
      <c r="G807" s="295"/>
      <c r="H807" s="295"/>
      <c r="I807" s="295"/>
      <c r="J807" s="295"/>
    </row>
    <row r="808" spans="1:10" s="275" customFormat="1" x14ac:dyDescent="0.15">
      <c r="A808" s="591" t="s">
        <v>1548</v>
      </c>
      <c r="B808" s="591"/>
      <c r="C808" s="287" t="s">
        <v>1235</v>
      </c>
      <c r="D808" s="287" t="s">
        <v>1236</v>
      </c>
      <c r="E808" s="642">
        <v>0</v>
      </c>
      <c r="F808" s="482">
        <v>0</v>
      </c>
      <c r="G808" s="295"/>
      <c r="H808" s="295"/>
      <c r="I808" s="295"/>
      <c r="J808" s="295"/>
    </row>
    <row r="809" spans="1:10" s="275" customFormat="1" x14ac:dyDescent="0.15">
      <c r="A809" s="591" t="s">
        <v>1549</v>
      </c>
      <c r="B809" s="591" t="s">
        <v>1625</v>
      </c>
      <c r="C809" s="287" t="s">
        <v>1459</v>
      </c>
      <c r="D809" s="287" t="s">
        <v>1251</v>
      </c>
      <c r="E809" s="642">
        <v>1195</v>
      </c>
      <c r="F809" s="482">
        <v>205.28</v>
      </c>
      <c r="G809" s="295"/>
      <c r="H809" s="295"/>
      <c r="I809" s="295"/>
      <c r="J809" s="295"/>
    </row>
    <row r="810" spans="1:10" s="275" customFormat="1" x14ac:dyDescent="0.15">
      <c r="A810" s="591" t="s">
        <v>1603</v>
      </c>
      <c r="B810" s="591"/>
      <c r="C810" s="287" t="s">
        <v>1334</v>
      </c>
      <c r="D810" s="287" t="s">
        <v>1462</v>
      </c>
      <c r="E810" s="642">
        <f>458.3+599.3</f>
        <v>1057.5999999999999</v>
      </c>
      <c r="F810" s="482">
        <v>224.57999999999998</v>
      </c>
      <c r="G810" s="295"/>
      <c r="H810" s="295"/>
      <c r="I810" s="295"/>
      <c r="J810" s="295"/>
    </row>
    <row r="811" spans="1:10" s="275" customFormat="1" x14ac:dyDescent="0.15">
      <c r="A811" s="591" t="s">
        <v>1597</v>
      </c>
      <c r="B811" s="591" t="s">
        <v>1626</v>
      </c>
      <c r="C811" s="287" t="s">
        <v>1454</v>
      </c>
      <c r="D811" s="287" t="s">
        <v>1247</v>
      </c>
      <c r="E811" s="642">
        <v>3760</v>
      </c>
      <c r="F811" s="482">
        <v>588.69000000000005</v>
      </c>
      <c r="G811" s="295"/>
      <c r="H811" s="295"/>
      <c r="I811" s="295"/>
      <c r="J811" s="295"/>
    </row>
    <row r="812" spans="1:10" s="275" customFormat="1" x14ac:dyDescent="0.15">
      <c r="A812" s="591" t="s">
        <v>1604</v>
      </c>
      <c r="B812" s="591"/>
      <c r="C812" s="287" t="s">
        <v>1334</v>
      </c>
      <c r="D812" s="287" t="s">
        <v>1462</v>
      </c>
      <c r="E812" s="642">
        <f>57.2+74.8</f>
        <v>132</v>
      </c>
      <c r="F812" s="482">
        <v>44.849999999999994</v>
      </c>
      <c r="G812" s="295"/>
      <c r="H812" s="295"/>
      <c r="I812" s="295"/>
      <c r="J812" s="295"/>
    </row>
    <row r="813" spans="1:10" s="275" customFormat="1" x14ac:dyDescent="0.15">
      <c r="A813" s="591" t="s">
        <v>1551</v>
      </c>
      <c r="B813" s="591" t="s">
        <v>1627</v>
      </c>
      <c r="C813" s="287" t="s">
        <v>1235</v>
      </c>
      <c r="D813" s="287" t="s">
        <v>1236</v>
      </c>
      <c r="E813" s="642">
        <v>8358</v>
      </c>
      <c r="F813" s="482">
        <v>1234</v>
      </c>
      <c r="G813" s="295"/>
      <c r="H813" s="295"/>
      <c r="I813" s="295"/>
      <c r="J813" s="295"/>
    </row>
    <row r="814" spans="1:10" s="275" customFormat="1" x14ac:dyDescent="0.15">
      <c r="A814" s="591" t="s">
        <v>1553</v>
      </c>
      <c r="B814" s="591" t="s">
        <v>1628</v>
      </c>
      <c r="C814" s="287" t="s">
        <v>1475</v>
      </c>
      <c r="D814" s="287" t="s">
        <v>1387</v>
      </c>
      <c r="E814" s="642">
        <v>1215</v>
      </c>
      <c r="F814" s="482">
        <v>203.14</v>
      </c>
      <c r="G814" s="295"/>
      <c r="H814" s="295"/>
      <c r="I814" s="295"/>
      <c r="J814" s="295"/>
    </row>
    <row r="815" spans="1:10" s="275" customFormat="1" x14ac:dyDescent="0.15">
      <c r="A815" s="591" t="s">
        <v>1554</v>
      </c>
      <c r="B815" s="591" t="s">
        <v>1629</v>
      </c>
      <c r="C815" s="287" t="s">
        <v>1399</v>
      </c>
      <c r="D815" s="287" t="s">
        <v>1276</v>
      </c>
      <c r="E815" s="642">
        <v>4600</v>
      </c>
      <c r="F815" s="482">
        <v>742.03</v>
      </c>
      <c r="G815" s="295"/>
      <c r="H815" s="295"/>
      <c r="I815" s="295"/>
      <c r="J815" s="295"/>
    </row>
    <row r="816" spans="1:10" s="275" customFormat="1" x14ac:dyDescent="0.15">
      <c r="A816" s="591" t="s">
        <v>1605</v>
      </c>
      <c r="B816" s="591"/>
      <c r="C816" s="287" t="s">
        <v>1334</v>
      </c>
      <c r="D816" s="287" t="s">
        <v>1462</v>
      </c>
      <c r="E816" s="642">
        <f>208.9+273.1</f>
        <v>482</v>
      </c>
      <c r="F816" s="482">
        <v>163.17000000000002</v>
      </c>
      <c r="G816" s="295"/>
      <c r="H816" s="295"/>
      <c r="I816" s="295"/>
      <c r="J816" s="295"/>
    </row>
    <row r="817" spans="1:10" s="275" customFormat="1" x14ac:dyDescent="0.15">
      <c r="A817" s="591" t="s">
        <v>1552</v>
      </c>
      <c r="B817" s="591"/>
      <c r="C817" s="287" t="s">
        <v>1286</v>
      </c>
      <c r="D817" s="287" t="s">
        <v>1514</v>
      </c>
      <c r="E817" s="642">
        <v>0</v>
      </c>
      <c r="F817" s="482">
        <v>0</v>
      </c>
      <c r="G817" s="295"/>
      <c r="H817" s="295"/>
      <c r="I817" s="295"/>
      <c r="J817" s="295"/>
    </row>
    <row r="818" spans="1:10" s="275" customFormat="1" x14ac:dyDescent="0.15">
      <c r="A818" s="591" t="s">
        <v>1598</v>
      </c>
      <c r="B818" s="591"/>
      <c r="C818" s="287" t="s">
        <v>1586</v>
      </c>
      <c r="D818" s="287" t="s">
        <v>1500</v>
      </c>
      <c r="E818" s="642">
        <v>33</v>
      </c>
      <c r="F818" s="482">
        <v>14.73</v>
      </c>
      <c r="G818" s="295"/>
      <c r="H818" s="645"/>
      <c r="I818" s="295"/>
      <c r="J818" s="295"/>
    </row>
    <row r="819" spans="1:10" s="275" customFormat="1" x14ac:dyDescent="0.15">
      <c r="A819" s="591" t="s">
        <v>1606</v>
      </c>
      <c r="B819" s="591"/>
      <c r="C819" s="287" t="s">
        <v>1334</v>
      </c>
      <c r="D819" s="287" t="s">
        <v>1462</v>
      </c>
      <c r="E819" s="642">
        <f>25+32.7</f>
        <v>57.7</v>
      </c>
      <c r="F819" s="482">
        <v>10.77</v>
      </c>
      <c r="G819" s="295"/>
      <c r="H819" s="299"/>
      <c r="I819" s="295"/>
      <c r="J819" s="295"/>
    </row>
    <row r="820" spans="1:10" s="275" customFormat="1" ht="14" thickBot="1" x14ac:dyDescent="0.2">
      <c r="A820" s="591"/>
      <c r="B820" s="591"/>
      <c r="C820" s="291" t="s">
        <v>1653</v>
      </c>
      <c r="D820" s="287"/>
      <c r="E820" s="638">
        <f>SUM(E792:E819)</f>
        <v>86554.2</v>
      </c>
      <c r="F820" s="620">
        <v>13516.040000000003</v>
      </c>
      <c r="H820" s="636"/>
      <c r="J820" s="646">
        <f>F820/E820</f>
        <v>0.15615695136688923</v>
      </c>
    </row>
    <row r="821" spans="1:10" s="275" customFormat="1" ht="14" thickTop="1" x14ac:dyDescent="0.15">
      <c r="A821" s="640"/>
      <c r="B821" s="640"/>
      <c r="C821" s="295"/>
      <c r="D821" s="295"/>
      <c r="E821" s="296"/>
      <c r="F821" s="298"/>
    </row>
    <row r="822" spans="1:10" s="275" customFormat="1" x14ac:dyDescent="0.15">
      <c r="A822" s="640"/>
      <c r="B822" s="640"/>
      <c r="C822" s="299" t="s">
        <v>1594</v>
      </c>
      <c r="D822" s="295"/>
      <c r="E822" s="296"/>
      <c r="F822" s="298"/>
    </row>
    <row r="823" spans="1:10" s="275" customFormat="1" x14ac:dyDescent="0.15">
      <c r="A823" s="640"/>
      <c r="B823" s="640"/>
      <c r="C823" s="293" t="s">
        <v>1446</v>
      </c>
      <c r="D823" s="295"/>
      <c r="E823" s="296"/>
      <c r="F823" s="298"/>
    </row>
    <row r="824" spans="1:10" s="275" customFormat="1" x14ac:dyDescent="0.15">
      <c r="A824" s="640"/>
      <c r="B824" s="640"/>
      <c r="C824" s="386">
        <v>41438</v>
      </c>
      <c r="D824" s="295"/>
      <c r="E824" s="296"/>
      <c r="F824" s="298"/>
    </row>
    <row r="825" spans="1:10" s="275" customFormat="1" x14ac:dyDescent="0.15">
      <c r="A825" s="640"/>
      <c r="B825" s="640"/>
      <c r="C825" s="295"/>
      <c r="D825" s="295"/>
      <c r="E825" s="296"/>
      <c r="F825" s="298"/>
    </row>
    <row r="826" spans="1:10" s="275" customFormat="1" x14ac:dyDescent="0.15">
      <c r="A826" s="640" t="s">
        <v>1556</v>
      </c>
      <c r="B826" s="640" t="s">
        <v>1631</v>
      </c>
      <c r="C826" s="295" t="s">
        <v>1248</v>
      </c>
      <c r="D826" s="295" t="s">
        <v>1482</v>
      </c>
      <c r="E826" s="642">
        <v>3472</v>
      </c>
      <c r="F826" s="482">
        <v>618.04</v>
      </c>
      <c r="G826" s="295"/>
      <c r="H826" s="295"/>
      <c r="I826" s="295"/>
      <c r="J826" s="295"/>
    </row>
    <row r="827" spans="1:10" s="275" customFormat="1" x14ac:dyDescent="0.15">
      <c r="A827" s="591" t="s">
        <v>1557</v>
      </c>
      <c r="B827" s="591" t="s">
        <v>1632</v>
      </c>
      <c r="C827" s="287" t="s">
        <v>1477</v>
      </c>
      <c r="D827" s="287" t="s">
        <v>1289</v>
      </c>
      <c r="E827" s="642">
        <v>7320</v>
      </c>
      <c r="F827" s="482">
        <v>1171.8699999999999</v>
      </c>
      <c r="G827" s="295"/>
      <c r="H827" s="295"/>
      <c r="I827" s="295"/>
      <c r="J827" s="295"/>
    </row>
    <row r="828" spans="1:10" s="275" customFormat="1" x14ac:dyDescent="0.15">
      <c r="A828" s="591" t="s">
        <v>1558</v>
      </c>
      <c r="B828" s="591" t="s">
        <v>1633</v>
      </c>
      <c r="C828" s="287" t="s">
        <v>1469</v>
      </c>
      <c r="D828" s="287" t="s">
        <v>1470</v>
      </c>
      <c r="E828" s="642">
        <v>6320</v>
      </c>
      <c r="F828" s="482">
        <v>1023.29</v>
      </c>
      <c r="G828" s="295"/>
      <c r="H828" s="295"/>
      <c r="I828" s="295"/>
      <c r="J828" s="295"/>
    </row>
    <row r="829" spans="1:10" s="275" customFormat="1" x14ac:dyDescent="0.15">
      <c r="A829" s="591" t="s">
        <v>1559</v>
      </c>
      <c r="B829" s="591" t="s">
        <v>1634</v>
      </c>
      <c r="C829" s="287" t="s">
        <v>1502</v>
      </c>
      <c r="D829" s="287" t="s">
        <v>1381</v>
      </c>
      <c r="E829" s="642">
        <v>15072</v>
      </c>
      <c r="F829" s="482">
        <v>1880.98</v>
      </c>
      <c r="G829" s="295"/>
      <c r="H829" s="295"/>
      <c r="I829" s="295"/>
      <c r="J829" s="295"/>
    </row>
    <row r="830" spans="1:10" s="275" customFormat="1" x14ac:dyDescent="0.15">
      <c r="A830" s="591" t="s">
        <v>1560</v>
      </c>
      <c r="B830" s="591" t="s">
        <v>1635</v>
      </c>
      <c r="C830" s="287" t="s">
        <v>1504</v>
      </c>
      <c r="D830" s="287" t="s">
        <v>1505</v>
      </c>
      <c r="E830" s="642">
        <v>1693</v>
      </c>
      <c r="F830" s="482">
        <v>264.14999999999998</v>
      </c>
      <c r="G830" s="295"/>
      <c r="H830" s="295"/>
      <c r="I830" s="295"/>
      <c r="J830" s="295"/>
    </row>
    <row r="831" spans="1:10" s="275" customFormat="1" x14ac:dyDescent="0.15">
      <c r="A831" s="591" t="s">
        <v>1561</v>
      </c>
      <c r="B831" s="591"/>
      <c r="C831" s="287" t="s">
        <v>1562</v>
      </c>
      <c r="D831" s="287" t="s">
        <v>1509</v>
      </c>
      <c r="E831" s="642">
        <v>0</v>
      </c>
      <c r="F831" s="482">
        <v>0</v>
      </c>
      <c r="G831" s="295"/>
      <c r="H831" s="295"/>
      <c r="I831" s="295"/>
      <c r="J831" s="295"/>
    </row>
    <row r="832" spans="1:10" s="275" customFormat="1" x14ac:dyDescent="0.15">
      <c r="A832" s="591" t="s">
        <v>1563</v>
      </c>
      <c r="B832" s="591"/>
      <c r="C832" s="287" t="s">
        <v>1267</v>
      </c>
      <c r="D832" s="287" t="s">
        <v>1268</v>
      </c>
      <c r="E832" s="642">
        <v>57.7</v>
      </c>
      <c r="F832" s="482">
        <v>10.75</v>
      </c>
      <c r="G832" s="295"/>
      <c r="H832" s="295"/>
      <c r="I832" s="295"/>
      <c r="J832" s="295"/>
    </row>
    <row r="833" spans="1:10" s="275" customFormat="1" x14ac:dyDescent="0.15">
      <c r="A833" s="591" t="s">
        <v>1564</v>
      </c>
      <c r="B833" s="591" t="s">
        <v>1636</v>
      </c>
      <c r="C833" s="287" t="s">
        <v>1485</v>
      </c>
      <c r="D833" s="287" t="s">
        <v>1486</v>
      </c>
      <c r="E833" s="642">
        <v>1280</v>
      </c>
      <c r="F833" s="482">
        <v>265.77999999999997</v>
      </c>
      <c r="G833" s="295"/>
      <c r="H833" s="295"/>
      <c r="I833" s="295"/>
      <c r="J833" s="295"/>
    </row>
    <row r="834" spans="1:10" s="275" customFormat="1" x14ac:dyDescent="0.15">
      <c r="A834" s="591" t="s">
        <v>1565</v>
      </c>
      <c r="B834" s="591" t="s">
        <v>1637</v>
      </c>
      <c r="C834" s="287" t="s">
        <v>1267</v>
      </c>
      <c r="D834" s="287" t="s">
        <v>1268</v>
      </c>
      <c r="E834" s="642">
        <v>2494</v>
      </c>
      <c r="F834" s="482">
        <v>416.95</v>
      </c>
      <c r="G834" s="295"/>
      <c r="H834" s="295"/>
      <c r="I834" s="295"/>
      <c r="J834" s="295"/>
    </row>
    <row r="835" spans="1:10" s="275" customFormat="1" x14ac:dyDescent="0.15">
      <c r="A835" s="591" t="s">
        <v>1569</v>
      </c>
      <c r="B835" s="591" t="s">
        <v>1638</v>
      </c>
      <c r="C835" s="287" t="s">
        <v>1464</v>
      </c>
      <c r="D835" s="287" t="s">
        <v>1285</v>
      </c>
      <c r="E835" s="642">
        <v>910</v>
      </c>
      <c r="F835" s="482">
        <v>220.16</v>
      </c>
      <c r="G835" s="295"/>
      <c r="H835" s="295"/>
      <c r="I835" s="295"/>
      <c r="J835" s="295"/>
    </row>
    <row r="836" spans="1:10" s="275" customFormat="1" x14ac:dyDescent="0.15">
      <c r="A836" s="591" t="s">
        <v>1570</v>
      </c>
      <c r="B836" s="591" t="s">
        <v>1639</v>
      </c>
      <c r="C836" s="287" t="s">
        <v>1472</v>
      </c>
      <c r="D836" s="287" t="s">
        <v>1473</v>
      </c>
      <c r="E836" s="642">
        <v>200</v>
      </c>
      <c r="F836" s="482">
        <v>50.67</v>
      </c>
      <c r="G836" s="295"/>
      <c r="H836" s="295"/>
      <c r="I836" s="295"/>
      <c r="J836" s="295"/>
    </row>
    <row r="837" spans="1:10" s="275" customFormat="1" x14ac:dyDescent="0.15">
      <c r="A837" s="591" t="s">
        <v>1571</v>
      </c>
      <c r="B837" s="591" t="s">
        <v>1640</v>
      </c>
      <c r="C837" s="287" t="s">
        <v>1489</v>
      </c>
      <c r="D837" s="287" t="s">
        <v>1490</v>
      </c>
      <c r="E837" s="642">
        <v>143</v>
      </c>
      <c r="F837" s="482">
        <v>44.77</v>
      </c>
      <c r="G837" s="295"/>
      <c r="H837" s="295"/>
      <c r="I837" s="295"/>
      <c r="J837" s="295"/>
    </row>
    <row r="838" spans="1:10" s="275" customFormat="1" x14ac:dyDescent="0.15">
      <c r="A838" s="591" t="s">
        <v>1572</v>
      </c>
      <c r="B838" s="591" t="s">
        <v>1641</v>
      </c>
      <c r="C838" s="287" t="s">
        <v>1271</v>
      </c>
      <c r="D838" s="287" t="s">
        <v>1272</v>
      </c>
      <c r="E838" s="642">
        <v>4564</v>
      </c>
      <c r="F838" s="482">
        <v>767.87</v>
      </c>
      <c r="G838" s="295"/>
      <c r="H838" s="295"/>
      <c r="I838" s="295"/>
      <c r="J838" s="295"/>
    </row>
    <row r="839" spans="1:10" s="275" customFormat="1" x14ac:dyDescent="0.15">
      <c r="A839" s="591" t="s">
        <v>1573</v>
      </c>
      <c r="B839" s="591"/>
      <c r="C839" s="287" t="s">
        <v>1461</v>
      </c>
      <c r="D839" s="287" t="s">
        <v>1462</v>
      </c>
      <c r="E839" s="642">
        <f>0.4+11.7+0.9</f>
        <v>13</v>
      </c>
      <c r="F839" s="482">
        <v>16.329999999999998</v>
      </c>
    </row>
    <row r="840" spans="1:10" s="275" customFormat="1" x14ac:dyDescent="0.15">
      <c r="A840" s="591" t="s">
        <v>1574</v>
      </c>
      <c r="B840" s="591" t="s">
        <v>1642</v>
      </c>
      <c r="C840" s="287" t="s">
        <v>1377</v>
      </c>
      <c r="D840" s="287" t="s">
        <v>1378</v>
      </c>
      <c r="E840" s="642">
        <v>1728</v>
      </c>
      <c r="F840" s="482">
        <v>297.32</v>
      </c>
    </row>
    <row r="841" spans="1:10" s="275" customFormat="1" x14ac:dyDescent="0.15">
      <c r="A841" s="591" t="s">
        <v>1575</v>
      </c>
      <c r="B841" s="591" t="s">
        <v>1643</v>
      </c>
      <c r="C841" s="287" t="s">
        <v>1448</v>
      </c>
      <c r="D841" s="287" t="s">
        <v>1449</v>
      </c>
      <c r="E841" s="642">
        <v>60</v>
      </c>
      <c r="F841" s="482">
        <v>15.43</v>
      </c>
      <c r="G841" s="295"/>
      <c r="H841" s="295"/>
      <c r="I841" s="295"/>
      <c r="J841" s="295"/>
    </row>
    <row r="842" spans="1:10" s="275" customFormat="1" x14ac:dyDescent="0.15">
      <c r="A842" s="591" t="s">
        <v>1576</v>
      </c>
      <c r="B842" s="591" t="s">
        <v>1644</v>
      </c>
      <c r="C842" s="287" t="s">
        <v>1401</v>
      </c>
      <c r="D842" s="287" t="s">
        <v>1316</v>
      </c>
      <c r="E842" s="642">
        <v>118</v>
      </c>
      <c r="F842" s="482">
        <v>42.89</v>
      </c>
      <c r="G842" s="295"/>
      <c r="H842" s="295"/>
      <c r="I842" s="295"/>
      <c r="J842" s="295"/>
    </row>
    <row r="843" spans="1:10" s="275" customFormat="1" x14ac:dyDescent="0.15">
      <c r="A843" s="640" t="s">
        <v>1577</v>
      </c>
      <c r="B843" s="640" t="s">
        <v>1645</v>
      </c>
      <c r="C843" s="295" t="s">
        <v>1395</v>
      </c>
      <c r="D843" s="295" t="s">
        <v>1396</v>
      </c>
      <c r="E843" s="642">
        <v>57</v>
      </c>
      <c r="F843" s="482">
        <v>14.97</v>
      </c>
      <c r="G843" s="295"/>
      <c r="H843" s="295"/>
      <c r="I843" s="295"/>
      <c r="J843" s="295"/>
    </row>
    <row r="844" spans="1:10" s="275" customFormat="1" x14ac:dyDescent="0.15">
      <c r="A844" s="591" t="s">
        <v>1578</v>
      </c>
      <c r="B844" s="591" t="s">
        <v>1646</v>
      </c>
      <c r="C844" s="287" t="s">
        <v>1579</v>
      </c>
      <c r="D844" s="287" t="s">
        <v>1497</v>
      </c>
      <c r="E844" s="642">
        <v>29</v>
      </c>
      <c r="F844" s="482">
        <v>32.979999999999997</v>
      </c>
      <c r="G844" s="295"/>
      <c r="H844" s="295"/>
      <c r="I844" s="295"/>
      <c r="J844" s="295"/>
    </row>
    <row r="845" spans="1:10" s="275" customFormat="1" x14ac:dyDescent="0.15">
      <c r="A845" s="640" t="s">
        <v>1580</v>
      </c>
      <c r="B845" s="640" t="s">
        <v>1647</v>
      </c>
      <c r="C845" s="295" t="s">
        <v>1451</v>
      </c>
      <c r="D845" s="295" t="s">
        <v>1452</v>
      </c>
      <c r="E845" s="642">
        <v>768</v>
      </c>
      <c r="F845" s="482">
        <v>131.57</v>
      </c>
      <c r="G845" s="295"/>
      <c r="H845" s="295"/>
      <c r="I845" s="295"/>
      <c r="J845" s="295"/>
    </row>
    <row r="846" spans="1:10" s="275" customFormat="1" x14ac:dyDescent="0.15">
      <c r="A846" s="591" t="s">
        <v>1581</v>
      </c>
      <c r="B846" s="591" t="s">
        <v>1648</v>
      </c>
      <c r="C846" s="287" t="s">
        <v>1521</v>
      </c>
      <c r="D846" s="287" t="s">
        <v>1229</v>
      </c>
      <c r="E846" s="642">
        <v>2427</v>
      </c>
      <c r="F846" s="482">
        <v>399.14</v>
      </c>
    </row>
    <row r="847" spans="1:10" s="275" customFormat="1" x14ac:dyDescent="0.15">
      <c r="A847" s="591" t="s">
        <v>1582</v>
      </c>
      <c r="B847" s="591" t="s">
        <v>1649</v>
      </c>
      <c r="C847" s="287" t="s">
        <v>1525</v>
      </c>
      <c r="D847" s="287" t="s">
        <v>1526</v>
      </c>
      <c r="E847" s="642">
        <v>9</v>
      </c>
      <c r="F847" s="482">
        <v>7.4</v>
      </c>
      <c r="G847" s="295"/>
      <c r="H847" s="645"/>
      <c r="I847" s="295"/>
      <c r="J847" s="295"/>
    </row>
    <row r="848" spans="1:10" s="275" customFormat="1" ht="15" thickBot="1" x14ac:dyDescent="0.2">
      <c r="A848" s="591" t="s">
        <v>1583</v>
      </c>
      <c r="B848" s="591" t="s">
        <v>1650</v>
      </c>
      <c r="C848" s="287" t="s">
        <v>1584</v>
      </c>
      <c r="D848" s="618" t="s">
        <v>1264</v>
      </c>
      <c r="E848" s="642">
        <v>1240</v>
      </c>
      <c r="F848" s="482">
        <v>261.64999999999998</v>
      </c>
      <c r="G848" s="295"/>
      <c r="H848" s="295"/>
      <c r="I848" s="295"/>
      <c r="J848" s="645"/>
    </row>
    <row r="849" spans="1:10" s="275" customFormat="1" x14ac:dyDescent="0.15">
      <c r="A849" s="591" t="s">
        <v>1610</v>
      </c>
      <c r="B849" s="591" t="s">
        <v>1651</v>
      </c>
      <c r="C849" s="287" t="s">
        <v>1568</v>
      </c>
      <c r="D849" s="287" t="s">
        <v>1457</v>
      </c>
      <c r="E849" s="642">
        <v>2863</v>
      </c>
      <c r="F849" s="482">
        <v>547.67999999999995</v>
      </c>
      <c r="H849" s="647" t="s">
        <v>1589</v>
      </c>
    </row>
    <row r="850" spans="1:10" s="275" customFormat="1" ht="14" thickBot="1" x14ac:dyDescent="0.2">
      <c r="A850" s="591"/>
      <c r="B850" s="591"/>
      <c r="C850" s="291" t="s">
        <v>1654</v>
      </c>
      <c r="D850" s="287"/>
      <c r="E850" s="643">
        <f>SUM(E826:E849)</f>
        <v>52837.7</v>
      </c>
      <c r="F850" s="620">
        <v>8502.64</v>
      </c>
      <c r="H850" s="648">
        <f>SUM(F820,F850)</f>
        <v>22018.68</v>
      </c>
      <c r="J850" s="646">
        <f>F850/E850</f>
        <v>0.16091994920293654</v>
      </c>
    </row>
    <row r="851" spans="1:10" s="275" customFormat="1" ht="14" thickTop="1" x14ac:dyDescent="0.15">
      <c r="A851" s="617"/>
      <c r="B851" s="617"/>
      <c r="E851" s="276"/>
      <c r="F851" s="278"/>
    </row>
    <row r="852" spans="1:10" s="275" customFormat="1" x14ac:dyDescent="0.15">
      <c r="A852" s="617"/>
      <c r="B852" s="617"/>
      <c r="C852" s="299" t="s">
        <v>1594</v>
      </c>
      <c r="E852" s="276"/>
      <c r="F852" s="278"/>
    </row>
    <row r="853" spans="1:10" s="275" customFormat="1" x14ac:dyDescent="0.15">
      <c r="A853" s="617"/>
      <c r="B853" s="617"/>
      <c r="C853" s="293" t="s">
        <v>1446</v>
      </c>
      <c r="E853" s="276"/>
      <c r="F853" s="278"/>
    </row>
    <row r="854" spans="1:10" s="275" customFormat="1" x14ac:dyDescent="0.15">
      <c r="A854" s="617"/>
      <c r="B854" s="617"/>
      <c r="C854" s="386">
        <v>41438</v>
      </c>
      <c r="E854" s="276"/>
      <c r="F854" s="278"/>
    </row>
    <row r="855" spans="1:10" s="275" customFormat="1" x14ac:dyDescent="0.15">
      <c r="A855" s="617"/>
      <c r="B855" s="617"/>
      <c r="E855" s="276"/>
      <c r="F855" s="278"/>
    </row>
    <row r="856" spans="1:10" s="295" customFormat="1" x14ac:dyDescent="0.15">
      <c r="A856" s="591" t="s">
        <v>1534</v>
      </c>
      <c r="B856" s="591" t="s">
        <v>1614</v>
      </c>
      <c r="C856" s="287" t="s">
        <v>1492</v>
      </c>
      <c r="D856" s="287" t="s">
        <v>1239</v>
      </c>
      <c r="E856" s="642">
        <f>449.8+12590.2</f>
        <v>13040</v>
      </c>
      <c r="F856" s="482">
        <v>1836.6200000000001</v>
      </c>
    </row>
    <row r="857" spans="1:10" s="295" customFormat="1" x14ac:dyDescent="0.15">
      <c r="A857" s="591" t="s">
        <v>1535</v>
      </c>
      <c r="B857" s="591" t="s">
        <v>1615</v>
      </c>
      <c r="C857" s="287" t="s">
        <v>1507</v>
      </c>
      <c r="D857" s="287" t="s">
        <v>1245</v>
      </c>
      <c r="E857" s="642">
        <f>91+2549</f>
        <v>2640</v>
      </c>
      <c r="F857" s="482">
        <v>460.03</v>
      </c>
    </row>
    <row r="858" spans="1:10" s="295" customFormat="1" x14ac:dyDescent="0.15">
      <c r="A858" s="591" t="s">
        <v>1536</v>
      </c>
      <c r="B858" s="591" t="s">
        <v>1616</v>
      </c>
      <c r="C858" s="287" t="s">
        <v>1479</v>
      </c>
      <c r="D858" s="287" t="s">
        <v>1231</v>
      </c>
      <c r="E858" s="642">
        <f>87.1+2437.9</f>
        <v>2525</v>
      </c>
      <c r="F858" s="482">
        <v>339.46000000000004</v>
      </c>
    </row>
    <row r="859" spans="1:10" s="295" customFormat="1" x14ac:dyDescent="0.15">
      <c r="A859" s="591" t="s">
        <v>1537</v>
      </c>
      <c r="B859" s="591" t="s">
        <v>1617</v>
      </c>
      <c r="C859" s="287" t="s">
        <v>1269</v>
      </c>
      <c r="D859" s="287" t="s">
        <v>1270</v>
      </c>
      <c r="E859" s="642">
        <f>55.1+1543.9</f>
        <v>1599</v>
      </c>
      <c r="F859" s="482">
        <v>248.55</v>
      </c>
    </row>
    <row r="860" spans="1:10" s="295" customFormat="1" x14ac:dyDescent="0.15">
      <c r="A860" s="640" t="s">
        <v>1538</v>
      </c>
      <c r="B860" s="640" t="s">
        <v>1618</v>
      </c>
      <c r="C860" s="295" t="s">
        <v>1517</v>
      </c>
      <c r="D860" s="295" t="s">
        <v>1518</v>
      </c>
      <c r="E860" s="642">
        <f>0.01+3.9</f>
        <v>3.9099999999999997</v>
      </c>
      <c r="F860" s="482">
        <v>30.41</v>
      </c>
    </row>
    <row r="861" spans="1:10" s="295" customFormat="1" x14ac:dyDescent="0.15">
      <c r="A861" s="591" t="s">
        <v>1539</v>
      </c>
      <c r="B861" s="591" t="s">
        <v>1619</v>
      </c>
      <c r="C861" s="287" t="s">
        <v>1405</v>
      </c>
      <c r="D861" s="287" t="s">
        <v>1280</v>
      </c>
      <c r="E861" s="642">
        <f>75.1+2324.9</f>
        <v>2400</v>
      </c>
      <c r="F861" s="482">
        <v>307.08</v>
      </c>
    </row>
    <row r="862" spans="1:10" s="295" customFormat="1" x14ac:dyDescent="0.15">
      <c r="A862" s="591" t="s">
        <v>1540</v>
      </c>
      <c r="B862" s="591" t="s">
        <v>1620</v>
      </c>
      <c r="C862" s="287" t="s">
        <v>1257</v>
      </c>
      <c r="D862" s="287" t="s">
        <v>1258</v>
      </c>
      <c r="E862" s="642">
        <f>609.9+17070.1</f>
        <v>17680</v>
      </c>
      <c r="F862" s="482">
        <v>2415.2800000000002</v>
      </c>
    </row>
    <row r="863" spans="1:10" s="295" customFormat="1" x14ac:dyDescent="0.15">
      <c r="A863" s="591" t="s">
        <v>1541</v>
      </c>
      <c r="B863" s="591" t="s">
        <v>1621</v>
      </c>
      <c r="C863" s="287" t="s">
        <v>1586</v>
      </c>
      <c r="D863" s="287" t="s">
        <v>1500</v>
      </c>
      <c r="E863" s="642">
        <f>131.1+3668.9</f>
        <v>3800</v>
      </c>
      <c r="F863" s="482">
        <v>573.95000000000005</v>
      </c>
    </row>
    <row r="864" spans="1:10" s="295" customFormat="1" x14ac:dyDescent="0.15">
      <c r="A864" s="591" t="s">
        <v>1542</v>
      </c>
      <c r="B864" s="591" t="s">
        <v>1622</v>
      </c>
      <c r="C864" s="287" t="s">
        <v>1240</v>
      </c>
      <c r="D864" s="287" t="s">
        <v>1467</v>
      </c>
      <c r="E864" s="642">
        <f>114.7+3212.3</f>
        <v>3327</v>
      </c>
      <c r="F864" s="482">
        <v>425.07</v>
      </c>
    </row>
    <row r="865" spans="1:6" s="295" customFormat="1" x14ac:dyDescent="0.15">
      <c r="A865" s="591" t="s">
        <v>1543</v>
      </c>
      <c r="B865" s="591" t="s">
        <v>1623</v>
      </c>
      <c r="C865" s="287" t="s">
        <v>1523</v>
      </c>
      <c r="D865" s="287" t="s">
        <v>1266</v>
      </c>
      <c r="E865" s="642">
        <f>16.5+462.5</f>
        <v>479</v>
      </c>
      <c r="F865" s="482">
        <v>124.83999999999999</v>
      </c>
    </row>
    <row r="866" spans="1:6" s="295" customFormat="1" x14ac:dyDescent="0.15">
      <c r="A866" s="591" t="s">
        <v>1544</v>
      </c>
      <c r="B866" s="591" t="s">
        <v>1624</v>
      </c>
      <c r="C866" s="287" t="s">
        <v>1234</v>
      </c>
      <c r="D866" s="287" t="s">
        <v>1494</v>
      </c>
      <c r="E866" s="642">
        <f>142.8+3999.2</f>
        <v>4142</v>
      </c>
      <c r="F866" s="482">
        <v>675.87</v>
      </c>
    </row>
    <row r="867" spans="1:6" s="295" customFormat="1" x14ac:dyDescent="0.15">
      <c r="A867" s="591" t="s">
        <v>1601</v>
      </c>
      <c r="B867" s="591"/>
      <c r="C867" s="287" t="s">
        <v>1334</v>
      </c>
      <c r="D867" s="287" t="s">
        <v>1462</v>
      </c>
      <c r="E867" s="642">
        <f>990.9+1274</f>
        <v>2264.9</v>
      </c>
      <c r="F867" s="482">
        <v>480.89</v>
      </c>
    </row>
    <row r="868" spans="1:6" s="295" customFormat="1" x14ac:dyDescent="0.15">
      <c r="A868" s="591" t="s">
        <v>1545</v>
      </c>
      <c r="B868" s="591"/>
      <c r="C868" s="287" t="s">
        <v>1234</v>
      </c>
      <c r="D868" s="287" t="s">
        <v>1494</v>
      </c>
      <c r="E868" s="642">
        <f>1.8+49.9</f>
        <v>51.699999999999996</v>
      </c>
      <c r="F868" s="482">
        <v>13.930000000000001</v>
      </c>
    </row>
    <row r="869" spans="1:6" s="295" customFormat="1" x14ac:dyDescent="0.15">
      <c r="A869" s="591" t="s">
        <v>1602</v>
      </c>
      <c r="B869" s="591"/>
      <c r="C869" s="287" t="s">
        <v>1334</v>
      </c>
      <c r="D869" s="287" t="s">
        <v>1462</v>
      </c>
      <c r="E869" s="642">
        <f>55.4+71.2</f>
        <v>126.6</v>
      </c>
      <c r="F869" s="482">
        <v>39.5</v>
      </c>
    </row>
    <row r="870" spans="1:6" s="295" customFormat="1" x14ac:dyDescent="0.15">
      <c r="A870" s="591" t="s">
        <v>1546</v>
      </c>
      <c r="B870" s="591"/>
      <c r="C870" s="287" t="s">
        <v>1586</v>
      </c>
      <c r="D870" s="287" t="s">
        <v>1500</v>
      </c>
      <c r="E870" s="642">
        <f>2+57.2</f>
        <v>59.2</v>
      </c>
      <c r="F870" s="482">
        <v>23.77</v>
      </c>
    </row>
    <row r="871" spans="1:6" s="295" customFormat="1" x14ac:dyDescent="0.15">
      <c r="A871" s="591" t="s">
        <v>1547</v>
      </c>
      <c r="B871" s="591"/>
      <c r="C871" s="287" t="s">
        <v>1286</v>
      </c>
      <c r="D871" s="287" t="s">
        <v>1514</v>
      </c>
      <c r="E871" s="642">
        <f>151.2+5</f>
        <v>156.19999999999999</v>
      </c>
      <c r="F871" s="482">
        <v>43.08</v>
      </c>
    </row>
    <row r="872" spans="1:6" s="295" customFormat="1" x14ac:dyDescent="0.15">
      <c r="A872" s="591" t="s">
        <v>1548</v>
      </c>
      <c r="B872" s="591"/>
      <c r="C872" s="287" t="s">
        <v>1235</v>
      </c>
      <c r="D872" s="287" t="s">
        <v>1236</v>
      </c>
      <c r="E872" s="642">
        <v>0</v>
      </c>
      <c r="F872" s="482">
        <v>0</v>
      </c>
    </row>
    <row r="873" spans="1:6" s="295" customFormat="1" x14ac:dyDescent="0.15">
      <c r="A873" s="591" t="s">
        <v>1549</v>
      </c>
      <c r="B873" s="591" t="s">
        <v>1625</v>
      </c>
      <c r="C873" s="287" t="s">
        <v>1459</v>
      </c>
      <c r="D873" s="287" t="s">
        <v>1251</v>
      </c>
      <c r="E873" s="642">
        <f>33.2+931.8</f>
        <v>965</v>
      </c>
      <c r="F873" s="482">
        <v>186.3</v>
      </c>
    </row>
    <row r="874" spans="1:6" s="295" customFormat="1" x14ac:dyDescent="0.15">
      <c r="A874" s="591" t="s">
        <v>1603</v>
      </c>
      <c r="B874" s="591"/>
      <c r="C874" s="287" t="s">
        <v>1334</v>
      </c>
      <c r="D874" s="287" t="s">
        <v>1462</v>
      </c>
      <c r="E874" s="642">
        <f>414.7+533.2</f>
        <v>947.90000000000009</v>
      </c>
      <c r="F874" s="482">
        <v>217.78</v>
      </c>
    </row>
    <row r="875" spans="1:6" s="295" customFormat="1" x14ac:dyDescent="0.15">
      <c r="A875" s="591" t="s">
        <v>1597</v>
      </c>
      <c r="B875" s="591" t="s">
        <v>1626</v>
      </c>
      <c r="C875" s="287" t="s">
        <v>1454</v>
      </c>
      <c r="D875" s="287" t="s">
        <v>1247</v>
      </c>
      <c r="E875" s="642">
        <f>69+1931</f>
        <v>2000</v>
      </c>
      <c r="F875" s="482">
        <v>335.72</v>
      </c>
    </row>
    <row r="876" spans="1:6" s="295" customFormat="1" x14ac:dyDescent="0.15">
      <c r="A876" s="591" t="s">
        <v>1604</v>
      </c>
      <c r="B876" s="591"/>
      <c r="C876" s="287" t="s">
        <v>1334</v>
      </c>
      <c r="D876" s="287" t="s">
        <v>1462</v>
      </c>
      <c r="E876" s="642">
        <f>51.8+66.6</f>
        <v>118.39999999999999</v>
      </c>
      <c r="F876" s="482">
        <v>44.04</v>
      </c>
    </row>
    <row r="877" spans="1:6" s="295" customFormat="1" x14ac:dyDescent="0.15">
      <c r="A877" s="591" t="s">
        <v>1551</v>
      </c>
      <c r="B877" s="591" t="s">
        <v>1627</v>
      </c>
      <c r="C877" s="287" t="s">
        <v>1235</v>
      </c>
      <c r="D877" s="287" t="s">
        <v>1236</v>
      </c>
      <c r="E877" s="642">
        <f>193.3+5411.7</f>
        <v>5605</v>
      </c>
      <c r="F877" s="482">
        <v>778.57999999999993</v>
      </c>
    </row>
    <row r="878" spans="1:6" s="295" customFormat="1" x14ac:dyDescent="0.15">
      <c r="A878" s="591" t="s">
        <v>1553</v>
      </c>
      <c r="B878" s="591" t="s">
        <v>1628</v>
      </c>
      <c r="C878" s="287" t="s">
        <v>1475</v>
      </c>
      <c r="D878" s="287" t="s">
        <v>1387</v>
      </c>
      <c r="E878" s="642">
        <f>41+1150</f>
        <v>1191</v>
      </c>
      <c r="F878" s="482">
        <v>196.04</v>
      </c>
    </row>
    <row r="879" spans="1:6" s="295" customFormat="1" x14ac:dyDescent="0.15">
      <c r="A879" s="591" t="s">
        <v>1554</v>
      </c>
      <c r="B879" s="591" t="s">
        <v>1629</v>
      </c>
      <c r="C879" s="287" t="s">
        <v>1399</v>
      </c>
      <c r="D879" s="287" t="s">
        <v>1276</v>
      </c>
      <c r="E879" s="642">
        <f>149+4171</f>
        <v>4320</v>
      </c>
      <c r="F879" s="482">
        <v>618.20999999999992</v>
      </c>
    </row>
    <row r="880" spans="1:6" s="295" customFormat="1" x14ac:dyDescent="0.15">
      <c r="A880" s="591" t="s">
        <v>1605</v>
      </c>
      <c r="B880" s="591"/>
      <c r="C880" s="287" t="s">
        <v>1334</v>
      </c>
      <c r="D880" s="287" t="s">
        <v>1462</v>
      </c>
      <c r="E880" s="642">
        <f>189+243</f>
        <v>432</v>
      </c>
      <c r="F880" s="482">
        <v>160.13</v>
      </c>
    </row>
    <row r="881" spans="1:10" s="295" customFormat="1" x14ac:dyDescent="0.15">
      <c r="A881" s="591" t="s">
        <v>1552</v>
      </c>
      <c r="B881" s="591"/>
      <c r="C881" s="287" t="s">
        <v>1286</v>
      </c>
      <c r="D881" s="287" t="s">
        <v>1514</v>
      </c>
      <c r="E881" s="642">
        <v>0</v>
      </c>
      <c r="F881" s="482">
        <v>0</v>
      </c>
    </row>
    <row r="882" spans="1:10" s="295" customFormat="1" x14ac:dyDescent="0.15">
      <c r="A882" s="591" t="s">
        <v>1598</v>
      </c>
      <c r="B882" s="591"/>
      <c r="C882" s="287" t="s">
        <v>1586</v>
      </c>
      <c r="D882" s="287" t="s">
        <v>1500</v>
      </c>
      <c r="E882" s="642">
        <f>1+28.6</f>
        <v>29.6</v>
      </c>
      <c r="F882" s="482">
        <v>14.45</v>
      </c>
      <c r="H882" s="645"/>
    </row>
    <row r="883" spans="1:10" s="295" customFormat="1" x14ac:dyDescent="0.15">
      <c r="A883" s="591" t="s">
        <v>1606</v>
      </c>
      <c r="B883" s="591"/>
      <c r="C883" s="287" t="s">
        <v>1334</v>
      </c>
      <c r="D883" s="287" t="s">
        <v>1462</v>
      </c>
      <c r="E883" s="642">
        <f>22.6+29.1</f>
        <v>51.7</v>
      </c>
      <c r="F883" s="482">
        <v>10.370000000000001</v>
      </c>
      <c r="H883" s="299"/>
    </row>
    <row r="884" spans="1:10" s="275" customFormat="1" ht="14" thickBot="1" x14ac:dyDescent="0.2">
      <c r="A884" s="591"/>
      <c r="B884" s="591"/>
      <c r="C884" s="291" t="s">
        <v>1655</v>
      </c>
      <c r="D884" s="287"/>
      <c r="E884" s="638">
        <f>SUM(E856:E883)</f>
        <v>69955.11</v>
      </c>
      <c r="F884" s="620">
        <v>10599.95</v>
      </c>
      <c r="H884" s="636"/>
      <c r="J884" s="646">
        <f>F884/E884</f>
        <v>0.15152502797865661</v>
      </c>
    </row>
    <row r="885" spans="1:10" s="275" customFormat="1" ht="14" thickTop="1" x14ac:dyDescent="0.15">
      <c r="A885" s="640"/>
      <c r="B885" s="640"/>
      <c r="C885" s="295"/>
      <c r="D885" s="295"/>
      <c r="E885" s="296"/>
      <c r="F885" s="298"/>
    </row>
    <row r="886" spans="1:10" s="275" customFormat="1" x14ac:dyDescent="0.15">
      <c r="A886" s="640"/>
      <c r="B886" s="640"/>
      <c r="C886" s="299" t="s">
        <v>1594</v>
      </c>
      <c r="D886" s="295"/>
      <c r="E886" s="296"/>
      <c r="F886" s="298"/>
    </row>
    <row r="887" spans="1:10" s="275" customFormat="1" x14ac:dyDescent="0.15">
      <c r="A887" s="640"/>
      <c r="B887" s="640"/>
      <c r="C887" s="293" t="s">
        <v>1446</v>
      </c>
      <c r="D887" s="295"/>
      <c r="E887" s="296"/>
      <c r="F887" s="298"/>
    </row>
    <row r="888" spans="1:10" s="275" customFormat="1" x14ac:dyDescent="0.15">
      <c r="A888" s="640"/>
      <c r="B888" s="640"/>
      <c r="C888" s="386">
        <v>41463</v>
      </c>
      <c r="D888" s="295"/>
      <c r="E888" s="296"/>
      <c r="F888" s="298"/>
    </row>
    <row r="889" spans="1:10" s="275" customFormat="1" x14ac:dyDescent="0.15">
      <c r="A889" s="640"/>
      <c r="B889" s="640"/>
      <c r="C889" s="295"/>
      <c r="D889" s="295"/>
      <c r="E889" s="296"/>
      <c r="F889" s="298"/>
    </row>
    <row r="890" spans="1:10" s="295" customFormat="1" x14ac:dyDescent="0.15">
      <c r="A890" s="640" t="s">
        <v>1556</v>
      </c>
      <c r="B890" s="640" t="s">
        <v>1631</v>
      </c>
      <c r="C890" s="295" t="s">
        <v>1248</v>
      </c>
      <c r="D890" s="295" t="s">
        <v>1482</v>
      </c>
      <c r="E890" s="642">
        <f>120.4+3370.6</f>
        <v>3491</v>
      </c>
      <c r="F890" s="482">
        <v>584.58000000000004</v>
      </c>
    </row>
    <row r="891" spans="1:10" s="295" customFormat="1" x14ac:dyDescent="0.15">
      <c r="A891" s="591" t="s">
        <v>1557</v>
      </c>
      <c r="B891" s="591" t="s">
        <v>1632</v>
      </c>
      <c r="C891" s="287" t="s">
        <v>1477</v>
      </c>
      <c r="D891" s="287" t="s">
        <v>1289</v>
      </c>
      <c r="E891" s="642">
        <f>299.4+8380.6</f>
        <v>8680</v>
      </c>
      <c r="F891" s="482">
        <v>1320.6999999999998</v>
      </c>
    </row>
    <row r="892" spans="1:10" s="295" customFormat="1" x14ac:dyDescent="0.15">
      <c r="A892" s="591" t="s">
        <v>1558</v>
      </c>
      <c r="B892" s="591" t="s">
        <v>1633</v>
      </c>
      <c r="C892" s="287" t="s">
        <v>1469</v>
      </c>
      <c r="D892" s="287" t="s">
        <v>1470</v>
      </c>
      <c r="E892" s="642">
        <f>245.6+6874.4</f>
        <v>7120</v>
      </c>
      <c r="F892" s="482">
        <v>1070.8100000000002</v>
      </c>
    </row>
    <row r="893" spans="1:10" s="295" customFormat="1" x14ac:dyDescent="0.15">
      <c r="A893" s="591" t="s">
        <v>1559</v>
      </c>
      <c r="B893" s="591" t="s">
        <v>1634</v>
      </c>
      <c r="C893" s="287" t="s">
        <v>1502</v>
      </c>
      <c r="D893" s="287" t="s">
        <v>1381</v>
      </c>
      <c r="E893" s="642">
        <f>556.4+15571.6</f>
        <v>16128</v>
      </c>
      <c r="F893" s="482">
        <v>2062.87</v>
      </c>
    </row>
    <row r="894" spans="1:10" s="295" customFormat="1" x14ac:dyDescent="0.15">
      <c r="A894" s="591" t="s">
        <v>1560</v>
      </c>
      <c r="B894" s="591" t="s">
        <v>1635</v>
      </c>
      <c r="C894" s="287" t="s">
        <v>1504</v>
      </c>
      <c r="D894" s="287" t="s">
        <v>1505</v>
      </c>
      <c r="E894" s="642">
        <f>66.8+1870.2</f>
        <v>1937</v>
      </c>
      <c r="F894" s="482">
        <v>295.40999999999997</v>
      </c>
    </row>
    <row r="895" spans="1:10" s="295" customFormat="1" x14ac:dyDescent="0.15">
      <c r="A895" s="591" t="s">
        <v>1561</v>
      </c>
      <c r="B895" s="591"/>
      <c r="C895" s="287" t="s">
        <v>1562</v>
      </c>
      <c r="D895" s="287" t="s">
        <v>1509</v>
      </c>
      <c r="E895" s="642">
        <v>0</v>
      </c>
      <c r="F895" s="482">
        <v>0</v>
      </c>
    </row>
    <row r="896" spans="1:10" s="295" customFormat="1" x14ac:dyDescent="0.15">
      <c r="A896" s="591" t="s">
        <v>1563</v>
      </c>
      <c r="B896" s="591"/>
      <c r="C896" s="287" t="s">
        <v>1267</v>
      </c>
      <c r="D896" s="287" t="s">
        <v>1268</v>
      </c>
      <c r="E896" s="642">
        <f>1.8+49.9</f>
        <v>51.699999999999996</v>
      </c>
      <c r="F896" s="482">
        <v>10.52</v>
      </c>
    </row>
    <row r="897" spans="1:10" s="295" customFormat="1" x14ac:dyDescent="0.15">
      <c r="A897" s="591" t="s">
        <v>1564</v>
      </c>
      <c r="B897" s="591" t="s">
        <v>1636</v>
      </c>
      <c r="C897" s="287" t="s">
        <v>1485</v>
      </c>
      <c r="D897" s="287" t="s">
        <v>1486</v>
      </c>
      <c r="E897" s="642">
        <f>51+1429</f>
        <v>1480</v>
      </c>
      <c r="F897" s="482">
        <v>325.63</v>
      </c>
    </row>
    <row r="898" spans="1:10" s="295" customFormat="1" x14ac:dyDescent="0.15">
      <c r="A898" s="591" t="s">
        <v>1565</v>
      </c>
      <c r="B898" s="591" t="s">
        <v>1637</v>
      </c>
      <c r="C898" s="287" t="s">
        <v>1267</v>
      </c>
      <c r="D898" s="287" t="s">
        <v>1268</v>
      </c>
      <c r="E898" s="642">
        <f>109.9+3076.1</f>
        <v>3186</v>
      </c>
      <c r="F898" s="482">
        <v>524.35</v>
      </c>
    </row>
    <row r="899" spans="1:10" s="295" customFormat="1" x14ac:dyDescent="0.15">
      <c r="A899" s="591" t="s">
        <v>1569</v>
      </c>
      <c r="B899" s="591" t="s">
        <v>1638</v>
      </c>
      <c r="C899" s="287" t="s">
        <v>1464</v>
      </c>
      <c r="D899" s="287" t="s">
        <v>1285</v>
      </c>
      <c r="E899" s="642">
        <f>46.1+1291.9</f>
        <v>1338</v>
      </c>
      <c r="F899" s="482">
        <v>277.53999999999996</v>
      </c>
    </row>
    <row r="900" spans="1:10" s="295" customFormat="1" x14ac:dyDescent="0.15">
      <c r="A900" s="591" t="s">
        <v>1570</v>
      </c>
      <c r="B900" s="591" t="s">
        <v>1639</v>
      </c>
      <c r="C900" s="287" t="s">
        <v>1472</v>
      </c>
      <c r="D900" s="287" t="s">
        <v>1473</v>
      </c>
      <c r="E900" s="642">
        <f>4.5+127.5</f>
        <v>132</v>
      </c>
      <c r="F900" s="482">
        <v>42.98</v>
      </c>
    </row>
    <row r="901" spans="1:10" s="295" customFormat="1" x14ac:dyDescent="0.15">
      <c r="A901" s="591" t="s">
        <v>1571</v>
      </c>
      <c r="B901" s="591" t="s">
        <v>1640</v>
      </c>
      <c r="C901" s="287" t="s">
        <v>1489</v>
      </c>
      <c r="D901" s="287" t="s">
        <v>1490</v>
      </c>
      <c r="E901" s="642">
        <f>4.4+123.6</f>
        <v>128</v>
      </c>
      <c r="F901" s="482">
        <v>42.57</v>
      </c>
    </row>
    <row r="902" spans="1:10" s="295" customFormat="1" x14ac:dyDescent="0.15">
      <c r="A902" s="591" t="s">
        <v>1572</v>
      </c>
      <c r="B902" s="591" t="s">
        <v>1641</v>
      </c>
      <c r="C902" s="287" t="s">
        <v>1271</v>
      </c>
      <c r="D902" s="287" t="s">
        <v>1272</v>
      </c>
      <c r="E902" s="642">
        <f>196.5+5499.5</f>
        <v>5696</v>
      </c>
      <c r="F902" s="482">
        <v>855.8</v>
      </c>
    </row>
    <row r="903" spans="1:10" s="295" customFormat="1" x14ac:dyDescent="0.15">
      <c r="A903" s="591" t="s">
        <v>1573</v>
      </c>
      <c r="B903" s="591"/>
      <c r="C903" s="287" t="s">
        <v>1461</v>
      </c>
      <c r="D903" s="287" t="s">
        <v>1462</v>
      </c>
      <c r="E903" s="642">
        <f>12.6+0.4</f>
        <v>13</v>
      </c>
      <c r="F903" s="482">
        <v>16.25</v>
      </c>
    </row>
    <row r="904" spans="1:10" s="295" customFormat="1" x14ac:dyDescent="0.15">
      <c r="A904" s="591" t="s">
        <v>1574</v>
      </c>
      <c r="B904" s="591" t="s">
        <v>1642</v>
      </c>
      <c r="C904" s="287" t="s">
        <v>1377</v>
      </c>
      <c r="D904" s="287" t="s">
        <v>1378</v>
      </c>
      <c r="E904" s="642">
        <f>77.6+2173.4</f>
        <v>2251</v>
      </c>
      <c r="F904" s="482">
        <v>353.52</v>
      </c>
    </row>
    <row r="905" spans="1:10" s="295" customFormat="1" x14ac:dyDescent="0.15">
      <c r="A905" s="591" t="s">
        <v>1575</v>
      </c>
      <c r="B905" s="591" t="s">
        <v>1643</v>
      </c>
      <c r="C905" s="287" t="s">
        <v>1448</v>
      </c>
      <c r="D905" s="287" t="s">
        <v>1449</v>
      </c>
      <c r="E905" s="642">
        <f>2.1+59.9</f>
        <v>62</v>
      </c>
      <c r="F905" s="482">
        <v>15.58</v>
      </c>
    </row>
    <row r="906" spans="1:10" s="295" customFormat="1" x14ac:dyDescent="0.15">
      <c r="A906" s="591" t="s">
        <v>1576</v>
      </c>
      <c r="B906" s="591" t="s">
        <v>1644</v>
      </c>
      <c r="C906" s="287" t="s">
        <v>1401</v>
      </c>
      <c r="D906" s="287" t="s">
        <v>1316</v>
      </c>
      <c r="E906" s="642">
        <f>3.7+106.3</f>
        <v>110</v>
      </c>
      <c r="F906" s="482">
        <v>41.41</v>
      </c>
    </row>
    <row r="907" spans="1:10" s="295" customFormat="1" x14ac:dyDescent="0.15">
      <c r="A907" s="640" t="s">
        <v>1577</v>
      </c>
      <c r="B907" s="640" t="s">
        <v>1645</v>
      </c>
      <c r="C907" s="295" t="s">
        <v>1395</v>
      </c>
      <c r="D907" s="295" t="s">
        <v>1396</v>
      </c>
      <c r="E907" s="642">
        <f>1.8+51.2</f>
        <v>53</v>
      </c>
      <c r="F907" s="482">
        <v>14.190000000000001</v>
      </c>
    </row>
    <row r="908" spans="1:10" s="295" customFormat="1" x14ac:dyDescent="0.15">
      <c r="A908" s="591" t="s">
        <v>1578</v>
      </c>
      <c r="B908" s="591" t="s">
        <v>1646</v>
      </c>
      <c r="C908" s="287" t="s">
        <v>1579</v>
      </c>
      <c r="D908" s="287" t="s">
        <v>1497</v>
      </c>
      <c r="E908" s="642">
        <f>5.4+0.6</f>
        <v>6</v>
      </c>
      <c r="F908" s="482">
        <v>30.599999999999998</v>
      </c>
    </row>
    <row r="909" spans="1:10" s="295" customFormat="1" x14ac:dyDescent="0.15">
      <c r="A909" s="640" t="s">
        <v>1580</v>
      </c>
      <c r="B909" s="640" t="s">
        <v>1647</v>
      </c>
      <c r="C909" s="295" t="s">
        <v>1451</v>
      </c>
      <c r="D909" s="295" t="s">
        <v>1452</v>
      </c>
      <c r="E909" s="642">
        <f>26.4+741.6</f>
        <v>768</v>
      </c>
      <c r="F909" s="482">
        <v>112.27</v>
      </c>
    </row>
    <row r="910" spans="1:10" s="295" customFormat="1" x14ac:dyDescent="0.15">
      <c r="A910" s="591" t="s">
        <v>1581</v>
      </c>
      <c r="B910" s="591" t="s">
        <v>1648</v>
      </c>
      <c r="C910" s="287" t="s">
        <v>1521</v>
      </c>
      <c r="D910" s="287" t="s">
        <v>1229</v>
      </c>
      <c r="E910" s="642">
        <f>62.9+1763.1</f>
        <v>1826</v>
      </c>
      <c r="F910" s="482">
        <v>277.64999999999998</v>
      </c>
    </row>
    <row r="911" spans="1:10" s="295" customFormat="1" x14ac:dyDescent="0.15">
      <c r="A911" s="591" t="s">
        <v>1582</v>
      </c>
      <c r="B911" s="591" t="s">
        <v>1649</v>
      </c>
      <c r="C911" s="287" t="s">
        <v>1525</v>
      </c>
      <c r="D911" s="287" t="s">
        <v>1526</v>
      </c>
      <c r="E911" s="642">
        <f>0.2+7.8</f>
        <v>8</v>
      </c>
      <c r="F911" s="482">
        <v>7.2100000000000009</v>
      </c>
      <c r="H911" s="645"/>
    </row>
    <row r="912" spans="1:10" s="295" customFormat="1" ht="15" thickBot="1" x14ac:dyDescent="0.2">
      <c r="A912" s="591" t="s">
        <v>1583</v>
      </c>
      <c r="B912" s="591" t="s">
        <v>1650</v>
      </c>
      <c r="C912" s="287" t="s">
        <v>1584</v>
      </c>
      <c r="D912" s="618" t="s">
        <v>1264</v>
      </c>
      <c r="E912" s="642">
        <f>49.6+1390.4</f>
        <v>1440</v>
      </c>
      <c r="F912" s="482">
        <v>294.38</v>
      </c>
      <c r="J912" s="645"/>
    </row>
    <row r="913" spans="1:10" s="295" customFormat="1" x14ac:dyDescent="0.15">
      <c r="A913" s="591" t="s">
        <v>1610</v>
      </c>
      <c r="B913" s="591" t="s">
        <v>1651</v>
      </c>
      <c r="C913" s="287" t="s">
        <v>1568</v>
      </c>
      <c r="D913" s="287" t="s">
        <v>1457</v>
      </c>
      <c r="E913" s="642">
        <f>48+817</f>
        <v>865</v>
      </c>
      <c r="F913" s="482">
        <v>144.10999999999999</v>
      </c>
      <c r="H913" s="647" t="s">
        <v>1589</v>
      </c>
    </row>
    <row r="914" spans="1:10" s="275" customFormat="1" ht="14" thickBot="1" x14ac:dyDescent="0.2">
      <c r="A914" s="591"/>
      <c r="B914" s="591"/>
      <c r="C914" s="291" t="s">
        <v>1656</v>
      </c>
      <c r="D914" s="287"/>
      <c r="E914" s="643">
        <f>SUM(E890:E913)</f>
        <v>56769.7</v>
      </c>
      <c r="F914" s="620">
        <v>8720.93</v>
      </c>
      <c r="H914" s="648">
        <f>SUM(F884,F914)</f>
        <v>19320.88</v>
      </c>
      <c r="J914" s="646">
        <f>F914/E914</f>
        <v>0.15361944840293326</v>
      </c>
    </row>
    <row r="915" spans="1:10" s="275" customFormat="1" ht="14" thickTop="1" x14ac:dyDescent="0.15">
      <c r="A915" s="617"/>
      <c r="B915" s="617"/>
      <c r="E915" s="276"/>
      <c r="F915" s="278"/>
    </row>
    <row r="916" spans="1:10" s="275" customFormat="1" x14ac:dyDescent="0.15">
      <c r="A916" s="617"/>
      <c r="B916" s="617"/>
      <c r="C916" s="299" t="s">
        <v>1594</v>
      </c>
      <c r="E916" s="276"/>
      <c r="F916" s="278"/>
    </row>
    <row r="917" spans="1:10" s="275" customFormat="1" x14ac:dyDescent="0.15">
      <c r="A917" s="617"/>
      <c r="B917" s="617"/>
      <c r="C917" s="293" t="s">
        <v>1446</v>
      </c>
      <c r="E917" s="276"/>
      <c r="F917" s="278"/>
    </row>
    <row r="918" spans="1:10" s="275" customFormat="1" x14ac:dyDescent="0.15">
      <c r="A918" s="617"/>
      <c r="B918" s="617"/>
      <c r="C918" s="386">
        <v>41463</v>
      </c>
      <c r="E918" s="276"/>
      <c r="F918" s="278"/>
    </row>
    <row r="919" spans="1:10" ht="14" thickBot="1" x14ac:dyDescent="0.2"/>
    <row r="920" spans="1:10" s="275" customFormat="1" ht="31" thickBot="1" x14ac:dyDescent="0.35">
      <c r="A920" s="767" t="s">
        <v>1137</v>
      </c>
      <c r="B920" s="768"/>
      <c r="C920" s="768"/>
      <c r="D920" s="768"/>
      <c r="E920" s="768"/>
      <c r="F920" s="769"/>
      <c r="G920" s="289"/>
      <c r="H920" s="289"/>
      <c r="I920" s="289"/>
      <c r="J920" s="289"/>
    </row>
    <row r="921" spans="1:10" s="275" customFormat="1" x14ac:dyDescent="0.15">
      <c r="A921" s="617"/>
      <c r="B921" s="617"/>
      <c r="E921" s="276"/>
      <c r="F921" s="278"/>
    </row>
    <row r="922" spans="1:10" s="295" customFormat="1" x14ac:dyDescent="0.15">
      <c r="A922" s="591" t="s">
        <v>1534</v>
      </c>
      <c r="B922" s="591" t="s">
        <v>1614</v>
      </c>
      <c r="C922" s="287" t="s">
        <v>1492</v>
      </c>
      <c r="D922" s="287" t="s">
        <v>1239</v>
      </c>
      <c r="E922" s="642">
        <v>12640</v>
      </c>
      <c r="F922" s="482">
        <v>1762.79</v>
      </c>
    </row>
    <row r="923" spans="1:10" s="295" customFormat="1" x14ac:dyDescent="0.15">
      <c r="A923" s="591" t="s">
        <v>1535</v>
      </c>
      <c r="B923" s="591" t="s">
        <v>1615</v>
      </c>
      <c r="C923" s="287" t="s">
        <v>1507</v>
      </c>
      <c r="D923" s="287" t="s">
        <v>1245</v>
      </c>
      <c r="E923" s="642">
        <v>3120</v>
      </c>
      <c r="F923" s="482">
        <v>530.54999999999995</v>
      </c>
    </row>
    <row r="924" spans="1:10" s="295" customFormat="1" x14ac:dyDescent="0.15">
      <c r="A924" s="591" t="s">
        <v>1536</v>
      </c>
      <c r="B924" s="591" t="s">
        <v>1616</v>
      </c>
      <c r="C924" s="287" t="s">
        <v>1479</v>
      </c>
      <c r="D924" s="287" t="s">
        <v>1231</v>
      </c>
      <c r="E924" s="642">
        <v>2934</v>
      </c>
      <c r="F924" s="482">
        <v>415.94</v>
      </c>
    </row>
    <row r="925" spans="1:10" s="295" customFormat="1" x14ac:dyDescent="0.15">
      <c r="A925" s="591" t="s">
        <v>1537</v>
      </c>
      <c r="B925" s="591" t="s">
        <v>1617</v>
      </c>
      <c r="C925" s="287" t="s">
        <v>1269</v>
      </c>
      <c r="D925" s="287" t="s">
        <v>1270</v>
      </c>
      <c r="E925" s="642">
        <v>1382</v>
      </c>
      <c r="F925" s="482">
        <v>227.76</v>
      </c>
    </row>
    <row r="926" spans="1:10" s="295" customFormat="1" x14ac:dyDescent="0.15">
      <c r="A926" s="640" t="s">
        <v>1538</v>
      </c>
      <c r="B926" s="640" t="s">
        <v>1618</v>
      </c>
      <c r="C926" s="295" t="s">
        <v>1517</v>
      </c>
      <c r="D926" s="295" t="s">
        <v>1518</v>
      </c>
      <c r="E926" s="642">
        <v>6</v>
      </c>
      <c r="F926" s="482">
        <v>30.62</v>
      </c>
    </row>
    <row r="927" spans="1:10" s="295" customFormat="1" x14ac:dyDescent="0.15">
      <c r="A927" s="591" t="s">
        <v>1539</v>
      </c>
      <c r="B927" s="591" t="s">
        <v>1619</v>
      </c>
      <c r="C927" s="287" t="s">
        <v>1405</v>
      </c>
      <c r="D927" s="287" t="s">
        <v>1280</v>
      </c>
      <c r="E927" s="642">
        <f>4200+120-E861</f>
        <v>1920</v>
      </c>
      <c r="F927" s="482">
        <v>423.71000000000009</v>
      </c>
    </row>
    <row r="928" spans="1:10" s="295" customFormat="1" x14ac:dyDescent="0.15">
      <c r="A928" s="591" t="s">
        <v>1540</v>
      </c>
      <c r="B928" s="591" t="s">
        <v>1620</v>
      </c>
      <c r="C928" s="287" t="s">
        <v>1257</v>
      </c>
      <c r="D928" s="287" t="s">
        <v>1258</v>
      </c>
      <c r="E928" s="642">
        <v>23360</v>
      </c>
      <c r="F928" s="482">
        <v>3180.71</v>
      </c>
    </row>
    <row r="929" spans="1:6" s="295" customFormat="1" x14ac:dyDescent="0.15">
      <c r="A929" s="591" t="s">
        <v>1541</v>
      </c>
      <c r="B929" s="591" t="s">
        <v>1621</v>
      </c>
      <c r="C929" s="287" t="s">
        <v>1586</v>
      </c>
      <c r="D929" s="287" t="s">
        <v>1500</v>
      </c>
      <c r="E929" s="642">
        <v>4800</v>
      </c>
      <c r="F929" s="482">
        <v>745.61</v>
      </c>
    </row>
    <row r="930" spans="1:6" s="295" customFormat="1" x14ac:dyDescent="0.15">
      <c r="A930" s="591" t="s">
        <v>1542</v>
      </c>
      <c r="B930" s="591" t="s">
        <v>1622</v>
      </c>
      <c r="C930" s="287" t="s">
        <v>1240</v>
      </c>
      <c r="D930" s="287" t="s">
        <v>1467</v>
      </c>
      <c r="E930" s="642">
        <v>5165</v>
      </c>
      <c r="F930" s="482">
        <v>735.77</v>
      </c>
    </row>
    <row r="931" spans="1:6" s="295" customFormat="1" x14ac:dyDescent="0.15">
      <c r="A931" s="591" t="s">
        <v>1543</v>
      </c>
      <c r="B931" s="591" t="s">
        <v>1623</v>
      </c>
      <c r="C931" s="287" t="s">
        <v>1523</v>
      </c>
      <c r="D931" s="287" t="s">
        <v>1266</v>
      </c>
      <c r="E931" s="642">
        <v>1374</v>
      </c>
      <c r="F931" s="482">
        <v>274.63</v>
      </c>
    </row>
    <row r="932" spans="1:6" s="295" customFormat="1" x14ac:dyDescent="0.15">
      <c r="A932" s="591" t="s">
        <v>1544</v>
      </c>
      <c r="B932" s="591" t="s">
        <v>1624</v>
      </c>
      <c r="C932" s="287" t="s">
        <v>1234</v>
      </c>
      <c r="D932" s="287" t="s">
        <v>1494</v>
      </c>
      <c r="E932" s="642">
        <v>6338</v>
      </c>
      <c r="F932" s="482">
        <v>939.13</v>
      </c>
    </row>
    <row r="933" spans="1:6" s="295" customFormat="1" x14ac:dyDescent="0.15">
      <c r="A933" s="591" t="s">
        <v>1601</v>
      </c>
      <c r="B933" s="591"/>
      <c r="C933" s="287" t="s">
        <v>1334</v>
      </c>
      <c r="D933" s="287" t="s">
        <v>1462</v>
      </c>
      <c r="E933" s="642">
        <f>970.9+1456.4</f>
        <v>2427.3000000000002</v>
      </c>
      <c r="F933" s="482">
        <v>499.29999999999995</v>
      </c>
    </row>
    <row r="934" spans="1:6" s="295" customFormat="1" x14ac:dyDescent="0.15">
      <c r="A934" s="591" t="s">
        <v>1545</v>
      </c>
      <c r="B934" s="591"/>
      <c r="C934" s="287" t="s">
        <v>1234</v>
      </c>
      <c r="D934" s="287" t="s">
        <v>1494</v>
      </c>
      <c r="E934" s="642">
        <f>3.5+51.9</f>
        <v>55.4</v>
      </c>
      <c r="F934" s="482">
        <v>14.21</v>
      </c>
    </row>
    <row r="935" spans="1:6" s="295" customFormat="1" x14ac:dyDescent="0.15">
      <c r="A935" s="591" t="s">
        <v>1602</v>
      </c>
      <c r="B935" s="591"/>
      <c r="C935" s="287" t="s">
        <v>1334</v>
      </c>
      <c r="D935" s="287" t="s">
        <v>1462</v>
      </c>
      <c r="E935" s="642">
        <f>54.2+81.4</f>
        <v>135.60000000000002</v>
      </c>
      <c r="F935" s="482">
        <v>40.51</v>
      </c>
    </row>
    <row r="936" spans="1:6" s="295" customFormat="1" x14ac:dyDescent="0.15">
      <c r="A936" s="591" t="s">
        <v>1546</v>
      </c>
      <c r="B936" s="591"/>
      <c r="C936" s="287" t="s">
        <v>1586</v>
      </c>
      <c r="D936" s="287" t="s">
        <v>1500</v>
      </c>
      <c r="E936" s="642">
        <f>4+59.4</f>
        <v>63.4</v>
      </c>
      <c r="F936" s="482">
        <v>24.04</v>
      </c>
    </row>
    <row r="937" spans="1:6" s="295" customFormat="1" x14ac:dyDescent="0.15">
      <c r="A937" s="591" t="s">
        <v>1547</v>
      </c>
      <c r="B937" s="591"/>
      <c r="C937" s="287" t="s">
        <v>1286</v>
      </c>
      <c r="D937" s="287" t="s">
        <v>1514</v>
      </c>
      <c r="E937" s="642">
        <f>162+5.4</f>
        <v>167.4</v>
      </c>
      <c r="F937" s="482">
        <v>43.76</v>
      </c>
    </row>
    <row r="938" spans="1:6" s="295" customFormat="1" x14ac:dyDescent="0.15">
      <c r="A938" s="591" t="s">
        <v>1548</v>
      </c>
      <c r="B938" s="591"/>
      <c r="C938" s="287" t="s">
        <v>1235</v>
      </c>
      <c r="D938" s="287" t="s">
        <v>1236</v>
      </c>
      <c r="E938" s="642">
        <v>0</v>
      </c>
      <c r="F938" s="482">
        <v>0</v>
      </c>
    </row>
    <row r="939" spans="1:6" s="295" customFormat="1" x14ac:dyDescent="0.15">
      <c r="A939" s="591" t="s">
        <v>1549</v>
      </c>
      <c r="B939" s="591" t="s">
        <v>1625</v>
      </c>
      <c r="C939" s="287" t="s">
        <v>1459</v>
      </c>
      <c r="D939" s="287" t="s">
        <v>1251</v>
      </c>
      <c r="E939" s="642">
        <v>1238</v>
      </c>
      <c r="F939" s="482">
        <v>219.68</v>
      </c>
    </row>
    <row r="940" spans="1:6" s="295" customFormat="1" x14ac:dyDescent="0.15">
      <c r="A940" s="591" t="s">
        <v>1603</v>
      </c>
      <c r="B940" s="591"/>
      <c r="C940" s="287" t="s">
        <v>1334</v>
      </c>
      <c r="D940" s="287" t="s">
        <v>1462</v>
      </c>
      <c r="E940" s="642">
        <f>406.4+609.6</f>
        <v>1016</v>
      </c>
      <c r="F940" s="482">
        <v>225.60000000000002</v>
      </c>
    </row>
    <row r="941" spans="1:6" s="295" customFormat="1" x14ac:dyDescent="0.15">
      <c r="A941" s="591" t="s">
        <v>1597</v>
      </c>
      <c r="B941" s="591" t="s">
        <v>1626</v>
      </c>
      <c r="C941" s="287" t="s">
        <v>1454</v>
      </c>
      <c r="D941" s="287" t="s">
        <v>1247</v>
      </c>
      <c r="E941" s="642">
        <v>3200</v>
      </c>
      <c r="F941" s="482">
        <v>497.98</v>
      </c>
    </row>
    <row r="942" spans="1:6" s="295" customFormat="1" x14ac:dyDescent="0.15">
      <c r="A942" s="591" t="s">
        <v>1604</v>
      </c>
      <c r="B942" s="591"/>
      <c r="C942" s="287" t="s">
        <v>1334</v>
      </c>
      <c r="D942" s="287" t="s">
        <v>1462</v>
      </c>
      <c r="E942" s="642">
        <f>50.7+76.1</f>
        <v>126.8</v>
      </c>
      <c r="F942" s="482">
        <v>45.08</v>
      </c>
    </row>
    <row r="943" spans="1:6" s="295" customFormat="1" x14ac:dyDescent="0.15">
      <c r="A943" s="591" t="s">
        <v>1551</v>
      </c>
      <c r="B943" s="591" t="s">
        <v>1627</v>
      </c>
      <c r="C943" s="287" t="s">
        <v>1235</v>
      </c>
      <c r="D943" s="287" t="s">
        <v>1236</v>
      </c>
      <c r="E943" s="642">
        <v>6229</v>
      </c>
      <c r="F943" s="482">
        <v>873.35</v>
      </c>
    </row>
    <row r="944" spans="1:6" s="295" customFormat="1" x14ac:dyDescent="0.15">
      <c r="A944" s="591" t="s">
        <v>1553</v>
      </c>
      <c r="B944" s="591" t="s">
        <v>1628</v>
      </c>
      <c r="C944" s="287" t="s">
        <v>1475</v>
      </c>
      <c r="D944" s="287" t="s">
        <v>1387</v>
      </c>
      <c r="E944" s="642">
        <v>1350</v>
      </c>
      <c r="F944" s="482">
        <v>238.2</v>
      </c>
    </row>
    <row r="945" spans="1:10" s="295" customFormat="1" x14ac:dyDescent="0.15">
      <c r="A945" s="591" t="s">
        <v>1554</v>
      </c>
      <c r="B945" s="591" t="s">
        <v>1629</v>
      </c>
      <c r="C945" s="287" t="s">
        <v>1399</v>
      </c>
      <c r="D945" s="287" t="s">
        <v>1276</v>
      </c>
      <c r="E945" s="642">
        <v>6080</v>
      </c>
      <c r="F945" s="482">
        <v>851.08</v>
      </c>
    </row>
    <row r="946" spans="1:10" s="295" customFormat="1" x14ac:dyDescent="0.15">
      <c r="A946" s="591" t="s">
        <v>1605</v>
      </c>
      <c r="B946" s="591"/>
      <c r="C946" s="287" t="s">
        <v>1334</v>
      </c>
      <c r="D946" s="287" t="s">
        <v>1462</v>
      </c>
      <c r="E946" s="642">
        <f>185.2+277.8</f>
        <v>463</v>
      </c>
      <c r="F946" s="482">
        <v>163.95</v>
      </c>
    </row>
    <row r="947" spans="1:10" s="295" customFormat="1" x14ac:dyDescent="0.15">
      <c r="A947" s="591" t="s">
        <v>1552</v>
      </c>
      <c r="B947" s="591"/>
      <c r="C947" s="287" t="s">
        <v>1286</v>
      </c>
      <c r="D947" s="287" t="s">
        <v>1514</v>
      </c>
      <c r="E947" s="642">
        <v>0</v>
      </c>
      <c r="F947" s="482">
        <v>0</v>
      </c>
    </row>
    <row r="948" spans="1:10" s="295" customFormat="1" x14ac:dyDescent="0.15">
      <c r="A948" s="591" t="s">
        <v>1598</v>
      </c>
      <c r="B948" s="591"/>
      <c r="C948" s="287" t="s">
        <v>1586</v>
      </c>
      <c r="D948" s="287" t="s">
        <v>1500</v>
      </c>
      <c r="E948" s="642">
        <f>2+29.7</f>
        <v>31.7</v>
      </c>
      <c r="F948" s="482">
        <v>14.6</v>
      </c>
      <c r="H948" s="645"/>
    </row>
    <row r="949" spans="1:10" s="295" customFormat="1" x14ac:dyDescent="0.15">
      <c r="A949" s="591" t="s">
        <v>1606</v>
      </c>
      <c r="B949" s="591"/>
      <c r="C949" s="287" t="s">
        <v>1334</v>
      </c>
      <c r="D949" s="287" t="s">
        <v>1462</v>
      </c>
      <c r="E949" s="642">
        <f>22.2+33.2</f>
        <v>55.400000000000006</v>
      </c>
      <c r="F949" s="482">
        <v>10.83</v>
      </c>
      <c r="H949" s="299"/>
    </row>
    <row r="950" spans="1:10" s="275" customFormat="1" ht="14" thickBot="1" x14ac:dyDescent="0.2">
      <c r="A950" s="591"/>
      <c r="B950" s="591"/>
      <c r="C950" s="291" t="s">
        <v>1657</v>
      </c>
      <c r="D950" s="287"/>
      <c r="E950" s="638">
        <f>SUM(E922:E949)</f>
        <v>85677.999999999985</v>
      </c>
      <c r="F950" s="620">
        <v>13029.39</v>
      </c>
      <c r="H950" s="636"/>
      <c r="J950" s="646">
        <f>F950/E950</f>
        <v>0.15207392796283761</v>
      </c>
    </row>
    <row r="951" spans="1:10" s="275" customFormat="1" ht="14" thickTop="1" x14ac:dyDescent="0.15">
      <c r="A951" s="640"/>
      <c r="B951" s="640"/>
      <c r="C951" s="295"/>
      <c r="D951" s="295"/>
      <c r="E951" s="296"/>
      <c r="F951" s="298"/>
    </row>
    <row r="952" spans="1:10" s="275" customFormat="1" x14ac:dyDescent="0.15">
      <c r="A952" s="640"/>
      <c r="B952" s="640"/>
      <c r="C952" s="299" t="s">
        <v>1594</v>
      </c>
      <c r="D952" s="295"/>
      <c r="E952" s="296"/>
      <c r="F952" s="298"/>
    </row>
    <row r="953" spans="1:10" s="275" customFormat="1" x14ac:dyDescent="0.15">
      <c r="A953" s="640"/>
      <c r="B953" s="640"/>
      <c r="C953" s="293" t="s">
        <v>1446</v>
      </c>
      <c r="D953" s="295"/>
      <c r="E953" s="296"/>
      <c r="F953" s="298"/>
    </row>
    <row r="954" spans="1:10" s="275" customFormat="1" x14ac:dyDescent="0.15">
      <c r="A954" s="640"/>
      <c r="B954" s="640"/>
      <c r="C954" s="386">
        <v>41494</v>
      </c>
      <c r="D954" s="295"/>
      <c r="E954" s="296"/>
      <c r="F954" s="298"/>
    </row>
    <row r="955" spans="1:10" s="275" customFormat="1" x14ac:dyDescent="0.15">
      <c r="A955" s="640"/>
      <c r="B955" s="640"/>
      <c r="C955" s="295"/>
      <c r="D955" s="295"/>
      <c r="E955" s="296"/>
      <c r="F955" s="298"/>
    </row>
    <row r="956" spans="1:10" s="295" customFormat="1" x14ac:dyDescent="0.15">
      <c r="A956" s="640" t="s">
        <v>1556</v>
      </c>
      <c r="B956" s="640" t="s">
        <v>1631</v>
      </c>
      <c r="C956" s="295" t="s">
        <v>1248</v>
      </c>
      <c r="D956" s="295" t="s">
        <v>1482</v>
      </c>
      <c r="E956" s="642">
        <v>4569</v>
      </c>
      <c r="F956" s="482">
        <v>735.26</v>
      </c>
    </row>
    <row r="957" spans="1:10" s="295" customFormat="1" x14ac:dyDescent="0.15">
      <c r="A957" s="591" t="s">
        <v>1557</v>
      </c>
      <c r="B957" s="591" t="s">
        <v>1632</v>
      </c>
      <c r="C957" s="287" t="s">
        <v>1477</v>
      </c>
      <c r="D957" s="287" t="s">
        <v>1289</v>
      </c>
      <c r="E957" s="642">
        <v>11280</v>
      </c>
      <c r="F957" s="482">
        <v>1742.26</v>
      </c>
    </row>
    <row r="958" spans="1:10" s="295" customFormat="1" x14ac:dyDescent="0.15">
      <c r="A958" s="591" t="s">
        <v>1558</v>
      </c>
      <c r="B958" s="591" t="s">
        <v>1633</v>
      </c>
      <c r="C958" s="287" t="s">
        <v>1469</v>
      </c>
      <c r="D958" s="287" t="s">
        <v>1470</v>
      </c>
      <c r="E958" s="642">
        <v>8160</v>
      </c>
      <c r="F958" s="482">
        <v>1216.57</v>
      </c>
    </row>
    <row r="959" spans="1:10" s="295" customFormat="1" x14ac:dyDescent="0.15">
      <c r="A959" s="591" t="s">
        <v>1559</v>
      </c>
      <c r="B959" s="591" t="s">
        <v>1634</v>
      </c>
      <c r="C959" s="287" t="s">
        <v>1502</v>
      </c>
      <c r="D959" s="287" t="s">
        <v>1381</v>
      </c>
      <c r="E959" s="642">
        <v>18720</v>
      </c>
      <c r="F959" s="482">
        <v>2757.95</v>
      </c>
    </row>
    <row r="960" spans="1:10" s="295" customFormat="1" x14ac:dyDescent="0.15">
      <c r="A960" s="591" t="s">
        <v>1560</v>
      </c>
      <c r="B960" s="591" t="s">
        <v>1635</v>
      </c>
      <c r="C960" s="287" t="s">
        <v>1504</v>
      </c>
      <c r="D960" s="287" t="s">
        <v>1505</v>
      </c>
      <c r="E960" s="642">
        <v>2226</v>
      </c>
      <c r="F960" s="482">
        <v>335.73</v>
      </c>
    </row>
    <row r="961" spans="1:6" s="295" customFormat="1" x14ac:dyDescent="0.15">
      <c r="A961" s="591" t="s">
        <v>1561</v>
      </c>
      <c r="B961" s="591"/>
      <c r="C961" s="287" t="s">
        <v>1562</v>
      </c>
      <c r="D961" s="287" t="s">
        <v>1509</v>
      </c>
      <c r="E961" s="642">
        <v>0</v>
      </c>
      <c r="F961" s="482">
        <v>0</v>
      </c>
    </row>
    <row r="962" spans="1:6" s="295" customFormat="1" x14ac:dyDescent="0.15">
      <c r="A962" s="591" t="s">
        <v>1563</v>
      </c>
      <c r="B962" s="591"/>
      <c r="C962" s="287" t="s">
        <v>1267</v>
      </c>
      <c r="D962" s="287" t="s">
        <v>1268</v>
      </c>
      <c r="E962" s="642">
        <f>3.5+51.9</f>
        <v>55.4</v>
      </c>
      <c r="F962" s="482">
        <v>10.799999999999999</v>
      </c>
    </row>
    <row r="963" spans="1:6" s="295" customFormat="1" x14ac:dyDescent="0.15">
      <c r="A963" s="591" t="s">
        <v>1564</v>
      </c>
      <c r="B963" s="591" t="s">
        <v>1636</v>
      </c>
      <c r="C963" s="287" t="s">
        <v>1485</v>
      </c>
      <c r="D963" s="287" t="s">
        <v>1486</v>
      </c>
      <c r="E963" s="642">
        <v>2840</v>
      </c>
      <c r="F963" s="482">
        <v>508.33</v>
      </c>
    </row>
    <row r="964" spans="1:6" s="295" customFormat="1" x14ac:dyDescent="0.15">
      <c r="A964" s="591" t="s">
        <v>1565</v>
      </c>
      <c r="B964" s="591" t="s">
        <v>1637</v>
      </c>
      <c r="C964" s="287" t="s">
        <v>1267</v>
      </c>
      <c r="D964" s="287" t="s">
        <v>1268</v>
      </c>
      <c r="E964" s="642">
        <v>4238</v>
      </c>
      <c r="F964" s="482">
        <v>747.66</v>
      </c>
    </row>
    <row r="965" spans="1:6" s="295" customFormat="1" x14ac:dyDescent="0.15">
      <c r="A965" s="591" t="s">
        <v>1569</v>
      </c>
      <c r="B965" s="591" t="s">
        <v>1638</v>
      </c>
      <c r="C965" s="287" t="s">
        <v>1464</v>
      </c>
      <c r="D965" s="287" t="s">
        <v>1285</v>
      </c>
      <c r="E965" s="642">
        <v>2275</v>
      </c>
      <c r="F965" s="482">
        <v>408.9</v>
      </c>
    </row>
    <row r="966" spans="1:6" s="295" customFormat="1" x14ac:dyDescent="0.15">
      <c r="A966" s="591" t="s">
        <v>1570</v>
      </c>
      <c r="B966" s="591" t="s">
        <v>1639</v>
      </c>
      <c r="C966" s="287" t="s">
        <v>1472</v>
      </c>
      <c r="D966" s="287" t="s">
        <v>1473</v>
      </c>
      <c r="E966" s="642">
        <v>29</v>
      </c>
      <c r="F966" s="482">
        <v>32.99</v>
      </c>
    </row>
    <row r="967" spans="1:6" s="295" customFormat="1" x14ac:dyDescent="0.15">
      <c r="A967" s="591" t="s">
        <v>1571</v>
      </c>
      <c r="B967" s="591" t="s">
        <v>1640</v>
      </c>
      <c r="C967" s="287" t="s">
        <v>1489</v>
      </c>
      <c r="D967" s="287" t="s">
        <v>1490</v>
      </c>
      <c r="E967" s="642">
        <v>142</v>
      </c>
      <c r="F967" s="482">
        <v>44.72</v>
      </c>
    </row>
    <row r="968" spans="1:6" s="295" customFormat="1" x14ac:dyDescent="0.15">
      <c r="A968" s="591" t="s">
        <v>1572</v>
      </c>
      <c r="B968" s="591" t="s">
        <v>1641</v>
      </c>
      <c r="C968" s="287" t="s">
        <v>1271</v>
      </c>
      <c r="D968" s="287" t="s">
        <v>1272</v>
      </c>
      <c r="E968" s="642">
        <v>9289</v>
      </c>
      <c r="F968" s="482">
        <v>1265.49</v>
      </c>
    </row>
    <row r="969" spans="1:6" s="295" customFormat="1" x14ac:dyDescent="0.15">
      <c r="A969" s="591" t="s">
        <v>1573</v>
      </c>
      <c r="B969" s="591"/>
      <c r="C969" s="287" t="s">
        <v>1461</v>
      </c>
      <c r="D969" s="287" t="s">
        <v>1462</v>
      </c>
      <c r="E969" s="642">
        <v>26</v>
      </c>
      <c r="F969" s="482">
        <v>16.34</v>
      </c>
    </row>
    <row r="970" spans="1:6" s="295" customFormat="1" x14ac:dyDescent="0.15">
      <c r="A970" s="591" t="s">
        <v>1574</v>
      </c>
      <c r="B970" s="591" t="s">
        <v>1642</v>
      </c>
      <c r="C970" s="287" t="s">
        <v>1377</v>
      </c>
      <c r="D970" s="287" t="s">
        <v>1378</v>
      </c>
      <c r="E970" s="642">
        <v>3025</v>
      </c>
      <c r="F970" s="482">
        <v>438.97</v>
      </c>
    </row>
    <row r="971" spans="1:6" s="295" customFormat="1" x14ac:dyDescent="0.15">
      <c r="A971" s="591" t="s">
        <v>1575</v>
      </c>
      <c r="B971" s="591" t="s">
        <v>1643</v>
      </c>
      <c r="C971" s="287" t="s">
        <v>1448</v>
      </c>
      <c r="D971" s="287" t="s">
        <v>1449</v>
      </c>
      <c r="E971" s="642">
        <v>84</v>
      </c>
      <c r="F971" s="482">
        <v>19.96</v>
      </c>
    </row>
    <row r="972" spans="1:6" s="295" customFormat="1" x14ac:dyDescent="0.15">
      <c r="A972" s="591" t="s">
        <v>1576</v>
      </c>
      <c r="B972" s="591" t="s">
        <v>1644</v>
      </c>
      <c r="C972" s="287" t="s">
        <v>1401</v>
      </c>
      <c r="D972" s="287" t="s">
        <v>1316</v>
      </c>
      <c r="E972" s="642">
        <v>111</v>
      </c>
      <c r="F972" s="482">
        <v>42.14</v>
      </c>
    </row>
    <row r="973" spans="1:6" s="295" customFormat="1" x14ac:dyDescent="0.15">
      <c r="A973" s="640" t="s">
        <v>1577</v>
      </c>
      <c r="B973" s="640" t="s">
        <v>1645</v>
      </c>
      <c r="C973" s="295" t="s">
        <v>1395</v>
      </c>
      <c r="D973" s="295" t="s">
        <v>1396</v>
      </c>
      <c r="E973" s="642">
        <v>55</v>
      </c>
      <c r="F973" s="482">
        <v>15.17</v>
      </c>
    </row>
    <row r="974" spans="1:6" s="295" customFormat="1" x14ac:dyDescent="0.15">
      <c r="A974" s="591" t="s">
        <v>1578</v>
      </c>
      <c r="B974" s="591" t="s">
        <v>1646</v>
      </c>
      <c r="C974" s="287" t="s">
        <v>1579</v>
      </c>
      <c r="D974" s="287" t="s">
        <v>1497</v>
      </c>
      <c r="E974" s="642">
        <v>1</v>
      </c>
      <c r="F974" s="482">
        <v>30.09</v>
      </c>
    </row>
    <row r="975" spans="1:6" s="295" customFormat="1" x14ac:dyDescent="0.15">
      <c r="A975" s="640" t="s">
        <v>1580</v>
      </c>
      <c r="B975" s="640" t="s">
        <v>1647</v>
      </c>
      <c r="C975" s="295" t="s">
        <v>1451</v>
      </c>
      <c r="D975" s="295" t="s">
        <v>1452</v>
      </c>
      <c r="E975" s="642">
        <f>26.4+741.6</f>
        <v>768</v>
      </c>
      <c r="F975" s="482">
        <v>1594.19</v>
      </c>
    </row>
    <row r="976" spans="1:6" s="295" customFormat="1" x14ac:dyDescent="0.15">
      <c r="A976" s="591" t="s">
        <v>1581</v>
      </c>
      <c r="B976" s="591" t="s">
        <v>1648</v>
      </c>
      <c r="C976" s="287" t="s">
        <v>1521</v>
      </c>
      <c r="D976" s="287" t="s">
        <v>1229</v>
      </c>
      <c r="E976" s="642">
        <v>2411</v>
      </c>
      <c r="F976" s="482">
        <v>368.51</v>
      </c>
    </row>
    <row r="977" spans="1:10" s="295" customFormat="1" x14ac:dyDescent="0.15">
      <c r="A977" s="591" t="s">
        <v>1582</v>
      </c>
      <c r="B977" s="591" t="s">
        <v>1649</v>
      </c>
      <c r="C977" s="287" t="s">
        <v>1525</v>
      </c>
      <c r="D977" s="287" t="s">
        <v>1526</v>
      </c>
      <c r="E977" s="642">
        <v>10</v>
      </c>
      <c r="F977" s="482">
        <v>7.66</v>
      </c>
      <c r="H977" s="645"/>
    </row>
    <row r="978" spans="1:10" s="295" customFormat="1" ht="14" x14ac:dyDescent="0.15">
      <c r="A978" s="591" t="s">
        <v>1583</v>
      </c>
      <c r="B978" s="591" t="s">
        <v>1650</v>
      </c>
      <c r="C978" s="287" t="s">
        <v>1584</v>
      </c>
      <c r="D978" s="618" t="s">
        <v>1264</v>
      </c>
      <c r="E978" s="642">
        <v>1560</v>
      </c>
      <c r="F978" s="482">
        <v>355.21</v>
      </c>
      <c r="J978" s="645"/>
    </row>
    <row r="979" spans="1:10" s="295" customFormat="1" x14ac:dyDescent="0.15">
      <c r="A979" s="591" t="s">
        <v>1610</v>
      </c>
      <c r="B979" s="591" t="s">
        <v>1651</v>
      </c>
      <c r="C979" s="287" t="s">
        <v>1568</v>
      </c>
      <c r="D979" s="287" t="s">
        <v>1457</v>
      </c>
      <c r="E979" s="642">
        <v>0</v>
      </c>
      <c r="F979" s="482">
        <v>0</v>
      </c>
      <c r="H979" s="474"/>
    </row>
    <row r="980" spans="1:10" s="295" customFormat="1" x14ac:dyDescent="0.15">
      <c r="A980" s="650" t="s">
        <v>1658</v>
      </c>
      <c r="B980" s="650" t="s">
        <v>1659</v>
      </c>
      <c r="C980" s="287" t="s">
        <v>1279</v>
      </c>
      <c r="D980" s="287" t="s">
        <v>1660</v>
      </c>
      <c r="E980" s="642">
        <v>7200</v>
      </c>
      <c r="F980" s="482">
        <v>1167.57</v>
      </c>
      <c r="H980" s="474"/>
    </row>
    <row r="981" spans="1:10" s="295" customFormat="1" ht="14" thickBot="1" x14ac:dyDescent="0.2">
      <c r="A981" s="650" t="s">
        <v>1661</v>
      </c>
      <c r="B981" s="650" t="s">
        <v>1662</v>
      </c>
      <c r="C981" s="287" t="s">
        <v>1663</v>
      </c>
      <c r="D981" s="287" t="s">
        <v>1664</v>
      </c>
      <c r="E981" s="642">
        <v>1360</v>
      </c>
      <c r="F981" s="482">
        <v>246.24</v>
      </c>
      <c r="H981" s="474"/>
    </row>
    <row r="982" spans="1:10" s="295" customFormat="1" x14ac:dyDescent="0.15">
      <c r="A982" s="650" t="s">
        <v>1665</v>
      </c>
      <c r="B982" s="650" t="s">
        <v>1666</v>
      </c>
      <c r="C982" s="287" t="s">
        <v>1667</v>
      </c>
      <c r="D982" s="287" t="s">
        <v>1668</v>
      </c>
      <c r="E982" s="642">
        <v>4032</v>
      </c>
      <c r="F982" s="482">
        <v>573.21</v>
      </c>
      <c r="H982" s="647" t="s">
        <v>1589</v>
      </c>
    </row>
    <row r="983" spans="1:10" s="275" customFormat="1" ht="14" thickBot="1" x14ac:dyDescent="0.2">
      <c r="A983" s="591"/>
      <c r="B983" s="591"/>
      <c r="C983" s="291" t="s">
        <v>1669</v>
      </c>
      <c r="D983" s="287"/>
      <c r="E983" s="643">
        <f>SUM(E956:E982)</f>
        <v>84466.4</v>
      </c>
      <c r="F983" s="620">
        <v>14681.919999999996</v>
      </c>
      <c r="H983" s="648">
        <f>SUM(F950,F983)</f>
        <v>27711.309999999998</v>
      </c>
      <c r="J983" s="646">
        <f>F983/E983</f>
        <v>0.17381964899652402</v>
      </c>
    </row>
    <row r="984" spans="1:10" s="275" customFormat="1" ht="14" thickTop="1" x14ac:dyDescent="0.15">
      <c r="A984" s="617"/>
      <c r="B984" s="617"/>
      <c r="E984" s="276"/>
      <c r="F984" s="278"/>
    </row>
    <row r="985" spans="1:10" s="275" customFormat="1" x14ac:dyDescent="0.15">
      <c r="A985" s="617"/>
      <c r="B985" s="617"/>
      <c r="C985" s="299" t="s">
        <v>1594</v>
      </c>
      <c r="E985" s="276"/>
      <c r="F985" s="278"/>
    </row>
    <row r="986" spans="1:10" s="275" customFormat="1" x14ac:dyDescent="0.15">
      <c r="A986" s="617"/>
      <c r="B986" s="617"/>
      <c r="C986" s="293" t="s">
        <v>1446</v>
      </c>
      <c r="E986" s="276"/>
      <c r="F986" s="278"/>
    </row>
    <row r="987" spans="1:10" s="275" customFormat="1" x14ac:dyDescent="0.15">
      <c r="A987" s="617"/>
      <c r="B987" s="617"/>
      <c r="C987" s="386">
        <v>41494</v>
      </c>
      <c r="E987" s="276"/>
      <c r="F987" s="278"/>
    </row>
    <row r="988" spans="1:10" s="275" customFormat="1" x14ac:dyDescent="0.15">
      <c r="A988" s="617"/>
      <c r="B988" s="617"/>
      <c r="E988" s="276"/>
      <c r="F988" s="278"/>
    </row>
    <row r="989" spans="1:10" s="295" customFormat="1" x14ac:dyDescent="0.15">
      <c r="A989" s="591" t="s">
        <v>1534</v>
      </c>
      <c r="B989" s="591" t="s">
        <v>1614</v>
      </c>
      <c r="C989" s="287" t="s">
        <v>1492</v>
      </c>
      <c r="D989" s="287" t="s">
        <v>1239</v>
      </c>
      <c r="E989" s="642">
        <v>7760</v>
      </c>
      <c r="F989" s="482">
        <v>1150.47</v>
      </c>
    </row>
    <row r="990" spans="1:10" s="295" customFormat="1" x14ac:dyDescent="0.15">
      <c r="A990" s="591" t="s">
        <v>1535</v>
      </c>
      <c r="B990" s="591" t="s">
        <v>1615</v>
      </c>
      <c r="C990" s="287" t="s">
        <v>1507</v>
      </c>
      <c r="D990" s="287" t="s">
        <v>1245</v>
      </c>
      <c r="E990" s="642">
        <v>2520</v>
      </c>
      <c r="F990" s="482">
        <v>410.48</v>
      </c>
    </row>
    <row r="991" spans="1:10" s="295" customFormat="1" x14ac:dyDescent="0.15">
      <c r="A991" s="591" t="s">
        <v>1670</v>
      </c>
      <c r="B991" s="591" t="s">
        <v>1659</v>
      </c>
      <c r="C991" s="287" t="s">
        <v>1279</v>
      </c>
      <c r="D991" s="287" t="s">
        <v>1660</v>
      </c>
      <c r="E991" s="642">
        <v>8160</v>
      </c>
      <c r="F991" s="482">
        <v>1502.29</v>
      </c>
      <c r="H991" s="538"/>
    </row>
    <row r="992" spans="1:10" s="295" customFormat="1" x14ac:dyDescent="0.15">
      <c r="A992" s="591" t="s">
        <v>1536</v>
      </c>
      <c r="B992" s="591" t="s">
        <v>1616</v>
      </c>
      <c r="C992" s="287" t="s">
        <v>1479</v>
      </c>
      <c r="D992" s="287" t="s">
        <v>1231</v>
      </c>
      <c r="E992" s="642">
        <v>3408</v>
      </c>
      <c r="F992" s="482">
        <v>512.55999999999995</v>
      </c>
    </row>
    <row r="993" spans="1:6" s="295" customFormat="1" x14ac:dyDescent="0.15">
      <c r="A993" s="591" t="s">
        <v>1537</v>
      </c>
      <c r="B993" s="591" t="s">
        <v>1617</v>
      </c>
      <c r="C993" s="287" t="s">
        <v>1269</v>
      </c>
      <c r="D993" s="287" t="s">
        <v>1270</v>
      </c>
      <c r="E993" s="642">
        <v>2086</v>
      </c>
      <c r="F993" s="482">
        <v>333.17</v>
      </c>
    </row>
    <row r="994" spans="1:6" s="295" customFormat="1" x14ac:dyDescent="0.15">
      <c r="A994" s="640" t="s">
        <v>1538</v>
      </c>
      <c r="B994" s="640" t="s">
        <v>1618</v>
      </c>
      <c r="C994" s="295" t="s">
        <v>1517</v>
      </c>
      <c r="D994" s="295" t="s">
        <v>1518</v>
      </c>
      <c r="E994" s="642">
        <v>4</v>
      </c>
      <c r="F994" s="482">
        <v>30.39</v>
      </c>
    </row>
    <row r="995" spans="1:6" s="295" customFormat="1" x14ac:dyDescent="0.15">
      <c r="A995" s="591" t="s">
        <v>1540</v>
      </c>
      <c r="B995" s="591" t="s">
        <v>1620</v>
      </c>
      <c r="C995" s="287" t="s">
        <v>1257</v>
      </c>
      <c r="D995" s="287" t="s">
        <v>1258</v>
      </c>
      <c r="E995" s="642">
        <v>18160</v>
      </c>
      <c r="F995" s="482">
        <v>2377.33</v>
      </c>
    </row>
    <row r="996" spans="1:6" s="295" customFormat="1" x14ac:dyDescent="0.15">
      <c r="A996" s="591" t="s">
        <v>1541</v>
      </c>
      <c r="B996" s="591" t="s">
        <v>1621</v>
      </c>
      <c r="C996" s="287" t="s">
        <v>1586</v>
      </c>
      <c r="D996" s="287" t="s">
        <v>1500</v>
      </c>
      <c r="E996" s="642">
        <v>3560</v>
      </c>
      <c r="F996" s="482">
        <v>527.73</v>
      </c>
    </row>
    <row r="997" spans="1:6" s="295" customFormat="1" x14ac:dyDescent="0.15">
      <c r="A997" s="591" t="s">
        <v>1542</v>
      </c>
      <c r="B997" s="591" t="s">
        <v>1622</v>
      </c>
      <c r="C997" s="287" t="s">
        <v>1240</v>
      </c>
      <c r="D997" s="287" t="s">
        <v>1467</v>
      </c>
      <c r="E997" s="642">
        <v>4182</v>
      </c>
      <c r="F997" s="482">
        <v>623.72</v>
      </c>
    </row>
    <row r="998" spans="1:6" s="295" customFormat="1" x14ac:dyDescent="0.15">
      <c r="A998" s="591" t="s">
        <v>1543</v>
      </c>
      <c r="B998" s="591" t="s">
        <v>1623</v>
      </c>
      <c r="C998" s="287" t="s">
        <v>1523</v>
      </c>
      <c r="D998" s="287" t="s">
        <v>1266</v>
      </c>
      <c r="E998" s="642">
        <v>792</v>
      </c>
      <c r="F998" s="482">
        <v>163.38999999999999</v>
      </c>
    </row>
    <row r="999" spans="1:6" s="295" customFormat="1" x14ac:dyDescent="0.15">
      <c r="A999" s="591" t="s">
        <v>1544</v>
      </c>
      <c r="B999" s="591" t="s">
        <v>1624</v>
      </c>
      <c r="C999" s="287" t="s">
        <v>1234</v>
      </c>
      <c r="D999" s="287" t="s">
        <v>1494</v>
      </c>
      <c r="E999" s="642">
        <v>4282</v>
      </c>
      <c r="F999" s="482">
        <v>667.75</v>
      </c>
    </row>
    <row r="1000" spans="1:6" s="295" customFormat="1" x14ac:dyDescent="0.15">
      <c r="A1000" s="591" t="s">
        <v>1601</v>
      </c>
      <c r="B1000" s="591"/>
      <c r="C1000" s="287" t="s">
        <v>1334</v>
      </c>
      <c r="D1000" s="287" t="s">
        <v>1462</v>
      </c>
      <c r="E1000" s="642">
        <f>1102.8+1611.8</f>
        <v>2714.6</v>
      </c>
      <c r="F1000" s="482">
        <v>514.53</v>
      </c>
    </row>
    <row r="1001" spans="1:6" s="295" customFormat="1" x14ac:dyDescent="0.15">
      <c r="A1001" s="591" t="s">
        <v>1545</v>
      </c>
      <c r="B1001" s="591"/>
      <c r="C1001" s="287" t="s">
        <v>1234</v>
      </c>
      <c r="D1001" s="287" t="s">
        <v>1494</v>
      </c>
      <c r="E1001" s="642">
        <f>2.1+59.9</f>
        <v>62</v>
      </c>
      <c r="F1001" s="482">
        <v>14.46</v>
      </c>
    </row>
    <row r="1002" spans="1:6" s="295" customFormat="1" x14ac:dyDescent="0.15">
      <c r="A1002" s="591" t="s">
        <v>1602</v>
      </c>
      <c r="B1002" s="591"/>
      <c r="C1002" s="287" t="s">
        <v>1334</v>
      </c>
      <c r="D1002" s="287" t="s">
        <v>1462</v>
      </c>
      <c r="E1002" s="642">
        <f>61.7+90.1</f>
        <v>151.80000000000001</v>
      </c>
      <c r="F1002" s="482">
        <v>41.42</v>
      </c>
    </row>
    <row r="1003" spans="1:6" s="295" customFormat="1" x14ac:dyDescent="0.15">
      <c r="A1003" s="591" t="s">
        <v>1546</v>
      </c>
      <c r="B1003" s="591"/>
      <c r="C1003" s="287" t="s">
        <v>1586</v>
      </c>
      <c r="D1003" s="287" t="s">
        <v>1500</v>
      </c>
      <c r="E1003" s="642">
        <f>2.4+68.6</f>
        <v>71</v>
      </c>
      <c r="F1003" s="482">
        <v>24.34</v>
      </c>
    </row>
    <row r="1004" spans="1:6" s="295" customFormat="1" x14ac:dyDescent="0.15">
      <c r="A1004" s="591" t="s">
        <v>1547</v>
      </c>
      <c r="B1004" s="591"/>
      <c r="C1004" s="287" t="s">
        <v>1286</v>
      </c>
      <c r="D1004" s="287" t="s">
        <v>1514</v>
      </c>
      <c r="E1004" s="642">
        <f>170.2+17</f>
        <v>187.2</v>
      </c>
      <c r="F1004" s="482">
        <v>44.55</v>
      </c>
    </row>
    <row r="1005" spans="1:6" s="295" customFormat="1" x14ac:dyDescent="0.15">
      <c r="A1005" s="591" t="s">
        <v>1548</v>
      </c>
      <c r="B1005" s="591"/>
      <c r="C1005" s="287" t="s">
        <v>1235</v>
      </c>
      <c r="D1005" s="287" t="s">
        <v>1236</v>
      </c>
      <c r="E1005" s="642">
        <v>0</v>
      </c>
      <c r="F1005" s="482">
        <v>0</v>
      </c>
    </row>
    <row r="1006" spans="1:6" s="295" customFormat="1" x14ac:dyDescent="0.15">
      <c r="A1006" s="591" t="s">
        <v>1549</v>
      </c>
      <c r="B1006" s="591" t="s">
        <v>1625</v>
      </c>
      <c r="C1006" s="287" t="s">
        <v>1459</v>
      </c>
      <c r="D1006" s="287" t="s">
        <v>1251</v>
      </c>
      <c r="E1006" s="642">
        <v>1245</v>
      </c>
      <c r="F1006" s="482">
        <v>215.34</v>
      </c>
    </row>
    <row r="1007" spans="1:6" s="295" customFormat="1" x14ac:dyDescent="0.15">
      <c r="A1007" s="591" t="s">
        <v>1603</v>
      </c>
      <c r="B1007" s="591"/>
      <c r="C1007" s="287" t="s">
        <v>1334</v>
      </c>
      <c r="D1007" s="287" t="s">
        <v>1462</v>
      </c>
      <c r="E1007" s="642">
        <f>461.9+675</f>
        <v>1136.9000000000001</v>
      </c>
      <c r="F1007" s="482">
        <v>231.92000000000002</v>
      </c>
    </row>
    <row r="1008" spans="1:6" s="295" customFormat="1" x14ac:dyDescent="0.15">
      <c r="A1008" s="591" t="s">
        <v>1597</v>
      </c>
      <c r="B1008" s="591" t="s">
        <v>1626</v>
      </c>
      <c r="C1008" s="287" t="s">
        <v>1454</v>
      </c>
      <c r="D1008" s="287" t="s">
        <v>1247</v>
      </c>
      <c r="E1008" s="642">
        <v>2200</v>
      </c>
      <c r="F1008" s="482">
        <v>364.98</v>
      </c>
    </row>
    <row r="1009" spans="1:10" s="295" customFormat="1" x14ac:dyDescent="0.15">
      <c r="A1009" s="591" t="s">
        <v>1604</v>
      </c>
      <c r="B1009" s="591"/>
      <c r="C1009" s="287" t="s">
        <v>1334</v>
      </c>
      <c r="D1009" s="287" t="s">
        <v>1462</v>
      </c>
      <c r="E1009" s="642">
        <f>57.7+84.3</f>
        <v>142</v>
      </c>
      <c r="F1009" s="482">
        <v>45.760000000000005</v>
      </c>
    </row>
    <row r="1010" spans="1:10" s="295" customFormat="1" x14ac:dyDescent="0.15">
      <c r="A1010" s="591" t="s">
        <v>1551</v>
      </c>
      <c r="B1010" s="591" t="s">
        <v>1627</v>
      </c>
      <c r="C1010" s="287" t="s">
        <v>1235</v>
      </c>
      <c r="D1010" s="287" t="s">
        <v>1236</v>
      </c>
      <c r="E1010" s="642">
        <v>5169</v>
      </c>
      <c r="F1010" s="482">
        <v>728.88</v>
      </c>
    </row>
    <row r="1011" spans="1:10" s="295" customFormat="1" x14ac:dyDescent="0.15">
      <c r="A1011" s="591" t="s">
        <v>1553</v>
      </c>
      <c r="B1011" s="591" t="s">
        <v>1628</v>
      </c>
      <c r="C1011" s="287" t="s">
        <v>1475</v>
      </c>
      <c r="D1011" s="287" t="s">
        <v>1387</v>
      </c>
      <c r="E1011" s="642">
        <v>1072</v>
      </c>
      <c r="F1011" s="482">
        <v>185.23</v>
      </c>
    </row>
    <row r="1012" spans="1:10" s="295" customFormat="1" x14ac:dyDescent="0.15">
      <c r="A1012" s="591" t="s">
        <v>1554</v>
      </c>
      <c r="B1012" s="591" t="s">
        <v>1629</v>
      </c>
      <c r="C1012" s="287" t="s">
        <v>1399</v>
      </c>
      <c r="D1012" s="287" t="s">
        <v>1276</v>
      </c>
      <c r="E1012" s="642">
        <v>4360</v>
      </c>
      <c r="F1012" s="482">
        <v>641.45000000000005</v>
      </c>
    </row>
    <row r="1013" spans="1:10" s="295" customFormat="1" x14ac:dyDescent="0.15">
      <c r="A1013" s="591" t="s">
        <v>1605</v>
      </c>
      <c r="B1013" s="591"/>
      <c r="C1013" s="287" t="s">
        <v>1334</v>
      </c>
      <c r="D1013" s="287" t="s">
        <v>1462</v>
      </c>
      <c r="E1013" s="642">
        <f>210.5+307.6</f>
        <v>518.1</v>
      </c>
      <c r="F1013" s="482">
        <v>166.59</v>
      </c>
    </row>
    <row r="1014" spans="1:10" s="295" customFormat="1" x14ac:dyDescent="0.15">
      <c r="A1014" s="591" t="s">
        <v>1552</v>
      </c>
      <c r="B1014" s="591"/>
      <c r="C1014" s="287" t="s">
        <v>1286</v>
      </c>
      <c r="D1014" s="287" t="s">
        <v>1514</v>
      </c>
      <c r="E1014" s="642">
        <v>0</v>
      </c>
      <c r="F1014" s="482">
        <v>0</v>
      </c>
    </row>
    <row r="1015" spans="1:10" s="295" customFormat="1" x14ac:dyDescent="0.15">
      <c r="A1015" s="591" t="s">
        <v>1598</v>
      </c>
      <c r="B1015" s="591"/>
      <c r="C1015" s="287" t="s">
        <v>1586</v>
      </c>
      <c r="D1015" s="287" t="s">
        <v>1500</v>
      </c>
      <c r="E1015" s="642">
        <f>1.2+34.3</f>
        <v>35.5</v>
      </c>
      <c r="F1015" s="482">
        <v>14.77</v>
      </c>
      <c r="H1015" s="645"/>
    </row>
    <row r="1016" spans="1:10" s="295" customFormat="1" x14ac:dyDescent="0.15">
      <c r="A1016" s="591" t="s">
        <v>1606</v>
      </c>
      <c r="B1016" s="591"/>
      <c r="C1016" s="287" t="s">
        <v>1334</v>
      </c>
      <c r="D1016" s="287" t="s">
        <v>1462</v>
      </c>
      <c r="E1016" s="642">
        <f>25.2+36.8</f>
        <v>62</v>
      </c>
      <c r="F1016" s="482">
        <v>11.16</v>
      </c>
      <c r="H1016" s="299"/>
    </row>
    <row r="1017" spans="1:10" s="295" customFormat="1" x14ac:dyDescent="0.15">
      <c r="A1017" s="591" t="s">
        <v>1662</v>
      </c>
      <c r="B1017" s="651">
        <v>892914652</v>
      </c>
      <c r="C1017" s="287" t="s">
        <v>1663</v>
      </c>
      <c r="D1017" s="287" t="s">
        <v>1664</v>
      </c>
      <c r="E1017" s="642">
        <v>2160</v>
      </c>
      <c r="F1017" s="482">
        <v>372.71</v>
      </c>
      <c r="H1017" s="538"/>
    </row>
    <row r="1018" spans="1:10" s="275" customFormat="1" ht="14" thickBot="1" x14ac:dyDescent="0.2">
      <c r="A1018" s="591"/>
      <c r="B1018" s="591"/>
      <c r="C1018" s="291" t="s">
        <v>1671</v>
      </c>
      <c r="D1018" s="287"/>
      <c r="E1018" s="638">
        <f>SUM(E989:E1017)</f>
        <v>76201.100000000006</v>
      </c>
      <c r="F1018" s="620">
        <v>11917.369999999999</v>
      </c>
      <c r="H1018" s="636"/>
      <c r="J1018" s="646">
        <f>F1018/E1018</f>
        <v>0.15639367410706667</v>
      </c>
    </row>
    <row r="1019" spans="1:10" s="275" customFormat="1" ht="14" thickTop="1" x14ac:dyDescent="0.15">
      <c r="A1019" s="640"/>
      <c r="B1019" s="640"/>
      <c r="C1019" s="295"/>
      <c r="D1019" s="295"/>
      <c r="E1019" s="296"/>
      <c r="F1019" s="298"/>
    </row>
    <row r="1020" spans="1:10" s="275" customFormat="1" x14ac:dyDescent="0.15">
      <c r="A1020" s="640"/>
      <c r="B1020" s="640"/>
      <c r="C1020" s="299" t="s">
        <v>1594</v>
      </c>
      <c r="D1020" s="295"/>
      <c r="E1020" s="296"/>
      <c r="F1020" s="298"/>
    </row>
    <row r="1021" spans="1:10" s="275" customFormat="1" x14ac:dyDescent="0.15">
      <c r="A1021" s="640"/>
      <c r="B1021" s="640"/>
      <c r="C1021" s="293" t="s">
        <v>1446</v>
      </c>
      <c r="D1021" s="295"/>
      <c r="E1021" s="296"/>
      <c r="F1021" s="298"/>
    </row>
    <row r="1022" spans="1:10" s="275" customFormat="1" x14ac:dyDescent="0.15">
      <c r="A1022" s="640"/>
      <c r="B1022" s="640"/>
      <c r="C1022" s="386">
        <v>41528</v>
      </c>
      <c r="D1022" s="295"/>
      <c r="E1022" s="296"/>
      <c r="F1022" s="298"/>
    </row>
    <row r="1023" spans="1:10" s="275" customFormat="1" x14ac:dyDescent="0.15">
      <c r="A1023" s="640"/>
      <c r="B1023" s="640"/>
      <c r="C1023" s="295"/>
      <c r="D1023" s="295"/>
      <c r="E1023" s="296"/>
      <c r="F1023" s="298"/>
    </row>
    <row r="1024" spans="1:10" s="295" customFormat="1" x14ac:dyDescent="0.15">
      <c r="A1024" s="640" t="s">
        <v>1556</v>
      </c>
      <c r="B1024" s="640" t="s">
        <v>1631</v>
      </c>
      <c r="C1024" s="295" t="s">
        <v>1248</v>
      </c>
      <c r="D1024" s="295" t="s">
        <v>1482</v>
      </c>
      <c r="E1024" s="642">
        <v>3997</v>
      </c>
      <c r="F1024" s="482">
        <v>659.77</v>
      </c>
    </row>
    <row r="1025" spans="1:6" s="295" customFormat="1" x14ac:dyDescent="0.15">
      <c r="A1025" s="591" t="s">
        <v>1557</v>
      </c>
      <c r="B1025" s="591" t="s">
        <v>1632</v>
      </c>
      <c r="C1025" s="287" t="s">
        <v>1477</v>
      </c>
      <c r="D1025" s="287" t="s">
        <v>1289</v>
      </c>
      <c r="E1025" s="642">
        <v>10200</v>
      </c>
      <c r="F1025" s="482">
        <v>1543.58</v>
      </c>
    </row>
    <row r="1026" spans="1:6" s="295" customFormat="1" x14ac:dyDescent="0.15">
      <c r="A1026" s="591" t="s">
        <v>1558</v>
      </c>
      <c r="B1026" s="591" t="s">
        <v>1633</v>
      </c>
      <c r="C1026" s="287" t="s">
        <v>1469</v>
      </c>
      <c r="D1026" s="287" t="s">
        <v>1470</v>
      </c>
      <c r="E1026" s="642">
        <v>6960</v>
      </c>
      <c r="F1026" s="482">
        <v>1036.71</v>
      </c>
    </row>
    <row r="1027" spans="1:6" s="295" customFormat="1" x14ac:dyDescent="0.15">
      <c r="A1027" s="591" t="s">
        <v>1559</v>
      </c>
      <c r="B1027" s="591" t="s">
        <v>1634</v>
      </c>
      <c r="C1027" s="287" t="s">
        <v>1502</v>
      </c>
      <c r="D1027" s="287" t="s">
        <v>1381</v>
      </c>
      <c r="E1027" s="642">
        <v>18144</v>
      </c>
      <c r="F1027" s="482">
        <v>2531.2600000000002</v>
      </c>
    </row>
    <row r="1028" spans="1:6" s="295" customFormat="1" x14ac:dyDescent="0.15">
      <c r="A1028" s="591" t="s">
        <v>1560</v>
      </c>
      <c r="B1028" s="591" t="s">
        <v>1635</v>
      </c>
      <c r="C1028" s="287" t="s">
        <v>1504</v>
      </c>
      <c r="D1028" s="287" t="s">
        <v>1505</v>
      </c>
      <c r="E1028" s="642">
        <v>1951</v>
      </c>
      <c r="F1028" s="482">
        <v>285.69</v>
      </c>
    </row>
    <row r="1029" spans="1:6" s="295" customFormat="1" x14ac:dyDescent="0.15">
      <c r="A1029" s="591" t="s">
        <v>1561</v>
      </c>
      <c r="B1029" s="591"/>
      <c r="C1029" s="287" t="s">
        <v>1562</v>
      </c>
      <c r="D1029" s="287" t="s">
        <v>1509</v>
      </c>
      <c r="E1029" s="642">
        <v>0</v>
      </c>
      <c r="F1029" s="482">
        <v>0</v>
      </c>
    </row>
    <row r="1030" spans="1:6" s="295" customFormat="1" x14ac:dyDescent="0.15">
      <c r="A1030" s="591" t="s">
        <v>1563</v>
      </c>
      <c r="B1030" s="591"/>
      <c r="C1030" s="287" t="s">
        <v>1267</v>
      </c>
      <c r="D1030" s="287" t="s">
        <v>1268</v>
      </c>
      <c r="E1030" s="642">
        <f>2+60</f>
        <v>62</v>
      </c>
      <c r="F1030" s="482">
        <v>11.049999999999999</v>
      </c>
    </row>
    <row r="1031" spans="1:6" s="295" customFormat="1" x14ac:dyDescent="0.15">
      <c r="A1031" s="591" t="s">
        <v>1564</v>
      </c>
      <c r="B1031" s="591" t="s">
        <v>1636</v>
      </c>
      <c r="C1031" s="287" t="s">
        <v>1485</v>
      </c>
      <c r="D1031" s="287" t="s">
        <v>1486</v>
      </c>
      <c r="E1031" s="642">
        <v>1720</v>
      </c>
      <c r="F1031" s="482">
        <v>344.39</v>
      </c>
    </row>
    <row r="1032" spans="1:6" s="295" customFormat="1" x14ac:dyDescent="0.15">
      <c r="A1032" s="591" t="s">
        <v>1565</v>
      </c>
      <c r="B1032" s="591" t="s">
        <v>1637</v>
      </c>
      <c r="C1032" s="287" t="s">
        <v>1267</v>
      </c>
      <c r="D1032" s="287" t="s">
        <v>1268</v>
      </c>
      <c r="E1032" s="642">
        <v>2931</v>
      </c>
      <c r="F1032" s="482">
        <v>506.44</v>
      </c>
    </row>
    <row r="1033" spans="1:6" s="295" customFormat="1" x14ac:dyDescent="0.15">
      <c r="A1033" s="591" t="s">
        <v>1569</v>
      </c>
      <c r="B1033" s="591" t="s">
        <v>1638</v>
      </c>
      <c r="C1033" s="287" t="s">
        <v>1464</v>
      </c>
      <c r="D1033" s="287" t="s">
        <v>1285</v>
      </c>
      <c r="E1033" s="642">
        <v>1593</v>
      </c>
      <c r="F1033" s="482">
        <v>284.07</v>
      </c>
    </row>
    <row r="1034" spans="1:6" s="295" customFormat="1" x14ac:dyDescent="0.15">
      <c r="A1034" s="591" t="s">
        <v>1570</v>
      </c>
      <c r="B1034" s="591" t="s">
        <v>1639</v>
      </c>
      <c r="C1034" s="287" t="s">
        <v>1472</v>
      </c>
      <c r="D1034" s="287" t="s">
        <v>1473</v>
      </c>
      <c r="E1034" s="642">
        <v>50</v>
      </c>
      <c r="F1034" s="482">
        <v>35</v>
      </c>
    </row>
    <row r="1035" spans="1:6" s="295" customFormat="1" x14ac:dyDescent="0.15">
      <c r="A1035" s="591" t="s">
        <v>1571</v>
      </c>
      <c r="B1035" s="591" t="s">
        <v>1640</v>
      </c>
      <c r="C1035" s="287" t="s">
        <v>1489</v>
      </c>
      <c r="D1035" s="287" t="s">
        <v>1490</v>
      </c>
      <c r="E1035" s="642">
        <v>158</v>
      </c>
      <c r="F1035" s="482">
        <v>45.75</v>
      </c>
    </row>
    <row r="1036" spans="1:6" s="295" customFormat="1" x14ac:dyDescent="0.15">
      <c r="A1036" s="591" t="s">
        <v>1572</v>
      </c>
      <c r="B1036" s="591" t="s">
        <v>1641</v>
      </c>
      <c r="C1036" s="287" t="s">
        <v>1271</v>
      </c>
      <c r="D1036" s="287" t="s">
        <v>1272</v>
      </c>
      <c r="E1036" s="642">
        <v>6373</v>
      </c>
      <c r="F1036" s="482">
        <v>882.88</v>
      </c>
    </row>
    <row r="1037" spans="1:6" s="295" customFormat="1" x14ac:dyDescent="0.15">
      <c r="A1037" s="591" t="s">
        <v>1573</v>
      </c>
      <c r="B1037" s="591"/>
      <c r="C1037" s="287" t="s">
        <v>1461</v>
      </c>
      <c r="D1037" s="287" t="s">
        <v>1462</v>
      </c>
      <c r="E1037" s="642">
        <v>26</v>
      </c>
      <c r="F1037" s="482">
        <v>16.28</v>
      </c>
    </row>
    <row r="1038" spans="1:6" s="295" customFormat="1" x14ac:dyDescent="0.15">
      <c r="A1038" s="591" t="s">
        <v>1574</v>
      </c>
      <c r="B1038" s="591" t="s">
        <v>1642</v>
      </c>
      <c r="C1038" s="287" t="s">
        <v>1377</v>
      </c>
      <c r="D1038" s="287" t="s">
        <v>1378</v>
      </c>
      <c r="E1038" s="642">
        <v>2206</v>
      </c>
      <c r="F1038" s="482">
        <v>351.97</v>
      </c>
    </row>
    <row r="1039" spans="1:6" s="295" customFormat="1" x14ac:dyDescent="0.15">
      <c r="A1039" s="591" t="s">
        <v>1575</v>
      </c>
      <c r="B1039" s="591" t="s">
        <v>1643</v>
      </c>
      <c r="C1039" s="287" t="s">
        <v>1448</v>
      </c>
      <c r="D1039" s="287" t="s">
        <v>1449</v>
      </c>
      <c r="E1039" s="642">
        <v>123</v>
      </c>
      <c r="F1039" s="482">
        <v>26.01</v>
      </c>
    </row>
    <row r="1040" spans="1:6" s="295" customFormat="1" x14ac:dyDescent="0.15">
      <c r="A1040" s="591" t="s">
        <v>1576</v>
      </c>
      <c r="B1040" s="591" t="s">
        <v>1644</v>
      </c>
      <c r="C1040" s="287" t="s">
        <v>1401</v>
      </c>
      <c r="D1040" s="287" t="s">
        <v>1316</v>
      </c>
      <c r="E1040" s="642">
        <v>95</v>
      </c>
      <c r="F1040" s="482">
        <v>39.99</v>
      </c>
    </row>
    <row r="1041" spans="1:10" s="295" customFormat="1" x14ac:dyDescent="0.15">
      <c r="A1041" s="640" t="s">
        <v>1577</v>
      </c>
      <c r="B1041" s="640" t="s">
        <v>1645</v>
      </c>
      <c r="C1041" s="295" t="s">
        <v>1395</v>
      </c>
      <c r="D1041" s="295" t="s">
        <v>1396</v>
      </c>
      <c r="E1041" s="642">
        <v>16</v>
      </c>
      <c r="F1041" s="482">
        <v>4.21</v>
      </c>
    </row>
    <row r="1042" spans="1:10" s="295" customFormat="1" x14ac:dyDescent="0.15">
      <c r="A1042" s="591" t="s">
        <v>1578</v>
      </c>
      <c r="B1042" s="591" t="s">
        <v>1646</v>
      </c>
      <c r="C1042" s="287" t="s">
        <v>1579</v>
      </c>
      <c r="D1042" s="287" t="s">
        <v>1497</v>
      </c>
      <c r="E1042" s="642">
        <v>0</v>
      </c>
      <c r="F1042" s="482">
        <v>23</v>
      </c>
    </row>
    <row r="1043" spans="1:10" s="295" customFormat="1" x14ac:dyDescent="0.15">
      <c r="A1043" s="640" t="s">
        <v>1580</v>
      </c>
      <c r="B1043" s="640" t="s">
        <v>1647</v>
      </c>
      <c r="C1043" s="295" t="s">
        <v>1451</v>
      </c>
      <c r="D1043" s="295" t="s">
        <v>1452</v>
      </c>
      <c r="E1043" s="642">
        <v>1536</v>
      </c>
      <c r="F1043" s="482">
        <v>1640.37</v>
      </c>
    </row>
    <row r="1044" spans="1:10" s="295" customFormat="1" x14ac:dyDescent="0.15">
      <c r="A1044" s="591" t="s">
        <v>1581</v>
      </c>
      <c r="B1044" s="591" t="s">
        <v>1648</v>
      </c>
      <c r="C1044" s="287" t="s">
        <v>1521</v>
      </c>
      <c r="D1044" s="287" t="s">
        <v>1229</v>
      </c>
      <c r="E1044" s="642">
        <v>2523</v>
      </c>
      <c r="F1044" s="482">
        <v>383.54</v>
      </c>
    </row>
    <row r="1045" spans="1:10" s="295" customFormat="1" x14ac:dyDescent="0.15">
      <c r="A1045" s="591" t="s">
        <v>1582</v>
      </c>
      <c r="B1045" s="591" t="s">
        <v>1649</v>
      </c>
      <c r="C1045" s="287" t="s">
        <v>1525</v>
      </c>
      <c r="D1045" s="287" t="s">
        <v>1526</v>
      </c>
      <c r="E1045" s="642">
        <v>9</v>
      </c>
      <c r="F1045" s="482">
        <v>7.45</v>
      </c>
      <c r="H1045" s="645"/>
    </row>
    <row r="1046" spans="1:10" s="295" customFormat="1" ht="15" thickBot="1" x14ac:dyDescent="0.2">
      <c r="A1046" s="591" t="s">
        <v>1583</v>
      </c>
      <c r="B1046" s="591" t="s">
        <v>1650</v>
      </c>
      <c r="C1046" s="287" t="s">
        <v>1584</v>
      </c>
      <c r="D1046" s="618" t="s">
        <v>1264</v>
      </c>
      <c r="E1046" s="642">
        <v>1080</v>
      </c>
      <c r="F1046" s="482">
        <v>253.37</v>
      </c>
      <c r="J1046" s="645"/>
    </row>
    <row r="1047" spans="1:10" s="295" customFormat="1" x14ac:dyDescent="0.15">
      <c r="A1047" s="591" t="s">
        <v>1666</v>
      </c>
      <c r="B1047" s="591" t="s">
        <v>1672</v>
      </c>
      <c r="C1047" s="287" t="s">
        <v>1667</v>
      </c>
      <c r="D1047" s="287" t="s">
        <v>1668</v>
      </c>
      <c r="E1047" s="642">
        <v>10944</v>
      </c>
      <c r="F1047" s="482">
        <v>3415.54</v>
      </c>
      <c r="H1047" s="647" t="s">
        <v>1589</v>
      </c>
    </row>
    <row r="1048" spans="1:10" s="275" customFormat="1" ht="14" thickBot="1" x14ac:dyDescent="0.2">
      <c r="A1048" s="591"/>
      <c r="B1048" s="591"/>
      <c r="C1048" s="291" t="s">
        <v>1673</v>
      </c>
      <c r="D1048" s="287"/>
      <c r="E1048" s="643">
        <f>SUM(E1024:E1047)</f>
        <v>72697</v>
      </c>
      <c r="F1048" s="620">
        <v>14328.32</v>
      </c>
      <c r="H1048" s="648">
        <f>SUM(F1018,F1048)</f>
        <v>26245.69</v>
      </c>
      <c r="J1048" s="646">
        <f>F1048/E1048</f>
        <v>0.19709644139373014</v>
      </c>
    </row>
    <row r="1049" spans="1:10" s="275" customFormat="1" ht="14" thickTop="1" x14ac:dyDescent="0.15">
      <c r="A1049" s="617"/>
      <c r="B1049" s="617"/>
      <c r="E1049" s="276"/>
      <c r="F1049" s="278"/>
    </row>
    <row r="1050" spans="1:10" s="275" customFormat="1" x14ac:dyDescent="0.15">
      <c r="A1050" s="617"/>
      <c r="B1050" s="617"/>
      <c r="C1050" s="299" t="s">
        <v>1594</v>
      </c>
      <c r="E1050" s="276"/>
      <c r="F1050" s="278"/>
    </row>
    <row r="1051" spans="1:10" s="275" customFormat="1" x14ac:dyDescent="0.15">
      <c r="A1051" s="617"/>
      <c r="B1051" s="617"/>
      <c r="C1051" s="293" t="s">
        <v>1446</v>
      </c>
      <c r="E1051" s="276"/>
      <c r="F1051" s="278"/>
    </row>
    <row r="1052" spans="1:10" s="275" customFormat="1" x14ac:dyDescent="0.15">
      <c r="A1052" s="617"/>
      <c r="B1052" s="617"/>
      <c r="C1052" s="386">
        <v>41527</v>
      </c>
      <c r="E1052" s="276"/>
      <c r="F1052" s="278"/>
    </row>
    <row r="1053" spans="1:10" s="275" customFormat="1" x14ac:dyDescent="0.15">
      <c r="A1053" s="617"/>
      <c r="B1053" s="617"/>
      <c r="E1053" s="276"/>
      <c r="F1053" s="278"/>
    </row>
    <row r="1054" spans="1:10" s="295" customFormat="1" x14ac:dyDescent="0.15">
      <c r="A1054" s="591" t="s">
        <v>1534</v>
      </c>
      <c r="B1054" s="591" t="s">
        <v>1614</v>
      </c>
      <c r="C1054" s="287" t="s">
        <v>1492</v>
      </c>
      <c r="D1054" s="287" t="s">
        <v>1239</v>
      </c>
      <c r="E1054" s="642">
        <v>13600</v>
      </c>
      <c r="F1054" s="482">
        <v>1852.83</v>
      </c>
    </row>
    <row r="1055" spans="1:10" s="295" customFormat="1" x14ac:dyDescent="0.15">
      <c r="A1055" s="591" t="s">
        <v>1535</v>
      </c>
      <c r="B1055" s="591" t="s">
        <v>1615</v>
      </c>
      <c r="C1055" s="287" t="s">
        <v>1507</v>
      </c>
      <c r="D1055" s="287" t="s">
        <v>1245</v>
      </c>
      <c r="E1055" s="642">
        <v>3480</v>
      </c>
      <c r="F1055" s="482">
        <v>573.67999999999995</v>
      </c>
    </row>
    <row r="1056" spans="1:10" s="295" customFormat="1" x14ac:dyDescent="0.15">
      <c r="A1056" s="591" t="s">
        <v>1670</v>
      </c>
      <c r="B1056" s="591" t="s">
        <v>1659</v>
      </c>
      <c r="C1056" s="287" t="s">
        <v>1279</v>
      </c>
      <c r="D1056" s="287" t="s">
        <v>1660</v>
      </c>
      <c r="E1056" s="642">
        <v>9600</v>
      </c>
      <c r="F1056" s="482">
        <v>1348.11</v>
      </c>
      <c r="H1056" s="538"/>
    </row>
    <row r="1057" spans="1:6" s="295" customFormat="1" x14ac:dyDescent="0.15">
      <c r="A1057" s="591" t="s">
        <v>1536</v>
      </c>
      <c r="B1057" s="591" t="s">
        <v>1616</v>
      </c>
      <c r="C1057" s="287" t="s">
        <v>1479</v>
      </c>
      <c r="D1057" s="287" t="s">
        <v>1231</v>
      </c>
      <c r="E1057" s="642">
        <v>6795</v>
      </c>
      <c r="F1057" s="482">
        <v>910.28</v>
      </c>
    </row>
    <row r="1058" spans="1:6" s="295" customFormat="1" x14ac:dyDescent="0.15">
      <c r="A1058" s="591" t="s">
        <v>1537</v>
      </c>
      <c r="B1058" s="591" t="s">
        <v>1617</v>
      </c>
      <c r="C1058" s="287" t="s">
        <v>1269</v>
      </c>
      <c r="D1058" s="287" t="s">
        <v>1270</v>
      </c>
      <c r="E1058" s="642">
        <v>3982</v>
      </c>
      <c r="F1058" s="482">
        <v>562.34</v>
      </c>
    </row>
    <row r="1059" spans="1:6" s="295" customFormat="1" x14ac:dyDescent="0.15">
      <c r="A1059" s="640" t="s">
        <v>1538</v>
      </c>
      <c r="B1059" s="640" t="s">
        <v>1618</v>
      </c>
      <c r="C1059" s="295" t="s">
        <v>1517</v>
      </c>
      <c r="D1059" s="295" t="s">
        <v>1518</v>
      </c>
      <c r="E1059" s="642">
        <v>5</v>
      </c>
      <c r="F1059" s="482">
        <v>30.49</v>
      </c>
    </row>
    <row r="1060" spans="1:6" s="295" customFormat="1" x14ac:dyDescent="0.15">
      <c r="A1060" s="591" t="s">
        <v>1540</v>
      </c>
      <c r="B1060" s="591" t="s">
        <v>1620</v>
      </c>
      <c r="C1060" s="287" t="s">
        <v>1257</v>
      </c>
      <c r="D1060" s="287" t="s">
        <v>1258</v>
      </c>
      <c r="E1060" s="642">
        <v>25440</v>
      </c>
      <c r="F1060" s="482">
        <v>3262.19</v>
      </c>
    </row>
    <row r="1061" spans="1:6" s="295" customFormat="1" x14ac:dyDescent="0.15">
      <c r="A1061" s="591" t="s">
        <v>1541</v>
      </c>
      <c r="B1061" s="591" t="s">
        <v>1621</v>
      </c>
      <c r="C1061" s="287" t="s">
        <v>1586</v>
      </c>
      <c r="D1061" s="287" t="s">
        <v>1500</v>
      </c>
      <c r="E1061" s="642">
        <v>4080</v>
      </c>
      <c r="F1061" s="482">
        <v>633.37</v>
      </c>
    </row>
    <row r="1062" spans="1:6" s="295" customFormat="1" x14ac:dyDescent="0.15">
      <c r="A1062" s="591" t="s">
        <v>1542</v>
      </c>
      <c r="B1062" s="591" t="s">
        <v>1622</v>
      </c>
      <c r="C1062" s="287" t="s">
        <v>1240</v>
      </c>
      <c r="D1062" s="287" t="s">
        <v>1467</v>
      </c>
      <c r="E1062" s="642">
        <v>5242</v>
      </c>
      <c r="F1062" s="482">
        <v>708.12</v>
      </c>
    </row>
    <row r="1063" spans="1:6" s="295" customFormat="1" x14ac:dyDescent="0.15">
      <c r="A1063" s="591" t="s">
        <v>1543</v>
      </c>
      <c r="B1063" s="591" t="s">
        <v>1623</v>
      </c>
      <c r="C1063" s="287" t="s">
        <v>1523</v>
      </c>
      <c r="D1063" s="287" t="s">
        <v>1266</v>
      </c>
      <c r="E1063" s="642">
        <v>902</v>
      </c>
      <c r="F1063" s="482">
        <v>167.41</v>
      </c>
    </row>
    <row r="1064" spans="1:6" s="295" customFormat="1" x14ac:dyDescent="0.15">
      <c r="A1064" s="591" t="s">
        <v>1544</v>
      </c>
      <c r="B1064" s="591" t="s">
        <v>1624</v>
      </c>
      <c r="C1064" s="287" t="s">
        <v>1234</v>
      </c>
      <c r="D1064" s="287" t="s">
        <v>1494</v>
      </c>
      <c r="E1064" s="642">
        <v>5807</v>
      </c>
      <c r="F1064" s="482">
        <v>832.42</v>
      </c>
    </row>
    <row r="1065" spans="1:6" s="295" customFormat="1" x14ac:dyDescent="0.15">
      <c r="A1065" s="591" t="s">
        <v>1601</v>
      </c>
      <c r="B1065" s="591"/>
      <c r="C1065" s="287" t="s">
        <v>1334</v>
      </c>
      <c r="D1065" s="287" t="s">
        <v>1462</v>
      </c>
      <c r="E1065" s="642">
        <f>1206.4+1809.6</f>
        <v>3016</v>
      </c>
      <c r="F1065" s="482">
        <v>528.13</v>
      </c>
    </row>
    <row r="1066" spans="1:6" s="295" customFormat="1" x14ac:dyDescent="0.15">
      <c r="A1066" s="591" t="s">
        <v>1545</v>
      </c>
      <c r="B1066" s="591"/>
      <c r="C1066" s="287" t="s">
        <v>1234</v>
      </c>
      <c r="D1066" s="287" t="s">
        <v>1494</v>
      </c>
      <c r="E1066" s="642">
        <f>4.3+64.5</f>
        <v>68.8</v>
      </c>
      <c r="F1066" s="482">
        <v>14.81</v>
      </c>
    </row>
    <row r="1067" spans="1:6" s="295" customFormat="1" x14ac:dyDescent="0.15">
      <c r="A1067" s="591" t="s">
        <v>1602</v>
      </c>
      <c r="B1067" s="591"/>
      <c r="C1067" s="287" t="s">
        <v>1334</v>
      </c>
      <c r="D1067" s="287" t="s">
        <v>1462</v>
      </c>
      <c r="E1067" s="642">
        <f>67.4+101.2</f>
        <v>168.60000000000002</v>
      </c>
      <c r="F1067" s="482">
        <v>42.120000000000005</v>
      </c>
    </row>
    <row r="1068" spans="1:6" s="295" customFormat="1" x14ac:dyDescent="0.15">
      <c r="A1068" s="591" t="s">
        <v>1546</v>
      </c>
      <c r="B1068" s="591"/>
      <c r="C1068" s="287" t="s">
        <v>1586</v>
      </c>
      <c r="D1068" s="287" t="s">
        <v>1500</v>
      </c>
      <c r="E1068" s="642">
        <f>4.9+73.9</f>
        <v>78.800000000000011</v>
      </c>
      <c r="F1068" s="482">
        <v>24.75</v>
      </c>
    </row>
    <row r="1069" spans="1:6" s="295" customFormat="1" x14ac:dyDescent="0.15">
      <c r="A1069" s="591" t="s">
        <v>1547</v>
      </c>
      <c r="B1069" s="591"/>
      <c r="C1069" s="287" t="s">
        <v>1286</v>
      </c>
      <c r="D1069" s="287" t="s">
        <v>1514</v>
      </c>
      <c r="E1069" s="642">
        <f>200.6+7.4</f>
        <v>208</v>
      </c>
      <c r="F1069" s="482">
        <v>45.64</v>
      </c>
    </row>
    <row r="1070" spans="1:6" s="295" customFormat="1" x14ac:dyDescent="0.15">
      <c r="A1070" s="591" t="s">
        <v>1548</v>
      </c>
      <c r="B1070" s="591"/>
      <c r="C1070" s="287" t="s">
        <v>1235</v>
      </c>
      <c r="D1070" s="287" t="s">
        <v>1236</v>
      </c>
      <c r="E1070" s="642">
        <v>0</v>
      </c>
      <c r="F1070" s="482">
        <v>0</v>
      </c>
    </row>
    <row r="1071" spans="1:6" s="295" customFormat="1" x14ac:dyDescent="0.15">
      <c r="A1071" s="591" t="s">
        <v>1549</v>
      </c>
      <c r="B1071" s="591" t="s">
        <v>1625</v>
      </c>
      <c r="C1071" s="287" t="s">
        <v>1459</v>
      </c>
      <c r="D1071" s="287" t="s">
        <v>1251</v>
      </c>
      <c r="E1071" s="642">
        <v>1390</v>
      </c>
      <c r="F1071" s="482">
        <v>236.39</v>
      </c>
    </row>
    <row r="1072" spans="1:6" s="295" customFormat="1" x14ac:dyDescent="0.15">
      <c r="A1072" s="591" t="s">
        <v>1603</v>
      </c>
      <c r="B1072" s="591"/>
      <c r="C1072" s="287" t="s">
        <v>1334</v>
      </c>
      <c r="D1072" s="287" t="s">
        <v>1462</v>
      </c>
      <c r="E1072" s="642">
        <f>504.3+756.5</f>
        <v>1260.8</v>
      </c>
      <c r="F1072" s="482">
        <v>237.56</v>
      </c>
    </row>
    <row r="1073" spans="1:10" s="295" customFormat="1" x14ac:dyDescent="0.15">
      <c r="A1073" s="591" t="s">
        <v>1597</v>
      </c>
      <c r="B1073" s="591" t="s">
        <v>1626</v>
      </c>
      <c r="C1073" s="287" t="s">
        <v>1454</v>
      </c>
      <c r="D1073" s="287" t="s">
        <v>1247</v>
      </c>
      <c r="E1073" s="642">
        <v>3840</v>
      </c>
      <c r="F1073" s="482">
        <v>582.26</v>
      </c>
    </row>
    <row r="1074" spans="1:10" s="295" customFormat="1" x14ac:dyDescent="0.15">
      <c r="A1074" s="591" t="s">
        <v>1551</v>
      </c>
      <c r="B1074" s="591" t="s">
        <v>1627</v>
      </c>
      <c r="C1074" s="287" t="s">
        <v>1235</v>
      </c>
      <c r="D1074" s="287" t="s">
        <v>1236</v>
      </c>
      <c r="E1074" s="642">
        <v>8935</v>
      </c>
      <c r="F1074" s="482">
        <v>1218.5</v>
      </c>
    </row>
    <row r="1075" spans="1:10" s="295" customFormat="1" x14ac:dyDescent="0.15">
      <c r="A1075" s="591" t="s">
        <v>1553</v>
      </c>
      <c r="B1075" s="591" t="s">
        <v>1628</v>
      </c>
      <c r="C1075" s="287" t="s">
        <v>1475</v>
      </c>
      <c r="D1075" s="287" t="s">
        <v>1387</v>
      </c>
      <c r="E1075" s="642">
        <v>1288</v>
      </c>
      <c r="F1075" s="482">
        <v>222.34</v>
      </c>
    </row>
    <row r="1076" spans="1:10" s="295" customFormat="1" x14ac:dyDescent="0.15">
      <c r="A1076" s="591" t="s">
        <v>1554</v>
      </c>
      <c r="B1076" s="591" t="s">
        <v>1629</v>
      </c>
      <c r="C1076" s="287" t="s">
        <v>1399</v>
      </c>
      <c r="D1076" s="287" t="s">
        <v>1276</v>
      </c>
      <c r="E1076" s="642">
        <v>5520</v>
      </c>
      <c r="F1076" s="482">
        <v>810.68</v>
      </c>
    </row>
    <row r="1077" spans="1:10" s="295" customFormat="1" x14ac:dyDescent="0.15">
      <c r="A1077" s="591" t="s">
        <v>1552</v>
      </c>
      <c r="B1077" s="591"/>
      <c r="C1077" s="287" t="s">
        <v>1286</v>
      </c>
      <c r="D1077" s="287" t="s">
        <v>1514</v>
      </c>
      <c r="E1077" s="642">
        <v>0</v>
      </c>
      <c r="F1077" s="482">
        <v>0</v>
      </c>
    </row>
    <row r="1078" spans="1:10" s="295" customFormat="1" x14ac:dyDescent="0.15">
      <c r="A1078" s="591" t="s">
        <v>1598</v>
      </c>
      <c r="B1078" s="591"/>
      <c r="C1078" s="287" t="s">
        <v>1586</v>
      </c>
      <c r="D1078" s="287" t="s">
        <v>1500</v>
      </c>
      <c r="E1078" s="642">
        <f>2.5+36.9</f>
        <v>39.4</v>
      </c>
      <c r="F1078" s="482">
        <v>14.98</v>
      </c>
      <c r="H1078" s="645"/>
    </row>
    <row r="1079" spans="1:10" s="295" customFormat="1" x14ac:dyDescent="0.15">
      <c r="A1079" s="591" t="s">
        <v>1662</v>
      </c>
      <c r="B1079" s="651">
        <v>892914652</v>
      </c>
      <c r="C1079" s="287" t="s">
        <v>1663</v>
      </c>
      <c r="D1079" s="287" t="s">
        <v>1664</v>
      </c>
      <c r="E1079" s="642">
        <v>2880</v>
      </c>
      <c r="F1079" s="482">
        <v>570.88</v>
      </c>
      <c r="H1079" s="538"/>
    </row>
    <row r="1080" spans="1:10" s="275" customFormat="1" ht="14" thickBot="1" x14ac:dyDescent="0.2">
      <c r="A1080" s="591"/>
      <c r="B1080" s="591"/>
      <c r="C1080" s="291" t="s">
        <v>1588</v>
      </c>
      <c r="D1080" s="287"/>
      <c r="E1080" s="638">
        <f>SUM(E1054:E1079)</f>
        <v>107626.40000000001</v>
      </c>
      <c r="F1080" s="620">
        <v>15430.280000000002</v>
      </c>
      <c r="H1080" s="636"/>
      <c r="J1080" s="646">
        <f>F1080/E1080</f>
        <v>0.14336891320345196</v>
      </c>
    </row>
    <row r="1081" spans="1:10" s="275" customFormat="1" ht="14" thickTop="1" x14ac:dyDescent="0.15">
      <c r="A1081" s="640"/>
      <c r="B1081" s="640"/>
      <c r="C1081" s="295"/>
      <c r="D1081" s="295"/>
      <c r="E1081" s="296"/>
      <c r="F1081" s="298"/>
    </row>
    <row r="1082" spans="1:10" s="275" customFormat="1" x14ac:dyDescent="0.15">
      <c r="A1082" s="640"/>
      <c r="B1082" s="640"/>
      <c r="C1082" s="299" t="s">
        <v>1594</v>
      </c>
      <c r="D1082" s="295"/>
      <c r="E1082" s="296"/>
      <c r="F1082" s="298"/>
    </row>
    <row r="1083" spans="1:10" s="275" customFormat="1" x14ac:dyDescent="0.15">
      <c r="A1083" s="640"/>
      <c r="B1083" s="640"/>
      <c r="C1083" s="293" t="s">
        <v>1446</v>
      </c>
      <c r="D1083" s="295"/>
      <c r="E1083" s="296"/>
      <c r="F1083" s="298"/>
    </row>
    <row r="1084" spans="1:10" s="275" customFormat="1" x14ac:dyDescent="0.15">
      <c r="A1084" s="640"/>
      <c r="B1084" s="640"/>
      <c r="C1084" s="386">
        <v>41555</v>
      </c>
      <c r="D1084" s="295"/>
      <c r="E1084" s="296"/>
      <c r="F1084" s="298"/>
    </row>
    <row r="1085" spans="1:10" s="275" customFormat="1" x14ac:dyDescent="0.15">
      <c r="A1085" s="640"/>
      <c r="B1085" s="640"/>
      <c r="C1085" s="295"/>
      <c r="D1085" s="295"/>
      <c r="E1085" s="296"/>
      <c r="F1085" s="298"/>
    </row>
    <row r="1086" spans="1:10" s="295" customFormat="1" x14ac:dyDescent="0.15">
      <c r="A1086" s="640" t="s">
        <v>1556</v>
      </c>
      <c r="B1086" s="640" t="s">
        <v>1631</v>
      </c>
      <c r="C1086" s="295" t="s">
        <v>1248</v>
      </c>
      <c r="D1086" s="295" t="s">
        <v>1482</v>
      </c>
      <c r="E1086" s="642">
        <v>3890</v>
      </c>
      <c r="F1086" s="482">
        <v>675.78</v>
      </c>
    </row>
    <row r="1087" spans="1:10" s="295" customFormat="1" x14ac:dyDescent="0.15">
      <c r="A1087" s="591" t="s">
        <v>1557</v>
      </c>
      <c r="B1087" s="591" t="s">
        <v>1632</v>
      </c>
      <c r="C1087" s="287" t="s">
        <v>1477</v>
      </c>
      <c r="D1087" s="287" t="s">
        <v>1289</v>
      </c>
      <c r="E1087" s="642">
        <v>9960</v>
      </c>
      <c r="F1087" s="482">
        <v>1422.36</v>
      </c>
    </row>
    <row r="1088" spans="1:10" s="295" customFormat="1" x14ac:dyDescent="0.15">
      <c r="A1088" s="591" t="s">
        <v>1558</v>
      </c>
      <c r="B1088" s="591" t="s">
        <v>1633</v>
      </c>
      <c r="C1088" s="287" t="s">
        <v>1469</v>
      </c>
      <c r="D1088" s="287" t="s">
        <v>1470</v>
      </c>
      <c r="E1088" s="642">
        <v>7040</v>
      </c>
      <c r="F1088" s="482">
        <v>1043.5999999999999</v>
      </c>
    </row>
    <row r="1089" spans="1:6" s="295" customFormat="1" x14ac:dyDescent="0.15">
      <c r="A1089" s="591" t="s">
        <v>1559</v>
      </c>
      <c r="B1089" s="591" t="s">
        <v>1634</v>
      </c>
      <c r="C1089" s="287" t="s">
        <v>1502</v>
      </c>
      <c r="D1089" s="287" t="s">
        <v>1381</v>
      </c>
      <c r="E1089" s="642">
        <v>17376</v>
      </c>
      <c r="F1089" s="482">
        <v>2276.4899999999998</v>
      </c>
    </row>
    <row r="1090" spans="1:6" s="295" customFormat="1" x14ac:dyDescent="0.15">
      <c r="A1090" s="591" t="s">
        <v>1560</v>
      </c>
      <c r="B1090" s="591" t="s">
        <v>1635</v>
      </c>
      <c r="C1090" s="287" t="s">
        <v>1504</v>
      </c>
      <c r="D1090" s="287" t="s">
        <v>1505</v>
      </c>
      <c r="E1090" s="642">
        <v>1916</v>
      </c>
      <c r="F1090" s="482">
        <v>281.92</v>
      </c>
    </row>
    <row r="1091" spans="1:6" s="295" customFormat="1" x14ac:dyDescent="0.15">
      <c r="A1091" s="591" t="s">
        <v>1561</v>
      </c>
      <c r="B1091" s="591"/>
      <c r="C1091" s="287" t="s">
        <v>1562</v>
      </c>
      <c r="D1091" s="287" t="s">
        <v>1509</v>
      </c>
      <c r="E1091" s="642">
        <v>0</v>
      </c>
      <c r="F1091" s="482">
        <v>0</v>
      </c>
    </row>
    <row r="1092" spans="1:6" s="295" customFormat="1" x14ac:dyDescent="0.15">
      <c r="A1092" s="591" t="s">
        <v>1563</v>
      </c>
      <c r="B1092" s="591"/>
      <c r="C1092" s="287" t="s">
        <v>1267</v>
      </c>
      <c r="D1092" s="287" t="s">
        <v>1268</v>
      </c>
      <c r="E1092" s="642">
        <f>2.2+66.6</f>
        <v>68.8</v>
      </c>
      <c r="F1092" s="482">
        <v>11.389999999999999</v>
      </c>
    </row>
    <row r="1093" spans="1:6" s="295" customFormat="1" x14ac:dyDescent="0.15">
      <c r="A1093" s="591" t="s">
        <v>1564</v>
      </c>
      <c r="B1093" s="591" t="s">
        <v>1636</v>
      </c>
      <c r="C1093" s="287" t="s">
        <v>1485</v>
      </c>
      <c r="D1093" s="287" t="s">
        <v>1486</v>
      </c>
      <c r="E1093" s="642">
        <v>1440</v>
      </c>
      <c r="F1093" s="482">
        <v>404.77</v>
      </c>
    </row>
    <row r="1094" spans="1:6" s="295" customFormat="1" x14ac:dyDescent="0.15">
      <c r="A1094" s="591" t="s">
        <v>1565</v>
      </c>
      <c r="B1094" s="591" t="s">
        <v>1637</v>
      </c>
      <c r="C1094" s="287" t="s">
        <v>1267</v>
      </c>
      <c r="D1094" s="287" t="s">
        <v>1268</v>
      </c>
      <c r="E1094" s="642">
        <v>2625</v>
      </c>
      <c r="F1094" s="482">
        <v>453.17</v>
      </c>
    </row>
    <row r="1095" spans="1:6" s="295" customFormat="1" x14ac:dyDescent="0.15">
      <c r="A1095" s="591" t="s">
        <v>1569</v>
      </c>
      <c r="B1095" s="591" t="s">
        <v>1638</v>
      </c>
      <c r="C1095" s="287" t="s">
        <v>1464</v>
      </c>
      <c r="D1095" s="287" t="s">
        <v>1285</v>
      </c>
      <c r="E1095" s="642">
        <v>1429</v>
      </c>
      <c r="F1095" s="482">
        <v>260.68</v>
      </c>
    </row>
    <row r="1096" spans="1:6" s="295" customFormat="1" x14ac:dyDescent="0.15">
      <c r="A1096" s="591" t="s">
        <v>1570</v>
      </c>
      <c r="B1096" s="591" t="s">
        <v>1639</v>
      </c>
      <c r="C1096" s="287" t="s">
        <v>1472</v>
      </c>
      <c r="D1096" s="287" t="s">
        <v>1473</v>
      </c>
      <c r="E1096" s="642">
        <v>140</v>
      </c>
      <c r="F1096" s="482">
        <v>43.92</v>
      </c>
    </row>
    <row r="1097" spans="1:6" s="295" customFormat="1" x14ac:dyDescent="0.15">
      <c r="A1097" s="591" t="s">
        <v>1571</v>
      </c>
      <c r="B1097" s="591" t="s">
        <v>1640</v>
      </c>
      <c r="C1097" s="287" t="s">
        <v>1489</v>
      </c>
      <c r="D1097" s="287" t="s">
        <v>1490</v>
      </c>
      <c r="E1097" s="642">
        <v>170</v>
      </c>
      <c r="F1097" s="482">
        <v>46.92</v>
      </c>
    </row>
    <row r="1098" spans="1:6" s="295" customFormat="1" x14ac:dyDescent="0.15">
      <c r="A1098" s="591" t="s">
        <v>1572</v>
      </c>
      <c r="B1098" s="591" t="s">
        <v>1641</v>
      </c>
      <c r="C1098" s="287" t="s">
        <v>1271</v>
      </c>
      <c r="D1098" s="287" t="s">
        <v>1272</v>
      </c>
      <c r="E1098" s="642">
        <v>5962</v>
      </c>
      <c r="F1098" s="482">
        <v>888.7</v>
      </c>
    </row>
    <row r="1099" spans="1:6" s="295" customFormat="1" x14ac:dyDescent="0.15">
      <c r="A1099" s="591" t="s">
        <v>1573</v>
      </c>
      <c r="B1099" s="591"/>
      <c r="C1099" s="287" t="s">
        <v>1461</v>
      </c>
      <c r="D1099" s="287" t="s">
        <v>1462</v>
      </c>
      <c r="E1099" s="642">
        <v>26</v>
      </c>
      <c r="F1099" s="482">
        <v>16.28</v>
      </c>
    </row>
    <row r="1100" spans="1:6" s="295" customFormat="1" x14ac:dyDescent="0.15">
      <c r="A1100" s="591" t="s">
        <v>1574</v>
      </c>
      <c r="B1100" s="591" t="s">
        <v>1642</v>
      </c>
      <c r="C1100" s="287" t="s">
        <v>1377</v>
      </c>
      <c r="D1100" s="287" t="s">
        <v>1378</v>
      </c>
      <c r="E1100" s="642">
        <v>2385</v>
      </c>
      <c r="F1100" s="482">
        <v>396.66</v>
      </c>
    </row>
    <row r="1101" spans="1:6" s="295" customFormat="1" x14ac:dyDescent="0.15">
      <c r="A1101" s="591" t="s">
        <v>1575</v>
      </c>
      <c r="B1101" s="591" t="s">
        <v>1643</v>
      </c>
      <c r="C1101" s="287" t="s">
        <v>1448</v>
      </c>
      <c r="D1101" s="287" t="s">
        <v>1449</v>
      </c>
      <c r="E1101" s="642">
        <v>64</v>
      </c>
      <c r="F1101" s="482">
        <v>16.41</v>
      </c>
    </row>
    <row r="1102" spans="1:6" s="295" customFormat="1" x14ac:dyDescent="0.15">
      <c r="A1102" s="591" t="s">
        <v>1604</v>
      </c>
      <c r="B1102" s="591"/>
      <c r="C1102" s="287" t="s">
        <v>1334</v>
      </c>
      <c r="D1102" s="287" t="s">
        <v>1462</v>
      </c>
      <c r="E1102" s="642">
        <f>63+94.6</f>
        <v>157.6</v>
      </c>
      <c r="F1102" s="482">
        <v>49.36</v>
      </c>
    </row>
    <row r="1103" spans="1:6" s="295" customFormat="1" x14ac:dyDescent="0.15">
      <c r="A1103" s="591" t="s">
        <v>1576</v>
      </c>
      <c r="B1103" s="591" t="s">
        <v>1644</v>
      </c>
      <c r="C1103" s="287" t="s">
        <v>1401</v>
      </c>
      <c r="D1103" s="287" t="s">
        <v>1316</v>
      </c>
      <c r="E1103" s="642">
        <v>165</v>
      </c>
      <c r="F1103" s="482">
        <v>47.3</v>
      </c>
    </row>
    <row r="1104" spans="1:6" s="295" customFormat="1" x14ac:dyDescent="0.15">
      <c r="A1104" s="591" t="s">
        <v>1605</v>
      </c>
      <c r="B1104" s="591"/>
      <c r="C1104" s="287" t="s">
        <v>1334</v>
      </c>
      <c r="D1104" s="287" t="s">
        <v>1462</v>
      </c>
      <c r="E1104" s="642">
        <f>230+345</f>
        <v>575</v>
      </c>
      <c r="F1104" s="482">
        <v>179.59</v>
      </c>
    </row>
    <row r="1105" spans="1:10" s="295" customFormat="1" x14ac:dyDescent="0.15">
      <c r="A1105" s="640" t="s">
        <v>1577</v>
      </c>
      <c r="B1105" s="640" t="s">
        <v>1645</v>
      </c>
      <c r="C1105" s="295" t="s">
        <v>1395</v>
      </c>
      <c r="D1105" s="295" t="s">
        <v>1396</v>
      </c>
      <c r="E1105" s="642">
        <v>0</v>
      </c>
      <c r="F1105" s="482">
        <v>0</v>
      </c>
    </row>
    <row r="1106" spans="1:10" s="295" customFormat="1" x14ac:dyDescent="0.15">
      <c r="A1106" s="591" t="s">
        <v>1578</v>
      </c>
      <c r="B1106" s="591" t="s">
        <v>1646</v>
      </c>
      <c r="C1106" s="287" t="s">
        <v>1579</v>
      </c>
      <c r="D1106" s="287" t="s">
        <v>1497</v>
      </c>
      <c r="E1106" s="642">
        <f>3+32</f>
        <v>35</v>
      </c>
      <c r="F1106" s="482">
        <v>63.489999999999995</v>
      </c>
    </row>
    <row r="1107" spans="1:10" s="295" customFormat="1" x14ac:dyDescent="0.15">
      <c r="A1107" s="640" t="s">
        <v>1580</v>
      </c>
      <c r="B1107" s="640" t="s">
        <v>1647</v>
      </c>
      <c r="C1107" s="295" t="s">
        <v>1451</v>
      </c>
      <c r="D1107" s="295" t="s">
        <v>1674</v>
      </c>
      <c r="E1107" s="642">
        <v>384</v>
      </c>
      <c r="F1107" s="482">
        <v>88.65</v>
      </c>
    </row>
    <row r="1108" spans="1:10" s="295" customFormat="1" x14ac:dyDescent="0.15">
      <c r="A1108" s="591" t="s">
        <v>1581</v>
      </c>
      <c r="B1108" s="591" t="s">
        <v>1648</v>
      </c>
      <c r="C1108" s="287" t="s">
        <v>1521</v>
      </c>
      <c r="D1108" s="287" t="s">
        <v>1229</v>
      </c>
      <c r="E1108" s="642">
        <v>2940</v>
      </c>
      <c r="F1108" s="482">
        <v>424.64</v>
      </c>
    </row>
    <row r="1109" spans="1:10" s="295" customFormat="1" x14ac:dyDescent="0.15">
      <c r="A1109" s="591" t="s">
        <v>1582</v>
      </c>
      <c r="B1109" s="591" t="s">
        <v>1649</v>
      </c>
      <c r="C1109" s="287" t="s">
        <v>1525</v>
      </c>
      <c r="D1109" s="287" t="s">
        <v>1526</v>
      </c>
      <c r="E1109" s="642">
        <v>10</v>
      </c>
      <c r="F1109" s="482">
        <v>7.63</v>
      </c>
      <c r="H1109" s="645"/>
    </row>
    <row r="1110" spans="1:10" s="295" customFormat="1" ht="14" x14ac:dyDescent="0.15">
      <c r="A1110" s="591" t="s">
        <v>1583</v>
      </c>
      <c r="B1110" s="591" t="s">
        <v>1650</v>
      </c>
      <c r="C1110" s="287" t="s">
        <v>1584</v>
      </c>
      <c r="D1110" s="618" t="s">
        <v>1264</v>
      </c>
      <c r="E1110" s="642">
        <v>1080</v>
      </c>
      <c r="F1110" s="482">
        <v>198.73</v>
      </c>
      <c r="J1110" s="645"/>
    </row>
    <row r="1111" spans="1:10" s="295" customFormat="1" ht="14" thickBot="1" x14ac:dyDescent="0.2">
      <c r="A1111" s="591" t="s">
        <v>1666</v>
      </c>
      <c r="B1111" s="591" t="s">
        <v>1672</v>
      </c>
      <c r="C1111" s="287" t="s">
        <v>1667</v>
      </c>
      <c r="D1111" s="287" t="s">
        <v>1668</v>
      </c>
      <c r="E1111" s="642">
        <v>17280</v>
      </c>
      <c r="F1111" s="482">
        <v>4230.29</v>
      </c>
    </row>
    <row r="1112" spans="1:10" s="295" customFormat="1" x14ac:dyDescent="0.15">
      <c r="A1112" s="591" t="s">
        <v>1606</v>
      </c>
      <c r="B1112" s="591"/>
      <c r="C1112" s="287" t="s">
        <v>1334</v>
      </c>
      <c r="D1112" s="287" t="s">
        <v>1462</v>
      </c>
      <c r="E1112" s="642">
        <f>27.5+41.3</f>
        <v>68.8</v>
      </c>
      <c r="F1112" s="482">
        <v>12.120000000000001</v>
      </c>
      <c r="H1112" s="647" t="s">
        <v>1589</v>
      </c>
    </row>
    <row r="1113" spans="1:10" s="275" customFormat="1" ht="14" thickBot="1" x14ac:dyDescent="0.2">
      <c r="A1113" s="591"/>
      <c r="B1113" s="591"/>
      <c r="C1113" s="291" t="s">
        <v>1590</v>
      </c>
      <c r="D1113" s="287"/>
      <c r="E1113" s="643">
        <f>SUM(E1086:E1112)</f>
        <v>77187.199999999997</v>
      </c>
      <c r="F1113" s="620">
        <v>13540.849999999997</v>
      </c>
      <c r="H1113" s="648">
        <f>SUM(F1080,F1113)</f>
        <v>28971.129999999997</v>
      </c>
      <c r="J1113" s="646">
        <f>F1113/E1113</f>
        <v>0.17542869802247002</v>
      </c>
    </row>
    <row r="1114" spans="1:10" s="275" customFormat="1" ht="14" thickTop="1" x14ac:dyDescent="0.15">
      <c r="A1114" s="617"/>
      <c r="B1114" s="617"/>
      <c r="E1114" s="276"/>
      <c r="F1114" s="278"/>
    </row>
    <row r="1115" spans="1:10" s="275" customFormat="1" x14ac:dyDescent="0.15">
      <c r="A1115" s="617"/>
      <c r="B1115" s="617"/>
      <c r="C1115" s="299" t="s">
        <v>1594</v>
      </c>
      <c r="E1115" s="276"/>
      <c r="F1115" s="278"/>
    </row>
    <row r="1116" spans="1:10" s="275" customFormat="1" x14ac:dyDescent="0.15">
      <c r="A1116" s="617"/>
      <c r="B1116" s="617"/>
      <c r="C1116" s="293" t="s">
        <v>1446</v>
      </c>
      <c r="E1116" s="276"/>
      <c r="F1116" s="278"/>
    </row>
    <row r="1117" spans="1:10" s="275" customFormat="1" x14ac:dyDescent="0.15">
      <c r="A1117" s="617"/>
      <c r="B1117" s="617"/>
      <c r="C1117" s="386">
        <v>41555</v>
      </c>
      <c r="E1117" s="276"/>
      <c r="F1117" s="278"/>
    </row>
    <row r="1118" spans="1:10" s="275" customFormat="1" x14ac:dyDescent="0.15">
      <c r="A1118" s="617"/>
      <c r="B1118" s="617"/>
      <c r="E1118" s="276"/>
      <c r="F1118" s="278"/>
    </row>
    <row r="1119" spans="1:10" s="275" customFormat="1" x14ac:dyDescent="0.15">
      <c r="A1119" s="591" t="s">
        <v>1534</v>
      </c>
      <c r="B1119" s="591" t="s">
        <v>1614</v>
      </c>
      <c r="C1119" s="287" t="s">
        <v>1492</v>
      </c>
      <c r="D1119" s="287" t="s">
        <v>1239</v>
      </c>
      <c r="E1119" s="642">
        <v>11840</v>
      </c>
      <c r="F1119" s="482">
        <v>1643.68</v>
      </c>
      <c r="G1119" s="295"/>
      <c r="H1119" s="295"/>
    </row>
    <row r="1120" spans="1:10" s="275" customFormat="1" x14ac:dyDescent="0.15">
      <c r="A1120" s="591" t="s">
        <v>1535</v>
      </c>
      <c r="B1120" s="591" t="s">
        <v>1615</v>
      </c>
      <c r="C1120" s="287" t="s">
        <v>1507</v>
      </c>
      <c r="D1120" s="287" t="s">
        <v>1245</v>
      </c>
      <c r="E1120" s="642">
        <v>3240</v>
      </c>
      <c r="F1120" s="482">
        <v>529.37</v>
      </c>
      <c r="G1120" s="295"/>
      <c r="H1120" s="295"/>
    </row>
    <row r="1121" spans="1:8" s="275" customFormat="1" x14ac:dyDescent="0.15">
      <c r="A1121" s="591" t="s">
        <v>1670</v>
      </c>
      <c r="B1121" s="591" t="s">
        <v>1659</v>
      </c>
      <c r="C1121" s="287" t="s">
        <v>1279</v>
      </c>
      <c r="D1121" s="287" t="s">
        <v>1660</v>
      </c>
      <c r="E1121" s="642">
        <v>8640</v>
      </c>
      <c r="F1121" s="482">
        <v>1254.6500000000001</v>
      </c>
      <c r="G1121" s="295"/>
      <c r="H1121" s="538"/>
    </row>
    <row r="1122" spans="1:8" s="275" customFormat="1" x14ac:dyDescent="0.15">
      <c r="A1122" s="591" t="s">
        <v>1536</v>
      </c>
      <c r="B1122" s="591" t="s">
        <v>1616</v>
      </c>
      <c r="C1122" s="287" t="s">
        <v>1479</v>
      </c>
      <c r="D1122" s="287" t="s">
        <v>1231</v>
      </c>
      <c r="E1122" s="642">
        <v>5823</v>
      </c>
      <c r="F1122" s="482">
        <v>786.32</v>
      </c>
      <c r="G1122" s="295"/>
      <c r="H1122" s="295"/>
    </row>
    <row r="1123" spans="1:8" s="275" customFormat="1" x14ac:dyDescent="0.15">
      <c r="A1123" s="591" t="s">
        <v>1537</v>
      </c>
      <c r="B1123" s="591" t="s">
        <v>1617</v>
      </c>
      <c r="C1123" s="287" t="s">
        <v>1269</v>
      </c>
      <c r="D1123" s="287" t="s">
        <v>1270</v>
      </c>
      <c r="E1123" s="642">
        <v>3493</v>
      </c>
      <c r="F1123" s="482">
        <v>506.88</v>
      </c>
      <c r="G1123" s="295"/>
      <c r="H1123" s="295"/>
    </row>
    <row r="1124" spans="1:8" s="275" customFormat="1" x14ac:dyDescent="0.15">
      <c r="A1124" s="640" t="s">
        <v>1538</v>
      </c>
      <c r="B1124" s="640" t="s">
        <v>1618</v>
      </c>
      <c r="C1124" s="295" t="s">
        <v>1517</v>
      </c>
      <c r="D1124" s="295" t="s">
        <v>1518</v>
      </c>
      <c r="E1124" s="642">
        <v>4</v>
      </c>
      <c r="F1124" s="482">
        <v>30.39</v>
      </c>
      <c r="G1124" s="295"/>
      <c r="H1124" s="295"/>
    </row>
    <row r="1125" spans="1:8" s="275" customFormat="1" x14ac:dyDescent="0.15">
      <c r="A1125" s="591" t="s">
        <v>1540</v>
      </c>
      <c r="B1125" s="591" t="s">
        <v>1620</v>
      </c>
      <c r="C1125" s="287" t="s">
        <v>1257</v>
      </c>
      <c r="D1125" s="287" t="s">
        <v>1258</v>
      </c>
      <c r="E1125" s="642">
        <v>22800</v>
      </c>
      <c r="F1125" s="482">
        <v>3033.62</v>
      </c>
      <c r="G1125" s="295"/>
      <c r="H1125" s="295"/>
    </row>
    <row r="1126" spans="1:8" s="275" customFormat="1" x14ac:dyDescent="0.15">
      <c r="A1126" s="591" t="s">
        <v>1541</v>
      </c>
      <c r="B1126" s="591" t="s">
        <v>1621</v>
      </c>
      <c r="C1126" s="287" t="s">
        <v>1586</v>
      </c>
      <c r="D1126" s="287" t="s">
        <v>1500</v>
      </c>
      <c r="E1126" s="642">
        <v>3880</v>
      </c>
      <c r="F1126" s="482">
        <v>606.66</v>
      </c>
      <c r="G1126" s="295"/>
      <c r="H1126" s="295"/>
    </row>
    <row r="1127" spans="1:8" s="275" customFormat="1" x14ac:dyDescent="0.15">
      <c r="A1127" s="591" t="s">
        <v>1542</v>
      </c>
      <c r="B1127" s="591" t="s">
        <v>1622</v>
      </c>
      <c r="C1127" s="287" t="s">
        <v>1240</v>
      </c>
      <c r="D1127" s="287" t="s">
        <v>1467</v>
      </c>
      <c r="E1127" s="642">
        <v>4705</v>
      </c>
      <c r="F1127" s="482">
        <v>654.66999999999996</v>
      </c>
      <c r="G1127" s="295"/>
      <c r="H1127" s="295"/>
    </row>
    <row r="1128" spans="1:8" s="275" customFormat="1" x14ac:dyDescent="0.15">
      <c r="A1128" s="591" t="s">
        <v>1543</v>
      </c>
      <c r="B1128" s="591" t="s">
        <v>1623</v>
      </c>
      <c r="C1128" s="287" t="s">
        <v>1523</v>
      </c>
      <c r="D1128" s="287" t="s">
        <v>1266</v>
      </c>
      <c r="E1128" s="642">
        <v>825</v>
      </c>
      <c r="F1128" s="482">
        <v>173.36</v>
      </c>
      <c r="G1128" s="295"/>
      <c r="H1128" s="295"/>
    </row>
    <row r="1129" spans="1:8" s="275" customFormat="1" x14ac:dyDescent="0.15">
      <c r="A1129" s="591" t="s">
        <v>1544</v>
      </c>
      <c r="B1129" s="591" t="s">
        <v>1624</v>
      </c>
      <c r="C1129" s="287" t="s">
        <v>1234</v>
      </c>
      <c r="D1129" s="287" t="s">
        <v>1494</v>
      </c>
      <c r="E1129" s="642">
        <v>5349</v>
      </c>
      <c r="F1129" s="482">
        <v>807.26</v>
      </c>
      <c r="G1129" s="295"/>
      <c r="H1129" s="295"/>
    </row>
    <row r="1130" spans="1:8" s="275" customFormat="1" x14ac:dyDescent="0.15">
      <c r="A1130" s="591" t="s">
        <v>1601</v>
      </c>
      <c r="B1130" s="591"/>
      <c r="C1130" s="287" t="s">
        <v>1334</v>
      </c>
      <c r="D1130" s="287" t="s">
        <v>1462</v>
      </c>
      <c r="E1130" s="642">
        <f>1448.4+2051.9</f>
        <v>3500.3</v>
      </c>
      <c r="F1130" s="482">
        <v>567.05999999999995</v>
      </c>
      <c r="G1130" s="295"/>
      <c r="H1130" s="295"/>
    </row>
    <row r="1131" spans="1:8" s="275" customFormat="1" x14ac:dyDescent="0.15">
      <c r="A1131" s="591" t="s">
        <v>1545</v>
      </c>
      <c r="B1131" s="591"/>
      <c r="C1131" s="287" t="s">
        <v>1234</v>
      </c>
      <c r="D1131" s="287" t="s">
        <v>1494</v>
      </c>
      <c r="E1131" s="642">
        <v>79.900000000000006</v>
      </c>
      <c r="F1131" s="482">
        <v>15.96</v>
      </c>
      <c r="G1131" s="295"/>
      <c r="H1131" s="295"/>
    </row>
    <row r="1132" spans="1:8" s="275" customFormat="1" x14ac:dyDescent="0.15">
      <c r="A1132" s="591" t="s">
        <v>1602</v>
      </c>
      <c r="B1132" s="591"/>
      <c r="C1132" s="287" t="s">
        <v>1334</v>
      </c>
      <c r="D1132" s="287" t="s">
        <v>1462</v>
      </c>
      <c r="E1132" s="642">
        <f>80.9+114.7</f>
        <v>195.60000000000002</v>
      </c>
      <c r="F1132" s="482">
        <v>44.3</v>
      </c>
      <c r="G1132" s="295"/>
      <c r="H1132" s="295"/>
    </row>
    <row r="1133" spans="1:8" s="275" customFormat="1" x14ac:dyDescent="0.15">
      <c r="A1133" s="591" t="s">
        <v>1546</v>
      </c>
      <c r="B1133" s="591"/>
      <c r="C1133" s="287" t="s">
        <v>1586</v>
      </c>
      <c r="D1133" s="287" t="s">
        <v>1500</v>
      </c>
      <c r="E1133" s="642">
        <v>91.6</v>
      </c>
      <c r="F1133" s="482">
        <v>26.31</v>
      </c>
      <c r="G1133" s="295"/>
      <c r="H1133" s="295"/>
    </row>
    <row r="1134" spans="1:8" s="275" customFormat="1" x14ac:dyDescent="0.15">
      <c r="A1134" s="591" t="s">
        <v>1547</v>
      </c>
      <c r="B1134" s="591"/>
      <c r="C1134" s="287" t="s">
        <v>1286</v>
      </c>
      <c r="D1134" s="287" t="s">
        <v>1514</v>
      </c>
      <c r="E1134" s="642">
        <f>233.6+7.8</f>
        <v>241.4</v>
      </c>
      <c r="F1134" s="482">
        <v>48.86</v>
      </c>
      <c r="G1134" s="295"/>
      <c r="H1134" s="295"/>
    </row>
    <row r="1135" spans="1:8" s="275" customFormat="1" x14ac:dyDescent="0.15">
      <c r="A1135" s="591" t="s">
        <v>1548</v>
      </c>
      <c r="B1135" s="591"/>
      <c r="C1135" s="287" t="s">
        <v>1235</v>
      </c>
      <c r="D1135" s="287" t="s">
        <v>1236</v>
      </c>
      <c r="E1135" s="644">
        <v>0</v>
      </c>
      <c r="F1135" s="482">
        <v>0</v>
      </c>
      <c r="G1135" s="295"/>
      <c r="H1135" s="295"/>
    </row>
    <row r="1136" spans="1:8" s="275" customFormat="1" x14ac:dyDescent="0.15">
      <c r="A1136" s="591" t="s">
        <v>1549</v>
      </c>
      <c r="B1136" s="591" t="s">
        <v>1625</v>
      </c>
      <c r="C1136" s="287" t="s">
        <v>1459</v>
      </c>
      <c r="D1136" s="287" t="s">
        <v>1251</v>
      </c>
      <c r="E1136" s="642">
        <v>1391</v>
      </c>
      <c r="F1136" s="482">
        <v>222.87</v>
      </c>
      <c r="G1136" s="295"/>
      <c r="H1136" s="295"/>
    </row>
    <row r="1137" spans="1:8" s="275" customFormat="1" x14ac:dyDescent="0.15">
      <c r="A1137" s="591" t="s">
        <v>1603</v>
      </c>
      <c r="B1137" s="591"/>
      <c r="C1137" s="287" t="s">
        <v>1334</v>
      </c>
      <c r="D1137" s="287" t="s">
        <v>1462</v>
      </c>
      <c r="E1137" s="642">
        <f>606.1+858.7</f>
        <v>1464.8000000000002</v>
      </c>
      <c r="F1137" s="482">
        <v>253.88</v>
      </c>
      <c r="G1137" s="295"/>
      <c r="H1137" s="295"/>
    </row>
    <row r="1138" spans="1:8" s="275" customFormat="1" x14ac:dyDescent="0.15">
      <c r="A1138" s="591" t="s">
        <v>1597</v>
      </c>
      <c r="B1138" s="591" t="s">
        <v>1626</v>
      </c>
      <c r="C1138" s="287" t="s">
        <v>1454</v>
      </c>
      <c r="D1138" s="287" t="s">
        <v>1247</v>
      </c>
      <c r="E1138" s="642">
        <v>3560</v>
      </c>
      <c r="F1138" s="482">
        <v>533.99</v>
      </c>
      <c r="G1138" s="295"/>
      <c r="H1138" s="295"/>
    </row>
    <row r="1139" spans="1:8" s="275" customFormat="1" x14ac:dyDescent="0.15">
      <c r="A1139" s="591" t="s">
        <v>1551</v>
      </c>
      <c r="B1139" s="591" t="s">
        <v>1627</v>
      </c>
      <c r="C1139" s="287" t="s">
        <v>1235</v>
      </c>
      <c r="D1139" s="287" t="s">
        <v>1236</v>
      </c>
      <c r="E1139" s="642">
        <v>8128</v>
      </c>
      <c r="F1139" s="482">
        <v>1124.5899999999999</v>
      </c>
      <c r="G1139" s="295"/>
      <c r="H1139" s="295"/>
    </row>
    <row r="1140" spans="1:8" s="275" customFormat="1" x14ac:dyDescent="0.15">
      <c r="A1140" s="591" t="s">
        <v>1553</v>
      </c>
      <c r="B1140" s="591" t="s">
        <v>1628</v>
      </c>
      <c r="C1140" s="287" t="s">
        <v>1475</v>
      </c>
      <c r="D1140" s="287" t="s">
        <v>1387</v>
      </c>
      <c r="E1140" s="642">
        <v>966</v>
      </c>
      <c r="F1140" s="482">
        <v>166.77</v>
      </c>
      <c r="G1140" s="295"/>
      <c r="H1140" s="295"/>
    </row>
    <row r="1141" spans="1:8" s="275" customFormat="1" x14ac:dyDescent="0.15">
      <c r="A1141" s="591" t="s">
        <v>1554</v>
      </c>
      <c r="B1141" s="591" t="s">
        <v>1629</v>
      </c>
      <c r="C1141" s="287" t="s">
        <v>1399</v>
      </c>
      <c r="D1141" s="287" t="s">
        <v>1276</v>
      </c>
      <c r="E1141" s="642">
        <v>5040</v>
      </c>
      <c r="F1141" s="482">
        <v>769.74</v>
      </c>
      <c r="G1141" s="295"/>
      <c r="H1141" s="295"/>
    </row>
    <row r="1142" spans="1:8" s="275" customFormat="1" x14ac:dyDescent="0.15">
      <c r="A1142" s="591" t="s">
        <v>1552</v>
      </c>
      <c r="B1142" s="591"/>
      <c r="C1142" s="287" t="s">
        <v>1286</v>
      </c>
      <c r="D1142" s="287" t="s">
        <v>1514</v>
      </c>
      <c r="E1142" s="644">
        <v>0</v>
      </c>
      <c r="F1142" s="482">
        <v>0</v>
      </c>
      <c r="G1142" s="295"/>
      <c r="H1142" s="295"/>
    </row>
    <row r="1143" spans="1:8" s="275" customFormat="1" x14ac:dyDescent="0.15">
      <c r="A1143" s="591" t="s">
        <v>1598</v>
      </c>
      <c r="B1143" s="591"/>
      <c r="C1143" s="287" t="s">
        <v>1586</v>
      </c>
      <c r="D1143" s="287" t="s">
        <v>1500</v>
      </c>
      <c r="E1143" s="642">
        <v>45.8</v>
      </c>
      <c r="F1143" s="482">
        <v>15.73</v>
      </c>
      <c r="G1143" s="295"/>
      <c r="H1143" s="645"/>
    </row>
    <row r="1144" spans="1:8" s="275" customFormat="1" x14ac:dyDescent="0.15">
      <c r="A1144" s="591" t="s">
        <v>1662</v>
      </c>
      <c r="B1144" s="651">
        <v>892914652</v>
      </c>
      <c r="C1144" s="287" t="s">
        <v>1663</v>
      </c>
      <c r="D1144" s="287" t="s">
        <v>1664</v>
      </c>
      <c r="E1144" s="642">
        <v>6560</v>
      </c>
      <c r="F1144" s="482">
        <v>1050.96</v>
      </c>
      <c r="G1144" s="295"/>
      <c r="H1144" s="538"/>
    </row>
    <row r="1145" spans="1:8" s="275" customFormat="1" ht="14" thickBot="1" x14ac:dyDescent="0.2">
      <c r="A1145" s="591"/>
      <c r="B1145" s="591"/>
      <c r="C1145" s="291" t="s">
        <v>1591</v>
      </c>
      <c r="D1145" s="287"/>
      <c r="E1145" s="638">
        <f>SUM(E1119:E1144)</f>
        <v>101863.40000000001</v>
      </c>
      <c r="F1145" s="620">
        <v>14867.88</v>
      </c>
      <c r="H1145" s="636"/>
    </row>
    <row r="1146" spans="1:8" s="275" customFormat="1" ht="14" thickTop="1" x14ac:dyDescent="0.15">
      <c r="A1146" s="640"/>
      <c r="B1146" s="640"/>
      <c r="C1146" s="295"/>
      <c r="D1146" s="295"/>
      <c r="E1146" s="296"/>
      <c r="F1146" s="298"/>
    </row>
    <row r="1147" spans="1:8" s="275" customFormat="1" x14ac:dyDescent="0.15">
      <c r="A1147" s="640"/>
      <c r="B1147" s="640"/>
      <c r="C1147" s="299" t="s">
        <v>1594</v>
      </c>
      <c r="D1147" s="295"/>
      <c r="E1147" s="296"/>
      <c r="F1147" s="298"/>
    </row>
    <row r="1148" spans="1:8" s="275" customFormat="1" x14ac:dyDescent="0.15">
      <c r="A1148" s="640"/>
      <c r="B1148" s="640"/>
      <c r="C1148" s="293" t="s">
        <v>1446</v>
      </c>
      <c r="D1148" s="295"/>
      <c r="E1148" s="296"/>
      <c r="F1148" s="298"/>
    </row>
    <row r="1149" spans="1:8" s="275" customFormat="1" x14ac:dyDescent="0.15">
      <c r="A1149" s="640"/>
      <c r="B1149" s="640"/>
      <c r="C1149" s="386">
        <v>41578</v>
      </c>
      <c r="D1149" s="295"/>
      <c r="E1149" s="296"/>
      <c r="F1149" s="298"/>
    </row>
    <row r="1150" spans="1:8" s="275" customFormat="1" x14ac:dyDescent="0.15">
      <c r="A1150" s="640"/>
      <c r="B1150" s="640"/>
      <c r="C1150" s="295"/>
      <c r="D1150" s="295"/>
      <c r="E1150" s="296"/>
      <c r="F1150" s="298"/>
    </row>
    <row r="1151" spans="1:8" s="275" customFormat="1" x14ac:dyDescent="0.15">
      <c r="A1151" s="640" t="s">
        <v>1556</v>
      </c>
      <c r="B1151" s="640" t="s">
        <v>1631</v>
      </c>
      <c r="C1151" s="295" t="s">
        <v>1248</v>
      </c>
      <c r="D1151" s="295" t="s">
        <v>1482</v>
      </c>
      <c r="E1151" s="642">
        <v>3594</v>
      </c>
      <c r="F1151" s="482">
        <v>585.04</v>
      </c>
      <c r="G1151" s="295"/>
      <c r="H1151" s="295"/>
    </row>
    <row r="1152" spans="1:8" s="275" customFormat="1" x14ac:dyDescent="0.15">
      <c r="A1152" s="591" t="s">
        <v>1557</v>
      </c>
      <c r="B1152" s="591" t="s">
        <v>1632</v>
      </c>
      <c r="C1152" s="287" t="s">
        <v>1477</v>
      </c>
      <c r="D1152" s="287" t="s">
        <v>1289</v>
      </c>
      <c r="E1152" s="642">
        <v>8960</v>
      </c>
      <c r="F1152" s="482">
        <v>1299.33</v>
      </c>
      <c r="G1152" s="295"/>
      <c r="H1152" s="295"/>
    </row>
    <row r="1153" spans="1:8" s="275" customFormat="1" x14ac:dyDescent="0.15">
      <c r="A1153" s="591" t="s">
        <v>1558</v>
      </c>
      <c r="B1153" s="591" t="s">
        <v>1633</v>
      </c>
      <c r="C1153" s="287" t="s">
        <v>1469</v>
      </c>
      <c r="D1153" s="287" t="s">
        <v>1470</v>
      </c>
      <c r="E1153" s="642">
        <v>6240</v>
      </c>
      <c r="F1153" s="482">
        <v>923.15</v>
      </c>
      <c r="G1153" s="295"/>
      <c r="H1153" s="295"/>
    </row>
    <row r="1154" spans="1:8" s="275" customFormat="1" x14ac:dyDescent="0.15">
      <c r="A1154" s="591" t="s">
        <v>1559</v>
      </c>
      <c r="B1154" s="591" t="s">
        <v>1634</v>
      </c>
      <c r="C1154" s="287" t="s">
        <v>1502</v>
      </c>
      <c r="D1154" s="287" t="s">
        <v>1381</v>
      </c>
      <c r="E1154" s="642">
        <v>14784</v>
      </c>
      <c r="F1154" s="482">
        <v>1897.57</v>
      </c>
      <c r="G1154" s="295"/>
      <c r="H1154" s="295"/>
    </row>
    <row r="1155" spans="1:8" s="275" customFormat="1" x14ac:dyDescent="0.15">
      <c r="A1155" s="591" t="s">
        <v>1560</v>
      </c>
      <c r="B1155" s="591" t="s">
        <v>1635</v>
      </c>
      <c r="C1155" s="287" t="s">
        <v>1504</v>
      </c>
      <c r="D1155" s="287" t="s">
        <v>1505</v>
      </c>
      <c r="E1155" s="642">
        <v>1852</v>
      </c>
      <c r="F1155" s="482">
        <v>255.11</v>
      </c>
      <c r="G1155" s="295"/>
      <c r="H1155" s="295"/>
    </row>
    <row r="1156" spans="1:8" s="275" customFormat="1" x14ac:dyDescent="0.15">
      <c r="A1156" s="591" t="s">
        <v>1561</v>
      </c>
      <c r="B1156" s="591"/>
      <c r="C1156" s="287" t="s">
        <v>1562</v>
      </c>
      <c r="D1156" s="287" t="s">
        <v>1509</v>
      </c>
      <c r="E1156" s="644">
        <v>0</v>
      </c>
      <c r="F1156" s="482">
        <v>0</v>
      </c>
      <c r="G1156" s="295"/>
      <c r="H1156" s="295"/>
    </row>
    <row r="1157" spans="1:8" s="275" customFormat="1" x14ac:dyDescent="0.15">
      <c r="A1157" s="591" t="s">
        <v>1563</v>
      </c>
      <c r="B1157" s="591"/>
      <c r="C1157" s="287" t="s">
        <v>1267</v>
      </c>
      <c r="D1157" s="287" t="s">
        <v>1268</v>
      </c>
      <c r="E1157" s="642">
        <v>79.900000000000006</v>
      </c>
      <c r="F1157" s="482">
        <v>12.44</v>
      </c>
      <c r="G1157" s="295"/>
      <c r="H1157" s="295"/>
    </row>
    <row r="1158" spans="1:8" s="275" customFormat="1" x14ac:dyDescent="0.15">
      <c r="A1158" s="591" t="s">
        <v>1564</v>
      </c>
      <c r="B1158" s="591" t="s">
        <v>1636</v>
      </c>
      <c r="C1158" s="287" t="s">
        <v>1485</v>
      </c>
      <c r="D1158" s="287" t="s">
        <v>1486</v>
      </c>
      <c r="E1158" s="642">
        <v>1240</v>
      </c>
      <c r="F1158" s="482">
        <v>228.27</v>
      </c>
      <c r="G1158" s="295"/>
      <c r="H1158" s="295"/>
    </row>
    <row r="1159" spans="1:8" s="275" customFormat="1" x14ac:dyDescent="0.15">
      <c r="A1159" s="591" t="s">
        <v>1565</v>
      </c>
      <c r="B1159" s="591" t="s">
        <v>1637</v>
      </c>
      <c r="C1159" s="287" t="s">
        <v>1267</v>
      </c>
      <c r="D1159" s="287" t="s">
        <v>1268</v>
      </c>
      <c r="E1159" s="642">
        <v>2156</v>
      </c>
      <c r="F1159" s="482">
        <v>372.19</v>
      </c>
      <c r="G1159" s="295"/>
      <c r="H1159" s="295"/>
    </row>
    <row r="1160" spans="1:8" s="275" customFormat="1" x14ac:dyDescent="0.15">
      <c r="A1160" s="591" t="s">
        <v>1569</v>
      </c>
      <c r="B1160" s="591" t="s">
        <v>1638</v>
      </c>
      <c r="C1160" s="287" t="s">
        <v>1464</v>
      </c>
      <c r="D1160" s="287" t="s">
        <v>1285</v>
      </c>
      <c r="E1160" s="642">
        <v>978</v>
      </c>
      <c r="F1160" s="482">
        <v>188.6</v>
      </c>
      <c r="G1160" s="295"/>
      <c r="H1160" s="295"/>
    </row>
    <row r="1161" spans="1:8" s="275" customFormat="1" x14ac:dyDescent="0.15">
      <c r="A1161" s="591" t="s">
        <v>1570</v>
      </c>
      <c r="B1161" s="591" t="s">
        <v>1639</v>
      </c>
      <c r="C1161" s="287" t="s">
        <v>1472</v>
      </c>
      <c r="D1161" s="287" t="s">
        <v>1473</v>
      </c>
      <c r="E1161" s="642">
        <v>59</v>
      </c>
      <c r="F1161" s="482">
        <v>35.89</v>
      </c>
      <c r="G1161" s="295"/>
      <c r="H1161" s="295"/>
    </row>
    <row r="1162" spans="1:8" s="275" customFormat="1" x14ac:dyDescent="0.15">
      <c r="A1162" s="591" t="s">
        <v>1571</v>
      </c>
      <c r="B1162" s="591" t="s">
        <v>1640</v>
      </c>
      <c r="C1162" s="287" t="s">
        <v>1489</v>
      </c>
      <c r="D1162" s="287" t="s">
        <v>1490</v>
      </c>
      <c r="E1162" s="642">
        <v>165</v>
      </c>
      <c r="F1162" s="482">
        <v>46.41</v>
      </c>
      <c r="G1162" s="295"/>
      <c r="H1162" s="295"/>
    </row>
    <row r="1163" spans="1:8" s="275" customFormat="1" x14ac:dyDescent="0.15">
      <c r="A1163" s="591" t="s">
        <v>1572</v>
      </c>
      <c r="B1163" s="591" t="s">
        <v>1641</v>
      </c>
      <c r="C1163" s="287" t="s">
        <v>1271</v>
      </c>
      <c r="D1163" s="287" t="s">
        <v>1272</v>
      </c>
      <c r="E1163" s="642">
        <v>3843</v>
      </c>
      <c r="F1163" s="482">
        <v>568.95000000000005</v>
      </c>
      <c r="G1163" s="295"/>
      <c r="H1163" s="295"/>
    </row>
    <row r="1164" spans="1:8" s="275" customFormat="1" x14ac:dyDescent="0.15">
      <c r="A1164" s="591" t="s">
        <v>1573</v>
      </c>
      <c r="B1164" s="591"/>
      <c r="C1164" s="287" t="s">
        <v>1461</v>
      </c>
      <c r="D1164" s="287" t="s">
        <v>1462</v>
      </c>
      <c r="E1164" s="642">
        <v>26</v>
      </c>
      <c r="F1164" s="482">
        <v>16.28</v>
      </c>
      <c r="G1164" s="295"/>
      <c r="H1164" s="295"/>
    </row>
    <row r="1165" spans="1:8" s="275" customFormat="1" x14ac:dyDescent="0.15">
      <c r="A1165" s="591" t="s">
        <v>1574</v>
      </c>
      <c r="B1165" s="591" t="s">
        <v>1642</v>
      </c>
      <c r="C1165" s="287" t="s">
        <v>1377</v>
      </c>
      <c r="D1165" s="287" t="s">
        <v>1378</v>
      </c>
      <c r="E1165" s="642">
        <v>1808</v>
      </c>
      <c r="F1165" s="482">
        <v>305.19</v>
      </c>
      <c r="G1165" s="295"/>
      <c r="H1165" s="295"/>
    </row>
    <row r="1166" spans="1:8" s="275" customFormat="1" x14ac:dyDescent="0.15">
      <c r="A1166" s="591" t="s">
        <v>1575</v>
      </c>
      <c r="B1166" s="591" t="s">
        <v>1643</v>
      </c>
      <c r="C1166" s="287" t="s">
        <v>1448</v>
      </c>
      <c r="D1166" s="287" t="s">
        <v>1449</v>
      </c>
      <c r="E1166" s="642">
        <v>51</v>
      </c>
      <c r="F1166" s="482">
        <v>14.32</v>
      </c>
      <c r="G1166" s="295"/>
      <c r="H1166" s="295"/>
    </row>
    <row r="1167" spans="1:8" s="275" customFormat="1" x14ac:dyDescent="0.15">
      <c r="A1167" s="591" t="s">
        <v>1604</v>
      </c>
      <c r="B1167" s="591"/>
      <c r="C1167" s="287" t="s">
        <v>1334</v>
      </c>
      <c r="D1167" s="287" t="s">
        <v>1462</v>
      </c>
      <c r="E1167" s="642">
        <f>75.8+107.4</f>
        <v>183.2</v>
      </c>
      <c r="F1167" s="482">
        <v>51.41</v>
      </c>
      <c r="G1167" s="295"/>
      <c r="H1167" s="295"/>
    </row>
    <row r="1168" spans="1:8" s="275" customFormat="1" x14ac:dyDescent="0.15">
      <c r="A1168" s="591" t="s">
        <v>1576</v>
      </c>
      <c r="B1168" s="591" t="s">
        <v>1644</v>
      </c>
      <c r="C1168" s="287" t="s">
        <v>1401</v>
      </c>
      <c r="D1168" s="287" t="s">
        <v>1316</v>
      </c>
      <c r="E1168" s="642">
        <v>124</v>
      </c>
      <c r="F1168" s="482">
        <v>42.99</v>
      </c>
      <c r="G1168" s="295"/>
      <c r="H1168" s="295"/>
    </row>
    <row r="1169" spans="1:8" s="275" customFormat="1" x14ac:dyDescent="0.15">
      <c r="A1169" s="591" t="s">
        <v>1605</v>
      </c>
      <c r="B1169" s="591"/>
      <c r="C1169" s="287" t="s">
        <v>1334</v>
      </c>
      <c r="D1169" s="287" t="s">
        <v>1462</v>
      </c>
      <c r="E1169" s="642">
        <f>276.4+391.6</f>
        <v>668</v>
      </c>
      <c r="F1169" s="482">
        <v>187.13</v>
      </c>
      <c r="G1169" s="295"/>
      <c r="H1169" s="295"/>
    </row>
    <row r="1170" spans="1:8" s="275" customFormat="1" x14ac:dyDescent="0.15">
      <c r="A1170" s="640" t="s">
        <v>1577</v>
      </c>
      <c r="B1170" s="640" t="s">
        <v>1645</v>
      </c>
      <c r="C1170" s="295" t="s">
        <v>1395</v>
      </c>
      <c r="D1170" s="295" t="s">
        <v>1396</v>
      </c>
      <c r="E1170" s="644">
        <v>0</v>
      </c>
      <c r="F1170" s="482">
        <v>0</v>
      </c>
      <c r="G1170" s="295"/>
      <c r="H1170" s="295"/>
    </row>
    <row r="1171" spans="1:8" s="275" customFormat="1" x14ac:dyDescent="0.15">
      <c r="A1171" s="591" t="s">
        <v>1578</v>
      </c>
      <c r="B1171" s="591" t="s">
        <v>1646</v>
      </c>
      <c r="C1171" s="287" t="s">
        <v>1579</v>
      </c>
      <c r="D1171" s="287" t="s">
        <v>1497</v>
      </c>
      <c r="E1171" s="642">
        <v>31</v>
      </c>
      <c r="F1171" s="482">
        <v>33.1</v>
      </c>
      <c r="G1171" s="295"/>
      <c r="H1171" s="295"/>
    </row>
    <row r="1172" spans="1:8" s="275" customFormat="1" x14ac:dyDescent="0.15">
      <c r="A1172" s="640" t="s">
        <v>1580</v>
      </c>
      <c r="B1172" s="640" t="s">
        <v>1647</v>
      </c>
      <c r="C1172" s="295" t="s">
        <v>1451</v>
      </c>
      <c r="D1172" s="295" t="s">
        <v>1674</v>
      </c>
      <c r="E1172" s="642">
        <v>2112</v>
      </c>
      <c r="F1172" s="482">
        <v>1745.13</v>
      </c>
      <c r="G1172" s="295"/>
      <c r="H1172" s="295"/>
    </row>
    <row r="1173" spans="1:8" s="275" customFormat="1" x14ac:dyDescent="0.15">
      <c r="A1173" s="591" t="s">
        <v>1581</v>
      </c>
      <c r="B1173" s="591" t="s">
        <v>1648</v>
      </c>
      <c r="C1173" s="287" t="s">
        <v>1521</v>
      </c>
      <c r="D1173" s="287" t="s">
        <v>1229</v>
      </c>
      <c r="E1173" s="642">
        <v>3091</v>
      </c>
      <c r="F1173" s="482">
        <v>480.52</v>
      </c>
      <c r="G1173" s="295"/>
      <c r="H1173" s="295"/>
    </row>
    <row r="1174" spans="1:8" s="275" customFormat="1" x14ac:dyDescent="0.15">
      <c r="A1174" s="591" t="s">
        <v>1582</v>
      </c>
      <c r="B1174" s="591" t="s">
        <v>1649</v>
      </c>
      <c r="C1174" s="287" t="s">
        <v>1525</v>
      </c>
      <c r="D1174" s="287" t="s">
        <v>1526</v>
      </c>
      <c r="E1174" s="642">
        <v>12</v>
      </c>
      <c r="F1174" s="482">
        <v>7.93</v>
      </c>
      <c r="G1174" s="295"/>
      <c r="H1174" s="645"/>
    </row>
    <row r="1175" spans="1:8" s="275" customFormat="1" ht="14" x14ac:dyDescent="0.15">
      <c r="A1175" s="591" t="s">
        <v>1583</v>
      </c>
      <c r="B1175" s="591" t="s">
        <v>1650</v>
      </c>
      <c r="C1175" s="287" t="s">
        <v>1584</v>
      </c>
      <c r="D1175" s="618" t="s">
        <v>1264</v>
      </c>
      <c r="E1175" s="642">
        <v>1280</v>
      </c>
      <c r="F1175" s="482">
        <v>245.87</v>
      </c>
      <c r="G1175" s="295"/>
      <c r="H1175" s="295"/>
    </row>
    <row r="1176" spans="1:8" s="275" customFormat="1" ht="14" thickBot="1" x14ac:dyDescent="0.2">
      <c r="A1176" s="591" t="s">
        <v>1666</v>
      </c>
      <c r="B1176" s="591" t="s">
        <v>1672</v>
      </c>
      <c r="C1176" s="287" t="s">
        <v>1667</v>
      </c>
      <c r="D1176" s="287" t="s">
        <v>1668</v>
      </c>
      <c r="E1176" s="642">
        <v>21312</v>
      </c>
      <c r="F1176" s="482">
        <v>4899.24</v>
      </c>
      <c r="G1176" s="295"/>
      <c r="H1176" s="295"/>
    </row>
    <row r="1177" spans="1:8" s="275" customFormat="1" x14ac:dyDescent="0.15">
      <c r="A1177" s="591" t="s">
        <v>1606</v>
      </c>
      <c r="B1177" s="591"/>
      <c r="C1177" s="287" t="s">
        <v>1334</v>
      </c>
      <c r="D1177" s="287" t="s">
        <v>1462</v>
      </c>
      <c r="E1177" s="642">
        <f>33.1+46.8</f>
        <v>79.900000000000006</v>
      </c>
      <c r="F1177" s="482">
        <v>13.08</v>
      </c>
      <c r="G1177" s="295"/>
      <c r="H1177" s="647" t="s">
        <v>1589</v>
      </c>
    </row>
    <row r="1178" spans="1:8" s="275" customFormat="1" ht="14" thickBot="1" x14ac:dyDescent="0.2">
      <c r="A1178" s="591"/>
      <c r="B1178" s="591"/>
      <c r="C1178" s="291" t="s">
        <v>1592</v>
      </c>
      <c r="D1178" s="287"/>
      <c r="E1178" s="643">
        <f>SUM(E1151:E1177)</f>
        <v>74729</v>
      </c>
      <c r="F1178" s="620">
        <v>14455.14</v>
      </c>
      <c r="H1178" s="648">
        <f>SUM(F1145,F1178)</f>
        <v>29323.019999999997</v>
      </c>
    </row>
    <row r="1179" spans="1:8" s="275" customFormat="1" ht="14" thickTop="1" x14ac:dyDescent="0.15">
      <c r="A1179" s="617"/>
      <c r="B1179" s="617"/>
      <c r="E1179" s="276"/>
      <c r="F1179" s="278"/>
    </row>
    <row r="1180" spans="1:8" s="275" customFormat="1" x14ac:dyDescent="0.15">
      <c r="A1180" s="617"/>
      <c r="B1180" s="617"/>
      <c r="C1180" s="299" t="s">
        <v>1594</v>
      </c>
      <c r="E1180" s="276"/>
      <c r="F1180" s="278"/>
    </row>
    <row r="1181" spans="1:8" s="275" customFormat="1" x14ac:dyDescent="0.15">
      <c r="A1181" s="617"/>
      <c r="B1181" s="617"/>
      <c r="C1181" s="293" t="s">
        <v>1446</v>
      </c>
      <c r="E1181" s="276"/>
      <c r="F1181" s="278"/>
    </row>
    <row r="1182" spans="1:8" s="275" customFormat="1" x14ac:dyDescent="0.15">
      <c r="A1182" s="617"/>
      <c r="B1182" s="617"/>
      <c r="C1182" s="386">
        <v>41578</v>
      </c>
      <c r="E1182" s="276"/>
      <c r="F1182" s="278"/>
    </row>
    <row r="1183" spans="1:8" s="275" customFormat="1" x14ac:dyDescent="0.15">
      <c r="A1183" s="617"/>
      <c r="B1183" s="617"/>
      <c r="E1183" s="276"/>
      <c r="F1183" s="278"/>
    </row>
    <row r="1184" spans="1:8" s="275" customFormat="1" x14ac:dyDescent="0.15">
      <c r="A1184" s="591" t="s">
        <v>1534</v>
      </c>
      <c r="B1184" s="591" t="s">
        <v>1614</v>
      </c>
      <c r="C1184" s="287" t="s">
        <v>1492</v>
      </c>
      <c r="D1184" s="287" t="s">
        <v>1239</v>
      </c>
      <c r="E1184" s="642">
        <v>11200</v>
      </c>
      <c r="F1184" s="482">
        <v>1573.22</v>
      </c>
      <c r="G1184" s="295"/>
      <c r="H1184" s="295"/>
    </row>
    <row r="1185" spans="1:8" s="275" customFormat="1" x14ac:dyDescent="0.15">
      <c r="A1185" s="591" t="s">
        <v>1535</v>
      </c>
      <c r="B1185" s="591" t="s">
        <v>1615</v>
      </c>
      <c r="C1185" s="287" t="s">
        <v>1507</v>
      </c>
      <c r="D1185" s="287" t="s">
        <v>1245</v>
      </c>
      <c r="E1185" s="642">
        <v>3680</v>
      </c>
      <c r="F1185" s="482">
        <v>552.74</v>
      </c>
      <c r="G1185" s="295"/>
      <c r="H1185" s="295"/>
    </row>
    <row r="1186" spans="1:8" s="275" customFormat="1" x14ac:dyDescent="0.15">
      <c r="A1186" s="591" t="s">
        <v>1670</v>
      </c>
      <c r="B1186" s="591" t="s">
        <v>1659</v>
      </c>
      <c r="C1186" s="287" t="s">
        <v>1279</v>
      </c>
      <c r="D1186" s="287" t="s">
        <v>1660</v>
      </c>
      <c r="E1186" s="642">
        <v>8640</v>
      </c>
      <c r="F1186" s="482">
        <v>1269.1199999999999</v>
      </c>
      <c r="G1186" s="295"/>
      <c r="H1186" s="538"/>
    </row>
    <row r="1187" spans="1:8" s="275" customFormat="1" x14ac:dyDescent="0.15">
      <c r="A1187" s="591" t="s">
        <v>1536</v>
      </c>
      <c r="B1187" s="591" t="s">
        <v>1616</v>
      </c>
      <c r="C1187" s="287" t="s">
        <v>1479</v>
      </c>
      <c r="D1187" s="287" t="s">
        <v>1231</v>
      </c>
      <c r="E1187" s="642">
        <v>5791</v>
      </c>
      <c r="F1187" s="482">
        <v>789.99</v>
      </c>
      <c r="G1187" s="295"/>
      <c r="H1187" s="295"/>
    </row>
    <row r="1188" spans="1:8" s="275" customFormat="1" x14ac:dyDescent="0.15">
      <c r="A1188" s="591" t="s">
        <v>1537</v>
      </c>
      <c r="B1188" s="591" t="s">
        <v>1617</v>
      </c>
      <c r="C1188" s="287" t="s">
        <v>1269</v>
      </c>
      <c r="D1188" s="287" t="s">
        <v>1270</v>
      </c>
      <c r="E1188" s="642">
        <v>3846</v>
      </c>
      <c r="F1188" s="482">
        <v>576.04999999999995</v>
      </c>
      <c r="G1188" s="295"/>
      <c r="H1188" s="295"/>
    </row>
    <row r="1189" spans="1:8" s="275" customFormat="1" x14ac:dyDescent="0.15">
      <c r="A1189" s="640" t="s">
        <v>1538</v>
      </c>
      <c r="B1189" s="640" t="s">
        <v>1618</v>
      </c>
      <c r="C1189" s="295" t="s">
        <v>1517</v>
      </c>
      <c r="D1189" s="295" t="s">
        <v>1518</v>
      </c>
      <c r="E1189" s="642">
        <v>4</v>
      </c>
      <c r="F1189" s="482">
        <v>30.39</v>
      </c>
      <c r="G1189" s="295"/>
      <c r="H1189" s="295"/>
    </row>
    <row r="1190" spans="1:8" s="275" customFormat="1" x14ac:dyDescent="0.15">
      <c r="A1190" s="591" t="s">
        <v>1540</v>
      </c>
      <c r="B1190" s="591" t="s">
        <v>1620</v>
      </c>
      <c r="C1190" s="287" t="s">
        <v>1257</v>
      </c>
      <c r="D1190" s="287" t="s">
        <v>1258</v>
      </c>
      <c r="E1190" s="642">
        <v>22880</v>
      </c>
      <c r="F1190" s="482">
        <v>3062.02</v>
      </c>
      <c r="G1190" s="295"/>
      <c r="H1190" s="295"/>
    </row>
    <row r="1191" spans="1:8" s="275" customFormat="1" x14ac:dyDescent="0.15">
      <c r="A1191" s="591" t="s">
        <v>1541</v>
      </c>
      <c r="B1191" s="591" t="s">
        <v>1621</v>
      </c>
      <c r="C1191" s="287" t="s">
        <v>1586</v>
      </c>
      <c r="D1191" s="287" t="s">
        <v>1500</v>
      </c>
      <c r="E1191" s="642">
        <v>4040</v>
      </c>
      <c r="F1191" s="482">
        <v>615.78</v>
      </c>
      <c r="G1191" s="295"/>
      <c r="H1191" s="295"/>
    </row>
    <row r="1192" spans="1:8" s="275" customFormat="1" x14ac:dyDescent="0.15">
      <c r="A1192" s="591" t="s">
        <v>1542</v>
      </c>
      <c r="B1192" s="591" t="s">
        <v>1622</v>
      </c>
      <c r="C1192" s="287" t="s">
        <v>1240</v>
      </c>
      <c r="D1192" s="287" t="s">
        <v>1467</v>
      </c>
      <c r="E1192" s="642">
        <v>4900</v>
      </c>
      <c r="F1192" s="482">
        <v>674.1</v>
      </c>
      <c r="G1192" s="295"/>
      <c r="H1192" s="295"/>
    </row>
    <row r="1193" spans="1:8" s="275" customFormat="1" x14ac:dyDescent="0.15">
      <c r="A1193" s="591" t="s">
        <v>1543</v>
      </c>
      <c r="B1193" s="591" t="s">
        <v>1623</v>
      </c>
      <c r="C1193" s="287" t="s">
        <v>1523</v>
      </c>
      <c r="D1193" s="287" t="s">
        <v>1266</v>
      </c>
      <c r="E1193" s="642">
        <v>839</v>
      </c>
      <c r="F1193" s="482">
        <v>167.93</v>
      </c>
      <c r="G1193" s="295"/>
      <c r="H1193" s="295"/>
    </row>
    <row r="1194" spans="1:8" s="275" customFormat="1" x14ac:dyDescent="0.15">
      <c r="A1194" s="591" t="s">
        <v>1544</v>
      </c>
      <c r="B1194" s="591" t="s">
        <v>1624</v>
      </c>
      <c r="C1194" s="287" t="s">
        <v>1234</v>
      </c>
      <c r="D1194" s="287" t="s">
        <v>1494</v>
      </c>
      <c r="E1194" s="642">
        <v>6096</v>
      </c>
      <c r="F1194" s="482">
        <v>895.21</v>
      </c>
      <c r="G1194" s="295"/>
      <c r="H1194" s="295"/>
    </row>
    <row r="1195" spans="1:8" s="275" customFormat="1" x14ac:dyDescent="0.15">
      <c r="A1195" s="591" t="s">
        <v>1601</v>
      </c>
      <c r="B1195" s="591"/>
      <c r="C1195" s="287" t="s">
        <v>1334</v>
      </c>
      <c r="D1195" s="287" t="s">
        <v>1462</v>
      </c>
      <c r="E1195" s="642">
        <f>1799.1+1927.3</f>
        <v>3726.3999999999996</v>
      </c>
      <c r="F1195" s="482">
        <v>601.54999999999995</v>
      </c>
      <c r="G1195" s="295"/>
      <c r="H1195" s="295"/>
    </row>
    <row r="1196" spans="1:8" s="275" customFormat="1" x14ac:dyDescent="0.15">
      <c r="A1196" s="591" t="s">
        <v>1545</v>
      </c>
      <c r="B1196" s="591"/>
      <c r="C1196" s="287" t="s">
        <v>1234</v>
      </c>
      <c r="D1196" s="287" t="s">
        <v>1494</v>
      </c>
      <c r="E1196" s="642">
        <f>5.9+79.1</f>
        <v>85</v>
      </c>
      <c r="F1196" s="482">
        <v>16.760000000000002</v>
      </c>
      <c r="G1196" s="295"/>
      <c r="H1196" s="295"/>
    </row>
    <row r="1197" spans="1:8" s="275" customFormat="1" x14ac:dyDescent="0.15">
      <c r="A1197" s="591" t="s">
        <v>1602</v>
      </c>
      <c r="B1197" s="591"/>
      <c r="C1197" s="287" t="s">
        <v>1334</v>
      </c>
      <c r="D1197" s="287" t="s">
        <v>1462</v>
      </c>
      <c r="E1197" s="642">
        <f>100.5+107.7</f>
        <v>208.2</v>
      </c>
      <c r="F1197" s="482">
        <v>46.2</v>
      </c>
      <c r="G1197" s="295"/>
      <c r="H1197" s="295"/>
    </row>
    <row r="1198" spans="1:8" s="275" customFormat="1" x14ac:dyDescent="0.15">
      <c r="A1198" s="591" t="s">
        <v>1546</v>
      </c>
      <c r="B1198" s="591"/>
      <c r="C1198" s="287" t="s">
        <v>1586</v>
      </c>
      <c r="D1198" s="287" t="s">
        <v>1500</v>
      </c>
      <c r="E1198" s="642">
        <f>6.7+90.7</f>
        <v>97.4</v>
      </c>
      <c r="F1198" s="482">
        <v>27.06</v>
      </c>
      <c r="G1198" s="295"/>
      <c r="H1198" s="295"/>
    </row>
    <row r="1199" spans="1:8" s="275" customFormat="1" x14ac:dyDescent="0.15">
      <c r="A1199" s="591" t="s">
        <v>1547</v>
      </c>
      <c r="B1199" s="591"/>
      <c r="C1199" s="287" t="s">
        <v>1286</v>
      </c>
      <c r="D1199" s="287" t="s">
        <v>1514</v>
      </c>
      <c r="E1199" s="642">
        <f>240.4+16.6</f>
        <v>257</v>
      </c>
      <c r="F1199" s="482">
        <v>52.09</v>
      </c>
      <c r="G1199" s="295"/>
      <c r="H1199" s="295"/>
    </row>
    <row r="1200" spans="1:8" s="275" customFormat="1" x14ac:dyDescent="0.15">
      <c r="A1200" s="591" t="s">
        <v>1549</v>
      </c>
      <c r="B1200" s="591" t="s">
        <v>1625</v>
      </c>
      <c r="C1200" s="287" t="s">
        <v>1459</v>
      </c>
      <c r="D1200" s="287" t="s">
        <v>1251</v>
      </c>
      <c r="E1200" s="642">
        <v>2197</v>
      </c>
      <c r="F1200" s="482">
        <v>337.1</v>
      </c>
      <c r="G1200" s="295"/>
      <c r="H1200" s="295"/>
    </row>
    <row r="1201" spans="1:8" s="275" customFormat="1" x14ac:dyDescent="0.15">
      <c r="A1201" s="591" t="s">
        <v>1603</v>
      </c>
      <c r="B1201" s="591"/>
      <c r="C1201" s="287" t="s">
        <v>1334</v>
      </c>
      <c r="D1201" s="287" t="s">
        <v>1462</v>
      </c>
      <c r="E1201" s="642">
        <f>752.8+806.4</f>
        <v>1559.1999999999998</v>
      </c>
      <c r="F1201" s="482">
        <v>268.27</v>
      </c>
      <c r="G1201" s="295"/>
      <c r="H1201" s="295"/>
    </row>
    <row r="1202" spans="1:8" s="275" customFormat="1" x14ac:dyDescent="0.15">
      <c r="A1202" s="591" t="s">
        <v>1597</v>
      </c>
      <c r="B1202" s="591" t="s">
        <v>1626</v>
      </c>
      <c r="C1202" s="287" t="s">
        <v>1454</v>
      </c>
      <c r="D1202" s="287" t="s">
        <v>1247</v>
      </c>
      <c r="E1202" s="642">
        <v>4040</v>
      </c>
      <c r="F1202" s="482">
        <v>602.16</v>
      </c>
      <c r="G1202" s="295"/>
      <c r="H1202" s="295"/>
    </row>
    <row r="1203" spans="1:8" s="275" customFormat="1" x14ac:dyDescent="0.15">
      <c r="A1203" s="591" t="s">
        <v>1551</v>
      </c>
      <c r="B1203" s="591" t="s">
        <v>1627</v>
      </c>
      <c r="C1203" s="287" t="s">
        <v>1235</v>
      </c>
      <c r="D1203" s="287" t="s">
        <v>1236</v>
      </c>
      <c r="E1203" s="642">
        <v>8450</v>
      </c>
      <c r="F1203" s="482">
        <v>1177.08</v>
      </c>
      <c r="G1203" s="295"/>
      <c r="H1203" s="295"/>
    </row>
    <row r="1204" spans="1:8" s="275" customFormat="1" x14ac:dyDescent="0.15">
      <c r="A1204" s="591" t="s">
        <v>1553</v>
      </c>
      <c r="B1204" s="591" t="s">
        <v>1628</v>
      </c>
      <c r="C1204" s="287" t="s">
        <v>1475</v>
      </c>
      <c r="D1204" s="287" t="s">
        <v>1387</v>
      </c>
      <c r="E1204" s="642">
        <v>1078</v>
      </c>
      <c r="F1204" s="482">
        <v>186.11</v>
      </c>
      <c r="G1204" s="295"/>
      <c r="H1204" s="295"/>
    </row>
    <row r="1205" spans="1:8" s="275" customFormat="1" x14ac:dyDescent="0.15">
      <c r="A1205" s="591" t="s">
        <v>1554</v>
      </c>
      <c r="B1205" s="591" t="s">
        <v>1629</v>
      </c>
      <c r="C1205" s="287" t="s">
        <v>1399</v>
      </c>
      <c r="D1205" s="287" t="s">
        <v>1276</v>
      </c>
      <c r="E1205" s="642">
        <v>5040</v>
      </c>
      <c r="F1205" s="482">
        <v>756.12</v>
      </c>
      <c r="G1205" s="295"/>
      <c r="H1205" s="295"/>
    </row>
    <row r="1206" spans="1:8" s="275" customFormat="1" x14ac:dyDescent="0.15">
      <c r="A1206" s="591" t="s">
        <v>1598</v>
      </c>
      <c r="B1206" s="591"/>
      <c r="C1206" s="287" t="s">
        <v>1586</v>
      </c>
      <c r="D1206" s="287" t="s">
        <v>1500</v>
      </c>
      <c r="E1206" s="642">
        <f>3.4+45.3</f>
        <v>48.699999999999996</v>
      </c>
      <c r="F1206" s="482">
        <v>16.16</v>
      </c>
      <c r="G1206" s="295"/>
      <c r="H1206" s="645"/>
    </row>
    <row r="1207" spans="1:8" s="275" customFormat="1" x14ac:dyDescent="0.15">
      <c r="A1207" s="591" t="s">
        <v>1662</v>
      </c>
      <c r="B1207" s="651">
        <v>892914652</v>
      </c>
      <c r="C1207" s="287" t="s">
        <v>1663</v>
      </c>
      <c r="D1207" s="287" t="s">
        <v>1664</v>
      </c>
      <c r="E1207" s="642">
        <v>8800</v>
      </c>
      <c r="F1207" s="482">
        <v>1510.2</v>
      </c>
      <c r="G1207" s="295"/>
      <c r="H1207" s="538"/>
    </row>
    <row r="1208" spans="1:8" s="275" customFormat="1" ht="14" thickBot="1" x14ac:dyDescent="0.2">
      <c r="A1208" s="591"/>
      <c r="B1208" s="591"/>
      <c r="C1208" s="291" t="s">
        <v>1593</v>
      </c>
      <c r="D1208" s="287"/>
      <c r="E1208" s="638">
        <f>SUM(E1184:E1207)</f>
        <v>107502.89999999998</v>
      </c>
      <c r="F1208" s="620">
        <v>15803.41</v>
      </c>
      <c r="H1208" s="636"/>
    </row>
    <row r="1209" spans="1:8" s="275" customFormat="1" ht="14" thickTop="1" x14ac:dyDescent="0.15">
      <c r="A1209" s="640"/>
      <c r="B1209" s="640"/>
      <c r="C1209" s="295"/>
      <c r="D1209" s="295"/>
      <c r="E1209" s="296"/>
      <c r="F1209" s="298"/>
    </row>
    <row r="1210" spans="1:8" s="275" customFormat="1" x14ac:dyDescent="0.15">
      <c r="A1210" s="640"/>
      <c r="B1210" s="640"/>
      <c r="C1210" s="299" t="s">
        <v>1594</v>
      </c>
      <c r="D1210" s="295"/>
      <c r="E1210" s="296"/>
      <c r="F1210" s="298"/>
    </row>
    <row r="1211" spans="1:8" s="275" customFormat="1" x14ac:dyDescent="0.15">
      <c r="A1211" s="640"/>
      <c r="B1211" s="640"/>
      <c r="C1211" s="293" t="s">
        <v>1446</v>
      </c>
      <c r="D1211" s="295"/>
      <c r="E1211" s="296"/>
      <c r="F1211" s="298"/>
    </row>
    <row r="1212" spans="1:8" s="275" customFormat="1" x14ac:dyDescent="0.15">
      <c r="A1212" s="640"/>
      <c r="B1212" s="640"/>
      <c r="C1212" s="386">
        <v>41608</v>
      </c>
      <c r="D1212" s="295"/>
      <c r="E1212" s="296"/>
      <c r="F1212" s="298"/>
    </row>
    <row r="1213" spans="1:8" s="275" customFormat="1" x14ac:dyDescent="0.15">
      <c r="A1213" s="640"/>
      <c r="B1213" s="640"/>
      <c r="C1213" s="295"/>
      <c r="D1213" s="295"/>
      <c r="E1213" s="296"/>
      <c r="F1213" s="298"/>
    </row>
    <row r="1214" spans="1:8" s="275" customFormat="1" x14ac:dyDescent="0.15">
      <c r="A1214" s="640" t="s">
        <v>1556</v>
      </c>
      <c r="B1214" s="640" t="s">
        <v>1631</v>
      </c>
      <c r="C1214" s="295" t="s">
        <v>1248</v>
      </c>
      <c r="D1214" s="295" t="s">
        <v>1482</v>
      </c>
      <c r="E1214" s="642">
        <v>3897</v>
      </c>
      <c r="F1214" s="482">
        <v>581.11</v>
      </c>
      <c r="G1214" s="295"/>
      <c r="H1214" s="295"/>
    </row>
    <row r="1215" spans="1:8" s="275" customFormat="1" x14ac:dyDescent="0.15">
      <c r="A1215" s="591" t="s">
        <v>1557</v>
      </c>
      <c r="B1215" s="591" t="s">
        <v>1632</v>
      </c>
      <c r="C1215" s="287" t="s">
        <v>1477</v>
      </c>
      <c r="D1215" s="287" t="s">
        <v>1289</v>
      </c>
      <c r="E1215" s="642">
        <v>8000</v>
      </c>
      <c r="F1215" s="482">
        <v>1115.75</v>
      </c>
      <c r="G1215" s="295"/>
      <c r="H1215" s="295"/>
    </row>
    <row r="1216" spans="1:8" s="275" customFormat="1" x14ac:dyDescent="0.15">
      <c r="A1216" s="591" t="s">
        <v>1558</v>
      </c>
      <c r="B1216" s="591" t="s">
        <v>1633</v>
      </c>
      <c r="C1216" s="287" t="s">
        <v>1469</v>
      </c>
      <c r="D1216" s="287" t="s">
        <v>1470</v>
      </c>
      <c r="E1216" s="642">
        <v>6720</v>
      </c>
      <c r="F1216" s="482">
        <v>964.11</v>
      </c>
      <c r="G1216" s="295"/>
      <c r="H1216" s="295"/>
    </row>
    <row r="1217" spans="1:8" s="275" customFormat="1" x14ac:dyDescent="0.15">
      <c r="A1217" s="591" t="s">
        <v>1559</v>
      </c>
      <c r="B1217" s="591" t="s">
        <v>1634</v>
      </c>
      <c r="C1217" s="287" t="s">
        <v>1502</v>
      </c>
      <c r="D1217" s="287" t="s">
        <v>1381</v>
      </c>
      <c r="E1217" s="642">
        <v>16896</v>
      </c>
      <c r="F1217" s="482">
        <v>2028.64</v>
      </c>
      <c r="G1217" s="295"/>
      <c r="H1217" s="295"/>
    </row>
    <row r="1218" spans="1:8" s="275" customFormat="1" x14ac:dyDescent="0.15">
      <c r="A1218" s="591" t="s">
        <v>1560</v>
      </c>
      <c r="B1218" s="591" t="s">
        <v>1635</v>
      </c>
      <c r="C1218" s="287" t="s">
        <v>1504</v>
      </c>
      <c r="D1218" s="287" t="s">
        <v>1505</v>
      </c>
      <c r="E1218" s="642">
        <v>1770</v>
      </c>
      <c r="F1218" s="482">
        <v>253.77</v>
      </c>
      <c r="G1218" s="295"/>
      <c r="H1218" s="295"/>
    </row>
    <row r="1219" spans="1:8" s="275" customFormat="1" x14ac:dyDescent="0.15">
      <c r="A1219" s="591" t="s">
        <v>1675</v>
      </c>
      <c r="B1219" s="591" t="s">
        <v>1676</v>
      </c>
      <c r="C1219" s="287" t="s">
        <v>1477</v>
      </c>
      <c r="D1219" s="287" t="s">
        <v>1289</v>
      </c>
      <c r="E1219" s="642">
        <v>4110</v>
      </c>
      <c r="F1219" s="482">
        <v>694.9</v>
      </c>
      <c r="G1219" s="295"/>
      <c r="H1219" s="295"/>
    </row>
    <row r="1220" spans="1:8" s="275" customFormat="1" x14ac:dyDescent="0.15">
      <c r="A1220" s="591" t="s">
        <v>1563</v>
      </c>
      <c r="B1220" s="591"/>
      <c r="C1220" s="287" t="s">
        <v>1267</v>
      </c>
      <c r="D1220" s="287" t="s">
        <v>1268</v>
      </c>
      <c r="E1220" s="642">
        <f>5.9+79.1</f>
        <v>85</v>
      </c>
      <c r="F1220" s="482">
        <v>13.36</v>
      </c>
      <c r="G1220" s="295"/>
      <c r="H1220" s="295"/>
    </row>
    <row r="1221" spans="1:8" s="275" customFormat="1" x14ac:dyDescent="0.15">
      <c r="A1221" s="591" t="s">
        <v>1564</v>
      </c>
      <c r="B1221" s="591" t="s">
        <v>1636</v>
      </c>
      <c r="C1221" s="287" t="s">
        <v>1485</v>
      </c>
      <c r="D1221" s="287" t="s">
        <v>1486</v>
      </c>
      <c r="E1221" s="642">
        <v>2000</v>
      </c>
      <c r="F1221" s="482">
        <v>324.3</v>
      </c>
      <c r="G1221" s="295"/>
      <c r="H1221" s="295"/>
    </row>
    <row r="1222" spans="1:8" s="275" customFormat="1" x14ac:dyDescent="0.15">
      <c r="A1222" s="591" t="s">
        <v>1565</v>
      </c>
      <c r="B1222" s="591" t="s">
        <v>1637</v>
      </c>
      <c r="C1222" s="287" t="s">
        <v>1267</v>
      </c>
      <c r="D1222" s="287" t="s">
        <v>1268</v>
      </c>
      <c r="E1222" s="642">
        <v>2049</v>
      </c>
      <c r="F1222" s="482">
        <v>353.72</v>
      </c>
      <c r="G1222" s="295"/>
      <c r="H1222" s="295"/>
    </row>
    <row r="1223" spans="1:8" s="275" customFormat="1" x14ac:dyDescent="0.15">
      <c r="A1223" s="591" t="s">
        <v>1569</v>
      </c>
      <c r="B1223" s="591" t="s">
        <v>1638</v>
      </c>
      <c r="C1223" s="287" t="s">
        <v>1464</v>
      </c>
      <c r="D1223" s="287" t="s">
        <v>1285</v>
      </c>
      <c r="E1223" s="642">
        <v>760</v>
      </c>
      <c r="F1223" s="482">
        <v>153.29</v>
      </c>
      <c r="G1223" s="295"/>
      <c r="H1223" s="295"/>
    </row>
    <row r="1224" spans="1:8" s="275" customFormat="1" x14ac:dyDescent="0.15">
      <c r="A1224" s="591" t="s">
        <v>1570</v>
      </c>
      <c r="B1224" s="591" t="s">
        <v>1639</v>
      </c>
      <c r="C1224" s="287" t="s">
        <v>1472</v>
      </c>
      <c r="D1224" s="287" t="s">
        <v>1473</v>
      </c>
      <c r="E1224" s="642">
        <v>76</v>
      </c>
      <c r="F1224" s="482">
        <v>44.37</v>
      </c>
      <c r="G1224" s="295"/>
      <c r="H1224" s="295"/>
    </row>
    <row r="1225" spans="1:8" s="275" customFormat="1" x14ac:dyDescent="0.15">
      <c r="A1225" s="591" t="s">
        <v>1571</v>
      </c>
      <c r="B1225" s="591" t="s">
        <v>1640</v>
      </c>
      <c r="C1225" s="287" t="s">
        <v>1489</v>
      </c>
      <c r="D1225" s="287" t="s">
        <v>1490</v>
      </c>
      <c r="E1225" s="642">
        <v>178</v>
      </c>
      <c r="F1225" s="482">
        <v>47.73</v>
      </c>
      <c r="G1225" s="295"/>
      <c r="H1225" s="295"/>
    </row>
    <row r="1226" spans="1:8" s="275" customFormat="1" x14ac:dyDescent="0.15">
      <c r="A1226" s="591" t="s">
        <v>1572</v>
      </c>
      <c r="B1226" s="591" t="s">
        <v>1641</v>
      </c>
      <c r="C1226" s="287" t="s">
        <v>1271</v>
      </c>
      <c r="D1226" s="287" t="s">
        <v>1272</v>
      </c>
      <c r="E1226" s="642">
        <v>4532</v>
      </c>
      <c r="F1226" s="482">
        <v>664.73</v>
      </c>
      <c r="G1226" s="295"/>
      <c r="H1226" s="295"/>
    </row>
    <row r="1227" spans="1:8" s="275" customFormat="1" x14ac:dyDescent="0.15">
      <c r="A1227" s="591" t="s">
        <v>1573</v>
      </c>
      <c r="B1227" s="591"/>
      <c r="C1227" s="287" t="s">
        <v>1461</v>
      </c>
      <c r="D1227" s="287" t="s">
        <v>1462</v>
      </c>
      <c r="E1227" s="642">
        <v>26</v>
      </c>
      <c r="F1227" s="482">
        <v>16.28</v>
      </c>
      <c r="G1227" s="295"/>
      <c r="H1227" s="295"/>
    </row>
    <row r="1228" spans="1:8" s="275" customFormat="1" x14ac:dyDescent="0.15">
      <c r="A1228" s="591" t="s">
        <v>1574</v>
      </c>
      <c r="B1228" s="591" t="s">
        <v>1642</v>
      </c>
      <c r="C1228" s="287" t="s">
        <v>1377</v>
      </c>
      <c r="D1228" s="287" t="s">
        <v>1378</v>
      </c>
      <c r="E1228" s="642">
        <v>1773</v>
      </c>
      <c r="F1228" s="482">
        <v>308.54000000000002</v>
      </c>
      <c r="G1228" s="295"/>
      <c r="H1228" s="295"/>
    </row>
    <row r="1229" spans="1:8" s="275" customFormat="1" x14ac:dyDescent="0.15">
      <c r="A1229" s="591" t="s">
        <v>1575</v>
      </c>
      <c r="B1229" s="591" t="s">
        <v>1643</v>
      </c>
      <c r="C1229" s="287" t="s">
        <v>1448</v>
      </c>
      <c r="D1229" s="287" t="s">
        <v>1449</v>
      </c>
      <c r="E1229" s="642">
        <v>44</v>
      </c>
      <c r="F1229" s="482">
        <v>13.14</v>
      </c>
      <c r="G1229" s="295"/>
      <c r="H1229" s="295"/>
    </row>
    <row r="1230" spans="1:8" s="275" customFormat="1" x14ac:dyDescent="0.15">
      <c r="A1230" s="591" t="s">
        <v>1604</v>
      </c>
      <c r="B1230" s="591"/>
      <c r="C1230" s="287" t="s">
        <v>1334</v>
      </c>
      <c r="D1230" s="287" t="s">
        <v>1462</v>
      </c>
      <c r="E1230" s="642">
        <f>94+100.7</f>
        <v>194.7</v>
      </c>
      <c r="F1230" s="482">
        <v>53.3</v>
      </c>
      <c r="G1230" s="295"/>
      <c r="H1230" s="295"/>
    </row>
    <row r="1231" spans="1:8" s="275" customFormat="1" x14ac:dyDescent="0.15">
      <c r="A1231" s="591" t="s">
        <v>1576</v>
      </c>
      <c r="B1231" s="591" t="s">
        <v>1644</v>
      </c>
      <c r="C1231" s="287" t="s">
        <v>1401</v>
      </c>
      <c r="D1231" s="287" t="s">
        <v>1316</v>
      </c>
      <c r="E1231" s="642">
        <v>52</v>
      </c>
      <c r="F1231" s="482">
        <v>35.450000000000003</v>
      </c>
      <c r="G1231" s="295"/>
      <c r="H1231" s="295"/>
    </row>
    <row r="1232" spans="1:8" s="275" customFormat="1" x14ac:dyDescent="0.15">
      <c r="A1232" s="591" t="s">
        <v>1605</v>
      </c>
      <c r="B1232" s="591"/>
      <c r="C1232" s="287" t="s">
        <v>1334</v>
      </c>
      <c r="D1232" s="287" t="s">
        <v>1462</v>
      </c>
      <c r="E1232" s="642">
        <f>343.3+367.7</f>
        <v>711</v>
      </c>
      <c r="F1232" s="482">
        <v>194.01999999999998</v>
      </c>
      <c r="G1232" s="295"/>
      <c r="H1232" s="295"/>
    </row>
    <row r="1233" spans="1:8" s="275" customFormat="1" x14ac:dyDescent="0.15">
      <c r="A1233" s="640" t="s">
        <v>1577</v>
      </c>
      <c r="B1233" s="640" t="s">
        <v>1645</v>
      </c>
      <c r="C1233" s="295" t="s">
        <v>1395</v>
      </c>
      <c r="D1233" s="295" t="s">
        <v>1396</v>
      </c>
      <c r="E1233" s="644">
        <v>0</v>
      </c>
      <c r="F1233" s="482">
        <v>0</v>
      </c>
      <c r="G1233" s="295"/>
      <c r="H1233" s="295"/>
    </row>
    <row r="1234" spans="1:8" s="275" customFormat="1" x14ac:dyDescent="0.15">
      <c r="A1234" s="591" t="s">
        <v>1578</v>
      </c>
      <c r="B1234" s="591" t="s">
        <v>1646</v>
      </c>
      <c r="C1234" s="287" t="s">
        <v>1579</v>
      </c>
      <c r="D1234" s="287" t="s">
        <v>1497</v>
      </c>
      <c r="E1234" s="642">
        <v>0</v>
      </c>
      <c r="F1234" s="482">
        <v>30</v>
      </c>
      <c r="G1234" s="295"/>
      <c r="H1234" s="295"/>
    </row>
    <row r="1235" spans="1:8" s="275" customFormat="1" x14ac:dyDescent="0.15">
      <c r="A1235" s="640" t="s">
        <v>1580</v>
      </c>
      <c r="B1235" s="640" t="s">
        <v>1647</v>
      </c>
      <c r="C1235" s="295" t="s">
        <v>1451</v>
      </c>
      <c r="D1235" s="295" t="s">
        <v>1674</v>
      </c>
      <c r="E1235" s="642">
        <v>7296</v>
      </c>
      <c r="F1235" s="482">
        <v>2281.2399999999998</v>
      </c>
      <c r="G1235" s="295"/>
      <c r="H1235" s="295"/>
    </row>
    <row r="1236" spans="1:8" s="275" customFormat="1" x14ac:dyDescent="0.15">
      <c r="A1236" s="591" t="s">
        <v>1581</v>
      </c>
      <c r="B1236" s="591" t="s">
        <v>1648</v>
      </c>
      <c r="C1236" s="287" t="s">
        <v>1521</v>
      </c>
      <c r="D1236" s="287" t="s">
        <v>1229</v>
      </c>
      <c r="E1236" s="642">
        <v>3739</v>
      </c>
      <c r="F1236" s="482">
        <v>517.75</v>
      </c>
      <c r="G1236" s="295"/>
      <c r="H1236" s="295"/>
    </row>
    <row r="1237" spans="1:8" s="275" customFormat="1" x14ac:dyDescent="0.15">
      <c r="A1237" s="591" t="s">
        <v>1582</v>
      </c>
      <c r="B1237" s="591" t="s">
        <v>1649</v>
      </c>
      <c r="C1237" s="287" t="s">
        <v>1525</v>
      </c>
      <c r="D1237" s="287" t="s">
        <v>1526</v>
      </c>
      <c r="E1237" s="642">
        <v>0</v>
      </c>
      <c r="F1237" s="482">
        <v>6</v>
      </c>
      <c r="G1237" s="295"/>
      <c r="H1237" s="645"/>
    </row>
    <row r="1238" spans="1:8" s="275" customFormat="1" ht="14" x14ac:dyDescent="0.15">
      <c r="A1238" s="591" t="s">
        <v>1583</v>
      </c>
      <c r="B1238" s="591" t="s">
        <v>1650</v>
      </c>
      <c r="C1238" s="287" t="s">
        <v>1584</v>
      </c>
      <c r="D1238" s="618" t="s">
        <v>1264</v>
      </c>
      <c r="E1238" s="642">
        <v>1360</v>
      </c>
      <c r="F1238" s="482">
        <v>315.11</v>
      </c>
      <c r="G1238" s="295"/>
      <c r="H1238" s="295"/>
    </row>
    <row r="1239" spans="1:8" s="275" customFormat="1" ht="14" thickBot="1" x14ac:dyDescent="0.2">
      <c r="A1239" s="591" t="s">
        <v>1666</v>
      </c>
      <c r="B1239" s="591" t="s">
        <v>1672</v>
      </c>
      <c r="C1239" s="287" t="s">
        <v>1667</v>
      </c>
      <c r="D1239" s="287" t="s">
        <v>1668</v>
      </c>
      <c r="E1239" s="642">
        <v>23808</v>
      </c>
      <c r="F1239" s="482">
        <v>5088.68</v>
      </c>
      <c r="G1239" s="295"/>
      <c r="H1239" s="295"/>
    </row>
    <row r="1240" spans="1:8" s="275" customFormat="1" x14ac:dyDescent="0.15">
      <c r="A1240" s="591" t="s">
        <v>1606</v>
      </c>
      <c r="B1240" s="591"/>
      <c r="C1240" s="287" t="s">
        <v>1334</v>
      </c>
      <c r="D1240" s="287" t="s">
        <v>1462</v>
      </c>
      <c r="E1240" s="642">
        <f>41+44</f>
        <v>85</v>
      </c>
      <c r="F1240" s="482">
        <v>13.89</v>
      </c>
      <c r="G1240" s="295"/>
      <c r="H1240" s="647" t="s">
        <v>1589</v>
      </c>
    </row>
    <row r="1241" spans="1:8" s="275" customFormat="1" ht="14" thickBot="1" x14ac:dyDescent="0.2">
      <c r="A1241" s="591"/>
      <c r="B1241" s="591"/>
      <c r="C1241" s="291" t="s">
        <v>1595</v>
      </c>
      <c r="D1241" s="287"/>
      <c r="E1241" s="643">
        <f>SUM(E1214:E1240)</f>
        <v>90161.7</v>
      </c>
      <c r="F1241" s="620">
        <v>16113.18</v>
      </c>
      <c r="H1241" s="648">
        <f>SUM(F1208,F1241)</f>
        <v>31916.59</v>
      </c>
    </row>
    <row r="1242" spans="1:8" s="275" customFormat="1" ht="14" thickTop="1" x14ac:dyDescent="0.15">
      <c r="A1242" s="617"/>
      <c r="B1242" s="617"/>
      <c r="E1242" s="276"/>
      <c r="F1242" s="278"/>
    </row>
    <row r="1243" spans="1:8" s="275" customFormat="1" x14ac:dyDescent="0.15">
      <c r="A1243" s="617"/>
      <c r="B1243" s="617"/>
      <c r="C1243" s="299" t="s">
        <v>1594</v>
      </c>
      <c r="E1243" s="276"/>
      <c r="F1243" s="278"/>
    </row>
    <row r="1244" spans="1:8" s="275" customFormat="1" x14ac:dyDescent="0.15">
      <c r="A1244" s="617"/>
      <c r="B1244" s="617"/>
      <c r="C1244" s="293" t="s">
        <v>1446</v>
      </c>
      <c r="E1244" s="276"/>
      <c r="F1244" s="278"/>
    </row>
    <row r="1245" spans="1:8" s="275" customFormat="1" x14ac:dyDescent="0.15">
      <c r="A1245" s="617"/>
      <c r="B1245" s="617"/>
      <c r="C1245" s="386">
        <v>41608</v>
      </c>
      <c r="E1245" s="276"/>
      <c r="F1245" s="278"/>
    </row>
    <row r="1246" spans="1:8" s="275" customFormat="1" x14ac:dyDescent="0.15">
      <c r="A1246" s="617"/>
      <c r="B1246" s="617"/>
      <c r="E1246" s="276"/>
      <c r="F1246" s="278"/>
    </row>
    <row r="1247" spans="1:8" s="275" customFormat="1" x14ac:dyDescent="0.15">
      <c r="A1247" s="591" t="s">
        <v>1534</v>
      </c>
      <c r="B1247" s="591" t="s">
        <v>1614</v>
      </c>
      <c r="C1247" s="287" t="s">
        <v>1492</v>
      </c>
      <c r="D1247" s="287" t="s">
        <v>1239</v>
      </c>
      <c r="E1247" s="642">
        <v>10960</v>
      </c>
      <c r="F1247" s="482">
        <v>1569.76</v>
      </c>
      <c r="G1247" s="295"/>
      <c r="H1247" s="295"/>
    </row>
    <row r="1248" spans="1:8" s="275" customFormat="1" x14ac:dyDescent="0.15">
      <c r="A1248" s="591" t="s">
        <v>1535</v>
      </c>
      <c r="B1248" s="591" t="s">
        <v>1615</v>
      </c>
      <c r="C1248" s="287" t="s">
        <v>1507</v>
      </c>
      <c r="D1248" s="287" t="s">
        <v>1245</v>
      </c>
      <c r="E1248" s="642">
        <v>4080</v>
      </c>
      <c r="F1248" s="482">
        <v>619.75</v>
      </c>
      <c r="G1248" s="295"/>
      <c r="H1248" s="295"/>
    </row>
    <row r="1249" spans="1:8" s="275" customFormat="1" x14ac:dyDescent="0.15">
      <c r="A1249" s="591" t="s">
        <v>1670</v>
      </c>
      <c r="B1249" s="591" t="s">
        <v>1659</v>
      </c>
      <c r="C1249" s="287" t="s">
        <v>1279</v>
      </c>
      <c r="D1249" s="287" t="s">
        <v>1660</v>
      </c>
      <c r="E1249" s="642">
        <v>9280</v>
      </c>
      <c r="F1249" s="482">
        <v>1314.55</v>
      </c>
      <c r="G1249" s="295"/>
      <c r="H1249" s="538"/>
    </row>
    <row r="1250" spans="1:8" s="275" customFormat="1" x14ac:dyDescent="0.15">
      <c r="A1250" s="591" t="s">
        <v>1536</v>
      </c>
      <c r="B1250" s="591" t="s">
        <v>1616</v>
      </c>
      <c r="C1250" s="287" t="s">
        <v>1479</v>
      </c>
      <c r="D1250" s="287" t="s">
        <v>1231</v>
      </c>
      <c r="E1250" s="642">
        <v>6167</v>
      </c>
      <c r="F1250" s="482">
        <v>827.37</v>
      </c>
      <c r="G1250" s="295"/>
      <c r="H1250" s="295"/>
    </row>
    <row r="1251" spans="1:8" s="275" customFormat="1" x14ac:dyDescent="0.15">
      <c r="A1251" s="591" t="s">
        <v>1537</v>
      </c>
      <c r="B1251" s="591" t="s">
        <v>1617</v>
      </c>
      <c r="C1251" s="287" t="s">
        <v>1269</v>
      </c>
      <c r="D1251" s="287" t="s">
        <v>1270</v>
      </c>
      <c r="E1251" s="642">
        <v>4318</v>
      </c>
      <c r="F1251" s="482">
        <v>602.58000000000004</v>
      </c>
      <c r="G1251" s="295"/>
      <c r="H1251" s="295"/>
    </row>
    <row r="1252" spans="1:8" s="275" customFormat="1" x14ac:dyDescent="0.15">
      <c r="A1252" s="640" t="s">
        <v>1538</v>
      </c>
      <c r="B1252" s="640" t="s">
        <v>1618</v>
      </c>
      <c r="C1252" s="295" t="s">
        <v>1517</v>
      </c>
      <c r="D1252" s="295" t="s">
        <v>1518</v>
      </c>
      <c r="E1252" s="642">
        <v>5</v>
      </c>
      <c r="F1252" s="482">
        <v>30.49</v>
      </c>
      <c r="G1252" s="295"/>
      <c r="H1252" s="295"/>
    </row>
    <row r="1253" spans="1:8" s="275" customFormat="1" x14ac:dyDescent="0.15">
      <c r="A1253" s="591" t="s">
        <v>1540</v>
      </c>
      <c r="B1253" s="591" t="s">
        <v>1620</v>
      </c>
      <c r="C1253" s="287" t="s">
        <v>1257</v>
      </c>
      <c r="D1253" s="287" t="s">
        <v>1258</v>
      </c>
      <c r="E1253" s="642">
        <v>25760</v>
      </c>
      <c r="F1253" s="482">
        <v>3287.23</v>
      </c>
      <c r="G1253" s="295"/>
      <c r="H1253" s="295"/>
    </row>
    <row r="1254" spans="1:8" s="275" customFormat="1" x14ac:dyDescent="0.15">
      <c r="A1254" s="591" t="s">
        <v>1541</v>
      </c>
      <c r="B1254" s="591" t="s">
        <v>1621</v>
      </c>
      <c r="C1254" s="287" t="s">
        <v>1586</v>
      </c>
      <c r="D1254" s="287" t="s">
        <v>1500</v>
      </c>
      <c r="E1254" s="642">
        <v>4480</v>
      </c>
      <c r="F1254" s="482">
        <v>645.91999999999996</v>
      </c>
      <c r="G1254" s="295"/>
      <c r="H1254" s="295"/>
    </row>
    <row r="1255" spans="1:8" s="275" customFormat="1" x14ac:dyDescent="0.15">
      <c r="A1255" s="591" t="s">
        <v>1542</v>
      </c>
      <c r="B1255" s="591" t="s">
        <v>1622</v>
      </c>
      <c r="C1255" s="287" t="s">
        <v>1240</v>
      </c>
      <c r="D1255" s="287" t="s">
        <v>1467</v>
      </c>
      <c r="E1255" s="642">
        <v>5556</v>
      </c>
      <c r="F1255" s="482">
        <v>752.97</v>
      </c>
      <c r="G1255" s="295"/>
      <c r="H1255" s="295"/>
    </row>
    <row r="1256" spans="1:8" s="275" customFormat="1" x14ac:dyDescent="0.15">
      <c r="A1256" s="591" t="s">
        <v>1543</v>
      </c>
      <c r="B1256" s="591" t="s">
        <v>1623</v>
      </c>
      <c r="C1256" s="287" t="s">
        <v>1523</v>
      </c>
      <c r="D1256" s="287" t="s">
        <v>1266</v>
      </c>
      <c r="E1256" s="642">
        <v>925</v>
      </c>
      <c r="F1256" s="482">
        <v>183.33</v>
      </c>
      <c r="G1256" s="295"/>
      <c r="H1256" s="295"/>
    </row>
    <row r="1257" spans="1:8" s="275" customFormat="1" x14ac:dyDescent="0.15">
      <c r="A1257" s="591" t="s">
        <v>1544</v>
      </c>
      <c r="B1257" s="591" t="s">
        <v>1624</v>
      </c>
      <c r="C1257" s="287" t="s">
        <v>1234</v>
      </c>
      <c r="D1257" s="287" t="s">
        <v>1494</v>
      </c>
      <c r="E1257" s="642">
        <v>6946</v>
      </c>
      <c r="F1257" s="482">
        <v>986.58</v>
      </c>
      <c r="G1257" s="295"/>
      <c r="H1257" s="295"/>
    </row>
    <row r="1258" spans="1:8" s="275" customFormat="1" x14ac:dyDescent="0.15">
      <c r="A1258" s="591" t="s">
        <v>1601</v>
      </c>
      <c r="B1258" s="591"/>
      <c r="C1258" s="287" t="s">
        <v>1334</v>
      </c>
      <c r="D1258" s="287" t="s">
        <v>1462</v>
      </c>
      <c r="E1258" s="642">
        <f>1869.3+2118.5</f>
        <v>3987.8</v>
      </c>
      <c r="F1258" s="482">
        <v>674.18000000000006</v>
      </c>
      <c r="G1258" s="295"/>
      <c r="H1258" s="295"/>
    </row>
    <row r="1259" spans="1:8" s="275" customFormat="1" x14ac:dyDescent="0.15">
      <c r="A1259" s="591" t="s">
        <v>1545</v>
      </c>
      <c r="B1259" s="591"/>
      <c r="C1259" s="287" t="s">
        <v>1234</v>
      </c>
      <c r="D1259" s="287" t="s">
        <v>1494</v>
      </c>
      <c r="E1259" s="642">
        <f>8+83</f>
        <v>91</v>
      </c>
      <c r="F1259" s="482">
        <v>18.809999999999999</v>
      </c>
      <c r="G1259" s="295"/>
      <c r="H1259" s="295"/>
    </row>
    <row r="1260" spans="1:8" s="275" customFormat="1" x14ac:dyDescent="0.15">
      <c r="A1260" s="591" t="s">
        <v>1602</v>
      </c>
      <c r="B1260" s="591"/>
      <c r="C1260" s="287" t="s">
        <v>1334</v>
      </c>
      <c r="D1260" s="287" t="s">
        <v>1462</v>
      </c>
      <c r="E1260" s="642">
        <f>104.6+118.6</f>
        <v>223.2</v>
      </c>
      <c r="F1260" s="482">
        <v>50.32</v>
      </c>
      <c r="G1260" s="295"/>
      <c r="H1260" s="295"/>
    </row>
    <row r="1261" spans="1:8" s="275" customFormat="1" x14ac:dyDescent="0.15">
      <c r="A1261" s="591" t="s">
        <v>1546</v>
      </c>
      <c r="B1261" s="591"/>
      <c r="C1261" s="287" t="s">
        <v>1586</v>
      </c>
      <c r="D1261" s="287" t="s">
        <v>1500</v>
      </c>
      <c r="E1261" s="642">
        <f>9.2+95</f>
        <v>104.2</v>
      </c>
      <c r="F1261" s="482">
        <v>29.37</v>
      </c>
      <c r="G1261" s="295"/>
      <c r="H1261" s="295"/>
    </row>
    <row r="1262" spans="1:8" s="275" customFormat="1" x14ac:dyDescent="0.15">
      <c r="A1262" s="591" t="s">
        <v>1547</v>
      </c>
      <c r="B1262" s="591"/>
      <c r="C1262" s="287" t="s">
        <v>1286</v>
      </c>
      <c r="D1262" s="287" t="s">
        <v>1514</v>
      </c>
      <c r="E1262" s="642">
        <f>257.3+17.7</f>
        <v>275</v>
      </c>
      <c r="F1262" s="482">
        <v>58.87</v>
      </c>
      <c r="G1262" s="295"/>
      <c r="H1262" s="295"/>
    </row>
    <row r="1263" spans="1:8" s="275" customFormat="1" x14ac:dyDescent="0.15">
      <c r="A1263" s="591" t="s">
        <v>1549</v>
      </c>
      <c r="B1263" s="591" t="s">
        <v>1625</v>
      </c>
      <c r="C1263" s="287" t="s">
        <v>1459</v>
      </c>
      <c r="D1263" s="287" t="s">
        <v>1251</v>
      </c>
      <c r="E1263" s="642">
        <v>3058</v>
      </c>
      <c r="F1263" s="482">
        <v>436.37</v>
      </c>
      <c r="G1263" s="295"/>
      <c r="H1263" s="295"/>
    </row>
    <row r="1264" spans="1:8" s="275" customFormat="1" x14ac:dyDescent="0.15">
      <c r="A1264" s="591" t="s">
        <v>1603</v>
      </c>
      <c r="B1264" s="591"/>
      <c r="C1264" s="287" t="s">
        <v>1334</v>
      </c>
      <c r="D1264" s="287" t="s">
        <v>1462</v>
      </c>
      <c r="E1264" s="642">
        <f>782.3+886.6</f>
        <v>1668.9</v>
      </c>
      <c r="F1264" s="482">
        <v>298.66999999999996</v>
      </c>
      <c r="G1264" s="295"/>
      <c r="H1264" s="295"/>
    </row>
    <row r="1265" spans="1:8" s="275" customFormat="1" x14ac:dyDescent="0.15">
      <c r="A1265" s="591" t="s">
        <v>1597</v>
      </c>
      <c r="B1265" s="591" t="s">
        <v>1626</v>
      </c>
      <c r="C1265" s="287" t="s">
        <v>1454</v>
      </c>
      <c r="D1265" s="287" t="s">
        <v>1247</v>
      </c>
      <c r="E1265" s="642">
        <v>4840</v>
      </c>
      <c r="F1265" s="482">
        <v>708.98</v>
      </c>
      <c r="G1265" s="295"/>
      <c r="H1265" s="295"/>
    </row>
    <row r="1266" spans="1:8" s="275" customFormat="1" x14ac:dyDescent="0.15">
      <c r="A1266" s="591" t="s">
        <v>1551</v>
      </c>
      <c r="B1266" s="591" t="s">
        <v>1627</v>
      </c>
      <c r="C1266" s="287" t="s">
        <v>1235</v>
      </c>
      <c r="D1266" s="287" t="s">
        <v>1236</v>
      </c>
      <c r="E1266" s="642">
        <v>9309</v>
      </c>
      <c r="F1266" s="482">
        <v>1269.31</v>
      </c>
      <c r="G1266" s="295"/>
      <c r="H1266" s="295"/>
    </row>
    <row r="1267" spans="1:8" s="275" customFormat="1" x14ac:dyDescent="0.15">
      <c r="A1267" s="591" t="s">
        <v>1553</v>
      </c>
      <c r="B1267" s="591" t="s">
        <v>1628</v>
      </c>
      <c r="C1267" s="287" t="s">
        <v>1475</v>
      </c>
      <c r="D1267" s="287" t="s">
        <v>1387</v>
      </c>
      <c r="E1267" s="642">
        <v>1377</v>
      </c>
      <c r="F1267" s="482">
        <v>237.71</v>
      </c>
      <c r="G1267" s="295"/>
      <c r="H1267" s="295"/>
    </row>
    <row r="1268" spans="1:8" s="275" customFormat="1" x14ac:dyDescent="0.15">
      <c r="A1268" s="591" t="s">
        <v>1554</v>
      </c>
      <c r="B1268" s="591" t="s">
        <v>1629</v>
      </c>
      <c r="C1268" s="287" t="s">
        <v>1399</v>
      </c>
      <c r="D1268" s="287" t="s">
        <v>1276</v>
      </c>
      <c r="E1268" s="642">
        <v>5440</v>
      </c>
      <c r="F1268" s="482">
        <v>768.65</v>
      </c>
      <c r="G1268" s="295"/>
      <c r="H1268" s="295"/>
    </row>
    <row r="1269" spans="1:8" s="275" customFormat="1" x14ac:dyDescent="0.15">
      <c r="A1269" s="591" t="s">
        <v>1598</v>
      </c>
      <c r="B1269" s="591"/>
      <c r="C1269" s="287" t="s">
        <v>1586</v>
      </c>
      <c r="D1269" s="287" t="s">
        <v>1500</v>
      </c>
      <c r="E1269" s="642">
        <f>4.6+47.5</f>
        <v>52.1</v>
      </c>
      <c r="F1269" s="482">
        <v>17.400000000000002</v>
      </c>
      <c r="G1269" s="295"/>
      <c r="H1269" s="645"/>
    </row>
    <row r="1270" spans="1:8" s="275" customFormat="1" x14ac:dyDescent="0.15">
      <c r="A1270" s="591" t="s">
        <v>1662</v>
      </c>
      <c r="B1270" s="651">
        <v>892914652</v>
      </c>
      <c r="C1270" s="287" t="s">
        <v>1663</v>
      </c>
      <c r="D1270" s="287" t="s">
        <v>1664</v>
      </c>
      <c r="E1270" s="642">
        <v>9120</v>
      </c>
      <c r="F1270" s="482">
        <v>1341.18</v>
      </c>
      <c r="G1270" s="295"/>
      <c r="H1270" s="538"/>
    </row>
    <row r="1271" spans="1:8" s="275" customFormat="1" ht="14" thickBot="1" x14ac:dyDescent="0.2">
      <c r="A1271" s="591"/>
      <c r="B1271" s="591"/>
      <c r="C1271" s="291" t="s">
        <v>1599</v>
      </c>
      <c r="D1271" s="287"/>
      <c r="E1271" s="638">
        <f>SUM(E1247:E1270)</f>
        <v>118023.2</v>
      </c>
      <c r="F1271" s="620">
        <v>16730.349999999999</v>
      </c>
      <c r="H1271" s="636"/>
    </row>
    <row r="1272" spans="1:8" s="275" customFormat="1" ht="14" thickTop="1" x14ac:dyDescent="0.15">
      <c r="A1272" s="640"/>
      <c r="B1272" s="640"/>
      <c r="C1272" s="295"/>
      <c r="D1272" s="295"/>
      <c r="E1272" s="296"/>
      <c r="F1272" s="298"/>
    </row>
    <row r="1273" spans="1:8" s="275" customFormat="1" x14ac:dyDescent="0.15">
      <c r="A1273" s="640"/>
      <c r="B1273" s="640"/>
      <c r="C1273" s="299" t="s">
        <v>1594</v>
      </c>
      <c r="D1273" s="295"/>
      <c r="E1273" s="296"/>
      <c r="F1273" s="298"/>
    </row>
    <row r="1274" spans="1:8" s="275" customFormat="1" x14ac:dyDescent="0.15">
      <c r="A1274" s="640"/>
      <c r="B1274" s="640"/>
      <c r="C1274" s="293" t="s">
        <v>1446</v>
      </c>
      <c r="D1274" s="295"/>
      <c r="E1274" s="296"/>
      <c r="F1274" s="298"/>
    </row>
    <row r="1275" spans="1:8" s="275" customFormat="1" x14ac:dyDescent="0.15">
      <c r="A1275" s="640"/>
      <c r="B1275" s="640"/>
      <c r="C1275" s="386">
        <v>41639</v>
      </c>
      <c r="D1275" s="295"/>
      <c r="E1275" s="296"/>
      <c r="F1275" s="298"/>
    </row>
    <row r="1276" spans="1:8" s="275" customFormat="1" x14ac:dyDescent="0.15">
      <c r="A1276" s="640"/>
      <c r="B1276" s="640"/>
      <c r="C1276" s="295"/>
      <c r="D1276" s="295"/>
      <c r="E1276" s="296"/>
      <c r="F1276" s="298"/>
    </row>
    <row r="1277" spans="1:8" s="275" customFormat="1" x14ac:dyDescent="0.15">
      <c r="A1277" s="640" t="s">
        <v>1556</v>
      </c>
      <c r="B1277" s="640" t="s">
        <v>1631</v>
      </c>
      <c r="C1277" s="295" t="s">
        <v>1248</v>
      </c>
      <c r="D1277" s="295" t="s">
        <v>1482</v>
      </c>
      <c r="E1277" s="642">
        <v>3946</v>
      </c>
      <c r="F1277" s="482">
        <v>572.36</v>
      </c>
      <c r="G1277" s="295"/>
      <c r="H1277" s="295"/>
    </row>
    <row r="1278" spans="1:8" s="275" customFormat="1" x14ac:dyDescent="0.15">
      <c r="A1278" s="591" t="s">
        <v>1557</v>
      </c>
      <c r="B1278" s="591" t="s">
        <v>1632</v>
      </c>
      <c r="C1278" s="287" t="s">
        <v>1477</v>
      </c>
      <c r="D1278" s="287" t="s">
        <v>1289</v>
      </c>
      <c r="E1278" s="644">
        <v>0</v>
      </c>
      <c r="F1278" s="482">
        <v>0</v>
      </c>
      <c r="G1278" s="295"/>
      <c r="H1278" s="295"/>
    </row>
    <row r="1279" spans="1:8" s="275" customFormat="1" x14ac:dyDescent="0.15">
      <c r="A1279" s="591" t="s">
        <v>1558</v>
      </c>
      <c r="B1279" s="591" t="s">
        <v>1633</v>
      </c>
      <c r="C1279" s="287" t="s">
        <v>1469</v>
      </c>
      <c r="D1279" s="287" t="s">
        <v>1470</v>
      </c>
      <c r="E1279" s="642">
        <v>8000</v>
      </c>
      <c r="F1279" s="482">
        <v>1132.3</v>
      </c>
      <c r="G1279" s="295"/>
      <c r="H1279" s="295"/>
    </row>
    <row r="1280" spans="1:8" s="275" customFormat="1" x14ac:dyDescent="0.15">
      <c r="A1280" s="591" t="s">
        <v>1559</v>
      </c>
      <c r="B1280" s="591" t="s">
        <v>1634</v>
      </c>
      <c r="C1280" s="287" t="s">
        <v>1502</v>
      </c>
      <c r="D1280" s="287" t="s">
        <v>1381</v>
      </c>
      <c r="E1280" s="642">
        <v>21792</v>
      </c>
      <c r="F1280" s="482">
        <v>2990.14</v>
      </c>
      <c r="G1280" s="295"/>
      <c r="H1280" s="295"/>
    </row>
    <row r="1281" spans="1:8" s="275" customFormat="1" x14ac:dyDescent="0.15">
      <c r="A1281" s="591" t="s">
        <v>1560</v>
      </c>
      <c r="B1281" s="591" t="s">
        <v>1635</v>
      </c>
      <c r="C1281" s="287" t="s">
        <v>1504</v>
      </c>
      <c r="D1281" s="287" t="s">
        <v>1505</v>
      </c>
      <c r="E1281" s="642">
        <v>1857</v>
      </c>
      <c r="F1281" s="482">
        <v>262.43</v>
      </c>
      <c r="G1281" s="295"/>
      <c r="H1281" s="295"/>
    </row>
    <row r="1282" spans="1:8" s="275" customFormat="1" x14ac:dyDescent="0.15">
      <c r="A1282" s="591" t="s">
        <v>1675</v>
      </c>
      <c r="B1282" s="591" t="s">
        <v>1676</v>
      </c>
      <c r="C1282" s="287" t="s">
        <v>1477</v>
      </c>
      <c r="D1282" s="287" t="s">
        <v>1289</v>
      </c>
      <c r="E1282" s="642">
        <v>13680</v>
      </c>
      <c r="F1282" s="482">
        <v>1993.16</v>
      </c>
      <c r="G1282" s="295"/>
      <c r="H1282" s="295"/>
    </row>
    <row r="1283" spans="1:8" s="275" customFormat="1" x14ac:dyDescent="0.15">
      <c r="A1283" s="591" t="s">
        <v>1563</v>
      </c>
      <c r="B1283" s="591"/>
      <c r="C1283" s="287" t="s">
        <v>1267</v>
      </c>
      <c r="D1283" s="287" t="s">
        <v>1268</v>
      </c>
      <c r="E1283" s="642">
        <f>8+83</f>
        <v>91</v>
      </c>
      <c r="F1283" s="482">
        <v>15.41</v>
      </c>
      <c r="G1283" s="295"/>
      <c r="H1283" s="295"/>
    </row>
    <row r="1284" spans="1:8" s="275" customFormat="1" x14ac:dyDescent="0.15">
      <c r="A1284" s="591" t="s">
        <v>1564</v>
      </c>
      <c r="B1284" s="591" t="s">
        <v>1636</v>
      </c>
      <c r="C1284" s="287" t="s">
        <v>1485</v>
      </c>
      <c r="D1284" s="287" t="s">
        <v>1486</v>
      </c>
      <c r="E1284" s="642">
        <v>2920</v>
      </c>
      <c r="F1284" s="482">
        <v>388.59</v>
      </c>
      <c r="G1284" s="295"/>
      <c r="H1284" s="295"/>
    </row>
    <row r="1285" spans="1:8" s="275" customFormat="1" x14ac:dyDescent="0.15">
      <c r="A1285" s="591" t="s">
        <v>1565</v>
      </c>
      <c r="B1285" s="591" t="s">
        <v>1637</v>
      </c>
      <c r="C1285" s="287" t="s">
        <v>1267</v>
      </c>
      <c r="D1285" s="287" t="s">
        <v>1268</v>
      </c>
      <c r="E1285" s="642">
        <v>2677</v>
      </c>
      <c r="F1285" s="482">
        <v>462.14</v>
      </c>
      <c r="G1285" s="295"/>
      <c r="H1285" s="295"/>
    </row>
    <row r="1286" spans="1:8" s="275" customFormat="1" x14ac:dyDescent="0.15">
      <c r="A1286" s="591" t="s">
        <v>1569</v>
      </c>
      <c r="B1286" s="591" t="s">
        <v>1638</v>
      </c>
      <c r="C1286" s="287" t="s">
        <v>1464</v>
      </c>
      <c r="D1286" s="287" t="s">
        <v>1285</v>
      </c>
      <c r="E1286" s="642">
        <v>925</v>
      </c>
      <c r="F1286" s="482">
        <v>190.13</v>
      </c>
      <c r="G1286" s="295"/>
      <c r="H1286" s="295"/>
    </row>
    <row r="1287" spans="1:8" s="275" customFormat="1" x14ac:dyDescent="0.15">
      <c r="A1287" s="591" t="s">
        <v>1570</v>
      </c>
      <c r="B1287" s="591" t="s">
        <v>1639</v>
      </c>
      <c r="C1287" s="287" t="s">
        <v>1472</v>
      </c>
      <c r="D1287" s="287" t="s">
        <v>1473</v>
      </c>
      <c r="E1287" s="642">
        <v>460</v>
      </c>
      <c r="F1287" s="482">
        <v>103.01</v>
      </c>
      <c r="G1287" s="295"/>
      <c r="H1287" s="295"/>
    </row>
    <row r="1288" spans="1:8" s="275" customFormat="1" x14ac:dyDescent="0.15">
      <c r="A1288" s="591" t="s">
        <v>1571</v>
      </c>
      <c r="B1288" s="591" t="s">
        <v>1640</v>
      </c>
      <c r="C1288" s="287" t="s">
        <v>1489</v>
      </c>
      <c r="D1288" s="287" t="s">
        <v>1490</v>
      </c>
      <c r="E1288" s="642">
        <v>218</v>
      </c>
      <c r="F1288" s="482">
        <v>51.71</v>
      </c>
      <c r="G1288" s="295"/>
      <c r="H1288" s="295"/>
    </row>
    <row r="1289" spans="1:8" s="275" customFormat="1" x14ac:dyDescent="0.15">
      <c r="A1289" s="591" t="s">
        <v>1572</v>
      </c>
      <c r="B1289" s="591" t="s">
        <v>1641</v>
      </c>
      <c r="C1289" s="287" t="s">
        <v>1271</v>
      </c>
      <c r="D1289" s="287" t="s">
        <v>1272</v>
      </c>
      <c r="E1289" s="642">
        <v>5278</v>
      </c>
      <c r="F1289" s="482">
        <v>725.32</v>
      </c>
      <c r="G1289" s="295"/>
      <c r="H1289" s="295"/>
    </row>
    <row r="1290" spans="1:8" s="275" customFormat="1" x14ac:dyDescent="0.15">
      <c r="A1290" s="591" t="s">
        <v>1573</v>
      </c>
      <c r="B1290" s="591"/>
      <c r="C1290" s="287" t="s">
        <v>1461</v>
      </c>
      <c r="D1290" s="287" t="s">
        <v>1462</v>
      </c>
      <c r="E1290" s="642">
        <v>26</v>
      </c>
      <c r="F1290" s="482">
        <v>16.28</v>
      </c>
      <c r="G1290" s="295"/>
      <c r="H1290" s="295"/>
    </row>
    <row r="1291" spans="1:8" s="275" customFormat="1" x14ac:dyDescent="0.15">
      <c r="A1291" s="591" t="s">
        <v>1574</v>
      </c>
      <c r="B1291" s="591" t="s">
        <v>1642</v>
      </c>
      <c r="C1291" s="287" t="s">
        <v>1377</v>
      </c>
      <c r="D1291" s="287" t="s">
        <v>1378</v>
      </c>
      <c r="E1291" s="642">
        <v>1853</v>
      </c>
      <c r="F1291" s="482">
        <v>323.31</v>
      </c>
      <c r="G1291" s="295"/>
      <c r="H1291" s="295"/>
    </row>
    <row r="1292" spans="1:8" s="275" customFormat="1" x14ac:dyDescent="0.15">
      <c r="A1292" s="591" t="s">
        <v>1575</v>
      </c>
      <c r="B1292" s="591" t="s">
        <v>1643</v>
      </c>
      <c r="C1292" s="287" t="s">
        <v>1448</v>
      </c>
      <c r="D1292" s="287" t="s">
        <v>1449</v>
      </c>
      <c r="E1292" s="642">
        <v>48</v>
      </c>
      <c r="F1292" s="482">
        <v>13.81</v>
      </c>
      <c r="G1292" s="295"/>
      <c r="H1292" s="295"/>
    </row>
    <row r="1293" spans="1:8" s="275" customFormat="1" x14ac:dyDescent="0.15">
      <c r="A1293" s="591" t="s">
        <v>1604</v>
      </c>
      <c r="B1293" s="591"/>
      <c r="C1293" s="287" t="s">
        <v>1334</v>
      </c>
      <c r="D1293" s="287" t="s">
        <v>1462</v>
      </c>
      <c r="E1293" s="642">
        <f>97.7+110.7</f>
        <v>208.4</v>
      </c>
      <c r="F1293" s="482">
        <v>57.34</v>
      </c>
      <c r="G1293" s="295"/>
      <c r="H1293" s="295"/>
    </row>
    <row r="1294" spans="1:8" s="275" customFormat="1" x14ac:dyDescent="0.15">
      <c r="A1294" s="591" t="s">
        <v>1576</v>
      </c>
      <c r="B1294" s="591" t="s">
        <v>1644</v>
      </c>
      <c r="C1294" s="287" t="s">
        <v>1401</v>
      </c>
      <c r="D1294" s="287" t="s">
        <v>1316</v>
      </c>
      <c r="E1294" s="642">
        <v>77</v>
      </c>
      <c r="F1294" s="482">
        <v>38.06</v>
      </c>
      <c r="G1294" s="295"/>
      <c r="H1294" s="295"/>
    </row>
    <row r="1295" spans="1:8" s="275" customFormat="1" x14ac:dyDescent="0.15">
      <c r="A1295" s="591" t="s">
        <v>1605</v>
      </c>
      <c r="B1295" s="591"/>
      <c r="C1295" s="287" t="s">
        <v>1334</v>
      </c>
      <c r="D1295" s="287" t="s">
        <v>1462</v>
      </c>
      <c r="E1295" s="642">
        <f>356.8+404.3</f>
        <v>761.1</v>
      </c>
      <c r="F1295" s="482">
        <v>208.78</v>
      </c>
      <c r="G1295" s="295"/>
      <c r="H1295" s="295"/>
    </row>
    <row r="1296" spans="1:8" s="275" customFormat="1" x14ac:dyDescent="0.15">
      <c r="A1296" s="640" t="s">
        <v>1577</v>
      </c>
      <c r="B1296" s="640" t="s">
        <v>1645</v>
      </c>
      <c r="C1296" s="295" t="s">
        <v>1395</v>
      </c>
      <c r="D1296" s="295" t="s">
        <v>1396</v>
      </c>
      <c r="E1296" s="644">
        <v>0</v>
      </c>
      <c r="F1296" s="482">
        <v>0</v>
      </c>
      <c r="G1296" s="295"/>
      <c r="H1296" s="295"/>
    </row>
    <row r="1297" spans="1:8" s="275" customFormat="1" x14ac:dyDescent="0.15">
      <c r="A1297" s="591" t="s">
        <v>1578</v>
      </c>
      <c r="B1297" s="591" t="s">
        <v>1646</v>
      </c>
      <c r="C1297" s="287" t="s">
        <v>1579</v>
      </c>
      <c r="D1297" s="287" t="s">
        <v>1497</v>
      </c>
      <c r="E1297" s="642">
        <f>0+0</f>
        <v>0</v>
      </c>
      <c r="F1297" s="482">
        <v>30.01</v>
      </c>
      <c r="G1297" s="295"/>
      <c r="H1297" s="295"/>
    </row>
    <row r="1298" spans="1:8" s="275" customFormat="1" x14ac:dyDescent="0.15">
      <c r="A1298" s="640" t="s">
        <v>1580</v>
      </c>
      <c r="B1298" s="640" t="s">
        <v>1647</v>
      </c>
      <c r="C1298" s="295" t="s">
        <v>1451</v>
      </c>
      <c r="D1298" s="295" t="s">
        <v>1674</v>
      </c>
      <c r="E1298" s="642">
        <v>2304</v>
      </c>
      <c r="F1298" s="482">
        <v>1764.21</v>
      </c>
      <c r="G1298" s="295"/>
      <c r="H1298" s="295"/>
    </row>
    <row r="1299" spans="1:8" s="275" customFormat="1" x14ac:dyDescent="0.15">
      <c r="A1299" s="591" t="s">
        <v>1581</v>
      </c>
      <c r="B1299" s="591" t="s">
        <v>1648</v>
      </c>
      <c r="C1299" s="287" t="s">
        <v>1521</v>
      </c>
      <c r="D1299" s="287" t="s">
        <v>1229</v>
      </c>
      <c r="E1299" s="642">
        <v>4480</v>
      </c>
      <c r="F1299" s="482">
        <v>645.91999999999996</v>
      </c>
      <c r="G1299" s="295"/>
      <c r="H1299" s="295"/>
    </row>
    <row r="1300" spans="1:8" s="275" customFormat="1" x14ac:dyDescent="0.15">
      <c r="A1300" s="591" t="s">
        <v>1582</v>
      </c>
      <c r="B1300" s="591" t="s">
        <v>1649</v>
      </c>
      <c r="C1300" s="287" t="s">
        <v>1525</v>
      </c>
      <c r="D1300" s="287" t="s">
        <v>1526</v>
      </c>
      <c r="E1300" s="642">
        <v>24</v>
      </c>
      <c r="F1300" s="482">
        <v>9.91</v>
      </c>
      <c r="G1300" s="295"/>
      <c r="H1300" s="645"/>
    </row>
    <row r="1301" spans="1:8" s="275" customFormat="1" ht="14" x14ac:dyDescent="0.15">
      <c r="A1301" s="591" t="s">
        <v>1583</v>
      </c>
      <c r="B1301" s="591" t="s">
        <v>1650</v>
      </c>
      <c r="C1301" s="287" t="s">
        <v>1584</v>
      </c>
      <c r="D1301" s="618" t="s">
        <v>1264</v>
      </c>
      <c r="E1301" s="642">
        <v>1160</v>
      </c>
      <c r="F1301" s="482">
        <v>233.94</v>
      </c>
      <c r="G1301" s="295"/>
      <c r="H1301" s="295"/>
    </row>
    <row r="1302" spans="1:8" s="275" customFormat="1" x14ac:dyDescent="0.15">
      <c r="A1302" s="591" t="s">
        <v>1666</v>
      </c>
      <c r="B1302" s="591" t="s">
        <v>1672</v>
      </c>
      <c r="C1302" s="287" t="s">
        <v>1667</v>
      </c>
      <c r="D1302" s="287" t="s">
        <v>1668</v>
      </c>
      <c r="E1302" s="642">
        <v>22848</v>
      </c>
      <c r="F1302" s="482">
        <v>3222.48</v>
      </c>
      <c r="G1302" s="295"/>
      <c r="H1302" s="295"/>
    </row>
    <row r="1303" spans="1:8" s="275" customFormat="1" x14ac:dyDescent="0.15">
      <c r="A1303" s="591" t="s">
        <v>1606</v>
      </c>
      <c r="B1303" s="591"/>
      <c r="C1303" s="287" t="s">
        <v>1334</v>
      </c>
      <c r="D1303" s="287" t="s">
        <v>1462</v>
      </c>
      <c r="E1303" s="642">
        <f>42.7+48.3</f>
        <v>91</v>
      </c>
      <c r="F1303" s="482">
        <v>15.690000000000001</v>
      </c>
      <c r="G1303" s="295"/>
    </row>
    <row r="1304" spans="1:8" s="275" customFormat="1" ht="14" thickBot="1" x14ac:dyDescent="0.2">
      <c r="A1304" s="591"/>
      <c r="B1304" s="591"/>
      <c r="C1304" s="291" t="s">
        <v>1600</v>
      </c>
      <c r="D1304" s="287"/>
      <c r="E1304" s="643">
        <f>SUM(E1277:E1303)</f>
        <v>95724.5</v>
      </c>
      <c r="F1304" s="620">
        <v>15466.439999999999</v>
      </c>
    </row>
    <row r="1305" spans="1:8" s="275" customFormat="1" ht="14" thickTop="1" x14ac:dyDescent="0.15">
      <c r="A1305" s="617"/>
      <c r="B1305" s="617"/>
      <c r="E1305" s="276"/>
      <c r="F1305" s="278"/>
    </row>
    <row r="1306" spans="1:8" s="275" customFormat="1" x14ac:dyDescent="0.15">
      <c r="A1306" s="617"/>
      <c r="B1306" s="617"/>
      <c r="C1306" s="299" t="s">
        <v>1594</v>
      </c>
      <c r="E1306" s="276"/>
      <c r="F1306" s="278"/>
    </row>
    <row r="1307" spans="1:8" s="275" customFormat="1" x14ac:dyDescent="0.15">
      <c r="A1307" s="617"/>
      <c r="B1307" s="617"/>
      <c r="C1307" s="293" t="s">
        <v>1446</v>
      </c>
      <c r="E1307" s="276"/>
      <c r="F1307" s="278"/>
    </row>
    <row r="1308" spans="1:8" s="275" customFormat="1" x14ac:dyDescent="0.15">
      <c r="A1308" s="617"/>
      <c r="B1308" s="617"/>
      <c r="C1308" s="386">
        <v>41639</v>
      </c>
      <c r="E1308" s="276"/>
      <c r="F1308" s="278"/>
    </row>
    <row r="1309" spans="1:8" s="275" customFormat="1" x14ac:dyDescent="0.15">
      <c r="A1309" s="617"/>
      <c r="B1309" s="617"/>
      <c r="E1309" s="276"/>
      <c r="F1309" s="278"/>
    </row>
    <row r="1310" spans="1:8" s="275" customFormat="1" ht="14" thickBot="1" x14ac:dyDescent="0.2">
      <c r="A1310" s="591" t="s">
        <v>1677</v>
      </c>
      <c r="B1310" s="591" t="s">
        <v>1678</v>
      </c>
      <c r="C1310" s="287" t="s">
        <v>1313</v>
      </c>
      <c r="D1310" s="287" t="s">
        <v>1412</v>
      </c>
      <c r="E1310" s="642">
        <v>501</v>
      </c>
      <c r="F1310" s="482">
        <v>111.49</v>
      </c>
      <c r="G1310" s="295"/>
      <c r="H1310" s="295"/>
    </row>
    <row r="1311" spans="1:8" s="275" customFormat="1" x14ac:dyDescent="0.15">
      <c r="A1311" s="591" t="s">
        <v>1679</v>
      </c>
      <c r="B1311" s="591" t="s">
        <v>1680</v>
      </c>
      <c r="C1311" s="287" t="s">
        <v>1313</v>
      </c>
      <c r="D1311" s="287" t="s">
        <v>1412</v>
      </c>
      <c r="E1311" s="642">
        <v>101</v>
      </c>
      <c r="F1311" s="482">
        <v>40.590000000000003</v>
      </c>
      <c r="G1311" s="295"/>
      <c r="H1311" s="647" t="s">
        <v>1589</v>
      </c>
    </row>
    <row r="1312" spans="1:8" s="275" customFormat="1" ht="14" thickBot="1" x14ac:dyDescent="0.2">
      <c r="A1312" s="591"/>
      <c r="B1312" s="591"/>
      <c r="C1312" s="291" t="s">
        <v>1681</v>
      </c>
      <c r="D1312" s="287"/>
      <c r="E1312" s="643">
        <f>SUM(E1310:E1311)</f>
        <v>602</v>
      </c>
      <c r="F1312" s="620">
        <v>152.07999999999998</v>
      </c>
      <c r="H1312" s="648">
        <f>SUM(F1271,F1304,F1312)</f>
        <v>32348.87</v>
      </c>
    </row>
    <row r="1313" spans="1:8" s="275" customFormat="1" ht="14" thickTop="1" x14ac:dyDescent="0.15">
      <c r="A1313" s="617"/>
      <c r="B1313" s="617"/>
      <c r="E1313" s="276"/>
      <c r="F1313" s="278"/>
    </row>
    <row r="1314" spans="1:8" s="275" customFormat="1" x14ac:dyDescent="0.15">
      <c r="A1314" s="617"/>
      <c r="B1314" s="617"/>
      <c r="C1314" s="299" t="s">
        <v>1594</v>
      </c>
      <c r="E1314" s="276"/>
      <c r="F1314" s="278"/>
    </row>
    <row r="1315" spans="1:8" s="275" customFormat="1" x14ac:dyDescent="0.15">
      <c r="A1315" s="617"/>
      <c r="B1315" s="617"/>
      <c r="C1315" s="293" t="s">
        <v>1446</v>
      </c>
      <c r="E1315" s="276"/>
      <c r="F1315" s="278"/>
    </row>
    <row r="1316" spans="1:8" s="275" customFormat="1" x14ac:dyDescent="0.15">
      <c r="A1316" s="617"/>
      <c r="B1316" s="617"/>
      <c r="C1316" s="386">
        <v>41639</v>
      </c>
      <c r="E1316" s="276"/>
      <c r="F1316" s="278"/>
    </row>
    <row r="1317" spans="1:8" s="275" customFormat="1" x14ac:dyDescent="0.15">
      <c r="A1317" s="617"/>
      <c r="B1317" s="617"/>
      <c r="E1317" s="276"/>
      <c r="F1317" s="278"/>
    </row>
    <row r="1318" spans="1:8" s="275" customFormat="1" x14ac:dyDescent="0.15">
      <c r="A1318" s="591" t="s">
        <v>1534</v>
      </c>
      <c r="B1318" s="591" t="s">
        <v>1614</v>
      </c>
      <c r="C1318" s="287" t="s">
        <v>1492</v>
      </c>
      <c r="D1318" s="287" t="s">
        <v>1239</v>
      </c>
      <c r="E1318" s="642">
        <v>8880</v>
      </c>
      <c r="F1318" s="482">
        <v>1536.3</v>
      </c>
      <c r="G1318" s="295"/>
      <c r="H1318" s="295"/>
    </row>
    <row r="1319" spans="1:8" s="275" customFormat="1" x14ac:dyDescent="0.15">
      <c r="A1319" s="591" t="s">
        <v>1535</v>
      </c>
      <c r="B1319" s="591" t="s">
        <v>1615</v>
      </c>
      <c r="C1319" s="287" t="s">
        <v>1507</v>
      </c>
      <c r="D1319" s="287" t="s">
        <v>1245</v>
      </c>
      <c r="E1319" s="642">
        <v>3280</v>
      </c>
      <c r="F1319" s="482">
        <v>576.69000000000005</v>
      </c>
      <c r="G1319" s="295"/>
      <c r="H1319" s="295"/>
    </row>
    <row r="1320" spans="1:8" s="275" customFormat="1" x14ac:dyDescent="0.15">
      <c r="A1320" s="591" t="s">
        <v>1670</v>
      </c>
      <c r="B1320" s="591" t="s">
        <v>1659</v>
      </c>
      <c r="C1320" s="287" t="s">
        <v>1279</v>
      </c>
      <c r="D1320" s="287" t="s">
        <v>1660</v>
      </c>
      <c r="E1320" s="642">
        <v>7840</v>
      </c>
      <c r="F1320" s="482">
        <v>1383</v>
      </c>
      <c r="G1320" s="295"/>
      <c r="H1320" s="538"/>
    </row>
    <row r="1321" spans="1:8" s="275" customFormat="1" x14ac:dyDescent="0.15">
      <c r="A1321" s="591" t="s">
        <v>1536</v>
      </c>
      <c r="B1321" s="591" t="s">
        <v>1616</v>
      </c>
      <c r="C1321" s="287" t="s">
        <v>1479</v>
      </c>
      <c r="D1321" s="287" t="s">
        <v>1231</v>
      </c>
      <c r="E1321" s="642">
        <v>5106</v>
      </c>
      <c r="F1321" s="482">
        <v>825.7</v>
      </c>
      <c r="G1321" s="295"/>
      <c r="H1321" s="295"/>
    </row>
    <row r="1322" spans="1:8" s="275" customFormat="1" x14ac:dyDescent="0.15">
      <c r="A1322" s="591" t="s">
        <v>1537</v>
      </c>
      <c r="B1322" s="591" t="s">
        <v>1617</v>
      </c>
      <c r="C1322" s="287" t="s">
        <v>1269</v>
      </c>
      <c r="D1322" s="287" t="s">
        <v>1270</v>
      </c>
      <c r="E1322" s="642">
        <v>3868</v>
      </c>
      <c r="F1322" s="482">
        <v>652.21</v>
      </c>
      <c r="G1322" s="295"/>
      <c r="H1322" s="295"/>
    </row>
    <row r="1323" spans="1:8" s="275" customFormat="1" x14ac:dyDescent="0.15">
      <c r="A1323" s="640" t="s">
        <v>1538</v>
      </c>
      <c r="B1323" s="640" t="s">
        <v>1618</v>
      </c>
      <c r="C1323" s="295" t="s">
        <v>1517</v>
      </c>
      <c r="D1323" s="295" t="s">
        <v>1518</v>
      </c>
      <c r="E1323" s="642">
        <v>4</v>
      </c>
      <c r="F1323" s="482">
        <v>30.46</v>
      </c>
      <c r="G1323" s="295"/>
      <c r="H1323" s="295"/>
    </row>
    <row r="1324" spans="1:8" s="275" customFormat="1" x14ac:dyDescent="0.15">
      <c r="A1324" s="591" t="s">
        <v>1540</v>
      </c>
      <c r="B1324" s="591" t="s">
        <v>1620</v>
      </c>
      <c r="C1324" s="287" t="s">
        <v>1257</v>
      </c>
      <c r="D1324" s="287" t="s">
        <v>1258</v>
      </c>
      <c r="E1324" s="642">
        <v>21120</v>
      </c>
      <c r="F1324" s="482">
        <v>3354.17</v>
      </c>
      <c r="G1324" s="295"/>
      <c r="H1324" s="295"/>
    </row>
    <row r="1325" spans="1:8" s="275" customFormat="1" x14ac:dyDescent="0.15">
      <c r="A1325" s="591" t="s">
        <v>1541</v>
      </c>
      <c r="B1325" s="591" t="s">
        <v>1621</v>
      </c>
      <c r="C1325" s="287" t="s">
        <v>1586</v>
      </c>
      <c r="D1325" s="287" t="s">
        <v>1500</v>
      </c>
      <c r="E1325" s="642">
        <v>3320</v>
      </c>
      <c r="F1325" s="482">
        <v>566.02</v>
      </c>
      <c r="G1325" s="295"/>
      <c r="H1325" s="295"/>
    </row>
    <row r="1326" spans="1:8" s="275" customFormat="1" x14ac:dyDescent="0.15">
      <c r="A1326" s="591" t="s">
        <v>1542</v>
      </c>
      <c r="B1326" s="591" t="s">
        <v>1622</v>
      </c>
      <c r="C1326" s="287" t="s">
        <v>1240</v>
      </c>
      <c r="D1326" s="287" t="s">
        <v>1467</v>
      </c>
      <c r="E1326" s="642">
        <v>4165</v>
      </c>
      <c r="F1326" s="482">
        <v>694.12</v>
      </c>
      <c r="G1326" s="295"/>
      <c r="H1326" s="295"/>
    </row>
    <row r="1327" spans="1:8" s="275" customFormat="1" x14ac:dyDescent="0.15">
      <c r="A1327" s="591" t="s">
        <v>1543</v>
      </c>
      <c r="B1327" s="591" t="s">
        <v>1623</v>
      </c>
      <c r="C1327" s="287" t="s">
        <v>1523</v>
      </c>
      <c r="D1327" s="287" t="s">
        <v>1266</v>
      </c>
      <c r="E1327" s="642">
        <v>936</v>
      </c>
      <c r="F1327" s="482">
        <v>206.81</v>
      </c>
      <c r="G1327" s="295"/>
      <c r="H1327" s="295"/>
    </row>
    <row r="1328" spans="1:8" s="275" customFormat="1" x14ac:dyDescent="0.15">
      <c r="A1328" s="591" t="s">
        <v>1544</v>
      </c>
      <c r="B1328" s="591" t="s">
        <v>1624</v>
      </c>
      <c r="C1328" s="287" t="s">
        <v>1234</v>
      </c>
      <c r="D1328" s="287" t="s">
        <v>1494</v>
      </c>
      <c r="E1328" s="642">
        <v>6001</v>
      </c>
      <c r="F1328" s="482">
        <v>997.73</v>
      </c>
      <c r="G1328" s="295"/>
      <c r="H1328" s="295"/>
    </row>
    <row r="1329" spans="1:8" s="275" customFormat="1" x14ac:dyDescent="0.15">
      <c r="A1329" s="591" t="s">
        <v>1601</v>
      </c>
      <c r="B1329" s="591"/>
      <c r="C1329" s="287" t="s">
        <v>1334</v>
      </c>
      <c r="D1329" s="287" t="s">
        <v>1462</v>
      </c>
      <c r="E1329" s="642">
        <f>1764.1+2142.2</f>
        <v>3906.2999999999997</v>
      </c>
      <c r="F1329" s="482">
        <v>776.87</v>
      </c>
      <c r="G1329" s="295"/>
      <c r="H1329" s="295"/>
    </row>
    <row r="1330" spans="1:8" s="275" customFormat="1" x14ac:dyDescent="0.15">
      <c r="A1330" s="591" t="s">
        <v>1545</v>
      </c>
      <c r="B1330" s="591"/>
      <c r="C1330" s="287" t="s">
        <v>1234</v>
      </c>
      <c r="D1330" s="287" t="s">
        <v>1494</v>
      </c>
      <c r="E1330" s="642">
        <v>89.2</v>
      </c>
      <c r="F1330" s="482">
        <v>22.17</v>
      </c>
      <c r="G1330" s="295"/>
      <c r="H1330" s="295"/>
    </row>
    <row r="1331" spans="1:8" s="275" customFormat="1" x14ac:dyDescent="0.15">
      <c r="A1331" s="591" t="s">
        <v>1602</v>
      </c>
      <c r="B1331" s="591"/>
      <c r="C1331" s="287" t="s">
        <v>1334</v>
      </c>
      <c r="D1331" s="287" t="s">
        <v>1462</v>
      </c>
      <c r="E1331" s="642">
        <f>98.6+119.8</f>
        <v>218.39999999999998</v>
      </c>
      <c r="F1331" s="482">
        <v>56.04</v>
      </c>
      <c r="G1331" s="295"/>
      <c r="H1331" s="295"/>
    </row>
    <row r="1332" spans="1:8" s="275" customFormat="1" x14ac:dyDescent="0.15">
      <c r="A1332" s="591" t="s">
        <v>1546</v>
      </c>
      <c r="B1332" s="591"/>
      <c r="C1332" s="287" t="s">
        <v>1586</v>
      </c>
      <c r="D1332" s="287" t="s">
        <v>1500</v>
      </c>
      <c r="E1332" s="642">
        <v>102.2</v>
      </c>
      <c r="F1332" s="482">
        <v>33.43</v>
      </c>
      <c r="G1332" s="295"/>
      <c r="H1332" s="295"/>
    </row>
    <row r="1333" spans="1:8" s="275" customFormat="1" x14ac:dyDescent="0.15">
      <c r="A1333" s="591" t="s">
        <v>1547</v>
      </c>
      <c r="B1333" s="591"/>
      <c r="C1333" s="287" t="s">
        <v>1286</v>
      </c>
      <c r="D1333" s="287" t="s">
        <v>1514</v>
      </c>
      <c r="E1333" s="642">
        <f>244.2+25.3</f>
        <v>269.5</v>
      </c>
      <c r="F1333" s="482">
        <v>67.33</v>
      </c>
      <c r="G1333" s="295"/>
      <c r="H1333" s="295"/>
    </row>
    <row r="1334" spans="1:8" s="275" customFormat="1" x14ac:dyDescent="0.15">
      <c r="A1334" s="591" t="s">
        <v>1549</v>
      </c>
      <c r="B1334" s="591" t="s">
        <v>1625</v>
      </c>
      <c r="C1334" s="287" t="s">
        <v>1459</v>
      </c>
      <c r="D1334" s="287" t="s">
        <v>1251</v>
      </c>
      <c r="E1334" s="642">
        <v>2972</v>
      </c>
      <c r="F1334" s="482">
        <v>487.69</v>
      </c>
      <c r="G1334" s="295"/>
      <c r="H1334" s="295"/>
    </row>
    <row r="1335" spans="1:8" s="275" customFormat="1" x14ac:dyDescent="0.15">
      <c r="A1335" s="591" t="s">
        <v>1603</v>
      </c>
      <c r="B1335" s="591"/>
      <c r="C1335" s="287" t="s">
        <v>1334</v>
      </c>
      <c r="D1335" s="287" t="s">
        <v>1462</v>
      </c>
      <c r="E1335" s="642">
        <f>738.5+896.7</f>
        <v>1635.2</v>
      </c>
      <c r="F1335" s="482">
        <v>341.72</v>
      </c>
      <c r="G1335" s="295"/>
      <c r="H1335" s="295"/>
    </row>
    <row r="1336" spans="1:8" s="275" customFormat="1" x14ac:dyDescent="0.15">
      <c r="A1336" s="591" t="s">
        <v>1597</v>
      </c>
      <c r="B1336" s="591" t="s">
        <v>1626</v>
      </c>
      <c r="C1336" s="287" t="s">
        <v>1454</v>
      </c>
      <c r="D1336" s="287" t="s">
        <v>1247</v>
      </c>
      <c r="E1336" s="642">
        <v>3920</v>
      </c>
      <c r="F1336" s="482">
        <v>658.2</v>
      </c>
      <c r="G1336" s="295"/>
      <c r="H1336" s="295"/>
    </row>
    <row r="1337" spans="1:8" s="275" customFormat="1" x14ac:dyDescent="0.15">
      <c r="A1337" s="591" t="s">
        <v>1551</v>
      </c>
      <c r="B1337" s="591" t="s">
        <v>1627</v>
      </c>
      <c r="C1337" s="287" t="s">
        <v>1235</v>
      </c>
      <c r="D1337" s="287" t="s">
        <v>1236</v>
      </c>
      <c r="E1337" s="642">
        <v>7681</v>
      </c>
      <c r="F1337" s="482">
        <v>1252.79</v>
      </c>
      <c r="G1337" s="295"/>
      <c r="H1337" s="295"/>
    </row>
    <row r="1338" spans="1:8" s="275" customFormat="1" x14ac:dyDescent="0.15">
      <c r="A1338" s="591" t="s">
        <v>1553</v>
      </c>
      <c r="B1338" s="591" t="s">
        <v>1628</v>
      </c>
      <c r="C1338" s="287" t="s">
        <v>1475</v>
      </c>
      <c r="D1338" s="287" t="s">
        <v>1387</v>
      </c>
      <c r="E1338" s="642">
        <v>1602</v>
      </c>
      <c r="F1338" s="482">
        <v>295.41000000000003</v>
      </c>
      <c r="G1338" s="295"/>
      <c r="H1338" s="295"/>
    </row>
    <row r="1339" spans="1:8" s="275" customFormat="1" x14ac:dyDescent="0.15">
      <c r="A1339" s="591" t="s">
        <v>1554</v>
      </c>
      <c r="B1339" s="591" t="s">
        <v>1629</v>
      </c>
      <c r="C1339" s="287" t="s">
        <v>1399</v>
      </c>
      <c r="D1339" s="287" t="s">
        <v>1276</v>
      </c>
      <c r="E1339" s="642">
        <v>4640</v>
      </c>
      <c r="F1339" s="482">
        <v>802.42</v>
      </c>
      <c r="G1339" s="295"/>
      <c r="H1339" s="295"/>
    </row>
    <row r="1340" spans="1:8" s="275" customFormat="1" x14ac:dyDescent="0.15">
      <c r="A1340" s="591" t="s">
        <v>1598</v>
      </c>
      <c r="B1340" s="591"/>
      <c r="C1340" s="287" t="s">
        <v>1586</v>
      </c>
      <c r="D1340" s="287" t="s">
        <v>1500</v>
      </c>
      <c r="E1340" s="642">
        <v>51.1</v>
      </c>
      <c r="F1340" s="482">
        <v>19.5</v>
      </c>
      <c r="G1340" s="295"/>
      <c r="H1340" s="645"/>
    </row>
    <row r="1341" spans="1:8" s="275" customFormat="1" x14ac:dyDescent="0.15">
      <c r="A1341" s="591" t="s">
        <v>1662</v>
      </c>
      <c r="B1341" s="651">
        <v>892914652</v>
      </c>
      <c r="C1341" s="287" t="s">
        <v>1663</v>
      </c>
      <c r="D1341" s="287" t="s">
        <v>1664</v>
      </c>
      <c r="E1341" s="642">
        <v>7680</v>
      </c>
      <c r="F1341" s="482">
        <v>1314.81</v>
      </c>
      <c r="G1341" s="295"/>
      <c r="H1341" s="538"/>
    </row>
    <row r="1342" spans="1:8" s="275" customFormat="1" ht="14" thickBot="1" x14ac:dyDescent="0.2">
      <c r="A1342" s="591"/>
      <c r="B1342" s="591"/>
      <c r="C1342" s="291" t="s">
        <v>1682</v>
      </c>
      <c r="D1342" s="287"/>
      <c r="E1342" s="638">
        <f>SUM(E1318:E1341)</f>
        <v>99286.9</v>
      </c>
      <c r="F1342" s="620">
        <v>16951.59</v>
      </c>
      <c r="H1342" s="636"/>
    </row>
    <row r="1343" spans="1:8" s="275" customFormat="1" ht="14" thickTop="1" x14ac:dyDescent="0.15">
      <c r="A1343" s="640"/>
      <c r="B1343" s="640"/>
      <c r="C1343" s="295"/>
      <c r="D1343" s="295"/>
      <c r="E1343" s="296"/>
      <c r="F1343" s="298"/>
    </row>
    <row r="1344" spans="1:8" s="275" customFormat="1" x14ac:dyDescent="0.15">
      <c r="A1344" s="640"/>
      <c r="B1344" s="640"/>
      <c r="C1344" s="299" t="s">
        <v>1594</v>
      </c>
      <c r="D1344" s="295"/>
      <c r="E1344" s="296"/>
      <c r="F1344" s="298"/>
    </row>
    <row r="1345" spans="1:8" s="275" customFormat="1" x14ac:dyDescent="0.15">
      <c r="A1345" s="640"/>
      <c r="B1345" s="640"/>
      <c r="C1345" s="293" t="s">
        <v>1446</v>
      </c>
      <c r="D1345" s="295"/>
      <c r="E1345" s="296"/>
      <c r="F1345" s="298"/>
    </row>
    <row r="1346" spans="1:8" s="275" customFormat="1" x14ac:dyDescent="0.15">
      <c r="A1346" s="640"/>
      <c r="B1346" s="640"/>
      <c r="C1346" s="386">
        <v>41670</v>
      </c>
      <c r="D1346" s="295"/>
      <c r="E1346" s="296"/>
      <c r="F1346" s="298"/>
    </row>
    <row r="1347" spans="1:8" s="275" customFormat="1" x14ac:dyDescent="0.15">
      <c r="A1347" s="640"/>
      <c r="B1347" s="640"/>
      <c r="C1347" s="295"/>
      <c r="D1347" s="295"/>
      <c r="E1347" s="296"/>
      <c r="F1347" s="298"/>
    </row>
    <row r="1348" spans="1:8" s="275" customFormat="1" x14ac:dyDescent="0.15">
      <c r="A1348" s="640" t="s">
        <v>1556</v>
      </c>
      <c r="B1348" s="640" t="s">
        <v>1631</v>
      </c>
      <c r="C1348" s="295" t="s">
        <v>1248</v>
      </c>
      <c r="D1348" s="295" t="s">
        <v>1482</v>
      </c>
      <c r="E1348" s="642">
        <v>3790</v>
      </c>
      <c r="F1348" s="482">
        <v>643.26</v>
      </c>
      <c r="G1348" s="295"/>
      <c r="H1348" s="295"/>
    </row>
    <row r="1349" spans="1:8" s="275" customFormat="1" x14ac:dyDescent="0.15">
      <c r="A1349" s="591" t="s">
        <v>1558</v>
      </c>
      <c r="B1349" s="591" t="s">
        <v>1633</v>
      </c>
      <c r="C1349" s="287" t="s">
        <v>1469</v>
      </c>
      <c r="D1349" s="287" t="s">
        <v>1470</v>
      </c>
      <c r="E1349" s="642">
        <v>7360</v>
      </c>
      <c r="F1349" s="482">
        <v>1253.9100000000001</v>
      </c>
      <c r="G1349" s="295"/>
      <c r="H1349" s="295"/>
    </row>
    <row r="1350" spans="1:8" s="275" customFormat="1" x14ac:dyDescent="0.15">
      <c r="A1350" s="591" t="s">
        <v>1559</v>
      </c>
      <c r="B1350" s="591" t="s">
        <v>1634</v>
      </c>
      <c r="C1350" s="287" t="s">
        <v>1502</v>
      </c>
      <c r="D1350" s="287" t="s">
        <v>1381</v>
      </c>
      <c r="E1350" s="642">
        <v>19392</v>
      </c>
      <c r="F1350" s="482">
        <v>3668.97</v>
      </c>
      <c r="G1350" s="295"/>
      <c r="H1350" s="295"/>
    </row>
    <row r="1351" spans="1:8" s="275" customFormat="1" x14ac:dyDescent="0.15">
      <c r="A1351" s="591" t="s">
        <v>1560</v>
      </c>
      <c r="B1351" s="591" t="s">
        <v>1635</v>
      </c>
      <c r="C1351" s="287" t="s">
        <v>1504</v>
      </c>
      <c r="D1351" s="287" t="s">
        <v>1505</v>
      </c>
      <c r="E1351" s="642">
        <v>1358</v>
      </c>
      <c r="F1351" s="482">
        <v>209.73</v>
      </c>
      <c r="G1351" s="295"/>
      <c r="H1351" s="295"/>
    </row>
    <row r="1352" spans="1:8" s="275" customFormat="1" x14ac:dyDescent="0.15">
      <c r="A1352" s="591" t="s">
        <v>1675</v>
      </c>
      <c r="B1352" s="591" t="s">
        <v>1676</v>
      </c>
      <c r="C1352" s="287" t="s">
        <v>1477</v>
      </c>
      <c r="D1352" s="287" t="s">
        <v>1289</v>
      </c>
      <c r="E1352" s="642">
        <v>13070</v>
      </c>
      <c r="F1352" s="482">
        <v>2263.71</v>
      </c>
      <c r="G1352" s="295"/>
      <c r="H1352" s="295"/>
    </row>
    <row r="1353" spans="1:8" s="275" customFormat="1" x14ac:dyDescent="0.15">
      <c r="A1353" s="591" t="s">
        <v>1563</v>
      </c>
      <c r="B1353" s="591"/>
      <c r="C1353" s="287" t="s">
        <v>1267</v>
      </c>
      <c r="D1353" s="287" t="s">
        <v>1268</v>
      </c>
      <c r="E1353" s="642">
        <v>89.2</v>
      </c>
      <c r="F1353" s="482">
        <v>18.649999999999999</v>
      </c>
      <c r="G1353" s="295"/>
      <c r="H1353" s="295"/>
    </row>
    <row r="1354" spans="1:8" s="275" customFormat="1" x14ac:dyDescent="0.15">
      <c r="A1354" s="591" t="s">
        <v>1564</v>
      </c>
      <c r="B1354" s="591" t="s">
        <v>1636</v>
      </c>
      <c r="C1354" s="287" t="s">
        <v>1485</v>
      </c>
      <c r="D1354" s="287" t="s">
        <v>1486</v>
      </c>
      <c r="E1354" s="642">
        <v>2480</v>
      </c>
      <c r="F1354" s="482">
        <v>369.77</v>
      </c>
      <c r="G1354" s="295"/>
      <c r="H1354" s="295"/>
    </row>
    <row r="1355" spans="1:8" s="275" customFormat="1" x14ac:dyDescent="0.15">
      <c r="A1355" s="591" t="s">
        <v>1565</v>
      </c>
      <c r="B1355" s="591" t="s">
        <v>1637</v>
      </c>
      <c r="C1355" s="287" t="s">
        <v>1267</v>
      </c>
      <c r="D1355" s="287" t="s">
        <v>1268</v>
      </c>
      <c r="E1355" s="642">
        <v>2444</v>
      </c>
      <c r="F1355" s="482">
        <v>450.65</v>
      </c>
      <c r="G1355" s="295"/>
      <c r="H1355" s="295"/>
    </row>
    <row r="1356" spans="1:8" s="275" customFormat="1" x14ac:dyDescent="0.15">
      <c r="A1356" s="591" t="s">
        <v>1569</v>
      </c>
      <c r="B1356" s="591" t="s">
        <v>1638</v>
      </c>
      <c r="C1356" s="287" t="s">
        <v>1464</v>
      </c>
      <c r="D1356" s="287" t="s">
        <v>1285</v>
      </c>
      <c r="E1356" s="642">
        <v>845</v>
      </c>
      <c r="F1356" s="482">
        <v>196.27</v>
      </c>
      <c r="G1356" s="295"/>
      <c r="H1356" s="295"/>
    </row>
    <row r="1357" spans="1:8" s="275" customFormat="1" x14ac:dyDescent="0.15">
      <c r="A1357" s="591" t="s">
        <v>1570</v>
      </c>
      <c r="B1357" s="591" t="s">
        <v>1639</v>
      </c>
      <c r="C1357" s="287" t="s">
        <v>1472</v>
      </c>
      <c r="D1357" s="287" t="s">
        <v>1473</v>
      </c>
      <c r="E1357" s="642">
        <v>779</v>
      </c>
      <c r="F1357" s="482">
        <v>135.22</v>
      </c>
      <c r="G1357" s="295"/>
      <c r="H1357" s="295"/>
    </row>
    <row r="1358" spans="1:8" s="275" customFormat="1" x14ac:dyDescent="0.15">
      <c r="A1358" s="591" t="s">
        <v>1571</v>
      </c>
      <c r="B1358" s="591" t="s">
        <v>1640</v>
      </c>
      <c r="C1358" s="287" t="s">
        <v>1489</v>
      </c>
      <c r="D1358" s="287" t="s">
        <v>1490</v>
      </c>
      <c r="E1358" s="642">
        <v>190</v>
      </c>
      <c r="F1358" s="482">
        <v>51.94</v>
      </c>
      <c r="G1358" s="295"/>
      <c r="H1358" s="295"/>
    </row>
    <row r="1359" spans="1:8" s="275" customFormat="1" x14ac:dyDescent="0.15">
      <c r="A1359" s="591" t="s">
        <v>1572</v>
      </c>
      <c r="B1359" s="591" t="s">
        <v>1641</v>
      </c>
      <c r="C1359" s="287" t="s">
        <v>1271</v>
      </c>
      <c r="D1359" s="287" t="s">
        <v>1272</v>
      </c>
      <c r="E1359" s="642">
        <v>4519</v>
      </c>
      <c r="F1359" s="482">
        <v>773.2</v>
      </c>
      <c r="G1359" s="295"/>
      <c r="H1359" s="295"/>
    </row>
    <row r="1360" spans="1:8" s="275" customFormat="1" x14ac:dyDescent="0.15">
      <c r="A1360" s="591" t="s">
        <v>1573</v>
      </c>
      <c r="B1360" s="591"/>
      <c r="C1360" s="287" t="s">
        <v>1461</v>
      </c>
      <c r="D1360" s="287" t="s">
        <v>1462</v>
      </c>
      <c r="E1360" s="642">
        <v>26</v>
      </c>
      <c r="F1360" s="482">
        <v>16.510000000000002</v>
      </c>
      <c r="G1360" s="295"/>
      <c r="H1360" s="295"/>
    </row>
    <row r="1361" spans="1:8" s="275" customFormat="1" x14ac:dyDescent="0.15">
      <c r="A1361" s="591" t="s">
        <v>1574</v>
      </c>
      <c r="B1361" s="591" t="s">
        <v>1642</v>
      </c>
      <c r="C1361" s="287" t="s">
        <v>1377</v>
      </c>
      <c r="D1361" s="287" t="s">
        <v>1378</v>
      </c>
      <c r="E1361" s="642">
        <v>1541</v>
      </c>
      <c r="F1361" s="482">
        <v>307.19</v>
      </c>
      <c r="G1361" s="295"/>
      <c r="H1361" s="295"/>
    </row>
    <row r="1362" spans="1:8" s="275" customFormat="1" x14ac:dyDescent="0.15">
      <c r="A1362" s="591" t="s">
        <v>1575</v>
      </c>
      <c r="B1362" s="591" t="s">
        <v>1643</v>
      </c>
      <c r="C1362" s="287" t="s">
        <v>1448</v>
      </c>
      <c r="D1362" s="287" t="s">
        <v>1449</v>
      </c>
      <c r="E1362" s="642">
        <v>39</v>
      </c>
      <c r="F1362" s="482">
        <v>12.78</v>
      </c>
      <c r="G1362" s="295"/>
      <c r="H1362" s="295"/>
    </row>
    <row r="1363" spans="1:8" s="275" customFormat="1" x14ac:dyDescent="0.15">
      <c r="A1363" s="591" t="s">
        <v>1604</v>
      </c>
      <c r="B1363" s="591"/>
      <c r="C1363" s="287" t="s">
        <v>1334</v>
      </c>
      <c r="D1363" s="287" t="s">
        <v>1462</v>
      </c>
      <c r="E1363" s="642">
        <f>92.3+112.1</f>
        <v>204.39999999999998</v>
      </c>
      <c r="F1363" s="482">
        <v>63.09</v>
      </c>
      <c r="G1363" s="295"/>
      <c r="H1363" s="295"/>
    </row>
    <row r="1364" spans="1:8" s="275" customFormat="1" x14ac:dyDescent="0.15">
      <c r="A1364" s="591" t="s">
        <v>1576</v>
      </c>
      <c r="B1364" s="591" t="s">
        <v>1644</v>
      </c>
      <c r="C1364" s="287" t="s">
        <v>1401</v>
      </c>
      <c r="D1364" s="287" t="s">
        <v>1316</v>
      </c>
      <c r="E1364" s="642">
        <v>71</v>
      </c>
      <c r="F1364" s="482">
        <v>38.67</v>
      </c>
      <c r="G1364" s="295"/>
      <c r="H1364" s="295"/>
    </row>
    <row r="1365" spans="1:8" s="275" customFormat="1" x14ac:dyDescent="0.15">
      <c r="A1365" s="591" t="s">
        <v>1605</v>
      </c>
      <c r="B1365" s="591"/>
      <c r="C1365" s="287" t="s">
        <v>1334</v>
      </c>
      <c r="D1365" s="287" t="s">
        <v>1462</v>
      </c>
      <c r="E1365" s="642">
        <f>336.4+408.6</f>
        <v>745</v>
      </c>
      <c r="F1365" s="482">
        <v>229.54000000000002</v>
      </c>
      <c r="G1365" s="295"/>
      <c r="H1365" s="295"/>
    </row>
    <row r="1366" spans="1:8" s="275" customFormat="1" x14ac:dyDescent="0.15">
      <c r="A1366" s="640" t="s">
        <v>1577</v>
      </c>
      <c r="B1366" s="640" t="s">
        <v>1645</v>
      </c>
      <c r="C1366" s="295" t="s">
        <v>1395</v>
      </c>
      <c r="D1366" s="295" t="s">
        <v>1396</v>
      </c>
      <c r="E1366" s="644">
        <v>0</v>
      </c>
      <c r="F1366" s="482">
        <v>0</v>
      </c>
      <c r="G1366" s="295"/>
      <c r="H1366" s="295"/>
    </row>
    <row r="1367" spans="1:8" s="275" customFormat="1" x14ac:dyDescent="0.15">
      <c r="A1367" s="591" t="s">
        <v>1578</v>
      </c>
      <c r="B1367" s="591" t="s">
        <v>1646</v>
      </c>
      <c r="C1367" s="287" t="s">
        <v>1579</v>
      </c>
      <c r="D1367" s="287" t="s">
        <v>1497</v>
      </c>
      <c r="E1367" s="642">
        <f>0+0</f>
        <v>0</v>
      </c>
      <c r="F1367" s="482">
        <v>30</v>
      </c>
      <c r="G1367" s="295"/>
      <c r="H1367" s="295"/>
    </row>
    <row r="1368" spans="1:8" s="275" customFormat="1" x14ac:dyDescent="0.15">
      <c r="A1368" s="640" t="s">
        <v>1580</v>
      </c>
      <c r="B1368" s="640" t="s">
        <v>1647</v>
      </c>
      <c r="C1368" s="295" t="s">
        <v>1451</v>
      </c>
      <c r="D1368" s="295" t="s">
        <v>1674</v>
      </c>
      <c r="E1368" s="642">
        <v>960</v>
      </c>
      <c r="F1368" s="482">
        <v>1767.1</v>
      </c>
      <c r="G1368" s="295"/>
      <c r="H1368" s="295"/>
    </row>
    <row r="1369" spans="1:8" s="275" customFormat="1" x14ac:dyDescent="0.15">
      <c r="A1369" s="591" t="s">
        <v>1581</v>
      </c>
      <c r="B1369" s="591" t="s">
        <v>1648</v>
      </c>
      <c r="C1369" s="287" t="s">
        <v>1521</v>
      </c>
      <c r="D1369" s="287" t="s">
        <v>1229</v>
      </c>
      <c r="E1369" s="642">
        <v>4240</v>
      </c>
      <c r="F1369" s="482">
        <v>656.99</v>
      </c>
      <c r="G1369" s="295"/>
      <c r="H1369" s="295"/>
    </row>
    <row r="1370" spans="1:8" s="275" customFormat="1" x14ac:dyDescent="0.15">
      <c r="A1370" s="591" t="s">
        <v>1582</v>
      </c>
      <c r="B1370" s="591" t="s">
        <v>1649</v>
      </c>
      <c r="C1370" s="287" t="s">
        <v>1525</v>
      </c>
      <c r="D1370" s="287" t="s">
        <v>1526</v>
      </c>
      <c r="E1370" s="642">
        <v>13</v>
      </c>
      <c r="F1370" s="482">
        <v>8.25</v>
      </c>
      <c r="G1370" s="295"/>
      <c r="H1370" s="645"/>
    </row>
    <row r="1371" spans="1:8" s="275" customFormat="1" ht="14" x14ac:dyDescent="0.15">
      <c r="A1371" s="591" t="s">
        <v>1583</v>
      </c>
      <c r="B1371" s="591" t="s">
        <v>1650</v>
      </c>
      <c r="C1371" s="287" t="s">
        <v>1584</v>
      </c>
      <c r="D1371" s="618" t="s">
        <v>1264</v>
      </c>
      <c r="E1371" s="642">
        <v>1160</v>
      </c>
      <c r="F1371" s="482">
        <v>255.53</v>
      </c>
      <c r="G1371" s="295"/>
      <c r="H1371" s="295"/>
    </row>
    <row r="1372" spans="1:8" s="275" customFormat="1" x14ac:dyDescent="0.15">
      <c r="A1372" s="591" t="s">
        <v>1666</v>
      </c>
      <c r="B1372" s="591" t="s">
        <v>1672</v>
      </c>
      <c r="C1372" s="287" t="s">
        <v>1667</v>
      </c>
      <c r="D1372" s="287" t="s">
        <v>1668</v>
      </c>
      <c r="E1372" s="642">
        <v>19008</v>
      </c>
      <c r="F1372" s="482">
        <v>3036.07</v>
      </c>
      <c r="G1372" s="295"/>
      <c r="H1372" s="295"/>
    </row>
    <row r="1373" spans="1:8" s="275" customFormat="1" x14ac:dyDescent="0.15">
      <c r="A1373" s="591" t="s">
        <v>1606</v>
      </c>
      <c r="B1373" s="591"/>
      <c r="C1373" s="287" t="s">
        <v>1334</v>
      </c>
      <c r="D1373" s="287" t="s">
        <v>1462</v>
      </c>
      <c r="E1373" s="642">
        <f>40.3+48.9</f>
        <v>89.199999999999989</v>
      </c>
      <c r="F1373" s="482">
        <v>18.16</v>
      </c>
      <c r="G1373" s="295"/>
    </row>
    <row r="1374" spans="1:8" s="275" customFormat="1" ht="14" thickBot="1" x14ac:dyDescent="0.2">
      <c r="A1374" s="591"/>
      <c r="B1374" s="591"/>
      <c r="C1374" s="291" t="s">
        <v>1608</v>
      </c>
      <c r="D1374" s="287"/>
      <c r="E1374" s="643">
        <f>SUM(E1348:E1373)</f>
        <v>84412.800000000003</v>
      </c>
      <c r="F1374" s="620">
        <v>16475.16</v>
      </c>
    </row>
    <row r="1375" spans="1:8" s="275" customFormat="1" ht="14" thickTop="1" x14ac:dyDescent="0.15">
      <c r="A1375" s="617"/>
      <c r="B1375" s="617"/>
      <c r="E1375" s="276"/>
      <c r="F1375" s="278"/>
    </row>
    <row r="1376" spans="1:8" s="275" customFormat="1" x14ac:dyDescent="0.15">
      <c r="A1376" s="617"/>
      <c r="B1376" s="617"/>
      <c r="C1376" s="299" t="s">
        <v>1594</v>
      </c>
      <c r="E1376" s="276"/>
      <c r="F1376" s="278"/>
    </row>
    <row r="1377" spans="1:8" s="275" customFormat="1" x14ac:dyDescent="0.15">
      <c r="A1377" s="617"/>
      <c r="B1377" s="617"/>
      <c r="C1377" s="293" t="s">
        <v>1446</v>
      </c>
      <c r="E1377" s="276"/>
      <c r="F1377" s="278"/>
    </row>
    <row r="1378" spans="1:8" s="275" customFormat="1" x14ac:dyDescent="0.15">
      <c r="A1378" s="617"/>
      <c r="B1378" s="617"/>
      <c r="C1378" s="386">
        <v>41670</v>
      </c>
      <c r="E1378" s="276"/>
      <c r="F1378" s="278"/>
    </row>
    <row r="1379" spans="1:8" s="275" customFormat="1" x14ac:dyDescent="0.15">
      <c r="A1379" s="617"/>
      <c r="B1379" s="617"/>
      <c r="E1379" s="276"/>
      <c r="F1379" s="278"/>
    </row>
    <row r="1380" spans="1:8" s="275" customFormat="1" ht="14" thickBot="1" x14ac:dyDescent="0.2">
      <c r="A1380" s="591" t="s">
        <v>1677</v>
      </c>
      <c r="B1380" s="591" t="s">
        <v>1678</v>
      </c>
      <c r="C1380" s="287" t="s">
        <v>1313</v>
      </c>
      <c r="D1380" s="287" t="s">
        <v>1412</v>
      </c>
      <c r="E1380" s="642">
        <v>861</v>
      </c>
      <c r="F1380" s="482">
        <v>297.16000000000003</v>
      </c>
      <c r="G1380" s="295"/>
      <c r="H1380" s="295"/>
    </row>
    <row r="1381" spans="1:8" s="275" customFormat="1" x14ac:dyDescent="0.15">
      <c r="A1381" s="591" t="s">
        <v>1679</v>
      </c>
      <c r="B1381" s="591" t="s">
        <v>1680</v>
      </c>
      <c r="C1381" s="287" t="s">
        <v>1313</v>
      </c>
      <c r="D1381" s="287" t="s">
        <v>1412</v>
      </c>
      <c r="E1381" s="642">
        <v>126</v>
      </c>
      <c r="F1381" s="482">
        <v>61.58</v>
      </c>
      <c r="G1381" s="295"/>
      <c r="H1381" s="647" t="s">
        <v>1589</v>
      </c>
    </row>
    <row r="1382" spans="1:8" s="275" customFormat="1" ht="14" thickBot="1" x14ac:dyDescent="0.2">
      <c r="A1382" s="591"/>
      <c r="B1382" s="591"/>
      <c r="C1382" s="291" t="s">
        <v>1683</v>
      </c>
      <c r="D1382" s="287"/>
      <c r="E1382" s="643">
        <f>SUM(E1380:E1381)</f>
        <v>987</v>
      </c>
      <c r="F1382" s="620">
        <v>358.74</v>
      </c>
      <c r="H1382" s="648">
        <f>SUM(F1342,F1374,F1382)</f>
        <v>33785.49</v>
      </c>
    </row>
    <row r="1383" spans="1:8" s="275" customFormat="1" ht="14" thickTop="1" x14ac:dyDescent="0.15">
      <c r="A1383" s="617"/>
      <c r="B1383" s="617"/>
      <c r="E1383" s="276"/>
      <c r="F1383" s="278"/>
    </row>
    <row r="1384" spans="1:8" s="275" customFormat="1" x14ac:dyDescent="0.15">
      <c r="A1384" s="617"/>
      <c r="B1384" s="617"/>
      <c r="C1384" s="299" t="s">
        <v>1594</v>
      </c>
      <c r="E1384" s="276"/>
      <c r="F1384" s="278"/>
    </row>
    <row r="1385" spans="1:8" s="275" customFormat="1" x14ac:dyDescent="0.15">
      <c r="A1385" s="617"/>
      <c r="B1385" s="617"/>
      <c r="C1385" s="293" t="s">
        <v>1446</v>
      </c>
      <c r="E1385" s="276"/>
      <c r="F1385" s="278"/>
    </row>
    <row r="1386" spans="1:8" s="275" customFormat="1" x14ac:dyDescent="0.15">
      <c r="A1386" s="617"/>
      <c r="B1386" s="617"/>
      <c r="C1386" s="386">
        <v>41670</v>
      </c>
      <c r="E1386" s="276"/>
      <c r="F1386" s="278"/>
    </row>
    <row r="1387" spans="1:8" s="275" customFormat="1" x14ac:dyDescent="0.15">
      <c r="A1387" s="617"/>
      <c r="B1387" s="617"/>
      <c r="E1387" s="276"/>
      <c r="F1387" s="278"/>
    </row>
    <row r="1388" spans="1:8" s="295" customFormat="1" x14ac:dyDescent="0.15">
      <c r="A1388" s="652" t="s">
        <v>1534</v>
      </c>
      <c r="B1388" s="653" t="s">
        <v>1614</v>
      </c>
      <c r="C1388" s="371" t="s">
        <v>1492</v>
      </c>
      <c r="D1388" s="371" t="s">
        <v>1239</v>
      </c>
      <c r="E1388" s="654">
        <v>12480</v>
      </c>
      <c r="F1388" s="391">
        <v>1975.02</v>
      </c>
    </row>
    <row r="1389" spans="1:8" s="295" customFormat="1" x14ac:dyDescent="0.15">
      <c r="A1389" s="655" t="s">
        <v>1535</v>
      </c>
      <c r="B1389" s="591" t="s">
        <v>1615</v>
      </c>
      <c r="C1389" s="287" t="s">
        <v>1507</v>
      </c>
      <c r="D1389" s="287" t="s">
        <v>1245</v>
      </c>
      <c r="E1389" s="656">
        <v>3760</v>
      </c>
      <c r="F1389" s="381">
        <v>648.16</v>
      </c>
    </row>
    <row r="1390" spans="1:8" s="295" customFormat="1" x14ac:dyDescent="0.15">
      <c r="A1390" s="655" t="s">
        <v>1670</v>
      </c>
      <c r="B1390" s="591" t="s">
        <v>1659</v>
      </c>
      <c r="C1390" s="287" t="s">
        <v>1279</v>
      </c>
      <c r="D1390" s="287" t="s">
        <v>1660</v>
      </c>
      <c r="E1390" s="656">
        <v>8800</v>
      </c>
      <c r="F1390" s="381">
        <v>1474.84</v>
      </c>
      <c r="H1390" s="538"/>
    </row>
    <row r="1391" spans="1:8" s="295" customFormat="1" x14ac:dyDescent="0.15">
      <c r="A1391" s="655" t="s">
        <v>1536</v>
      </c>
      <c r="B1391" s="591" t="s">
        <v>1616</v>
      </c>
      <c r="C1391" s="287" t="s">
        <v>1479</v>
      </c>
      <c r="D1391" s="287" t="s">
        <v>1231</v>
      </c>
      <c r="E1391" s="656">
        <v>6245</v>
      </c>
      <c r="F1391" s="381">
        <v>945.82</v>
      </c>
    </row>
    <row r="1392" spans="1:8" s="295" customFormat="1" x14ac:dyDescent="0.15">
      <c r="A1392" s="655" t="s">
        <v>1537</v>
      </c>
      <c r="B1392" s="591" t="s">
        <v>1617</v>
      </c>
      <c r="C1392" s="287" t="s">
        <v>1269</v>
      </c>
      <c r="D1392" s="287" t="s">
        <v>1270</v>
      </c>
      <c r="E1392" s="656">
        <v>5368</v>
      </c>
      <c r="F1392" s="381">
        <v>830.92</v>
      </c>
    </row>
    <row r="1393" spans="1:6" s="295" customFormat="1" x14ac:dyDescent="0.15">
      <c r="A1393" s="655" t="s">
        <v>1538</v>
      </c>
      <c r="B1393" s="591" t="s">
        <v>1618</v>
      </c>
      <c r="C1393" s="287" t="s">
        <v>1517</v>
      </c>
      <c r="D1393" s="287" t="s">
        <v>1518</v>
      </c>
      <c r="E1393" s="656">
        <v>4</v>
      </c>
      <c r="F1393" s="381">
        <v>30.46</v>
      </c>
    </row>
    <row r="1394" spans="1:6" s="295" customFormat="1" x14ac:dyDescent="0.15">
      <c r="A1394" s="655" t="s">
        <v>1540</v>
      </c>
      <c r="B1394" s="591" t="s">
        <v>1620</v>
      </c>
      <c r="C1394" s="287" t="s">
        <v>1257</v>
      </c>
      <c r="D1394" s="287" t="s">
        <v>1258</v>
      </c>
      <c r="E1394" s="656">
        <v>25920</v>
      </c>
      <c r="F1394" s="381">
        <v>3838.3</v>
      </c>
    </row>
    <row r="1395" spans="1:6" s="295" customFormat="1" x14ac:dyDescent="0.15">
      <c r="A1395" s="655" t="s">
        <v>1541</v>
      </c>
      <c r="B1395" s="591" t="s">
        <v>1621</v>
      </c>
      <c r="C1395" s="287" t="s">
        <v>1586</v>
      </c>
      <c r="D1395" s="287" t="s">
        <v>1500</v>
      </c>
      <c r="E1395" s="656">
        <v>3760</v>
      </c>
      <c r="F1395" s="381">
        <v>640.52</v>
      </c>
    </row>
    <row r="1396" spans="1:6" s="295" customFormat="1" x14ac:dyDescent="0.15">
      <c r="A1396" s="655" t="s">
        <v>1542</v>
      </c>
      <c r="B1396" s="591" t="s">
        <v>1622</v>
      </c>
      <c r="C1396" s="287" t="s">
        <v>1240</v>
      </c>
      <c r="D1396" s="287" t="s">
        <v>1467</v>
      </c>
      <c r="E1396" s="656">
        <v>5246</v>
      </c>
      <c r="F1396" s="381">
        <v>817.04</v>
      </c>
    </row>
    <row r="1397" spans="1:6" s="295" customFormat="1" x14ac:dyDescent="0.15">
      <c r="A1397" s="655" t="s">
        <v>1543</v>
      </c>
      <c r="B1397" s="591" t="s">
        <v>1623</v>
      </c>
      <c r="C1397" s="287" t="s">
        <v>1523</v>
      </c>
      <c r="D1397" s="287" t="s">
        <v>1266</v>
      </c>
      <c r="E1397" s="656">
        <v>1160</v>
      </c>
      <c r="F1397" s="381">
        <v>253.41</v>
      </c>
    </row>
    <row r="1398" spans="1:6" s="295" customFormat="1" x14ac:dyDescent="0.15">
      <c r="A1398" s="655" t="s">
        <v>1544</v>
      </c>
      <c r="B1398" s="591" t="s">
        <v>1624</v>
      </c>
      <c r="C1398" s="287" t="s">
        <v>1234</v>
      </c>
      <c r="D1398" s="287" t="s">
        <v>1494</v>
      </c>
      <c r="E1398" s="656">
        <v>6430</v>
      </c>
      <c r="F1398" s="381">
        <v>1050.8599999999999</v>
      </c>
    </row>
    <row r="1399" spans="1:6" s="295" customFormat="1" x14ac:dyDescent="0.15">
      <c r="A1399" s="655" t="s">
        <v>1601</v>
      </c>
      <c r="B1399" s="591"/>
      <c r="C1399" s="287" t="s">
        <v>1334</v>
      </c>
      <c r="D1399" s="287" t="s">
        <v>1462</v>
      </c>
      <c r="E1399" s="656">
        <f>1441.3+1853.1</f>
        <v>3294.3999999999996</v>
      </c>
      <c r="F1399" s="381">
        <v>735.8900000000001</v>
      </c>
    </row>
    <row r="1400" spans="1:6" s="295" customFormat="1" x14ac:dyDescent="0.15">
      <c r="A1400" s="655" t="s">
        <v>1545</v>
      </c>
      <c r="B1400" s="591"/>
      <c r="C1400" s="287" t="s">
        <v>1234</v>
      </c>
      <c r="D1400" s="287" t="s">
        <v>1494</v>
      </c>
      <c r="E1400" s="656">
        <f>5+70.2</f>
        <v>75.2</v>
      </c>
      <c r="F1400" s="381">
        <v>19.36</v>
      </c>
    </row>
    <row r="1401" spans="1:6" s="295" customFormat="1" x14ac:dyDescent="0.15">
      <c r="A1401" s="655" t="s">
        <v>1602</v>
      </c>
      <c r="B1401" s="591"/>
      <c r="C1401" s="287" t="s">
        <v>1334</v>
      </c>
      <c r="D1401" s="287" t="s">
        <v>1462</v>
      </c>
      <c r="E1401" s="656">
        <f>80.6+103.6</f>
        <v>184.2</v>
      </c>
      <c r="F1401" s="381">
        <v>53.760000000000005</v>
      </c>
    </row>
    <row r="1402" spans="1:6" s="295" customFormat="1" x14ac:dyDescent="0.15">
      <c r="A1402" s="655" t="s">
        <v>1546</v>
      </c>
      <c r="B1402" s="591"/>
      <c r="C1402" s="287" t="s">
        <v>1586</v>
      </c>
      <c r="D1402" s="287" t="s">
        <v>1500</v>
      </c>
      <c r="E1402" s="656">
        <f>5.7+80.3</f>
        <v>86</v>
      </c>
      <c r="F1402" s="381">
        <v>29.93</v>
      </c>
    </row>
    <row r="1403" spans="1:6" s="295" customFormat="1" x14ac:dyDescent="0.15">
      <c r="A1403" s="655" t="s">
        <v>1547</v>
      </c>
      <c r="B1403" s="591"/>
      <c r="C1403" s="287" t="s">
        <v>1286</v>
      </c>
      <c r="D1403" s="287" t="s">
        <v>1514</v>
      </c>
      <c r="E1403" s="656">
        <f>202.9+24.3</f>
        <v>227.20000000000002</v>
      </c>
      <c r="F1403" s="381">
        <v>58.52</v>
      </c>
    </row>
    <row r="1404" spans="1:6" s="295" customFormat="1" x14ac:dyDescent="0.15">
      <c r="A1404" s="655" t="s">
        <v>1549</v>
      </c>
      <c r="B1404" s="591" t="s">
        <v>1625</v>
      </c>
      <c r="C1404" s="287" t="s">
        <v>1459</v>
      </c>
      <c r="D1404" s="287" t="s">
        <v>1251</v>
      </c>
      <c r="E1404" s="656">
        <v>3210</v>
      </c>
      <c r="F1404" s="381">
        <v>509.28</v>
      </c>
    </row>
    <row r="1405" spans="1:6" s="295" customFormat="1" x14ac:dyDescent="0.15">
      <c r="A1405" s="655" t="s">
        <v>1603</v>
      </c>
      <c r="B1405" s="591"/>
      <c r="C1405" s="287" t="s">
        <v>1334</v>
      </c>
      <c r="D1405" s="287" t="s">
        <v>1462</v>
      </c>
      <c r="E1405" s="656">
        <f>603+775.3</f>
        <v>1378.3</v>
      </c>
      <c r="F1405" s="381">
        <v>324.45999999999998</v>
      </c>
    </row>
    <row r="1406" spans="1:6" s="295" customFormat="1" x14ac:dyDescent="0.15">
      <c r="A1406" s="655" t="s">
        <v>1597</v>
      </c>
      <c r="B1406" s="591" t="s">
        <v>1626</v>
      </c>
      <c r="C1406" s="287" t="s">
        <v>1454</v>
      </c>
      <c r="D1406" s="287" t="s">
        <v>1247</v>
      </c>
      <c r="E1406" s="656">
        <v>4840</v>
      </c>
      <c r="F1406" s="381">
        <v>778.55</v>
      </c>
    </row>
    <row r="1407" spans="1:6" s="295" customFormat="1" x14ac:dyDescent="0.15">
      <c r="A1407" s="655" t="s">
        <v>1551</v>
      </c>
      <c r="B1407" s="591" t="s">
        <v>1627</v>
      </c>
      <c r="C1407" s="287" t="s">
        <v>1235</v>
      </c>
      <c r="D1407" s="287" t="s">
        <v>1236</v>
      </c>
      <c r="E1407" s="656">
        <v>8998</v>
      </c>
      <c r="F1407" s="381">
        <v>1380.85</v>
      </c>
    </row>
    <row r="1408" spans="1:6" s="295" customFormat="1" x14ac:dyDescent="0.15">
      <c r="A1408" s="655" t="s">
        <v>1553</v>
      </c>
      <c r="B1408" s="591" t="s">
        <v>1628</v>
      </c>
      <c r="C1408" s="287" t="s">
        <v>1475</v>
      </c>
      <c r="D1408" s="287" t="s">
        <v>1387</v>
      </c>
      <c r="E1408" s="656">
        <v>1858</v>
      </c>
      <c r="F1408" s="381">
        <v>337.62</v>
      </c>
    </row>
    <row r="1409" spans="1:8" s="295" customFormat="1" x14ac:dyDescent="0.15">
      <c r="A1409" s="655" t="s">
        <v>1554</v>
      </c>
      <c r="B1409" s="591" t="s">
        <v>1629</v>
      </c>
      <c r="C1409" s="287" t="s">
        <v>1399</v>
      </c>
      <c r="D1409" s="287" t="s">
        <v>1276</v>
      </c>
      <c r="E1409" s="656">
        <v>5120</v>
      </c>
      <c r="F1409" s="381">
        <v>863.79</v>
      </c>
    </row>
    <row r="1410" spans="1:8" s="295" customFormat="1" x14ac:dyDescent="0.15">
      <c r="A1410" s="655" t="s">
        <v>1598</v>
      </c>
      <c r="B1410" s="591"/>
      <c r="C1410" s="287" t="s">
        <v>1586</v>
      </c>
      <c r="D1410" s="287" t="s">
        <v>1500</v>
      </c>
      <c r="E1410" s="656">
        <f>2.9+40.1</f>
        <v>43</v>
      </c>
      <c r="F1410" s="381">
        <v>17.77</v>
      </c>
      <c r="H1410" s="645"/>
    </row>
    <row r="1411" spans="1:8" s="295" customFormat="1" x14ac:dyDescent="0.15">
      <c r="A1411" s="655" t="s">
        <v>1662</v>
      </c>
      <c r="B1411" s="657">
        <v>892914652</v>
      </c>
      <c r="C1411" s="287" t="s">
        <v>1663</v>
      </c>
      <c r="D1411" s="287" t="s">
        <v>1664</v>
      </c>
      <c r="E1411" s="656">
        <v>9040</v>
      </c>
      <c r="F1411" s="381">
        <v>1495.5</v>
      </c>
      <c r="H1411" s="538"/>
    </row>
    <row r="1412" spans="1:8" s="275" customFormat="1" ht="14" thickBot="1" x14ac:dyDescent="0.2">
      <c r="A1412" s="655"/>
      <c r="B1412" s="591"/>
      <c r="C1412" s="291" t="s">
        <v>1609</v>
      </c>
      <c r="D1412" s="287"/>
      <c r="E1412" s="638">
        <f>SUM(E1388:E1411)</f>
        <v>117527.29999999999</v>
      </c>
      <c r="F1412" s="658">
        <v>19110.63</v>
      </c>
      <c r="H1412" s="636"/>
    </row>
    <row r="1413" spans="1:8" s="275" customFormat="1" ht="14" thickTop="1" x14ac:dyDescent="0.15">
      <c r="A1413" s="655"/>
      <c r="B1413" s="591"/>
      <c r="C1413" s="287"/>
      <c r="D1413" s="287"/>
      <c r="E1413" s="524"/>
      <c r="F1413" s="381"/>
    </row>
    <row r="1414" spans="1:8" s="295" customFormat="1" x14ac:dyDescent="0.15">
      <c r="A1414" s="655" t="s">
        <v>1556</v>
      </c>
      <c r="B1414" s="591" t="s">
        <v>1631</v>
      </c>
      <c r="C1414" s="287" t="s">
        <v>1248</v>
      </c>
      <c r="D1414" s="287" t="s">
        <v>1482</v>
      </c>
      <c r="E1414" s="656">
        <v>3976</v>
      </c>
      <c r="F1414" s="381">
        <v>657.44</v>
      </c>
    </row>
    <row r="1415" spans="1:8" s="295" customFormat="1" x14ac:dyDescent="0.15">
      <c r="A1415" s="655" t="s">
        <v>1558</v>
      </c>
      <c r="B1415" s="591" t="s">
        <v>1633</v>
      </c>
      <c r="C1415" s="287" t="s">
        <v>1469</v>
      </c>
      <c r="D1415" s="287" t="s">
        <v>1470</v>
      </c>
      <c r="E1415" s="656">
        <v>7280</v>
      </c>
      <c r="F1415" s="381">
        <v>1177.98</v>
      </c>
    </row>
    <row r="1416" spans="1:8" s="295" customFormat="1" x14ac:dyDescent="0.15">
      <c r="A1416" s="655" t="s">
        <v>1559</v>
      </c>
      <c r="B1416" s="591" t="s">
        <v>1634</v>
      </c>
      <c r="C1416" s="287" t="s">
        <v>1502</v>
      </c>
      <c r="D1416" s="287" t="s">
        <v>1381</v>
      </c>
      <c r="E1416" s="656">
        <v>20256</v>
      </c>
      <c r="F1416" s="381">
        <v>3584.63</v>
      </c>
    </row>
    <row r="1417" spans="1:8" s="295" customFormat="1" x14ac:dyDescent="0.15">
      <c r="A1417" s="655" t="s">
        <v>1560</v>
      </c>
      <c r="B1417" s="591" t="s">
        <v>1635</v>
      </c>
      <c r="C1417" s="287" t="s">
        <v>1504</v>
      </c>
      <c r="D1417" s="287" t="s">
        <v>1505</v>
      </c>
      <c r="E1417" s="656">
        <v>1436</v>
      </c>
      <c r="F1417" s="381">
        <v>231.38</v>
      </c>
    </row>
    <row r="1418" spans="1:8" s="295" customFormat="1" x14ac:dyDescent="0.15">
      <c r="A1418" s="655" t="s">
        <v>1675</v>
      </c>
      <c r="B1418" s="591" t="s">
        <v>1676</v>
      </c>
      <c r="C1418" s="287" t="s">
        <v>1477</v>
      </c>
      <c r="D1418" s="287" t="s">
        <v>1289</v>
      </c>
      <c r="E1418" s="656">
        <v>12580</v>
      </c>
      <c r="F1418" s="381">
        <v>2098.5300000000002</v>
      </c>
    </row>
    <row r="1419" spans="1:8" s="295" customFormat="1" x14ac:dyDescent="0.15">
      <c r="A1419" s="655" t="s">
        <v>1563</v>
      </c>
      <c r="B1419" s="591"/>
      <c r="C1419" s="287" t="s">
        <v>1267</v>
      </c>
      <c r="D1419" s="287" t="s">
        <v>1268</v>
      </c>
      <c r="E1419" s="656">
        <f>5+70.2</f>
        <v>75.2</v>
      </c>
      <c r="F1419" s="381">
        <v>15.959999999999999</v>
      </c>
    </row>
    <row r="1420" spans="1:8" s="295" customFormat="1" x14ac:dyDescent="0.15">
      <c r="A1420" s="655" t="s">
        <v>1564</v>
      </c>
      <c r="B1420" s="591" t="s">
        <v>1636</v>
      </c>
      <c r="C1420" s="287" t="s">
        <v>1485</v>
      </c>
      <c r="D1420" s="287" t="s">
        <v>1486</v>
      </c>
      <c r="E1420" s="656">
        <v>2600</v>
      </c>
      <c r="F1420" s="381">
        <v>432.35</v>
      </c>
    </row>
    <row r="1421" spans="1:8" s="295" customFormat="1" x14ac:dyDescent="0.15">
      <c r="A1421" s="655" t="s">
        <v>1565</v>
      </c>
      <c r="B1421" s="591" t="s">
        <v>1637</v>
      </c>
      <c r="C1421" s="287" t="s">
        <v>1267</v>
      </c>
      <c r="D1421" s="287" t="s">
        <v>1268</v>
      </c>
      <c r="E1421" s="656">
        <v>2289</v>
      </c>
      <c r="F1421" s="381">
        <v>415.96</v>
      </c>
    </row>
    <row r="1422" spans="1:8" s="295" customFormat="1" x14ac:dyDescent="0.15">
      <c r="A1422" s="655" t="s">
        <v>1569</v>
      </c>
      <c r="B1422" s="591" t="s">
        <v>1638</v>
      </c>
      <c r="C1422" s="287" t="s">
        <v>1464</v>
      </c>
      <c r="D1422" s="287" t="s">
        <v>1285</v>
      </c>
      <c r="E1422" s="656">
        <v>792</v>
      </c>
      <c r="F1422" s="381">
        <v>173.45</v>
      </c>
    </row>
    <row r="1423" spans="1:8" s="295" customFormat="1" x14ac:dyDescent="0.15">
      <c r="A1423" s="655" t="s">
        <v>1570</v>
      </c>
      <c r="B1423" s="591" t="s">
        <v>1639</v>
      </c>
      <c r="C1423" s="287" t="s">
        <v>1472</v>
      </c>
      <c r="D1423" s="287" t="s">
        <v>1473</v>
      </c>
      <c r="E1423" s="656">
        <v>96</v>
      </c>
      <c r="F1423" s="381">
        <v>40.92</v>
      </c>
    </row>
    <row r="1424" spans="1:8" s="295" customFormat="1" x14ac:dyDescent="0.15">
      <c r="A1424" s="655" t="s">
        <v>1571</v>
      </c>
      <c r="B1424" s="591" t="s">
        <v>1640</v>
      </c>
      <c r="C1424" s="287" t="s">
        <v>1489</v>
      </c>
      <c r="D1424" s="287" t="s">
        <v>1490</v>
      </c>
      <c r="E1424" s="656">
        <v>169</v>
      </c>
      <c r="F1424" s="381">
        <v>49.2</v>
      </c>
    </row>
    <row r="1425" spans="1:8" s="295" customFormat="1" x14ac:dyDescent="0.15">
      <c r="A1425" s="655" t="s">
        <v>1572</v>
      </c>
      <c r="B1425" s="591" t="s">
        <v>1641</v>
      </c>
      <c r="C1425" s="287" t="s">
        <v>1271</v>
      </c>
      <c r="D1425" s="287" t="s">
        <v>1272</v>
      </c>
      <c r="E1425" s="656">
        <v>5155</v>
      </c>
      <c r="F1425" s="381">
        <v>814.34</v>
      </c>
    </row>
    <row r="1426" spans="1:8" s="295" customFormat="1" x14ac:dyDescent="0.15">
      <c r="A1426" s="655" t="s">
        <v>1573</v>
      </c>
      <c r="B1426" s="591"/>
      <c r="C1426" s="287" t="s">
        <v>1461</v>
      </c>
      <c r="D1426" s="287" t="s">
        <v>1462</v>
      </c>
      <c r="E1426" s="656">
        <f>0.4+12.6</f>
        <v>13</v>
      </c>
      <c r="F1426" s="381">
        <v>16.470000000000002</v>
      </c>
    </row>
    <row r="1427" spans="1:8" s="295" customFormat="1" x14ac:dyDescent="0.15">
      <c r="A1427" s="655" t="s">
        <v>1574</v>
      </c>
      <c r="B1427" s="591" t="s">
        <v>1642</v>
      </c>
      <c r="C1427" s="287" t="s">
        <v>1377</v>
      </c>
      <c r="D1427" s="287" t="s">
        <v>1378</v>
      </c>
      <c r="E1427" s="656">
        <v>1570</v>
      </c>
      <c r="F1427" s="381">
        <v>307.68</v>
      </c>
    </row>
    <row r="1428" spans="1:8" s="295" customFormat="1" x14ac:dyDescent="0.15">
      <c r="A1428" s="655" t="s">
        <v>1575</v>
      </c>
      <c r="B1428" s="591" t="s">
        <v>1643</v>
      </c>
      <c r="C1428" s="287" t="s">
        <v>1448</v>
      </c>
      <c r="D1428" s="287" t="s">
        <v>1449</v>
      </c>
      <c r="E1428" s="656">
        <v>70</v>
      </c>
      <c r="F1428" s="381">
        <v>18.02</v>
      </c>
    </row>
    <row r="1429" spans="1:8" s="295" customFormat="1" x14ac:dyDescent="0.15">
      <c r="A1429" s="655" t="s">
        <v>1604</v>
      </c>
      <c r="B1429" s="591"/>
      <c r="C1429" s="287" t="s">
        <v>1334</v>
      </c>
      <c r="D1429" s="287" t="s">
        <v>1462</v>
      </c>
      <c r="E1429" s="656">
        <f>75.2+96.7</f>
        <v>171.9</v>
      </c>
      <c r="F1429" s="381">
        <v>60.8</v>
      </c>
    </row>
    <row r="1430" spans="1:8" s="295" customFormat="1" x14ac:dyDescent="0.15">
      <c r="A1430" s="655" t="s">
        <v>1576</v>
      </c>
      <c r="B1430" s="591" t="s">
        <v>1644</v>
      </c>
      <c r="C1430" s="287" t="s">
        <v>1401</v>
      </c>
      <c r="D1430" s="287" t="s">
        <v>1316</v>
      </c>
      <c r="E1430" s="656">
        <v>66</v>
      </c>
      <c r="F1430" s="381">
        <v>37.909999999999997</v>
      </c>
    </row>
    <row r="1431" spans="1:8" s="295" customFormat="1" x14ac:dyDescent="0.15">
      <c r="A1431" s="655" t="s">
        <v>1605</v>
      </c>
      <c r="B1431" s="591"/>
      <c r="C1431" s="287" t="s">
        <v>1334</v>
      </c>
      <c r="D1431" s="287" t="s">
        <v>1462</v>
      </c>
      <c r="E1431" s="656">
        <f>274.8+353.3</f>
        <v>628.1</v>
      </c>
      <c r="F1431" s="381">
        <v>221.3</v>
      </c>
    </row>
    <row r="1432" spans="1:8" s="275" customFormat="1" x14ac:dyDescent="0.15">
      <c r="A1432" s="655" t="s">
        <v>1577</v>
      </c>
      <c r="B1432" s="591" t="s">
        <v>1645</v>
      </c>
      <c r="C1432" s="287" t="s">
        <v>1395</v>
      </c>
      <c r="D1432" s="287" t="s">
        <v>1396</v>
      </c>
      <c r="E1432" s="659">
        <v>0</v>
      </c>
      <c r="F1432" s="381">
        <v>0</v>
      </c>
      <c r="G1432" s="295"/>
      <c r="H1432" s="295"/>
    </row>
    <row r="1433" spans="1:8" s="295" customFormat="1" x14ac:dyDescent="0.15">
      <c r="A1433" s="655" t="s">
        <v>1578</v>
      </c>
      <c r="B1433" s="591" t="s">
        <v>1646</v>
      </c>
      <c r="C1433" s="287" t="s">
        <v>1579</v>
      </c>
      <c r="D1433" s="287" t="s">
        <v>1497</v>
      </c>
      <c r="E1433" s="656">
        <v>68</v>
      </c>
      <c r="F1433" s="381">
        <v>37.700000000000003</v>
      </c>
    </row>
    <row r="1434" spans="1:8" s="295" customFormat="1" x14ac:dyDescent="0.15">
      <c r="A1434" s="655" t="s">
        <v>1580</v>
      </c>
      <c r="B1434" s="591" t="s">
        <v>1647</v>
      </c>
      <c r="C1434" s="287" t="s">
        <v>1451</v>
      </c>
      <c r="D1434" s="287" t="s">
        <v>1674</v>
      </c>
      <c r="E1434" s="656">
        <v>6144</v>
      </c>
      <c r="F1434" s="381">
        <v>2392.63</v>
      </c>
    </row>
    <row r="1435" spans="1:8" s="295" customFormat="1" x14ac:dyDescent="0.15">
      <c r="A1435" s="655" t="s">
        <v>1581</v>
      </c>
      <c r="B1435" s="591" t="s">
        <v>1648</v>
      </c>
      <c r="C1435" s="287" t="s">
        <v>1521</v>
      </c>
      <c r="D1435" s="287" t="s">
        <v>1229</v>
      </c>
      <c r="E1435" s="656">
        <v>4093</v>
      </c>
      <c r="F1435" s="381">
        <v>663.1</v>
      </c>
    </row>
    <row r="1436" spans="1:8" s="295" customFormat="1" x14ac:dyDescent="0.15">
      <c r="A1436" s="655" t="s">
        <v>1582</v>
      </c>
      <c r="B1436" s="591" t="s">
        <v>1649</v>
      </c>
      <c r="C1436" s="287" t="s">
        <v>1525</v>
      </c>
      <c r="D1436" s="287" t="s">
        <v>1526</v>
      </c>
      <c r="E1436" s="656">
        <v>9</v>
      </c>
      <c r="F1436" s="381">
        <v>7.56</v>
      </c>
      <c r="H1436" s="645"/>
    </row>
    <row r="1437" spans="1:8" s="295" customFormat="1" ht="14" x14ac:dyDescent="0.15">
      <c r="A1437" s="655" t="s">
        <v>1583</v>
      </c>
      <c r="B1437" s="591" t="s">
        <v>1650</v>
      </c>
      <c r="C1437" s="287" t="s">
        <v>1584</v>
      </c>
      <c r="D1437" s="618" t="s">
        <v>1264</v>
      </c>
      <c r="E1437" s="656">
        <v>1200</v>
      </c>
      <c r="F1437" s="381">
        <v>357.24</v>
      </c>
    </row>
    <row r="1438" spans="1:8" s="295" customFormat="1" x14ac:dyDescent="0.15">
      <c r="A1438" s="655" t="s">
        <v>1666</v>
      </c>
      <c r="B1438" s="591" t="s">
        <v>1672</v>
      </c>
      <c r="C1438" s="287" t="s">
        <v>1667</v>
      </c>
      <c r="D1438" s="287" t="s">
        <v>1668</v>
      </c>
      <c r="E1438" s="656">
        <v>22848</v>
      </c>
      <c r="F1438" s="381">
        <v>5625.83</v>
      </c>
    </row>
    <row r="1439" spans="1:8" s="295" customFormat="1" x14ac:dyDescent="0.15">
      <c r="A1439" s="655" t="s">
        <v>1606</v>
      </c>
      <c r="B1439" s="591"/>
      <c r="C1439" s="287" t="s">
        <v>1334</v>
      </c>
      <c r="D1439" s="287" t="s">
        <v>1462</v>
      </c>
      <c r="E1439" s="656">
        <f>32.9+42.3</f>
        <v>75.199999999999989</v>
      </c>
      <c r="F1439" s="381">
        <v>17.190000000000001</v>
      </c>
    </row>
    <row r="1440" spans="1:8" s="275" customFormat="1" ht="14" thickBot="1" x14ac:dyDescent="0.2">
      <c r="A1440" s="655"/>
      <c r="B1440" s="591"/>
      <c r="C1440" s="291" t="s">
        <v>1611</v>
      </c>
      <c r="D1440" s="287"/>
      <c r="E1440" s="643">
        <f>SUM(E1414:E1439)</f>
        <v>93660.4</v>
      </c>
      <c r="F1440" s="658">
        <v>19455.57</v>
      </c>
    </row>
    <row r="1441" spans="1:8" s="275" customFormat="1" ht="14" thickTop="1" x14ac:dyDescent="0.15">
      <c r="A1441" s="660"/>
      <c r="B1441" s="661"/>
      <c r="C1441" s="359"/>
      <c r="D1441" s="359"/>
      <c r="E1441" s="662"/>
      <c r="F1441" s="375"/>
    </row>
    <row r="1442" spans="1:8" s="275" customFormat="1" ht="14" thickBot="1" x14ac:dyDescent="0.2">
      <c r="A1442" s="655" t="s">
        <v>1677</v>
      </c>
      <c r="B1442" s="591" t="s">
        <v>1678</v>
      </c>
      <c r="C1442" s="287" t="s">
        <v>1313</v>
      </c>
      <c r="D1442" s="287" t="s">
        <v>1412</v>
      </c>
      <c r="E1442" s="656">
        <v>2890</v>
      </c>
      <c r="F1442" s="381">
        <v>506.42</v>
      </c>
      <c r="G1442" s="295"/>
      <c r="H1442" s="295"/>
    </row>
    <row r="1443" spans="1:8" s="275" customFormat="1" x14ac:dyDescent="0.15">
      <c r="A1443" s="655" t="s">
        <v>1679</v>
      </c>
      <c r="B1443" s="591" t="s">
        <v>1680</v>
      </c>
      <c r="C1443" s="287" t="s">
        <v>1313</v>
      </c>
      <c r="D1443" s="287" t="s">
        <v>1412</v>
      </c>
      <c r="E1443" s="656">
        <v>1484</v>
      </c>
      <c r="F1443" s="381">
        <v>272.88</v>
      </c>
      <c r="G1443" s="295"/>
      <c r="H1443" s="647" t="s">
        <v>1589</v>
      </c>
    </row>
    <row r="1444" spans="1:8" s="275" customFormat="1" ht="14" thickBot="1" x14ac:dyDescent="0.2">
      <c r="A1444" s="655"/>
      <c r="B1444" s="591"/>
      <c r="C1444" s="291" t="s">
        <v>1684</v>
      </c>
      <c r="D1444" s="287"/>
      <c r="E1444" s="643">
        <f>SUM(E1442:E1443)</f>
        <v>4374</v>
      </c>
      <c r="F1444" s="658">
        <v>779.3</v>
      </c>
      <c r="H1444" s="648">
        <f>SUM(F1412,F1440,F1444)</f>
        <v>39345.5</v>
      </c>
    </row>
    <row r="1445" spans="1:8" s="275" customFormat="1" ht="14" thickTop="1" x14ac:dyDescent="0.15">
      <c r="A1445" s="660"/>
      <c r="B1445" s="661"/>
      <c r="C1445" s="359"/>
      <c r="D1445" s="359"/>
      <c r="E1445" s="662"/>
      <c r="F1445" s="375"/>
    </row>
    <row r="1446" spans="1:8" s="275" customFormat="1" x14ac:dyDescent="0.15">
      <c r="A1446" s="660"/>
      <c r="B1446" s="661"/>
      <c r="C1446" s="293" t="s">
        <v>1594</v>
      </c>
      <c r="D1446" s="359"/>
      <c r="E1446" s="662"/>
      <c r="F1446" s="375"/>
    </row>
    <row r="1447" spans="1:8" s="275" customFormat="1" x14ac:dyDescent="0.15">
      <c r="A1447" s="660"/>
      <c r="B1447" s="661"/>
      <c r="C1447" s="293" t="s">
        <v>1446</v>
      </c>
      <c r="D1447" s="359"/>
      <c r="E1447" s="662"/>
      <c r="F1447" s="375"/>
    </row>
    <row r="1448" spans="1:8" s="275" customFormat="1" x14ac:dyDescent="0.15">
      <c r="A1448" s="660"/>
      <c r="B1448" s="661"/>
      <c r="C1448" s="386">
        <v>41698</v>
      </c>
      <c r="D1448" s="359"/>
      <c r="E1448" s="662"/>
      <c r="F1448" s="375"/>
    </row>
    <row r="1449" spans="1:8" s="275" customFormat="1" x14ac:dyDescent="0.15">
      <c r="A1449" s="660"/>
      <c r="B1449" s="661"/>
      <c r="C1449" s="359"/>
      <c r="D1449" s="359"/>
      <c r="E1449" s="662"/>
      <c r="F1449" s="375"/>
    </row>
    <row r="1450" spans="1:8" s="275" customFormat="1" ht="14" thickBot="1" x14ac:dyDescent="0.2">
      <c r="A1450" s="663"/>
      <c r="B1450" s="664"/>
      <c r="C1450" s="665" t="s">
        <v>1194</v>
      </c>
      <c r="D1450" s="665"/>
      <c r="E1450" s="666">
        <f>SUM(E1412,E1440,E1444)</f>
        <v>215561.69999999998</v>
      </c>
      <c r="F1450" s="667">
        <v>39345.5</v>
      </c>
    </row>
    <row r="1451" spans="1:8" s="275" customFormat="1" x14ac:dyDescent="0.15">
      <c r="A1451" s="617"/>
      <c r="B1451" s="617"/>
      <c r="E1451" s="276"/>
      <c r="F1451" s="278"/>
    </row>
    <row r="1452" spans="1:8" s="295" customFormat="1" x14ac:dyDescent="0.15">
      <c r="A1452" s="652" t="s">
        <v>1534</v>
      </c>
      <c r="B1452" s="653" t="s">
        <v>1614</v>
      </c>
      <c r="C1452" s="371" t="s">
        <v>1492</v>
      </c>
      <c r="D1452" s="371" t="s">
        <v>1239</v>
      </c>
      <c r="E1452" s="654">
        <v>10640</v>
      </c>
      <c r="F1452" s="391">
        <v>1756.92</v>
      </c>
    </row>
    <row r="1453" spans="1:8" s="295" customFormat="1" x14ac:dyDescent="0.15">
      <c r="A1453" s="655" t="s">
        <v>1535</v>
      </c>
      <c r="B1453" s="591" t="s">
        <v>1615</v>
      </c>
      <c r="C1453" s="287" t="s">
        <v>1507</v>
      </c>
      <c r="D1453" s="287" t="s">
        <v>1245</v>
      </c>
      <c r="E1453" s="656">
        <v>3320</v>
      </c>
      <c r="F1453" s="381">
        <v>551.91999999999996</v>
      </c>
    </row>
    <row r="1454" spans="1:8" s="295" customFormat="1" x14ac:dyDescent="0.15">
      <c r="A1454" s="655" t="s">
        <v>1670</v>
      </c>
      <c r="B1454" s="591" t="s">
        <v>1659</v>
      </c>
      <c r="C1454" s="287" t="s">
        <v>1279</v>
      </c>
      <c r="D1454" s="287" t="s">
        <v>1660</v>
      </c>
      <c r="E1454" s="656">
        <v>8000</v>
      </c>
      <c r="F1454" s="381">
        <v>1394</v>
      </c>
      <c r="H1454" s="538"/>
    </row>
    <row r="1455" spans="1:8" s="295" customFormat="1" x14ac:dyDescent="0.15">
      <c r="A1455" s="655" t="s">
        <v>1536</v>
      </c>
      <c r="B1455" s="591" t="s">
        <v>1616</v>
      </c>
      <c r="C1455" s="287" t="s">
        <v>1479</v>
      </c>
      <c r="D1455" s="287" t="s">
        <v>1231</v>
      </c>
      <c r="E1455" s="656">
        <v>5464</v>
      </c>
      <c r="F1455" s="381">
        <v>856.36</v>
      </c>
    </row>
    <row r="1456" spans="1:8" s="295" customFormat="1" x14ac:dyDescent="0.15">
      <c r="A1456" s="655" t="s">
        <v>1537</v>
      </c>
      <c r="B1456" s="591" t="s">
        <v>1617</v>
      </c>
      <c r="C1456" s="287" t="s">
        <v>1269</v>
      </c>
      <c r="D1456" s="287" t="s">
        <v>1270</v>
      </c>
      <c r="E1456" s="656">
        <v>4571</v>
      </c>
      <c r="F1456" s="381">
        <v>739.74</v>
      </c>
    </row>
    <row r="1457" spans="1:6" s="295" customFormat="1" x14ac:dyDescent="0.15">
      <c r="A1457" s="655" t="s">
        <v>1538</v>
      </c>
      <c r="B1457" s="591" t="s">
        <v>1618</v>
      </c>
      <c r="C1457" s="287" t="s">
        <v>1517</v>
      </c>
      <c r="D1457" s="287" t="s">
        <v>1518</v>
      </c>
      <c r="E1457" s="656">
        <v>4</v>
      </c>
      <c r="F1457" s="381">
        <v>30.46</v>
      </c>
    </row>
    <row r="1458" spans="1:6" s="295" customFormat="1" x14ac:dyDescent="0.15">
      <c r="A1458" s="655" t="s">
        <v>1540</v>
      </c>
      <c r="B1458" s="591" t="s">
        <v>1620</v>
      </c>
      <c r="C1458" s="287" t="s">
        <v>1257</v>
      </c>
      <c r="D1458" s="287" t="s">
        <v>1258</v>
      </c>
      <c r="E1458" s="656">
        <v>22800</v>
      </c>
      <c r="F1458" s="381">
        <v>3473.15</v>
      </c>
    </row>
    <row r="1459" spans="1:6" s="295" customFormat="1" x14ac:dyDescent="0.15">
      <c r="A1459" s="655" t="s">
        <v>1541</v>
      </c>
      <c r="B1459" s="591" t="s">
        <v>1621</v>
      </c>
      <c r="C1459" s="287" t="s">
        <v>1586</v>
      </c>
      <c r="D1459" s="287" t="s">
        <v>1500</v>
      </c>
      <c r="E1459" s="656">
        <v>3360</v>
      </c>
      <c r="F1459" s="381">
        <v>579.37</v>
      </c>
    </row>
    <row r="1460" spans="1:6" s="295" customFormat="1" x14ac:dyDescent="0.15">
      <c r="A1460" s="655" t="s">
        <v>1542</v>
      </c>
      <c r="B1460" s="591" t="s">
        <v>1622</v>
      </c>
      <c r="C1460" s="287" t="s">
        <v>1240</v>
      </c>
      <c r="D1460" s="287" t="s">
        <v>1467</v>
      </c>
      <c r="E1460" s="656">
        <v>4716</v>
      </c>
      <c r="F1460" s="381">
        <v>748.54</v>
      </c>
    </row>
    <row r="1461" spans="1:6" s="295" customFormat="1" x14ac:dyDescent="0.15">
      <c r="A1461" s="655" t="s">
        <v>1543</v>
      </c>
      <c r="B1461" s="591" t="s">
        <v>1623</v>
      </c>
      <c r="C1461" s="287" t="s">
        <v>1523</v>
      </c>
      <c r="D1461" s="287" t="s">
        <v>1266</v>
      </c>
      <c r="E1461" s="656">
        <v>1305</v>
      </c>
      <c r="F1461" s="381">
        <v>254.48</v>
      </c>
    </row>
    <row r="1462" spans="1:6" s="295" customFormat="1" x14ac:dyDescent="0.15">
      <c r="A1462" s="655" t="s">
        <v>1544</v>
      </c>
      <c r="B1462" s="591" t="s">
        <v>1624</v>
      </c>
      <c r="C1462" s="287" t="s">
        <v>1234</v>
      </c>
      <c r="D1462" s="287" t="s">
        <v>1494</v>
      </c>
      <c r="E1462" s="656">
        <v>5773</v>
      </c>
      <c r="F1462" s="381">
        <v>975.42</v>
      </c>
    </row>
    <row r="1463" spans="1:6" s="295" customFormat="1" x14ac:dyDescent="0.15">
      <c r="A1463" s="655" t="s">
        <v>1601</v>
      </c>
      <c r="B1463" s="591"/>
      <c r="C1463" s="287" t="s">
        <v>1334</v>
      </c>
      <c r="D1463" s="287" t="s">
        <v>1462</v>
      </c>
      <c r="E1463" s="656">
        <f>1172.3+2110.5</f>
        <v>3282.8</v>
      </c>
      <c r="F1463" s="381">
        <v>651.49</v>
      </c>
    </row>
    <row r="1464" spans="1:6" s="295" customFormat="1" x14ac:dyDescent="0.15">
      <c r="A1464" s="655" t="s">
        <v>1545</v>
      </c>
      <c r="B1464" s="591"/>
      <c r="C1464" s="287" t="s">
        <v>1234</v>
      </c>
      <c r="D1464" s="287" t="s">
        <v>1494</v>
      </c>
      <c r="E1464" s="656">
        <f>5+70.2</f>
        <v>75.2</v>
      </c>
      <c r="F1464" s="381">
        <v>16.96</v>
      </c>
    </row>
    <row r="1465" spans="1:6" s="295" customFormat="1" x14ac:dyDescent="0.15">
      <c r="A1465" s="655" t="s">
        <v>1602</v>
      </c>
      <c r="B1465" s="591"/>
      <c r="C1465" s="287" t="s">
        <v>1334</v>
      </c>
      <c r="D1465" s="287" t="s">
        <v>1462</v>
      </c>
      <c r="E1465" s="656">
        <f>65.6+118</f>
        <v>183.6</v>
      </c>
      <c r="F1465" s="381">
        <v>49.05</v>
      </c>
    </row>
    <row r="1466" spans="1:6" s="295" customFormat="1" x14ac:dyDescent="0.15">
      <c r="A1466" s="655" t="s">
        <v>1546</v>
      </c>
      <c r="B1466" s="591"/>
      <c r="C1466" s="287" t="s">
        <v>1586</v>
      </c>
      <c r="D1466" s="287" t="s">
        <v>1500</v>
      </c>
      <c r="E1466" s="656">
        <v>85.8</v>
      </c>
      <c r="F1466" s="381">
        <v>27.44</v>
      </c>
    </row>
    <row r="1467" spans="1:6" s="295" customFormat="1" x14ac:dyDescent="0.15">
      <c r="A1467" s="655" t="s">
        <v>1547</v>
      </c>
      <c r="B1467" s="591"/>
      <c r="C1467" s="287" t="s">
        <v>1286</v>
      </c>
      <c r="D1467" s="287" t="s">
        <v>1514</v>
      </c>
      <c r="E1467" s="656">
        <f>218.6+7.8</f>
        <v>226.4</v>
      </c>
      <c r="F1467" s="381">
        <v>51.71</v>
      </c>
    </row>
    <row r="1468" spans="1:6" s="295" customFormat="1" x14ac:dyDescent="0.15">
      <c r="A1468" s="655" t="s">
        <v>1549</v>
      </c>
      <c r="B1468" s="591" t="s">
        <v>1625</v>
      </c>
      <c r="C1468" s="287" t="s">
        <v>1459</v>
      </c>
      <c r="D1468" s="287" t="s">
        <v>1251</v>
      </c>
      <c r="E1468" s="656">
        <v>2237</v>
      </c>
      <c r="F1468" s="381">
        <v>383.18</v>
      </c>
    </row>
    <row r="1469" spans="1:6" s="295" customFormat="1" x14ac:dyDescent="0.15">
      <c r="A1469" s="655" t="s">
        <v>1603</v>
      </c>
      <c r="B1469" s="591"/>
      <c r="C1469" s="287" t="s">
        <v>1334</v>
      </c>
      <c r="D1469" s="287" t="s">
        <v>1462</v>
      </c>
      <c r="E1469" s="656">
        <f>490.8+883.6</f>
        <v>1374.4</v>
      </c>
      <c r="F1469" s="381">
        <v>289.24</v>
      </c>
    </row>
    <row r="1470" spans="1:6" s="295" customFormat="1" x14ac:dyDescent="0.15">
      <c r="A1470" s="655" t="s">
        <v>1597</v>
      </c>
      <c r="B1470" s="591" t="s">
        <v>1626</v>
      </c>
      <c r="C1470" s="287" t="s">
        <v>1454</v>
      </c>
      <c r="D1470" s="287" t="s">
        <v>1247</v>
      </c>
      <c r="E1470" s="656">
        <v>4120</v>
      </c>
      <c r="F1470" s="381">
        <v>688.53</v>
      </c>
    </row>
    <row r="1471" spans="1:6" s="295" customFormat="1" x14ac:dyDescent="0.15">
      <c r="A1471" s="655" t="s">
        <v>1551</v>
      </c>
      <c r="B1471" s="591" t="s">
        <v>1627</v>
      </c>
      <c r="C1471" s="287" t="s">
        <v>1235</v>
      </c>
      <c r="D1471" s="287" t="s">
        <v>1236</v>
      </c>
      <c r="E1471" s="656">
        <v>8084</v>
      </c>
      <c r="F1471" s="381">
        <v>1275.93</v>
      </c>
    </row>
    <row r="1472" spans="1:6" s="295" customFormat="1" x14ac:dyDescent="0.15">
      <c r="A1472" s="655" t="s">
        <v>1553</v>
      </c>
      <c r="B1472" s="591" t="s">
        <v>1628</v>
      </c>
      <c r="C1472" s="287" t="s">
        <v>1475</v>
      </c>
      <c r="D1472" s="287" t="s">
        <v>1387</v>
      </c>
      <c r="E1472" s="656">
        <v>1460</v>
      </c>
      <c r="F1472" s="381">
        <v>265.04000000000002</v>
      </c>
    </row>
    <row r="1473" spans="1:8" s="295" customFormat="1" x14ac:dyDescent="0.15">
      <c r="A1473" s="655" t="s">
        <v>1554</v>
      </c>
      <c r="B1473" s="591" t="s">
        <v>1629</v>
      </c>
      <c r="C1473" s="287" t="s">
        <v>1399</v>
      </c>
      <c r="D1473" s="287" t="s">
        <v>1276</v>
      </c>
      <c r="E1473" s="656">
        <v>4440</v>
      </c>
      <c r="F1473" s="381">
        <v>778.3</v>
      </c>
    </row>
    <row r="1474" spans="1:8" s="295" customFormat="1" x14ac:dyDescent="0.15">
      <c r="A1474" s="655" t="s">
        <v>1598</v>
      </c>
      <c r="B1474" s="591"/>
      <c r="C1474" s="287" t="s">
        <v>1586</v>
      </c>
      <c r="D1474" s="287" t="s">
        <v>1500</v>
      </c>
      <c r="E1474" s="656">
        <v>42.9</v>
      </c>
      <c r="F1474" s="381">
        <v>16.34</v>
      </c>
      <c r="H1474" s="645"/>
    </row>
    <row r="1475" spans="1:8" s="295" customFormat="1" x14ac:dyDescent="0.15">
      <c r="A1475" s="655" t="s">
        <v>1662</v>
      </c>
      <c r="B1475" s="657">
        <v>892914652</v>
      </c>
      <c r="C1475" s="287" t="s">
        <v>1663</v>
      </c>
      <c r="D1475" s="287" t="s">
        <v>1664</v>
      </c>
      <c r="E1475" s="656">
        <v>8480</v>
      </c>
      <c r="F1475" s="381">
        <v>1451.48</v>
      </c>
      <c r="H1475" s="538"/>
    </row>
    <row r="1476" spans="1:8" s="275" customFormat="1" ht="14" thickBot="1" x14ac:dyDescent="0.2">
      <c r="A1476" s="655"/>
      <c r="B1476" s="591"/>
      <c r="C1476" s="291" t="s">
        <v>1612</v>
      </c>
      <c r="D1476" s="287"/>
      <c r="E1476" s="638">
        <f>SUM(E1452:E1475)</f>
        <v>104045.09999999999</v>
      </c>
      <c r="F1476" s="658">
        <v>17305.05</v>
      </c>
      <c r="H1476" s="636"/>
    </row>
    <row r="1477" spans="1:8" s="275" customFormat="1" ht="14" thickTop="1" x14ac:dyDescent="0.15">
      <c r="A1477" s="655"/>
      <c r="B1477" s="591"/>
      <c r="C1477" s="287"/>
      <c r="D1477" s="287"/>
      <c r="E1477" s="524"/>
      <c r="F1477" s="381"/>
    </row>
    <row r="1478" spans="1:8" s="295" customFormat="1" x14ac:dyDescent="0.15">
      <c r="A1478" s="655" t="s">
        <v>1556</v>
      </c>
      <c r="B1478" s="591" t="s">
        <v>1631</v>
      </c>
      <c r="C1478" s="287" t="s">
        <v>1248</v>
      </c>
      <c r="D1478" s="287" t="s">
        <v>1482</v>
      </c>
      <c r="E1478" s="656">
        <v>3904</v>
      </c>
      <c r="F1478" s="381">
        <v>664.01</v>
      </c>
    </row>
    <row r="1479" spans="1:8" s="295" customFormat="1" x14ac:dyDescent="0.15">
      <c r="A1479" s="655" t="s">
        <v>1558</v>
      </c>
      <c r="B1479" s="591" t="s">
        <v>1633</v>
      </c>
      <c r="C1479" s="287" t="s">
        <v>1469</v>
      </c>
      <c r="D1479" s="287" t="s">
        <v>1470</v>
      </c>
      <c r="E1479" s="656">
        <v>7040</v>
      </c>
      <c r="F1479" s="381">
        <v>1165.05</v>
      </c>
    </row>
    <row r="1480" spans="1:8" s="295" customFormat="1" x14ac:dyDescent="0.15">
      <c r="A1480" s="655" t="s">
        <v>1559</v>
      </c>
      <c r="B1480" s="591" t="s">
        <v>1634</v>
      </c>
      <c r="C1480" s="287" t="s">
        <v>1502</v>
      </c>
      <c r="D1480" s="287" t="s">
        <v>1381</v>
      </c>
      <c r="E1480" s="656">
        <v>19008</v>
      </c>
      <c r="F1480" s="381">
        <v>2723.27</v>
      </c>
    </row>
    <row r="1481" spans="1:8" s="295" customFormat="1" x14ac:dyDescent="0.15">
      <c r="A1481" s="655" t="s">
        <v>1560</v>
      </c>
      <c r="B1481" s="591" t="s">
        <v>1635</v>
      </c>
      <c r="C1481" s="287" t="s">
        <v>1504</v>
      </c>
      <c r="D1481" s="287" t="s">
        <v>1505</v>
      </c>
      <c r="E1481" s="656">
        <v>1202</v>
      </c>
      <c r="F1481" s="381">
        <v>189.35</v>
      </c>
    </row>
    <row r="1482" spans="1:8" s="295" customFormat="1" x14ac:dyDescent="0.15">
      <c r="A1482" s="655" t="s">
        <v>1675</v>
      </c>
      <c r="B1482" s="591" t="s">
        <v>1676</v>
      </c>
      <c r="C1482" s="287" t="s">
        <v>1477</v>
      </c>
      <c r="D1482" s="287" t="s">
        <v>1289</v>
      </c>
      <c r="E1482" s="656">
        <v>11190</v>
      </c>
      <c r="F1482" s="381">
        <v>1849.19</v>
      </c>
    </row>
    <row r="1483" spans="1:8" s="295" customFormat="1" x14ac:dyDescent="0.15">
      <c r="A1483" s="655" t="s">
        <v>1563</v>
      </c>
      <c r="B1483" s="591"/>
      <c r="C1483" s="287" t="s">
        <v>1267</v>
      </c>
      <c r="D1483" s="287" t="s">
        <v>1268</v>
      </c>
      <c r="E1483" s="656">
        <v>75</v>
      </c>
      <c r="F1483" s="381">
        <v>13.44</v>
      </c>
    </row>
    <row r="1484" spans="1:8" s="295" customFormat="1" x14ac:dyDescent="0.15">
      <c r="A1484" s="655" t="s">
        <v>1564</v>
      </c>
      <c r="B1484" s="591" t="s">
        <v>1636</v>
      </c>
      <c r="C1484" s="287" t="s">
        <v>1485</v>
      </c>
      <c r="D1484" s="287" t="s">
        <v>1486</v>
      </c>
      <c r="E1484" s="656">
        <v>2160</v>
      </c>
      <c r="F1484" s="381">
        <v>359.14</v>
      </c>
    </row>
    <row r="1485" spans="1:8" s="295" customFormat="1" x14ac:dyDescent="0.15">
      <c r="A1485" s="655" t="s">
        <v>1565</v>
      </c>
      <c r="B1485" s="591" t="s">
        <v>1637</v>
      </c>
      <c r="C1485" s="287" t="s">
        <v>1267</v>
      </c>
      <c r="D1485" s="287" t="s">
        <v>1268</v>
      </c>
      <c r="E1485" s="656">
        <v>2048</v>
      </c>
      <c r="F1485" s="381">
        <v>371.74</v>
      </c>
    </row>
    <row r="1486" spans="1:8" s="295" customFormat="1" x14ac:dyDescent="0.15">
      <c r="A1486" s="655" t="s">
        <v>1569</v>
      </c>
      <c r="B1486" s="591" t="s">
        <v>1638</v>
      </c>
      <c r="C1486" s="287" t="s">
        <v>1464</v>
      </c>
      <c r="D1486" s="287" t="s">
        <v>1285</v>
      </c>
      <c r="E1486" s="656">
        <v>756</v>
      </c>
      <c r="F1486" s="381">
        <v>169.28</v>
      </c>
    </row>
    <row r="1487" spans="1:8" s="295" customFormat="1" x14ac:dyDescent="0.15">
      <c r="A1487" s="655" t="s">
        <v>1570</v>
      </c>
      <c r="B1487" s="591" t="s">
        <v>1639</v>
      </c>
      <c r="C1487" s="287" t="s">
        <v>1472</v>
      </c>
      <c r="D1487" s="287" t="s">
        <v>1473</v>
      </c>
      <c r="E1487" s="656">
        <v>80</v>
      </c>
      <c r="F1487" s="381">
        <v>39.090000000000003</v>
      </c>
    </row>
    <row r="1488" spans="1:8" s="295" customFormat="1" x14ac:dyDescent="0.15">
      <c r="A1488" s="655" t="s">
        <v>1571</v>
      </c>
      <c r="B1488" s="591" t="s">
        <v>1640</v>
      </c>
      <c r="C1488" s="287" t="s">
        <v>1489</v>
      </c>
      <c r="D1488" s="287" t="s">
        <v>1490</v>
      </c>
      <c r="E1488" s="656">
        <v>150</v>
      </c>
      <c r="F1488" s="381">
        <v>47.03</v>
      </c>
    </row>
    <row r="1489" spans="1:8" s="295" customFormat="1" x14ac:dyDescent="0.15">
      <c r="A1489" s="655" t="s">
        <v>1572</v>
      </c>
      <c r="B1489" s="591" t="s">
        <v>1641</v>
      </c>
      <c r="C1489" s="287" t="s">
        <v>1271</v>
      </c>
      <c r="D1489" s="287" t="s">
        <v>1272</v>
      </c>
      <c r="E1489" s="656">
        <v>4574</v>
      </c>
      <c r="F1489" s="381">
        <v>770.62</v>
      </c>
    </row>
    <row r="1490" spans="1:8" s="295" customFormat="1" x14ac:dyDescent="0.15">
      <c r="A1490" s="655" t="s">
        <v>1573</v>
      </c>
      <c r="B1490" s="591"/>
      <c r="C1490" s="287" t="s">
        <v>1461</v>
      </c>
      <c r="D1490" s="287" t="s">
        <v>1462</v>
      </c>
      <c r="E1490" s="656">
        <v>26</v>
      </c>
      <c r="F1490" s="381">
        <v>16.489999999999998</v>
      </c>
    </row>
    <row r="1491" spans="1:8" s="295" customFormat="1" x14ac:dyDescent="0.15">
      <c r="A1491" s="655" t="s">
        <v>1574</v>
      </c>
      <c r="B1491" s="591" t="s">
        <v>1642</v>
      </c>
      <c r="C1491" s="287" t="s">
        <v>1377</v>
      </c>
      <c r="D1491" s="287" t="s">
        <v>1378</v>
      </c>
      <c r="E1491" s="656">
        <v>1343</v>
      </c>
      <c r="F1491" s="381">
        <v>281.7</v>
      </c>
    </row>
    <row r="1492" spans="1:8" s="295" customFormat="1" x14ac:dyDescent="0.15">
      <c r="A1492" s="655" t="s">
        <v>1575</v>
      </c>
      <c r="B1492" s="591" t="s">
        <v>1685</v>
      </c>
      <c r="C1492" s="287" t="s">
        <v>1448</v>
      </c>
      <c r="D1492" s="287" t="s">
        <v>1449</v>
      </c>
      <c r="E1492" s="656">
        <v>94</v>
      </c>
      <c r="F1492" s="381">
        <v>22.13</v>
      </c>
    </row>
    <row r="1493" spans="1:8" s="295" customFormat="1" x14ac:dyDescent="0.15">
      <c r="A1493" s="655" t="s">
        <v>1604</v>
      </c>
      <c r="B1493" s="591"/>
      <c r="C1493" s="287" t="s">
        <v>1334</v>
      </c>
      <c r="D1493" s="287" t="s">
        <v>1462</v>
      </c>
      <c r="E1493" s="656">
        <f>61.3+110.3</f>
        <v>171.6</v>
      </c>
      <c r="F1493" s="381">
        <v>56.09</v>
      </c>
    </row>
    <row r="1494" spans="1:8" s="295" customFormat="1" x14ac:dyDescent="0.15">
      <c r="A1494" s="655" t="s">
        <v>1576</v>
      </c>
      <c r="B1494" s="591" t="s">
        <v>1644</v>
      </c>
      <c r="C1494" s="287" t="s">
        <v>1401</v>
      </c>
      <c r="D1494" s="287" t="s">
        <v>1316</v>
      </c>
      <c r="E1494" s="656">
        <v>50</v>
      </c>
      <c r="F1494" s="381">
        <v>35.979999999999997</v>
      </c>
    </row>
    <row r="1495" spans="1:8" s="295" customFormat="1" x14ac:dyDescent="0.15">
      <c r="A1495" s="655" t="s">
        <v>1605</v>
      </c>
      <c r="B1495" s="591"/>
      <c r="C1495" s="287" t="s">
        <v>1334</v>
      </c>
      <c r="D1495" s="287" t="s">
        <v>1462</v>
      </c>
      <c r="E1495" s="656">
        <f>223.5+402.5</f>
        <v>626</v>
      </c>
      <c r="F1495" s="381">
        <v>204.2</v>
      </c>
    </row>
    <row r="1496" spans="1:8" s="295" customFormat="1" x14ac:dyDescent="0.15">
      <c r="A1496" s="655" t="s">
        <v>1578</v>
      </c>
      <c r="B1496" s="591" t="s">
        <v>1646</v>
      </c>
      <c r="C1496" s="287" t="s">
        <v>1579</v>
      </c>
      <c r="D1496" s="287" t="s">
        <v>1497</v>
      </c>
      <c r="E1496" s="656">
        <v>36</v>
      </c>
      <c r="F1496" s="381">
        <v>34.07</v>
      </c>
    </row>
    <row r="1497" spans="1:8" s="295" customFormat="1" x14ac:dyDescent="0.15">
      <c r="A1497" s="655" t="s">
        <v>1580</v>
      </c>
      <c r="B1497" s="591" t="s">
        <v>1647</v>
      </c>
      <c r="C1497" s="287" t="s">
        <v>1451</v>
      </c>
      <c r="D1497" s="287" t="s">
        <v>1674</v>
      </c>
      <c r="E1497" s="656">
        <v>4608</v>
      </c>
      <c r="F1497" s="381">
        <v>2217.48</v>
      </c>
    </row>
    <row r="1498" spans="1:8" s="295" customFormat="1" x14ac:dyDescent="0.15">
      <c r="A1498" s="655" t="s">
        <v>1581</v>
      </c>
      <c r="B1498" s="591" t="s">
        <v>1648</v>
      </c>
      <c r="C1498" s="287" t="s">
        <v>1521</v>
      </c>
      <c r="D1498" s="287" t="s">
        <v>1229</v>
      </c>
      <c r="E1498" s="656">
        <v>3789</v>
      </c>
      <c r="F1498" s="381">
        <v>605.16</v>
      </c>
    </row>
    <row r="1499" spans="1:8" s="295" customFormat="1" x14ac:dyDescent="0.15">
      <c r="A1499" s="655" t="s">
        <v>1582</v>
      </c>
      <c r="B1499" s="591" t="s">
        <v>1649</v>
      </c>
      <c r="C1499" s="287" t="s">
        <v>1525</v>
      </c>
      <c r="D1499" s="287" t="s">
        <v>1526</v>
      </c>
      <c r="E1499" s="656">
        <v>11</v>
      </c>
      <c r="F1499" s="381">
        <v>7.88</v>
      </c>
      <c r="H1499" s="645"/>
    </row>
    <row r="1500" spans="1:8" s="295" customFormat="1" ht="14" x14ac:dyDescent="0.15">
      <c r="A1500" s="655" t="s">
        <v>1583</v>
      </c>
      <c r="B1500" s="591" t="s">
        <v>1650</v>
      </c>
      <c r="C1500" s="287" t="s">
        <v>1584</v>
      </c>
      <c r="D1500" s="618" t="s">
        <v>1264</v>
      </c>
      <c r="E1500" s="656">
        <v>1360</v>
      </c>
      <c r="F1500" s="381">
        <v>359.99</v>
      </c>
    </row>
    <row r="1501" spans="1:8" s="295" customFormat="1" x14ac:dyDescent="0.15">
      <c r="A1501" s="655" t="s">
        <v>1666</v>
      </c>
      <c r="B1501" s="591" t="s">
        <v>1672</v>
      </c>
      <c r="C1501" s="287" t="s">
        <v>1667</v>
      </c>
      <c r="D1501" s="287" t="s">
        <v>1668</v>
      </c>
      <c r="E1501" s="656">
        <v>21312</v>
      </c>
      <c r="F1501" s="381">
        <v>4805.92</v>
      </c>
    </row>
    <row r="1502" spans="1:8" s="295" customFormat="1" x14ac:dyDescent="0.15">
      <c r="A1502" s="655" t="s">
        <v>1606</v>
      </c>
      <c r="B1502" s="591"/>
      <c r="C1502" s="287" t="s">
        <v>1334</v>
      </c>
      <c r="D1502" s="287" t="s">
        <v>1462</v>
      </c>
      <c r="E1502" s="656">
        <f>26.8+48.2</f>
        <v>75</v>
      </c>
      <c r="F1502" s="381">
        <v>15.11</v>
      </c>
    </row>
    <row r="1503" spans="1:8" s="275" customFormat="1" ht="14" thickBot="1" x14ac:dyDescent="0.2">
      <c r="A1503" s="655"/>
      <c r="B1503" s="591"/>
      <c r="C1503" s="291" t="s">
        <v>1613</v>
      </c>
      <c r="D1503" s="287"/>
      <c r="E1503" s="643">
        <f>SUM(E1478:E1502)</f>
        <v>85688.6</v>
      </c>
      <c r="F1503" s="658">
        <v>17023.409999999996</v>
      </c>
    </row>
    <row r="1504" spans="1:8" s="275" customFormat="1" ht="14" thickTop="1" x14ac:dyDescent="0.15">
      <c r="A1504" s="660"/>
      <c r="B1504" s="661"/>
      <c r="C1504" s="359"/>
      <c r="D1504" s="359"/>
      <c r="E1504" s="662"/>
      <c r="F1504" s="375"/>
    </row>
    <row r="1505" spans="1:8" s="295" customFormat="1" ht="14" thickBot="1" x14ac:dyDescent="0.2">
      <c r="A1505" s="655" t="s">
        <v>1677</v>
      </c>
      <c r="B1505" s="591" t="s">
        <v>1678</v>
      </c>
      <c r="C1505" s="287" t="s">
        <v>1313</v>
      </c>
      <c r="D1505" s="287" t="s">
        <v>1412</v>
      </c>
      <c r="E1505" s="656">
        <v>1111</v>
      </c>
      <c r="F1505" s="381">
        <v>228</v>
      </c>
    </row>
    <row r="1506" spans="1:8" s="295" customFormat="1" x14ac:dyDescent="0.15">
      <c r="A1506" s="655" t="s">
        <v>1679</v>
      </c>
      <c r="B1506" s="591" t="s">
        <v>1680</v>
      </c>
      <c r="C1506" s="287" t="s">
        <v>1313</v>
      </c>
      <c r="D1506" s="287" t="s">
        <v>1412</v>
      </c>
      <c r="E1506" s="656">
        <v>356</v>
      </c>
      <c r="F1506" s="381">
        <v>88.87</v>
      </c>
      <c r="H1506" s="647" t="s">
        <v>1589</v>
      </c>
    </row>
    <row r="1507" spans="1:8" s="275" customFormat="1" ht="14" thickBot="1" x14ac:dyDescent="0.2">
      <c r="A1507" s="655"/>
      <c r="B1507" s="591"/>
      <c r="C1507" s="291" t="s">
        <v>1686</v>
      </c>
      <c r="D1507" s="287"/>
      <c r="E1507" s="643">
        <f>SUM(E1505:E1506)</f>
        <v>1467</v>
      </c>
      <c r="F1507" s="658">
        <v>316.87</v>
      </c>
      <c r="H1507" s="648">
        <f>SUM(F1476,F1503,F1507)</f>
        <v>34645.329999999994</v>
      </c>
    </row>
    <row r="1508" spans="1:8" s="275" customFormat="1" ht="14" thickTop="1" x14ac:dyDescent="0.15">
      <c r="A1508" s="660"/>
      <c r="B1508" s="661"/>
      <c r="C1508" s="359"/>
      <c r="D1508" s="359"/>
      <c r="E1508" s="662"/>
      <c r="F1508" s="375"/>
    </row>
    <row r="1509" spans="1:8" s="275" customFormat="1" x14ac:dyDescent="0.15">
      <c r="A1509" s="660"/>
      <c r="B1509" s="661"/>
      <c r="C1509" s="293" t="s">
        <v>1594</v>
      </c>
      <c r="D1509" s="359"/>
      <c r="E1509" s="662"/>
      <c r="F1509" s="375"/>
    </row>
    <row r="1510" spans="1:8" s="275" customFormat="1" x14ac:dyDescent="0.15">
      <c r="A1510" s="660"/>
      <c r="B1510" s="661"/>
      <c r="C1510" s="293" t="s">
        <v>1446</v>
      </c>
      <c r="D1510" s="359"/>
      <c r="E1510" s="662"/>
      <c r="F1510" s="375"/>
    </row>
    <row r="1511" spans="1:8" s="275" customFormat="1" x14ac:dyDescent="0.15">
      <c r="A1511" s="660"/>
      <c r="B1511" s="661"/>
      <c r="C1511" s="386">
        <v>41729</v>
      </c>
      <c r="D1511" s="359"/>
      <c r="E1511" s="662"/>
      <c r="F1511" s="375"/>
    </row>
    <row r="1512" spans="1:8" s="275" customFormat="1" x14ac:dyDescent="0.15">
      <c r="A1512" s="660"/>
      <c r="B1512" s="661"/>
      <c r="C1512" s="359"/>
      <c r="D1512" s="359"/>
      <c r="E1512" s="662"/>
      <c r="F1512" s="375"/>
    </row>
    <row r="1513" spans="1:8" s="275" customFormat="1" ht="14" thickBot="1" x14ac:dyDescent="0.2">
      <c r="A1513" s="663"/>
      <c r="B1513" s="664"/>
      <c r="C1513" s="665" t="s">
        <v>1195</v>
      </c>
      <c r="D1513" s="665"/>
      <c r="E1513" s="666">
        <f>SUM(E1476,E1503,E1507)</f>
        <v>191200.7</v>
      </c>
      <c r="F1513" s="667">
        <v>34645.329999999994</v>
      </c>
    </row>
    <row r="1514" spans="1:8" s="275" customFormat="1" x14ac:dyDescent="0.15">
      <c r="A1514" s="617"/>
      <c r="B1514" s="617"/>
      <c r="E1514" s="276"/>
      <c r="F1514" s="278"/>
    </row>
    <row r="1515" spans="1:8" s="275" customFormat="1" x14ac:dyDescent="0.15">
      <c r="A1515" s="652" t="s">
        <v>1534</v>
      </c>
      <c r="B1515" s="653" t="s">
        <v>1614</v>
      </c>
      <c r="C1515" s="371" t="s">
        <v>1492</v>
      </c>
      <c r="D1515" s="371" t="s">
        <v>1239</v>
      </c>
      <c r="E1515" s="654">
        <v>13040</v>
      </c>
      <c r="F1515" s="391">
        <v>2059.89</v>
      </c>
    </row>
    <row r="1516" spans="1:8" s="275" customFormat="1" x14ac:dyDescent="0.15">
      <c r="A1516" s="655" t="s">
        <v>1535</v>
      </c>
      <c r="B1516" s="591" t="s">
        <v>1615</v>
      </c>
      <c r="C1516" s="287" t="s">
        <v>1507</v>
      </c>
      <c r="D1516" s="287" t="s">
        <v>1245</v>
      </c>
      <c r="E1516" s="656">
        <v>3520</v>
      </c>
      <c r="F1516" s="381">
        <v>658.63</v>
      </c>
    </row>
    <row r="1517" spans="1:8" s="275" customFormat="1" x14ac:dyDescent="0.15">
      <c r="A1517" s="655" t="s">
        <v>1670</v>
      </c>
      <c r="B1517" s="591" t="s">
        <v>1659</v>
      </c>
      <c r="C1517" s="287" t="s">
        <v>1279</v>
      </c>
      <c r="D1517" s="287" t="s">
        <v>1660</v>
      </c>
      <c r="E1517" s="656">
        <v>8320</v>
      </c>
      <c r="F1517" s="381">
        <v>1367.44</v>
      </c>
    </row>
    <row r="1518" spans="1:8" s="275" customFormat="1" x14ac:dyDescent="0.15">
      <c r="A1518" s="655" t="s">
        <v>1536</v>
      </c>
      <c r="B1518" s="591" t="s">
        <v>1616</v>
      </c>
      <c r="C1518" s="287" t="s">
        <v>1479</v>
      </c>
      <c r="D1518" s="287" t="s">
        <v>1231</v>
      </c>
      <c r="E1518" s="656">
        <v>6592</v>
      </c>
      <c r="F1518" s="381">
        <v>984.4</v>
      </c>
    </row>
    <row r="1519" spans="1:8" s="275" customFormat="1" x14ac:dyDescent="0.15">
      <c r="A1519" s="655" t="s">
        <v>1537</v>
      </c>
      <c r="B1519" s="591" t="s">
        <v>1617</v>
      </c>
      <c r="C1519" s="287" t="s">
        <v>1269</v>
      </c>
      <c r="D1519" s="287" t="s">
        <v>1270</v>
      </c>
      <c r="E1519" s="656">
        <v>4623</v>
      </c>
      <c r="F1519" s="381">
        <v>715.1</v>
      </c>
    </row>
    <row r="1520" spans="1:8" s="275" customFormat="1" x14ac:dyDescent="0.15">
      <c r="A1520" s="655" t="s">
        <v>1538</v>
      </c>
      <c r="B1520" s="591" t="s">
        <v>1618</v>
      </c>
      <c r="C1520" s="287" t="s">
        <v>1517</v>
      </c>
      <c r="D1520" s="287" t="s">
        <v>1518</v>
      </c>
      <c r="E1520" s="656">
        <v>4</v>
      </c>
      <c r="F1520" s="381">
        <v>30.46</v>
      </c>
    </row>
    <row r="1521" spans="1:6" s="275" customFormat="1" x14ac:dyDescent="0.15">
      <c r="A1521" s="655" t="s">
        <v>1540</v>
      </c>
      <c r="B1521" s="591" t="s">
        <v>1620</v>
      </c>
      <c r="C1521" s="287" t="s">
        <v>1257</v>
      </c>
      <c r="D1521" s="287" t="s">
        <v>1258</v>
      </c>
      <c r="E1521" s="656">
        <v>26480</v>
      </c>
      <c r="F1521" s="381">
        <v>3875.57</v>
      </c>
    </row>
    <row r="1522" spans="1:6" s="275" customFormat="1" x14ac:dyDescent="0.15">
      <c r="A1522" s="655" t="s">
        <v>1541</v>
      </c>
      <c r="B1522" s="591" t="s">
        <v>1621</v>
      </c>
      <c r="C1522" s="287" t="s">
        <v>1586</v>
      </c>
      <c r="D1522" s="287" t="s">
        <v>1500</v>
      </c>
      <c r="E1522" s="656">
        <v>3840</v>
      </c>
      <c r="F1522" s="381">
        <v>641.52</v>
      </c>
    </row>
    <row r="1523" spans="1:6" s="275" customFormat="1" x14ac:dyDescent="0.15">
      <c r="A1523" s="655" t="s">
        <v>1542</v>
      </c>
      <c r="B1523" s="591" t="s">
        <v>1622</v>
      </c>
      <c r="C1523" s="287" t="s">
        <v>1240</v>
      </c>
      <c r="D1523" s="287" t="s">
        <v>1467</v>
      </c>
      <c r="E1523" s="656">
        <v>5223</v>
      </c>
      <c r="F1523" s="381">
        <v>790.83</v>
      </c>
    </row>
    <row r="1524" spans="1:6" s="275" customFormat="1" x14ac:dyDescent="0.15">
      <c r="A1524" s="655" t="s">
        <v>1543</v>
      </c>
      <c r="B1524" s="591" t="s">
        <v>1623</v>
      </c>
      <c r="C1524" s="287" t="s">
        <v>1523</v>
      </c>
      <c r="D1524" s="287" t="s">
        <v>1266</v>
      </c>
      <c r="E1524" s="656">
        <v>1071</v>
      </c>
      <c r="F1524" s="381">
        <v>250.84</v>
      </c>
    </row>
    <row r="1525" spans="1:6" s="275" customFormat="1" x14ac:dyDescent="0.15">
      <c r="A1525" s="655" t="s">
        <v>1544</v>
      </c>
      <c r="B1525" s="591" t="s">
        <v>1624</v>
      </c>
      <c r="C1525" s="287" t="s">
        <v>1234</v>
      </c>
      <c r="D1525" s="287" t="s">
        <v>1494</v>
      </c>
      <c r="E1525" s="656">
        <v>5798</v>
      </c>
      <c r="F1525" s="381">
        <v>947.73</v>
      </c>
    </row>
    <row r="1526" spans="1:6" s="275" customFormat="1" x14ac:dyDescent="0.15">
      <c r="A1526" s="655" t="s">
        <v>1601</v>
      </c>
      <c r="B1526" s="591"/>
      <c r="C1526" s="287" t="s">
        <v>1334</v>
      </c>
      <c r="D1526" s="287" t="s">
        <v>1462</v>
      </c>
      <c r="E1526" s="656">
        <f>1299.3+1499.2</f>
        <v>2798.5</v>
      </c>
      <c r="F1526" s="381">
        <v>544.23</v>
      </c>
    </row>
    <row r="1527" spans="1:6" s="275" customFormat="1" x14ac:dyDescent="0.15">
      <c r="A1527" s="655" t="s">
        <v>1545</v>
      </c>
      <c r="B1527" s="591"/>
      <c r="C1527" s="287" t="s">
        <v>1234</v>
      </c>
      <c r="D1527" s="287" t="s">
        <v>1494</v>
      </c>
      <c r="E1527" s="656">
        <f>6+57.8</f>
        <v>63.8</v>
      </c>
      <c r="F1527" s="381">
        <v>14.899999999999999</v>
      </c>
    </row>
    <row r="1528" spans="1:6" s="275" customFormat="1" x14ac:dyDescent="0.15">
      <c r="A1528" s="655" t="s">
        <v>1602</v>
      </c>
      <c r="B1528" s="591"/>
      <c r="C1528" s="287" t="s">
        <v>1334</v>
      </c>
      <c r="D1528" s="287" t="s">
        <v>1462</v>
      </c>
      <c r="E1528" s="656">
        <f>72.7+83.9</f>
        <v>156.60000000000002</v>
      </c>
      <c r="F1528" s="381">
        <v>43.06</v>
      </c>
    </row>
    <row r="1529" spans="1:6" s="275" customFormat="1" x14ac:dyDescent="0.15">
      <c r="A1529" s="655" t="s">
        <v>1546</v>
      </c>
      <c r="B1529" s="591"/>
      <c r="C1529" s="287" t="s">
        <v>1586</v>
      </c>
      <c r="D1529" s="287" t="s">
        <v>1500</v>
      </c>
      <c r="E1529" s="656">
        <f>6.9+66.3</f>
        <v>73.2</v>
      </c>
      <c r="F1529" s="381">
        <v>24.94</v>
      </c>
    </row>
    <row r="1530" spans="1:6" s="275" customFormat="1" x14ac:dyDescent="0.15">
      <c r="A1530" s="655" t="s">
        <v>1547</v>
      </c>
      <c r="B1530" s="591"/>
      <c r="C1530" s="287" t="s">
        <v>1286</v>
      </c>
      <c r="D1530" s="287" t="s">
        <v>1514</v>
      </c>
      <c r="E1530" s="656">
        <f>186.6+6.4</f>
        <v>193</v>
      </c>
      <c r="F1530" s="381">
        <v>45.83</v>
      </c>
    </row>
    <row r="1531" spans="1:6" s="275" customFormat="1" x14ac:dyDescent="0.15">
      <c r="A1531" s="655" t="s">
        <v>1549</v>
      </c>
      <c r="B1531" s="591" t="s">
        <v>1625</v>
      </c>
      <c r="C1531" s="287" t="s">
        <v>1459</v>
      </c>
      <c r="D1531" s="287" t="s">
        <v>1251</v>
      </c>
      <c r="E1531" s="656">
        <v>1866</v>
      </c>
      <c r="F1531" s="381">
        <v>325.8</v>
      </c>
    </row>
    <row r="1532" spans="1:6" s="275" customFormat="1" x14ac:dyDescent="0.15">
      <c r="A1532" s="655" t="s">
        <v>1603</v>
      </c>
      <c r="B1532" s="591"/>
      <c r="C1532" s="287" t="s">
        <v>1334</v>
      </c>
      <c r="D1532" s="287" t="s">
        <v>1462</v>
      </c>
      <c r="E1532" s="656">
        <f>543.4+627</f>
        <v>1170.4000000000001</v>
      </c>
      <c r="F1532" s="381">
        <v>244.23000000000002</v>
      </c>
    </row>
    <row r="1533" spans="1:6" s="275" customFormat="1" x14ac:dyDescent="0.15">
      <c r="A1533" s="655" t="s">
        <v>1597</v>
      </c>
      <c r="B1533" s="591" t="s">
        <v>1626</v>
      </c>
      <c r="C1533" s="287" t="s">
        <v>1454</v>
      </c>
      <c r="D1533" s="287" t="s">
        <v>1247</v>
      </c>
      <c r="E1533" s="656">
        <v>5040</v>
      </c>
      <c r="F1533" s="381">
        <v>792.97</v>
      </c>
    </row>
    <row r="1534" spans="1:6" s="275" customFormat="1" x14ac:dyDescent="0.15">
      <c r="A1534" s="655" t="s">
        <v>1551</v>
      </c>
      <c r="B1534" s="591" t="s">
        <v>1627</v>
      </c>
      <c r="C1534" s="287" t="s">
        <v>1235</v>
      </c>
      <c r="D1534" s="287" t="s">
        <v>1236</v>
      </c>
      <c r="E1534" s="656">
        <v>9044</v>
      </c>
      <c r="F1534" s="381">
        <v>1377.26</v>
      </c>
    </row>
    <row r="1535" spans="1:6" s="275" customFormat="1" x14ac:dyDescent="0.15">
      <c r="A1535" s="655" t="s">
        <v>1553</v>
      </c>
      <c r="B1535" s="591" t="s">
        <v>1628</v>
      </c>
      <c r="C1535" s="287" t="s">
        <v>1475</v>
      </c>
      <c r="D1535" s="287" t="s">
        <v>1387</v>
      </c>
      <c r="E1535" s="656">
        <v>1452</v>
      </c>
      <c r="F1535" s="381">
        <v>263.57</v>
      </c>
    </row>
    <row r="1536" spans="1:6" s="275" customFormat="1" x14ac:dyDescent="0.15">
      <c r="A1536" s="655" t="s">
        <v>1554</v>
      </c>
      <c r="B1536" s="591" t="s">
        <v>1629</v>
      </c>
      <c r="C1536" s="287" t="s">
        <v>1399</v>
      </c>
      <c r="D1536" s="287" t="s">
        <v>1276</v>
      </c>
      <c r="E1536" s="656">
        <v>4880</v>
      </c>
      <c r="F1536" s="381">
        <v>805.36</v>
      </c>
    </row>
    <row r="1537" spans="1:6" s="275" customFormat="1" x14ac:dyDescent="0.15">
      <c r="A1537" s="655" t="s">
        <v>1598</v>
      </c>
      <c r="B1537" s="591"/>
      <c r="C1537" s="287" t="s">
        <v>1586</v>
      </c>
      <c r="D1537" s="287" t="s">
        <v>1500</v>
      </c>
      <c r="E1537" s="656">
        <f>3.4+33.2</f>
        <v>36.6</v>
      </c>
      <c r="F1537" s="381">
        <v>15.049999999999999</v>
      </c>
    </row>
    <row r="1538" spans="1:6" s="275" customFormat="1" x14ac:dyDescent="0.15">
      <c r="A1538" s="655" t="s">
        <v>1662</v>
      </c>
      <c r="B1538" s="657">
        <v>892914652</v>
      </c>
      <c r="C1538" s="287" t="s">
        <v>1663</v>
      </c>
      <c r="D1538" s="287" t="s">
        <v>1664</v>
      </c>
      <c r="E1538" s="656">
        <v>10080</v>
      </c>
      <c r="F1538" s="381">
        <v>2048.81</v>
      </c>
    </row>
    <row r="1539" spans="1:6" s="275" customFormat="1" ht="14" thickBot="1" x14ac:dyDescent="0.2">
      <c r="A1539" s="655"/>
      <c r="B1539" s="591"/>
      <c r="C1539" s="291" t="s">
        <v>1630</v>
      </c>
      <c r="D1539" s="287"/>
      <c r="E1539" s="638">
        <f>SUM(E1515:E1538)</f>
        <v>115365.1</v>
      </c>
      <c r="F1539" s="658">
        <v>18868.419999999998</v>
      </c>
    </row>
    <row r="1540" spans="1:6" s="275" customFormat="1" ht="14" thickTop="1" x14ac:dyDescent="0.15">
      <c r="A1540" s="655"/>
      <c r="B1540" s="591"/>
      <c r="C1540" s="287"/>
      <c r="D1540" s="287"/>
      <c r="E1540" s="524"/>
      <c r="F1540" s="381"/>
    </row>
    <row r="1541" spans="1:6" s="275" customFormat="1" x14ac:dyDescent="0.15">
      <c r="A1541" s="655" t="s">
        <v>1556</v>
      </c>
      <c r="B1541" s="591" t="s">
        <v>1631</v>
      </c>
      <c r="C1541" s="287" t="s">
        <v>1248</v>
      </c>
      <c r="D1541" s="287" t="s">
        <v>1482</v>
      </c>
      <c r="E1541" s="656">
        <v>4056</v>
      </c>
      <c r="F1541" s="381">
        <v>711.82</v>
      </c>
    </row>
    <row r="1542" spans="1:6" s="295" customFormat="1" x14ac:dyDescent="0.15">
      <c r="A1542" s="655" t="s">
        <v>1558</v>
      </c>
      <c r="B1542" s="591" t="s">
        <v>1633</v>
      </c>
      <c r="C1542" s="287" t="s">
        <v>1469</v>
      </c>
      <c r="D1542" s="287" t="s">
        <v>1470</v>
      </c>
      <c r="E1542" s="656">
        <v>6640</v>
      </c>
      <c r="F1542" s="381">
        <v>1073.83</v>
      </c>
    </row>
    <row r="1543" spans="1:6" s="275" customFormat="1" x14ac:dyDescent="0.15">
      <c r="A1543" s="655" t="s">
        <v>1559</v>
      </c>
      <c r="B1543" s="591" t="s">
        <v>1634</v>
      </c>
      <c r="C1543" s="287" t="s">
        <v>1502</v>
      </c>
      <c r="D1543" s="287" t="s">
        <v>1381</v>
      </c>
      <c r="E1543" s="656">
        <v>19968</v>
      </c>
      <c r="F1543" s="381">
        <v>2961.17</v>
      </c>
    </row>
    <row r="1544" spans="1:6" s="275" customFormat="1" x14ac:dyDescent="0.15">
      <c r="A1544" s="655" t="s">
        <v>1560</v>
      </c>
      <c r="B1544" s="591" t="s">
        <v>1635</v>
      </c>
      <c r="C1544" s="287" t="s">
        <v>1504</v>
      </c>
      <c r="D1544" s="287" t="s">
        <v>1505</v>
      </c>
      <c r="E1544" s="656">
        <v>1475</v>
      </c>
      <c r="F1544" s="381">
        <v>235.6</v>
      </c>
    </row>
    <row r="1545" spans="1:6" s="275" customFormat="1" x14ac:dyDescent="0.15">
      <c r="A1545" s="655" t="s">
        <v>1675</v>
      </c>
      <c r="B1545" s="591" t="s">
        <v>1676</v>
      </c>
      <c r="C1545" s="287" t="s">
        <v>1477</v>
      </c>
      <c r="D1545" s="287" t="s">
        <v>1289</v>
      </c>
      <c r="E1545" s="656">
        <v>12730</v>
      </c>
      <c r="F1545" s="381">
        <v>2252.69</v>
      </c>
    </row>
    <row r="1546" spans="1:6" s="275" customFormat="1" x14ac:dyDescent="0.15">
      <c r="A1546" s="655" t="s">
        <v>1563</v>
      </c>
      <c r="B1546" s="591"/>
      <c r="C1546" s="287" t="s">
        <v>1267</v>
      </c>
      <c r="D1546" s="287" t="s">
        <v>1268</v>
      </c>
      <c r="E1546" s="656">
        <f>6+57.8</f>
        <v>63.8</v>
      </c>
      <c r="F1546" s="381">
        <v>11.5</v>
      </c>
    </row>
    <row r="1547" spans="1:6" s="275" customFormat="1" x14ac:dyDescent="0.15">
      <c r="A1547" s="655" t="s">
        <v>1564</v>
      </c>
      <c r="B1547" s="591" t="s">
        <v>1636</v>
      </c>
      <c r="C1547" s="287" t="s">
        <v>1485</v>
      </c>
      <c r="D1547" s="287" t="s">
        <v>1486</v>
      </c>
      <c r="E1547" s="656">
        <v>1720</v>
      </c>
      <c r="F1547" s="381">
        <v>362.65</v>
      </c>
    </row>
    <row r="1548" spans="1:6" s="275" customFormat="1" x14ac:dyDescent="0.15">
      <c r="A1548" s="655" t="s">
        <v>1565</v>
      </c>
      <c r="B1548" s="591" t="s">
        <v>1637</v>
      </c>
      <c r="C1548" s="287" t="s">
        <v>1267</v>
      </c>
      <c r="D1548" s="287" t="s">
        <v>1268</v>
      </c>
      <c r="E1548" s="656">
        <v>2190</v>
      </c>
      <c r="F1548" s="381">
        <v>397.53</v>
      </c>
    </row>
    <row r="1549" spans="1:6" s="275" customFormat="1" x14ac:dyDescent="0.15">
      <c r="A1549" s="655" t="s">
        <v>1569</v>
      </c>
      <c r="B1549" s="591" t="s">
        <v>1638</v>
      </c>
      <c r="C1549" s="287" t="s">
        <v>1464</v>
      </c>
      <c r="D1549" s="287" t="s">
        <v>1285</v>
      </c>
      <c r="E1549" s="656">
        <v>848</v>
      </c>
      <c r="F1549" s="381">
        <v>179.71</v>
      </c>
    </row>
    <row r="1550" spans="1:6" s="275" customFormat="1" x14ac:dyDescent="0.15">
      <c r="A1550" s="655" t="s">
        <v>1570</v>
      </c>
      <c r="B1550" s="591" t="s">
        <v>1639</v>
      </c>
      <c r="C1550" s="287" t="s">
        <v>1472</v>
      </c>
      <c r="D1550" s="287" t="s">
        <v>1473</v>
      </c>
      <c r="E1550" s="656">
        <v>67</v>
      </c>
      <c r="F1550" s="381">
        <v>37.6</v>
      </c>
    </row>
    <row r="1551" spans="1:6" s="275" customFormat="1" x14ac:dyDescent="0.15">
      <c r="A1551" s="655" t="s">
        <v>1571</v>
      </c>
      <c r="B1551" s="591" t="s">
        <v>1640</v>
      </c>
      <c r="C1551" s="287" t="s">
        <v>1489</v>
      </c>
      <c r="D1551" s="287" t="s">
        <v>1490</v>
      </c>
      <c r="E1551" s="656">
        <v>192</v>
      </c>
      <c r="F1551" s="381">
        <v>51.77</v>
      </c>
    </row>
    <row r="1552" spans="1:6" s="275" customFormat="1" x14ac:dyDescent="0.15">
      <c r="A1552" s="655" t="s">
        <v>1572</v>
      </c>
      <c r="B1552" s="591" t="s">
        <v>1641</v>
      </c>
      <c r="C1552" s="287" t="s">
        <v>1271</v>
      </c>
      <c r="D1552" s="287" t="s">
        <v>1272</v>
      </c>
      <c r="E1552" s="656">
        <v>4583</v>
      </c>
      <c r="F1552" s="381">
        <v>733.45</v>
      </c>
    </row>
    <row r="1553" spans="1:6" s="275" customFormat="1" x14ac:dyDescent="0.15">
      <c r="A1553" s="655" t="s">
        <v>1573</v>
      </c>
      <c r="B1553" s="591"/>
      <c r="C1553" s="287" t="s">
        <v>1461</v>
      </c>
      <c r="D1553" s="287" t="s">
        <v>1462</v>
      </c>
      <c r="E1553" s="656">
        <v>26</v>
      </c>
      <c r="F1553" s="381">
        <v>16.489999999999998</v>
      </c>
    </row>
    <row r="1554" spans="1:6" s="275" customFormat="1" x14ac:dyDescent="0.15">
      <c r="A1554" s="655" t="s">
        <v>1574</v>
      </c>
      <c r="B1554" s="591" t="s">
        <v>1642</v>
      </c>
      <c r="C1554" s="287" t="s">
        <v>1377</v>
      </c>
      <c r="D1554" s="287" t="s">
        <v>1378</v>
      </c>
      <c r="E1554" s="656">
        <v>1626</v>
      </c>
      <c r="F1554" s="381">
        <v>275.63</v>
      </c>
    </row>
    <row r="1555" spans="1:6" s="275" customFormat="1" x14ac:dyDescent="0.15">
      <c r="A1555" s="655" t="s">
        <v>1575</v>
      </c>
      <c r="B1555" s="591" t="s">
        <v>1685</v>
      </c>
      <c r="C1555" s="287" t="s">
        <v>1448</v>
      </c>
      <c r="D1555" s="287" t="s">
        <v>1449</v>
      </c>
      <c r="E1555" s="656">
        <v>304</v>
      </c>
      <c r="F1555" s="381">
        <v>58.14</v>
      </c>
    </row>
    <row r="1556" spans="1:6" s="275" customFormat="1" x14ac:dyDescent="0.15">
      <c r="A1556" s="655" t="s">
        <v>1604</v>
      </c>
      <c r="B1556" s="591"/>
      <c r="C1556" s="287" t="s">
        <v>1334</v>
      </c>
      <c r="D1556" s="287" t="s">
        <v>1462</v>
      </c>
      <c r="E1556" s="656">
        <f>68+78.4</f>
        <v>146.4</v>
      </c>
      <c r="F1556" s="381">
        <v>50.2</v>
      </c>
    </row>
    <row r="1557" spans="1:6" s="275" customFormat="1" x14ac:dyDescent="0.15">
      <c r="A1557" s="655" t="s">
        <v>1576</v>
      </c>
      <c r="B1557" s="591" t="s">
        <v>1644</v>
      </c>
      <c r="C1557" s="287" t="s">
        <v>1401</v>
      </c>
      <c r="D1557" s="287" t="s">
        <v>1316</v>
      </c>
      <c r="E1557" s="656">
        <v>37</v>
      </c>
      <c r="F1557" s="381">
        <v>34.44</v>
      </c>
    </row>
    <row r="1558" spans="1:6" s="275" customFormat="1" x14ac:dyDescent="0.15">
      <c r="A1558" s="655" t="s">
        <v>1605</v>
      </c>
      <c r="B1558" s="591"/>
      <c r="C1558" s="287" t="s">
        <v>1334</v>
      </c>
      <c r="D1558" s="287" t="s">
        <v>1462</v>
      </c>
      <c r="E1558" s="656">
        <f>247.9+286.1</f>
        <v>534</v>
      </c>
      <c r="F1558" s="381">
        <v>182.59</v>
      </c>
    </row>
    <row r="1559" spans="1:6" s="275" customFormat="1" x14ac:dyDescent="0.15">
      <c r="A1559" s="655" t="s">
        <v>1578</v>
      </c>
      <c r="B1559" s="591" t="s">
        <v>1646</v>
      </c>
      <c r="C1559" s="287" t="s">
        <v>1579</v>
      </c>
      <c r="D1559" s="287" t="s">
        <v>1497</v>
      </c>
      <c r="E1559" s="659">
        <v>0</v>
      </c>
      <c r="F1559" s="381">
        <v>0</v>
      </c>
    </row>
    <row r="1560" spans="1:6" s="275" customFormat="1" x14ac:dyDescent="0.15">
      <c r="A1560" s="655" t="s">
        <v>1580</v>
      </c>
      <c r="B1560" s="591" t="s">
        <v>1647</v>
      </c>
      <c r="C1560" s="287" t="s">
        <v>1451</v>
      </c>
      <c r="D1560" s="287" t="s">
        <v>1674</v>
      </c>
      <c r="E1560" s="656">
        <v>4608</v>
      </c>
      <c r="F1560" s="381">
        <v>2209.85</v>
      </c>
    </row>
    <row r="1561" spans="1:6" s="275" customFormat="1" x14ac:dyDescent="0.15">
      <c r="A1561" s="655" t="s">
        <v>1581</v>
      </c>
      <c r="B1561" s="591" t="s">
        <v>1648</v>
      </c>
      <c r="C1561" s="287" t="s">
        <v>1521</v>
      </c>
      <c r="D1561" s="287" t="s">
        <v>1229</v>
      </c>
      <c r="E1561" s="656">
        <v>3746</v>
      </c>
      <c r="F1561" s="381">
        <v>585</v>
      </c>
    </row>
    <row r="1562" spans="1:6" s="275" customFormat="1" x14ac:dyDescent="0.15">
      <c r="A1562" s="655" t="s">
        <v>1582</v>
      </c>
      <c r="B1562" s="591" t="s">
        <v>1649</v>
      </c>
      <c r="C1562" s="287" t="s">
        <v>1525</v>
      </c>
      <c r="D1562" s="287" t="s">
        <v>1526</v>
      </c>
      <c r="E1562" s="656">
        <v>12</v>
      </c>
      <c r="F1562" s="381">
        <v>8.06</v>
      </c>
    </row>
    <row r="1563" spans="1:6" s="275" customFormat="1" ht="14" x14ac:dyDescent="0.15">
      <c r="A1563" s="655" t="s">
        <v>1583</v>
      </c>
      <c r="B1563" s="591" t="s">
        <v>1650</v>
      </c>
      <c r="C1563" s="287" t="s">
        <v>1584</v>
      </c>
      <c r="D1563" s="618" t="s">
        <v>1264</v>
      </c>
      <c r="E1563" s="656">
        <v>1480</v>
      </c>
      <c r="F1563" s="381">
        <v>411.75</v>
      </c>
    </row>
    <row r="1564" spans="1:6" s="275" customFormat="1" x14ac:dyDescent="0.15">
      <c r="A1564" s="655" t="s">
        <v>1666</v>
      </c>
      <c r="B1564" s="591" t="s">
        <v>1672</v>
      </c>
      <c r="C1564" s="287" t="s">
        <v>1667</v>
      </c>
      <c r="D1564" s="287" t="s">
        <v>1668</v>
      </c>
      <c r="E1564" s="656">
        <v>21696</v>
      </c>
      <c r="F1564" s="381">
        <v>5711.8</v>
      </c>
    </row>
    <row r="1565" spans="1:6" s="275" customFormat="1" x14ac:dyDescent="0.15">
      <c r="A1565" s="655" t="s">
        <v>1606</v>
      </c>
      <c r="B1565" s="591"/>
      <c r="C1565" s="287" t="s">
        <v>1334</v>
      </c>
      <c r="D1565" s="287" t="s">
        <v>1462</v>
      </c>
      <c r="E1565" s="656">
        <f>29.6+34.2</f>
        <v>63.800000000000004</v>
      </c>
      <c r="F1565" s="381">
        <v>12.52</v>
      </c>
    </row>
    <row r="1566" spans="1:6" s="275" customFormat="1" ht="14" thickBot="1" x14ac:dyDescent="0.2">
      <c r="A1566" s="655"/>
      <c r="B1566" s="591"/>
      <c r="C1566" s="291" t="s">
        <v>1652</v>
      </c>
      <c r="D1566" s="287"/>
      <c r="E1566" s="643">
        <f>SUM(E1541:E1565)</f>
        <v>88812.000000000015</v>
      </c>
      <c r="F1566" s="658">
        <v>18565.79</v>
      </c>
    </row>
    <row r="1567" spans="1:6" s="275" customFormat="1" ht="14" thickTop="1" x14ac:dyDescent="0.15">
      <c r="A1567" s="660"/>
      <c r="B1567" s="661"/>
      <c r="C1567" s="359"/>
      <c r="D1567" s="359"/>
      <c r="E1567" s="662"/>
      <c r="F1567" s="375"/>
    </row>
    <row r="1568" spans="1:6" s="275" customFormat="1" ht="14" thickBot="1" x14ac:dyDescent="0.2">
      <c r="A1568" s="655" t="s">
        <v>1677</v>
      </c>
      <c r="B1568" s="591" t="s">
        <v>1678</v>
      </c>
      <c r="C1568" s="287" t="s">
        <v>1313</v>
      </c>
      <c r="D1568" s="287" t="s">
        <v>1412</v>
      </c>
      <c r="E1568" s="656">
        <v>1585</v>
      </c>
      <c r="F1568" s="381">
        <v>317.23</v>
      </c>
    </row>
    <row r="1569" spans="1:8" s="275" customFormat="1" x14ac:dyDescent="0.15">
      <c r="A1569" s="655" t="s">
        <v>1679</v>
      </c>
      <c r="B1569" s="591" t="s">
        <v>1680</v>
      </c>
      <c r="C1569" s="287" t="s">
        <v>1313</v>
      </c>
      <c r="D1569" s="287" t="s">
        <v>1412</v>
      </c>
      <c r="E1569" s="656">
        <v>0</v>
      </c>
      <c r="F1569" s="381">
        <v>30</v>
      </c>
      <c r="H1569" s="647" t="s">
        <v>1589</v>
      </c>
    </row>
    <row r="1570" spans="1:8" s="275" customFormat="1" ht="14" thickBot="1" x14ac:dyDescent="0.2">
      <c r="A1570" s="655"/>
      <c r="B1570" s="591"/>
      <c r="C1570" s="291" t="s">
        <v>1687</v>
      </c>
      <c r="D1570" s="287"/>
      <c r="E1570" s="643">
        <f>SUM(E1568:E1569)</f>
        <v>1585</v>
      </c>
      <c r="F1570" s="658">
        <v>347.23</v>
      </c>
      <c r="H1570" s="648">
        <f>SUM(F1539,F1566,F1570)</f>
        <v>37781.440000000002</v>
      </c>
    </row>
    <row r="1571" spans="1:8" s="275" customFormat="1" ht="14" thickTop="1" x14ac:dyDescent="0.15">
      <c r="A1571" s="660"/>
      <c r="B1571" s="661"/>
      <c r="C1571" s="359"/>
      <c r="D1571" s="359"/>
      <c r="E1571" s="662"/>
      <c r="F1571" s="375"/>
    </row>
    <row r="1572" spans="1:8" s="275" customFormat="1" x14ac:dyDescent="0.15">
      <c r="A1572" s="660"/>
      <c r="B1572" s="661"/>
      <c r="C1572" s="293" t="s">
        <v>1594</v>
      </c>
      <c r="D1572" s="359"/>
      <c r="E1572" s="662"/>
      <c r="F1572" s="375"/>
    </row>
    <row r="1573" spans="1:8" s="275" customFormat="1" x14ac:dyDescent="0.15">
      <c r="A1573" s="660"/>
      <c r="B1573" s="661"/>
      <c r="C1573" s="293" t="s">
        <v>1446</v>
      </c>
      <c r="D1573" s="359"/>
      <c r="E1573" s="662"/>
      <c r="F1573" s="375"/>
    </row>
    <row r="1574" spans="1:8" s="275" customFormat="1" x14ac:dyDescent="0.15">
      <c r="A1574" s="660"/>
      <c r="B1574" s="661"/>
      <c r="C1574" s="386">
        <v>41759</v>
      </c>
      <c r="D1574" s="359"/>
      <c r="E1574" s="662"/>
      <c r="F1574" s="375"/>
    </row>
    <row r="1575" spans="1:8" s="275" customFormat="1" x14ac:dyDescent="0.15">
      <c r="A1575" s="660"/>
      <c r="B1575" s="661"/>
      <c r="C1575" s="359"/>
      <c r="D1575" s="359"/>
      <c r="E1575" s="662"/>
      <c r="F1575" s="375"/>
    </row>
    <row r="1576" spans="1:8" s="275" customFormat="1" ht="14" thickBot="1" x14ac:dyDescent="0.2">
      <c r="A1576" s="663"/>
      <c r="B1576" s="664"/>
      <c r="C1576" s="665" t="s">
        <v>1196</v>
      </c>
      <c r="D1576" s="665"/>
      <c r="E1576" s="666">
        <f>SUM(E1539,E1566,E1570)</f>
        <v>205762.10000000003</v>
      </c>
      <c r="F1576" s="667">
        <v>37781.439999999995</v>
      </c>
    </row>
    <row r="1577" spans="1:8" s="275" customFormat="1" x14ac:dyDescent="0.15">
      <c r="A1577" s="617"/>
      <c r="B1577" s="617"/>
      <c r="E1577" s="276"/>
      <c r="F1577" s="278"/>
    </row>
    <row r="1578" spans="1:8" s="275" customFormat="1" x14ac:dyDescent="0.15">
      <c r="A1578" s="652" t="s">
        <v>1534</v>
      </c>
      <c r="B1578" s="653" t="s">
        <v>1614</v>
      </c>
      <c r="C1578" s="371" t="s">
        <v>1492</v>
      </c>
      <c r="D1578" s="371" t="s">
        <v>1239</v>
      </c>
      <c r="E1578" s="654">
        <v>11360</v>
      </c>
      <c r="F1578" s="391">
        <v>1777.58</v>
      </c>
    </row>
    <row r="1579" spans="1:8" s="275" customFormat="1" x14ac:dyDescent="0.15">
      <c r="A1579" s="655" t="s">
        <v>1535</v>
      </c>
      <c r="B1579" s="591" t="s">
        <v>1615</v>
      </c>
      <c r="C1579" s="287" t="s">
        <v>1507</v>
      </c>
      <c r="D1579" s="287" t="s">
        <v>1245</v>
      </c>
      <c r="E1579" s="656">
        <v>2600</v>
      </c>
      <c r="F1579" s="381">
        <v>508.36</v>
      </c>
    </row>
    <row r="1580" spans="1:8" s="275" customFormat="1" x14ac:dyDescent="0.15">
      <c r="A1580" s="655" t="s">
        <v>1670</v>
      </c>
      <c r="B1580" s="591" t="s">
        <v>1659</v>
      </c>
      <c r="C1580" s="287" t="s">
        <v>1279</v>
      </c>
      <c r="D1580" s="287" t="s">
        <v>1660</v>
      </c>
      <c r="E1580" s="656">
        <v>6560</v>
      </c>
      <c r="F1580" s="381">
        <v>1156.5999999999999</v>
      </c>
    </row>
    <row r="1581" spans="1:8" s="275" customFormat="1" x14ac:dyDescent="0.15">
      <c r="A1581" s="655" t="s">
        <v>1536</v>
      </c>
      <c r="B1581" s="591" t="s">
        <v>1616</v>
      </c>
      <c r="C1581" s="287" t="s">
        <v>1479</v>
      </c>
      <c r="D1581" s="287" t="s">
        <v>1231</v>
      </c>
      <c r="E1581" s="656">
        <v>5824</v>
      </c>
      <c r="F1581" s="381">
        <v>897.25</v>
      </c>
    </row>
    <row r="1582" spans="1:8" s="275" customFormat="1" x14ac:dyDescent="0.15">
      <c r="A1582" s="655" t="s">
        <v>1537</v>
      </c>
      <c r="B1582" s="591" t="s">
        <v>1617</v>
      </c>
      <c r="C1582" s="287" t="s">
        <v>1269</v>
      </c>
      <c r="D1582" s="287" t="s">
        <v>1270</v>
      </c>
      <c r="E1582" s="656">
        <v>3307</v>
      </c>
      <c r="F1582" s="381">
        <v>565.72</v>
      </c>
    </row>
    <row r="1583" spans="1:8" s="275" customFormat="1" x14ac:dyDescent="0.15">
      <c r="A1583" s="655" t="s">
        <v>1538</v>
      </c>
      <c r="B1583" s="591" t="s">
        <v>1618</v>
      </c>
      <c r="C1583" s="287" t="s">
        <v>1517</v>
      </c>
      <c r="D1583" s="287" t="s">
        <v>1518</v>
      </c>
      <c r="E1583" s="656">
        <v>4</v>
      </c>
      <c r="F1583" s="381">
        <v>30.46</v>
      </c>
    </row>
    <row r="1584" spans="1:8" s="275" customFormat="1" x14ac:dyDescent="0.15">
      <c r="A1584" s="655" t="s">
        <v>1540</v>
      </c>
      <c r="B1584" s="591" t="s">
        <v>1620</v>
      </c>
      <c r="C1584" s="287" t="s">
        <v>1257</v>
      </c>
      <c r="D1584" s="287" t="s">
        <v>1258</v>
      </c>
      <c r="E1584" s="656">
        <v>23120</v>
      </c>
      <c r="F1584" s="381">
        <v>3509.46</v>
      </c>
    </row>
    <row r="1585" spans="1:6" s="275" customFormat="1" x14ac:dyDescent="0.15">
      <c r="A1585" s="655" t="s">
        <v>1541</v>
      </c>
      <c r="B1585" s="591" t="s">
        <v>1621</v>
      </c>
      <c r="C1585" s="287" t="s">
        <v>1586</v>
      </c>
      <c r="D1585" s="287" t="s">
        <v>1500</v>
      </c>
      <c r="E1585" s="656">
        <v>3240</v>
      </c>
      <c r="F1585" s="381">
        <v>619.20000000000005</v>
      </c>
    </row>
    <row r="1586" spans="1:6" s="275" customFormat="1" x14ac:dyDescent="0.15">
      <c r="A1586" s="655" t="s">
        <v>1542</v>
      </c>
      <c r="B1586" s="591" t="s">
        <v>1622</v>
      </c>
      <c r="C1586" s="287" t="s">
        <v>1240</v>
      </c>
      <c r="D1586" s="287" t="s">
        <v>1467</v>
      </c>
      <c r="E1586" s="656">
        <v>4284</v>
      </c>
      <c r="F1586" s="381">
        <v>676.63</v>
      </c>
    </row>
    <row r="1587" spans="1:6" s="275" customFormat="1" x14ac:dyDescent="0.15">
      <c r="A1587" s="655" t="s">
        <v>1543</v>
      </c>
      <c r="B1587" s="591" t="s">
        <v>1623</v>
      </c>
      <c r="C1587" s="287" t="s">
        <v>1523</v>
      </c>
      <c r="D1587" s="287" t="s">
        <v>1266</v>
      </c>
      <c r="E1587" s="656">
        <v>706</v>
      </c>
      <c r="F1587" s="381">
        <v>178.88</v>
      </c>
    </row>
    <row r="1588" spans="1:6" s="275" customFormat="1" x14ac:dyDescent="0.15">
      <c r="A1588" s="655" t="s">
        <v>1544</v>
      </c>
      <c r="B1588" s="591" t="s">
        <v>1624</v>
      </c>
      <c r="C1588" s="287" t="s">
        <v>1234</v>
      </c>
      <c r="D1588" s="287" t="s">
        <v>1494</v>
      </c>
      <c r="E1588" s="656">
        <v>4775</v>
      </c>
      <c r="F1588" s="381">
        <v>846.86</v>
      </c>
    </row>
    <row r="1589" spans="1:6" s="275" customFormat="1" x14ac:dyDescent="0.15">
      <c r="A1589" s="655" t="s">
        <v>1601</v>
      </c>
      <c r="B1589" s="591"/>
      <c r="C1589" s="287" t="s">
        <v>1334</v>
      </c>
      <c r="D1589" s="287" t="s">
        <v>1462</v>
      </c>
      <c r="E1589" s="656">
        <f>1223.7+1305.1</f>
        <v>2528.8000000000002</v>
      </c>
      <c r="F1589" s="381">
        <v>498.98</v>
      </c>
    </row>
    <row r="1590" spans="1:6" s="275" customFormat="1" x14ac:dyDescent="0.15">
      <c r="A1590" s="655" t="s">
        <v>1545</v>
      </c>
      <c r="B1590" s="591"/>
      <c r="C1590" s="287" t="s">
        <v>1234</v>
      </c>
      <c r="D1590" s="287" t="s">
        <v>1494</v>
      </c>
      <c r="E1590" s="656">
        <f>1.9+55.8</f>
        <v>57.699999999999996</v>
      </c>
      <c r="F1590" s="381">
        <v>14.129999999999999</v>
      </c>
    </row>
    <row r="1591" spans="1:6" s="275" customFormat="1" x14ac:dyDescent="0.15">
      <c r="A1591" s="655" t="s">
        <v>1602</v>
      </c>
      <c r="B1591" s="591"/>
      <c r="C1591" s="287" t="s">
        <v>1334</v>
      </c>
      <c r="D1591" s="287" t="s">
        <v>1462</v>
      </c>
      <c r="E1591" s="656">
        <f>68.2+72.8</f>
        <v>141</v>
      </c>
      <c r="F1591" s="381">
        <v>40.47</v>
      </c>
    </row>
    <row r="1592" spans="1:6" s="275" customFormat="1" x14ac:dyDescent="0.15">
      <c r="A1592" s="655" t="s">
        <v>1546</v>
      </c>
      <c r="B1592" s="591"/>
      <c r="C1592" s="287" t="s">
        <v>1586</v>
      </c>
      <c r="D1592" s="287" t="s">
        <v>1500</v>
      </c>
      <c r="E1592" s="656">
        <f>2.2+63.8</f>
        <v>66</v>
      </c>
      <c r="F1592" s="381">
        <v>23.98</v>
      </c>
    </row>
    <row r="1593" spans="1:6" s="275" customFormat="1" x14ac:dyDescent="0.15">
      <c r="A1593" s="655" t="s">
        <v>1547</v>
      </c>
      <c r="B1593" s="591"/>
      <c r="C1593" s="287" t="s">
        <v>1286</v>
      </c>
      <c r="D1593" s="287" t="s">
        <v>1514</v>
      </c>
      <c r="E1593" s="656">
        <f>163.5+10.9</f>
        <v>174.4</v>
      </c>
      <c r="F1593" s="381">
        <v>43.68</v>
      </c>
    </row>
    <row r="1594" spans="1:6" s="275" customFormat="1" x14ac:dyDescent="0.15">
      <c r="A1594" s="655" t="s">
        <v>1549</v>
      </c>
      <c r="B1594" s="591" t="s">
        <v>1625</v>
      </c>
      <c r="C1594" s="287" t="s">
        <v>1459</v>
      </c>
      <c r="D1594" s="287" t="s">
        <v>1251</v>
      </c>
      <c r="E1594" s="656">
        <v>1081</v>
      </c>
      <c r="F1594" s="381">
        <v>221.43</v>
      </c>
    </row>
    <row r="1595" spans="1:6" s="275" customFormat="1" x14ac:dyDescent="0.15">
      <c r="A1595" s="655" t="s">
        <v>1603</v>
      </c>
      <c r="B1595" s="591"/>
      <c r="C1595" s="287" t="s">
        <v>1334</v>
      </c>
      <c r="D1595" s="287" t="s">
        <v>1462</v>
      </c>
      <c r="E1595" s="656">
        <f>511.8+545.8</f>
        <v>1057.5999999999999</v>
      </c>
      <c r="F1595" s="381">
        <v>225.28</v>
      </c>
    </row>
    <row r="1596" spans="1:6" s="275" customFormat="1" x14ac:dyDescent="0.15">
      <c r="A1596" s="655" t="s">
        <v>1597</v>
      </c>
      <c r="B1596" s="591" t="s">
        <v>1626</v>
      </c>
      <c r="C1596" s="287" t="s">
        <v>1454</v>
      </c>
      <c r="D1596" s="287" t="s">
        <v>1247</v>
      </c>
      <c r="E1596" s="656">
        <v>4160</v>
      </c>
      <c r="F1596" s="381">
        <v>685.41</v>
      </c>
    </row>
    <row r="1597" spans="1:6" s="275" customFormat="1" x14ac:dyDescent="0.15">
      <c r="A1597" s="655" t="s">
        <v>1551</v>
      </c>
      <c r="B1597" s="591" t="s">
        <v>1627</v>
      </c>
      <c r="C1597" s="287" t="s">
        <v>1235</v>
      </c>
      <c r="D1597" s="287" t="s">
        <v>1236</v>
      </c>
      <c r="E1597" s="656">
        <v>7425</v>
      </c>
      <c r="F1597" s="381">
        <v>1178.19</v>
      </c>
    </row>
    <row r="1598" spans="1:6" s="275" customFormat="1" x14ac:dyDescent="0.15">
      <c r="A1598" s="655" t="s">
        <v>1553</v>
      </c>
      <c r="B1598" s="591" t="s">
        <v>1628</v>
      </c>
      <c r="C1598" s="287" t="s">
        <v>1475</v>
      </c>
      <c r="D1598" s="287" t="s">
        <v>1387</v>
      </c>
      <c r="E1598" s="656">
        <v>1146</v>
      </c>
      <c r="F1598" s="381">
        <v>208.02</v>
      </c>
    </row>
    <row r="1599" spans="1:6" s="275" customFormat="1" x14ac:dyDescent="0.15">
      <c r="A1599" s="655" t="s">
        <v>1554</v>
      </c>
      <c r="B1599" s="591" t="s">
        <v>1629</v>
      </c>
      <c r="C1599" s="287" t="s">
        <v>1399</v>
      </c>
      <c r="D1599" s="287" t="s">
        <v>1276</v>
      </c>
      <c r="E1599" s="656">
        <v>4520</v>
      </c>
      <c r="F1599" s="381">
        <v>779.78</v>
      </c>
    </row>
    <row r="1600" spans="1:6" s="275" customFormat="1" x14ac:dyDescent="0.15">
      <c r="A1600" s="655" t="s">
        <v>1598</v>
      </c>
      <c r="B1600" s="591"/>
      <c r="C1600" s="287" t="s">
        <v>1586</v>
      </c>
      <c r="D1600" s="287" t="s">
        <v>1500</v>
      </c>
      <c r="E1600" s="656">
        <f>1.1+31.9</f>
        <v>33</v>
      </c>
      <c r="F1600" s="381">
        <v>14.58</v>
      </c>
    </row>
    <row r="1601" spans="1:6" s="275" customFormat="1" x14ac:dyDescent="0.15">
      <c r="A1601" s="655" t="s">
        <v>1662</v>
      </c>
      <c r="B1601" s="657">
        <v>892914652</v>
      </c>
      <c r="C1601" s="287" t="s">
        <v>1663</v>
      </c>
      <c r="D1601" s="287" t="s">
        <v>1664</v>
      </c>
      <c r="E1601" s="656">
        <v>11200</v>
      </c>
      <c r="F1601" s="381">
        <v>2028.84</v>
      </c>
    </row>
    <row r="1602" spans="1:6" s="275" customFormat="1" ht="14" thickBot="1" x14ac:dyDescent="0.2">
      <c r="A1602" s="655"/>
      <c r="B1602" s="591"/>
      <c r="C1602" s="291" t="s">
        <v>1653</v>
      </c>
      <c r="D1602" s="287"/>
      <c r="E1602" s="638">
        <f>SUM(E1578:E1601)</f>
        <v>99370.5</v>
      </c>
      <c r="F1602" s="658">
        <v>16729.77</v>
      </c>
    </row>
    <row r="1603" spans="1:6" s="275" customFormat="1" ht="14" thickTop="1" x14ac:dyDescent="0.15">
      <c r="A1603" s="655"/>
      <c r="B1603" s="591"/>
      <c r="C1603" s="287"/>
      <c r="D1603" s="287"/>
      <c r="E1603" s="524"/>
      <c r="F1603" s="381"/>
    </row>
    <row r="1604" spans="1:6" s="275" customFormat="1" x14ac:dyDescent="0.15">
      <c r="A1604" s="655" t="s">
        <v>1556</v>
      </c>
      <c r="B1604" s="591" t="s">
        <v>1631</v>
      </c>
      <c r="C1604" s="287" t="s">
        <v>1248</v>
      </c>
      <c r="D1604" s="287" t="s">
        <v>1482</v>
      </c>
      <c r="E1604" s="656">
        <v>3664</v>
      </c>
      <c r="F1604" s="381">
        <v>644.4</v>
      </c>
    </row>
    <row r="1605" spans="1:6" s="295" customFormat="1" x14ac:dyDescent="0.15">
      <c r="A1605" s="655" t="s">
        <v>1558</v>
      </c>
      <c r="B1605" s="591" t="s">
        <v>1633</v>
      </c>
      <c r="C1605" s="287" t="s">
        <v>1469</v>
      </c>
      <c r="D1605" s="287" t="s">
        <v>1470</v>
      </c>
      <c r="E1605" s="656">
        <v>5680</v>
      </c>
      <c r="F1605" s="381">
        <v>949.6</v>
      </c>
    </row>
    <row r="1606" spans="1:6" s="275" customFormat="1" x14ac:dyDescent="0.15">
      <c r="A1606" s="655" t="s">
        <v>1559</v>
      </c>
      <c r="B1606" s="591" t="s">
        <v>1634</v>
      </c>
      <c r="C1606" s="287" t="s">
        <v>1502</v>
      </c>
      <c r="D1606" s="287" t="s">
        <v>1381</v>
      </c>
      <c r="E1606" s="656">
        <v>13248</v>
      </c>
      <c r="F1606" s="381">
        <v>1935.58</v>
      </c>
    </row>
    <row r="1607" spans="1:6" s="275" customFormat="1" x14ac:dyDescent="0.15">
      <c r="A1607" s="655" t="s">
        <v>1560</v>
      </c>
      <c r="B1607" s="591" t="s">
        <v>1635</v>
      </c>
      <c r="C1607" s="287" t="s">
        <v>1504</v>
      </c>
      <c r="D1607" s="287" t="s">
        <v>1505</v>
      </c>
      <c r="E1607" s="656">
        <v>1615</v>
      </c>
      <c r="F1607" s="381">
        <v>243.86</v>
      </c>
    </row>
    <row r="1608" spans="1:6" s="275" customFormat="1" x14ac:dyDescent="0.15">
      <c r="A1608" s="655" t="s">
        <v>1675</v>
      </c>
      <c r="B1608" s="591" t="s">
        <v>1676</v>
      </c>
      <c r="C1608" s="287" t="s">
        <v>1477</v>
      </c>
      <c r="D1608" s="287" t="s">
        <v>1289</v>
      </c>
      <c r="E1608" s="656">
        <v>10490</v>
      </c>
      <c r="F1608" s="381">
        <v>2081.69</v>
      </c>
    </row>
    <row r="1609" spans="1:6" s="275" customFormat="1" x14ac:dyDescent="0.15">
      <c r="A1609" s="655" t="s">
        <v>1563</v>
      </c>
      <c r="B1609" s="591"/>
      <c r="C1609" s="287" t="s">
        <v>1267</v>
      </c>
      <c r="D1609" s="287" t="s">
        <v>1268</v>
      </c>
      <c r="E1609" s="656">
        <f>1.9+55.8</f>
        <v>57.699999999999996</v>
      </c>
      <c r="F1609" s="381">
        <v>10.73</v>
      </c>
    </row>
    <row r="1610" spans="1:6" s="275" customFormat="1" x14ac:dyDescent="0.15">
      <c r="A1610" s="655" t="s">
        <v>1564</v>
      </c>
      <c r="B1610" s="591" t="s">
        <v>1636</v>
      </c>
      <c r="C1610" s="287" t="s">
        <v>1485</v>
      </c>
      <c r="D1610" s="287" t="s">
        <v>1486</v>
      </c>
      <c r="E1610" s="656">
        <v>1280</v>
      </c>
      <c r="F1610" s="381">
        <v>320.38</v>
      </c>
    </row>
    <row r="1611" spans="1:6" s="275" customFormat="1" x14ac:dyDescent="0.15">
      <c r="A1611" s="655" t="s">
        <v>1565</v>
      </c>
      <c r="B1611" s="591" t="s">
        <v>1637</v>
      </c>
      <c r="C1611" s="287" t="s">
        <v>1267</v>
      </c>
      <c r="D1611" s="287" t="s">
        <v>1268</v>
      </c>
      <c r="E1611" s="656">
        <v>2370</v>
      </c>
      <c r="F1611" s="381">
        <v>430.21</v>
      </c>
    </row>
    <row r="1612" spans="1:6" s="275" customFormat="1" x14ac:dyDescent="0.15">
      <c r="A1612" s="655" t="s">
        <v>1569</v>
      </c>
      <c r="B1612" s="591" t="s">
        <v>1638</v>
      </c>
      <c r="C1612" s="287" t="s">
        <v>1464</v>
      </c>
      <c r="D1612" s="287" t="s">
        <v>1285</v>
      </c>
      <c r="E1612" s="656">
        <v>1084</v>
      </c>
      <c r="F1612" s="381">
        <v>221.77</v>
      </c>
    </row>
    <row r="1613" spans="1:6" s="275" customFormat="1" x14ac:dyDescent="0.15">
      <c r="A1613" s="655" t="s">
        <v>1570</v>
      </c>
      <c r="B1613" s="591" t="s">
        <v>1639</v>
      </c>
      <c r="C1613" s="287" t="s">
        <v>1472</v>
      </c>
      <c r="D1613" s="287" t="s">
        <v>1473</v>
      </c>
      <c r="E1613" s="656">
        <v>88</v>
      </c>
      <c r="F1613" s="381">
        <v>39.99</v>
      </c>
    </row>
    <row r="1614" spans="1:6" s="275" customFormat="1" x14ac:dyDescent="0.15">
      <c r="A1614" s="655" t="s">
        <v>1571</v>
      </c>
      <c r="B1614" s="591" t="s">
        <v>1640</v>
      </c>
      <c r="C1614" s="287" t="s">
        <v>1489</v>
      </c>
      <c r="D1614" s="287" t="s">
        <v>1490</v>
      </c>
      <c r="E1614" s="656">
        <v>122</v>
      </c>
      <c r="F1614" s="381">
        <v>43.85</v>
      </c>
    </row>
    <row r="1615" spans="1:6" s="275" customFormat="1" x14ac:dyDescent="0.15">
      <c r="A1615" s="655" t="s">
        <v>1572</v>
      </c>
      <c r="B1615" s="591" t="s">
        <v>1641</v>
      </c>
      <c r="C1615" s="287" t="s">
        <v>1271</v>
      </c>
      <c r="D1615" s="287" t="s">
        <v>1272</v>
      </c>
      <c r="E1615" s="656">
        <v>4495</v>
      </c>
      <c r="F1615" s="381">
        <v>830.34</v>
      </c>
    </row>
    <row r="1616" spans="1:6" s="275" customFormat="1" x14ac:dyDescent="0.15">
      <c r="A1616" s="655" t="s">
        <v>1573</v>
      </c>
      <c r="B1616" s="591"/>
      <c r="C1616" s="287" t="s">
        <v>1461</v>
      </c>
      <c r="D1616" s="287" t="s">
        <v>1462</v>
      </c>
      <c r="E1616" s="656">
        <v>26</v>
      </c>
      <c r="F1616" s="381">
        <v>16.489999999999998</v>
      </c>
    </row>
    <row r="1617" spans="1:8" s="275" customFormat="1" x14ac:dyDescent="0.15">
      <c r="A1617" s="655" t="s">
        <v>1574</v>
      </c>
      <c r="B1617" s="591" t="s">
        <v>1642</v>
      </c>
      <c r="C1617" s="287" t="s">
        <v>1377</v>
      </c>
      <c r="D1617" s="287" t="s">
        <v>1378</v>
      </c>
      <c r="E1617" s="656">
        <v>1487</v>
      </c>
      <c r="F1617" s="381">
        <v>267.51</v>
      </c>
    </row>
    <row r="1618" spans="1:8" s="275" customFormat="1" x14ac:dyDescent="0.15">
      <c r="A1618" s="655" t="s">
        <v>1575</v>
      </c>
      <c r="B1618" s="591" t="s">
        <v>1685</v>
      </c>
      <c r="C1618" s="287" t="s">
        <v>1448</v>
      </c>
      <c r="D1618" s="287" t="s">
        <v>1449</v>
      </c>
      <c r="E1618" s="656">
        <v>343</v>
      </c>
      <c r="F1618" s="381">
        <v>64.84</v>
      </c>
    </row>
    <row r="1619" spans="1:8" s="275" customFormat="1" x14ac:dyDescent="0.15">
      <c r="A1619" s="655" t="s">
        <v>1604</v>
      </c>
      <c r="B1619" s="591"/>
      <c r="C1619" s="287" t="s">
        <v>1334</v>
      </c>
      <c r="D1619" s="287" t="s">
        <v>1462</v>
      </c>
      <c r="E1619" s="656">
        <f>63.9+68.1</f>
        <v>132</v>
      </c>
      <c r="F1619" s="381">
        <v>47.650000000000006</v>
      </c>
    </row>
    <row r="1620" spans="1:8" s="275" customFormat="1" x14ac:dyDescent="0.15">
      <c r="A1620" s="655" t="s">
        <v>1576</v>
      </c>
      <c r="B1620" s="591" t="s">
        <v>1644</v>
      </c>
      <c r="C1620" s="287" t="s">
        <v>1401</v>
      </c>
      <c r="D1620" s="287" t="s">
        <v>1316</v>
      </c>
      <c r="E1620" s="656">
        <v>38</v>
      </c>
      <c r="F1620" s="381">
        <v>34.57</v>
      </c>
    </row>
    <row r="1621" spans="1:8" s="275" customFormat="1" x14ac:dyDescent="0.15">
      <c r="A1621" s="655" t="s">
        <v>1605</v>
      </c>
      <c r="B1621" s="591"/>
      <c r="C1621" s="287" t="s">
        <v>1334</v>
      </c>
      <c r="D1621" s="287" t="s">
        <v>1462</v>
      </c>
      <c r="E1621" s="656">
        <f>233.2+248.8</f>
        <v>482</v>
      </c>
      <c r="F1621" s="381">
        <v>173.42000000000002</v>
      </c>
    </row>
    <row r="1622" spans="1:8" s="275" customFormat="1" x14ac:dyDescent="0.15">
      <c r="A1622" s="655" t="s">
        <v>1578</v>
      </c>
      <c r="B1622" s="591" t="s">
        <v>1646</v>
      </c>
      <c r="C1622" s="287" t="s">
        <v>1579</v>
      </c>
      <c r="D1622" s="287" t="s">
        <v>1497</v>
      </c>
      <c r="E1622" s="656">
        <v>23</v>
      </c>
      <c r="F1622" s="381">
        <v>32.619999999999997</v>
      </c>
    </row>
    <row r="1623" spans="1:8" s="275" customFormat="1" x14ac:dyDescent="0.15">
      <c r="A1623" s="655" t="s">
        <v>1580</v>
      </c>
      <c r="B1623" s="591" t="s">
        <v>1647</v>
      </c>
      <c r="C1623" s="287" t="s">
        <v>1451</v>
      </c>
      <c r="D1623" s="287" t="s">
        <v>1674</v>
      </c>
      <c r="E1623" s="656">
        <v>1152</v>
      </c>
      <c r="F1623" s="381">
        <v>1802.29</v>
      </c>
    </row>
    <row r="1624" spans="1:8" s="275" customFormat="1" x14ac:dyDescent="0.15">
      <c r="A1624" s="655" t="s">
        <v>1581</v>
      </c>
      <c r="B1624" s="591" t="s">
        <v>1648</v>
      </c>
      <c r="C1624" s="287" t="s">
        <v>1521</v>
      </c>
      <c r="D1624" s="287" t="s">
        <v>1229</v>
      </c>
      <c r="E1624" s="656">
        <v>2455</v>
      </c>
      <c r="F1624" s="381">
        <v>453.73</v>
      </c>
    </row>
    <row r="1625" spans="1:8" s="275" customFormat="1" x14ac:dyDescent="0.15">
      <c r="A1625" s="655" t="s">
        <v>1582</v>
      </c>
      <c r="B1625" s="591" t="s">
        <v>1649</v>
      </c>
      <c r="C1625" s="287" t="s">
        <v>1525</v>
      </c>
      <c r="D1625" s="287" t="s">
        <v>1526</v>
      </c>
      <c r="E1625" s="656">
        <v>10</v>
      </c>
      <c r="F1625" s="381">
        <v>7.72</v>
      </c>
    </row>
    <row r="1626" spans="1:8" s="275" customFormat="1" ht="14" x14ac:dyDescent="0.15">
      <c r="A1626" s="655" t="s">
        <v>1583</v>
      </c>
      <c r="B1626" s="591" t="s">
        <v>1650</v>
      </c>
      <c r="C1626" s="287" t="s">
        <v>1584</v>
      </c>
      <c r="D1626" s="618" t="s">
        <v>1264</v>
      </c>
      <c r="E1626" s="656">
        <v>1480</v>
      </c>
      <c r="F1626" s="381">
        <v>381.21</v>
      </c>
    </row>
    <row r="1627" spans="1:8" s="275" customFormat="1" x14ac:dyDescent="0.15">
      <c r="A1627" s="655" t="s">
        <v>1666</v>
      </c>
      <c r="B1627" s="591" t="s">
        <v>1672</v>
      </c>
      <c r="C1627" s="287" t="s">
        <v>1667</v>
      </c>
      <c r="D1627" s="287" t="s">
        <v>1668</v>
      </c>
      <c r="E1627" s="656">
        <v>15744</v>
      </c>
      <c r="F1627" s="381">
        <v>4714.79</v>
      </c>
    </row>
    <row r="1628" spans="1:8" s="275" customFormat="1" x14ac:dyDescent="0.15">
      <c r="A1628" s="655" t="s">
        <v>1606</v>
      </c>
      <c r="B1628" s="591"/>
      <c r="C1628" s="287" t="s">
        <v>1334</v>
      </c>
      <c r="D1628" s="287" t="s">
        <v>1462</v>
      </c>
      <c r="E1628" s="656">
        <f>27.9+29.8</f>
        <v>57.7</v>
      </c>
      <c r="F1628" s="381">
        <v>11.42</v>
      </c>
    </row>
    <row r="1629" spans="1:8" s="275" customFormat="1" ht="14" thickBot="1" x14ac:dyDescent="0.2">
      <c r="A1629" s="655"/>
      <c r="B1629" s="591"/>
      <c r="C1629" s="291" t="s">
        <v>1654</v>
      </c>
      <c r="D1629" s="287"/>
      <c r="E1629" s="643">
        <f>SUM(E1604:E1628)</f>
        <v>67623.399999999994</v>
      </c>
      <c r="F1629" s="658">
        <v>15760.659999999998</v>
      </c>
    </row>
    <row r="1630" spans="1:8" s="275" customFormat="1" ht="14" thickTop="1" x14ac:dyDescent="0.15">
      <c r="A1630" s="660"/>
      <c r="B1630" s="661"/>
      <c r="C1630" s="359"/>
      <c r="D1630" s="359"/>
      <c r="E1630" s="662"/>
      <c r="F1630" s="375"/>
    </row>
    <row r="1631" spans="1:8" s="275" customFormat="1" ht="14" thickBot="1" x14ac:dyDescent="0.2">
      <c r="A1631" s="655" t="s">
        <v>1677</v>
      </c>
      <c r="B1631" s="591" t="s">
        <v>1678</v>
      </c>
      <c r="C1631" s="287" t="s">
        <v>1313</v>
      </c>
      <c r="D1631" s="287" t="s">
        <v>1412</v>
      </c>
      <c r="E1631" s="656">
        <v>1175</v>
      </c>
      <c r="F1631" s="381">
        <v>235.67</v>
      </c>
    </row>
    <row r="1632" spans="1:8" s="275" customFormat="1" x14ac:dyDescent="0.15">
      <c r="A1632" s="655" t="s">
        <v>1679</v>
      </c>
      <c r="B1632" s="591" t="s">
        <v>1680</v>
      </c>
      <c r="C1632" s="287" t="s">
        <v>1313</v>
      </c>
      <c r="D1632" s="287" t="s">
        <v>1412</v>
      </c>
      <c r="E1632" s="656">
        <v>0</v>
      </c>
      <c r="F1632" s="381">
        <v>30</v>
      </c>
      <c r="H1632" s="647" t="s">
        <v>1589</v>
      </c>
    </row>
    <row r="1633" spans="1:8" s="275" customFormat="1" ht="14" thickBot="1" x14ac:dyDescent="0.2">
      <c r="A1633" s="655"/>
      <c r="B1633" s="591"/>
      <c r="C1633" s="291" t="s">
        <v>1688</v>
      </c>
      <c r="D1633" s="287"/>
      <c r="E1633" s="643">
        <f>SUM(E1631:E1632)</f>
        <v>1175</v>
      </c>
      <c r="F1633" s="658">
        <v>265.66999999999996</v>
      </c>
      <c r="H1633" s="648">
        <f>SUM(F1602,F1629,F1633)</f>
        <v>32756.1</v>
      </c>
    </row>
    <row r="1634" spans="1:8" s="275" customFormat="1" ht="14" thickTop="1" x14ac:dyDescent="0.15">
      <c r="A1634" s="660"/>
      <c r="B1634" s="661"/>
      <c r="C1634" s="359"/>
      <c r="D1634" s="359"/>
      <c r="E1634" s="662"/>
      <c r="F1634" s="375"/>
    </row>
    <row r="1635" spans="1:8" s="275" customFormat="1" x14ac:dyDescent="0.15">
      <c r="A1635" s="660"/>
      <c r="B1635" s="661"/>
      <c r="C1635" s="293" t="s">
        <v>1594</v>
      </c>
      <c r="D1635" s="359"/>
      <c r="E1635" s="662"/>
      <c r="F1635" s="375"/>
    </row>
    <row r="1636" spans="1:8" s="275" customFormat="1" x14ac:dyDescent="0.15">
      <c r="A1636" s="660"/>
      <c r="B1636" s="661"/>
      <c r="C1636" s="293" t="s">
        <v>1446</v>
      </c>
      <c r="D1636" s="359"/>
      <c r="E1636" s="662"/>
      <c r="F1636" s="375"/>
    </row>
    <row r="1637" spans="1:8" s="275" customFormat="1" x14ac:dyDescent="0.15">
      <c r="A1637" s="660"/>
      <c r="B1637" s="661"/>
      <c r="C1637" s="386">
        <v>41790</v>
      </c>
      <c r="D1637" s="359"/>
      <c r="E1637" s="662"/>
      <c r="F1637" s="375"/>
    </row>
    <row r="1638" spans="1:8" s="275" customFormat="1" x14ac:dyDescent="0.15">
      <c r="A1638" s="660"/>
      <c r="B1638" s="661"/>
      <c r="C1638" s="359"/>
      <c r="D1638" s="359"/>
      <c r="E1638" s="662"/>
      <c r="F1638" s="375"/>
    </row>
    <row r="1639" spans="1:8" s="275" customFormat="1" ht="14" thickBot="1" x14ac:dyDescent="0.2">
      <c r="A1639" s="663"/>
      <c r="B1639" s="664"/>
      <c r="C1639" s="665" t="s">
        <v>1173</v>
      </c>
      <c r="D1639" s="665"/>
      <c r="E1639" s="666">
        <f>SUM(E1602,E1629,E1633)</f>
        <v>168168.9</v>
      </c>
      <c r="F1639" s="667">
        <v>32756.1</v>
      </c>
    </row>
    <row r="1640" spans="1:8" s="275" customFormat="1" x14ac:dyDescent="0.15">
      <c r="A1640" s="617"/>
      <c r="B1640" s="617"/>
      <c r="E1640" s="276"/>
      <c r="F1640" s="278"/>
    </row>
    <row r="1641" spans="1:8" s="275" customFormat="1" x14ac:dyDescent="0.15">
      <c r="A1641" s="652" t="s">
        <v>1534</v>
      </c>
      <c r="B1641" s="653" t="s">
        <v>1614</v>
      </c>
      <c r="C1641" s="371" t="s">
        <v>1492</v>
      </c>
      <c r="D1641" s="371" t="s">
        <v>1239</v>
      </c>
      <c r="E1641" s="654">
        <v>9280</v>
      </c>
      <c r="F1641" s="391">
        <v>1549.13</v>
      </c>
    </row>
    <row r="1642" spans="1:8" s="275" customFormat="1" x14ac:dyDescent="0.15">
      <c r="A1642" s="655" t="s">
        <v>1535</v>
      </c>
      <c r="B1642" s="591" t="s">
        <v>1615</v>
      </c>
      <c r="C1642" s="287" t="s">
        <v>1507</v>
      </c>
      <c r="D1642" s="287" t="s">
        <v>1245</v>
      </c>
      <c r="E1642" s="656">
        <v>2240</v>
      </c>
      <c r="F1642" s="381">
        <v>475.15</v>
      </c>
    </row>
    <row r="1643" spans="1:8" s="275" customFormat="1" x14ac:dyDescent="0.15">
      <c r="A1643" s="655" t="s">
        <v>1670</v>
      </c>
      <c r="B1643" s="591" t="s">
        <v>1659</v>
      </c>
      <c r="C1643" s="287" t="s">
        <v>1279</v>
      </c>
      <c r="D1643" s="287" t="s">
        <v>1660</v>
      </c>
      <c r="E1643" s="656">
        <v>4960</v>
      </c>
      <c r="F1643" s="381">
        <v>1086.6099999999999</v>
      </c>
    </row>
    <row r="1644" spans="1:8" s="275" customFormat="1" x14ac:dyDescent="0.15">
      <c r="A1644" s="655" t="s">
        <v>1536</v>
      </c>
      <c r="B1644" s="591" t="s">
        <v>1616</v>
      </c>
      <c r="C1644" s="287" t="s">
        <v>1479</v>
      </c>
      <c r="D1644" s="287" t="s">
        <v>1231</v>
      </c>
      <c r="E1644" s="656">
        <v>3680</v>
      </c>
      <c r="F1644" s="381">
        <v>569.88</v>
      </c>
    </row>
    <row r="1645" spans="1:8" s="275" customFormat="1" x14ac:dyDescent="0.15">
      <c r="A1645" s="655" t="s">
        <v>1537</v>
      </c>
      <c r="B1645" s="591" t="s">
        <v>1617</v>
      </c>
      <c r="C1645" s="287" t="s">
        <v>1269</v>
      </c>
      <c r="D1645" s="287" t="s">
        <v>1270</v>
      </c>
      <c r="E1645" s="656">
        <v>1537</v>
      </c>
      <c r="F1645" s="381">
        <v>280.83</v>
      </c>
    </row>
    <row r="1646" spans="1:8" s="275" customFormat="1" x14ac:dyDescent="0.15">
      <c r="A1646" s="655" t="s">
        <v>1538</v>
      </c>
      <c r="B1646" s="591" t="s">
        <v>1618</v>
      </c>
      <c r="C1646" s="287" t="s">
        <v>1517</v>
      </c>
      <c r="D1646" s="287" t="s">
        <v>1518</v>
      </c>
      <c r="E1646" s="656">
        <v>5</v>
      </c>
      <c r="F1646" s="381">
        <v>30.57</v>
      </c>
    </row>
    <row r="1647" spans="1:8" s="275" customFormat="1" x14ac:dyDescent="0.15">
      <c r="A1647" s="655" t="s">
        <v>1540</v>
      </c>
      <c r="B1647" s="591" t="s">
        <v>1620</v>
      </c>
      <c r="C1647" s="287" t="s">
        <v>1257</v>
      </c>
      <c r="D1647" s="287" t="s">
        <v>1258</v>
      </c>
      <c r="E1647" s="656">
        <v>17280</v>
      </c>
      <c r="F1647" s="381">
        <v>2617.54</v>
      </c>
    </row>
    <row r="1648" spans="1:8" s="275" customFormat="1" x14ac:dyDescent="0.15">
      <c r="A1648" s="655" t="s">
        <v>1541</v>
      </c>
      <c r="B1648" s="591" t="s">
        <v>1621</v>
      </c>
      <c r="C1648" s="287" t="s">
        <v>1586</v>
      </c>
      <c r="D1648" s="287" t="s">
        <v>1500</v>
      </c>
      <c r="E1648" s="656">
        <v>2560</v>
      </c>
      <c r="F1648" s="381">
        <v>480.93</v>
      </c>
    </row>
    <row r="1649" spans="1:6" s="275" customFormat="1" x14ac:dyDescent="0.15">
      <c r="A1649" s="655" t="s">
        <v>1542</v>
      </c>
      <c r="B1649" s="591" t="s">
        <v>1622</v>
      </c>
      <c r="C1649" s="287" t="s">
        <v>1240</v>
      </c>
      <c r="D1649" s="287" t="s">
        <v>1467</v>
      </c>
      <c r="E1649" s="656">
        <v>3647</v>
      </c>
      <c r="F1649" s="381">
        <v>573.78</v>
      </c>
    </row>
    <row r="1650" spans="1:6" s="275" customFormat="1" x14ac:dyDescent="0.15">
      <c r="A1650" s="655" t="s">
        <v>1543</v>
      </c>
      <c r="B1650" s="591" t="s">
        <v>1623</v>
      </c>
      <c r="C1650" s="287" t="s">
        <v>1523</v>
      </c>
      <c r="D1650" s="287" t="s">
        <v>1266</v>
      </c>
      <c r="E1650" s="656">
        <v>627</v>
      </c>
      <c r="F1650" s="381">
        <v>154.61000000000001</v>
      </c>
    </row>
    <row r="1651" spans="1:6" s="275" customFormat="1" x14ac:dyDescent="0.15">
      <c r="A1651" s="655" t="s">
        <v>1544</v>
      </c>
      <c r="B1651" s="591" t="s">
        <v>1624</v>
      </c>
      <c r="C1651" s="287" t="s">
        <v>1234</v>
      </c>
      <c r="D1651" s="287" t="s">
        <v>1494</v>
      </c>
      <c r="E1651" s="656">
        <v>4691</v>
      </c>
      <c r="F1651" s="381">
        <v>837.34</v>
      </c>
    </row>
    <row r="1652" spans="1:6" s="275" customFormat="1" x14ac:dyDescent="0.15">
      <c r="A1652" s="655" t="s">
        <v>1601</v>
      </c>
      <c r="B1652" s="591"/>
      <c r="C1652" s="287" t="s">
        <v>1334</v>
      </c>
      <c r="D1652" s="287" t="s">
        <v>1462</v>
      </c>
      <c r="E1652" s="656">
        <f>1061.8+1203.3</f>
        <v>2265.1</v>
      </c>
      <c r="F1652" s="381">
        <v>474.84000000000003</v>
      </c>
    </row>
    <row r="1653" spans="1:6" s="275" customFormat="1" x14ac:dyDescent="0.15">
      <c r="A1653" s="655" t="s">
        <v>1545</v>
      </c>
      <c r="B1653" s="591"/>
      <c r="C1653" s="287" t="s">
        <v>1234</v>
      </c>
      <c r="D1653" s="287" t="s">
        <v>1494</v>
      </c>
      <c r="E1653" s="656">
        <f>3.6+48.1</f>
        <v>51.7</v>
      </c>
      <c r="F1653" s="381">
        <v>13.709999999999999</v>
      </c>
    </row>
    <row r="1654" spans="1:6" s="275" customFormat="1" x14ac:dyDescent="0.15">
      <c r="A1654" s="655" t="s">
        <v>1602</v>
      </c>
      <c r="B1654" s="591"/>
      <c r="C1654" s="287" t="s">
        <v>1334</v>
      </c>
      <c r="D1654" s="287" t="s">
        <v>1462</v>
      </c>
      <c r="E1654" s="656">
        <f>59.3+67.3</f>
        <v>126.6</v>
      </c>
      <c r="F1654" s="381">
        <v>39.18</v>
      </c>
    </row>
    <row r="1655" spans="1:6" s="275" customFormat="1" x14ac:dyDescent="0.15">
      <c r="A1655" s="655" t="s">
        <v>1546</v>
      </c>
      <c r="B1655" s="591"/>
      <c r="C1655" s="287" t="s">
        <v>1586</v>
      </c>
      <c r="D1655" s="287" t="s">
        <v>1500</v>
      </c>
      <c r="E1655" s="656">
        <f>4.1+55.1</f>
        <v>59.2</v>
      </c>
      <c r="F1655" s="381">
        <v>23.490000000000002</v>
      </c>
    </row>
    <row r="1656" spans="1:6" s="275" customFormat="1" x14ac:dyDescent="0.15">
      <c r="A1656" s="655" t="s">
        <v>1547</v>
      </c>
      <c r="B1656" s="591"/>
      <c r="C1656" s="287" t="s">
        <v>1286</v>
      </c>
      <c r="D1656" s="287" t="s">
        <v>1514</v>
      </c>
      <c r="E1656" s="656">
        <f>150.8+5.4</f>
        <v>156.20000000000002</v>
      </c>
      <c r="F1656" s="381">
        <v>42.4</v>
      </c>
    </row>
    <row r="1657" spans="1:6" s="275" customFormat="1" x14ac:dyDescent="0.15">
      <c r="A1657" s="655" t="s">
        <v>1549</v>
      </c>
      <c r="B1657" s="591" t="s">
        <v>1625</v>
      </c>
      <c r="C1657" s="287" t="s">
        <v>1459</v>
      </c>
      <c r="D1657" s="287" t="s">
        <v>1251</v>
      </c>
      <c r="E1657" s="656">
        <v>863</v>
      </c>
      <c r="F1657" s="381">
        <v>181.41</v>
      </c>
    </row>
    <row r="1658" spans="1:6" s="275" customFormat="1" x14ac:dyDescent="0.15">
      <c r="A1658" s="655" t="s">
        <v>1603</v>
      </c>
      <c r="B1658" s="591"/>
      <c r="C1658" s="287" t="s">
        <v>1334</v>
      </c>
      <c r="D1658" s="287" t="s">
        <v>1462</v>
      </c>
      <c r="E1658" s="656">
        <f>444.4+503.7</f>
        <v>948.09999999999991</v>
      </c>
      <c r="F1658" s="381">
        <v>215.29000000000002</v>
      </c>
    </row>
    <row r="1659" spans="1:6" s="275" customFormat="1" x14ac:dyDescent="0.15">
      <c r="A1659" s="655" t="s">
        <v>1597</v>
      </c>
      <c r="B1659" s="591" t="s">
        <v>1626</v>
      </c>
      <c r="C1659" s="287" t="s">
        <v>1454</v>
      </c>
      <c r="D1659" s="287" t="s">
        <v>1247</v>
      </c>
      <c r="E1659" s="656">
        <v>2680</v>
      </c>
      <c r="F1659" s="381">
        <v>456.37</v>
      </c>
    </row>
    <row r="1660" spans="1:6" s="275" customFormat="1" x14ac:dyDescent="0.15">
      <c r="A1660" s="655" t="s">
        <v>1551</v>
      </c>
      <c r="B1660" s="591" t="s">
        <v>1627</v>
      </c>
      <c r="C1660" s="287" t="s">
        <v>1235</v>
      </c>
      <c r="D1660" s="287" t="s">
        <v>1236</v>
      </c>
      <c r="E1660" s="656">
        <v>5420</v>
      </c>
      <c r="F1660" s="381">
        <v>897.2</v>
      </c>
    </row>
    <row r="1661" spans="1:6" s="275" customFormat="1" x14ac:dyDescent="0.15">
      <c r="A1661" s="655" t="s">
        <v>1553</v>
      </c>
      <c r="B1661" s="591" t="s">
        <v>1628</v>
      </c>
      <c r="C1661" s="287" t="s">
        <v>1475</v>
      </c>
      <c r="D1661" s="287" t="s">
        <v>1387</v>
      </c>
      <c r="E1661" s="656">
        <v>933</v>
      </c>
      <c r="F1661" s="381">
        <v>169.37</v>
      </c>
    </row>
    <row r="1662" spans="1:6" s="275" customFormat="1" x14ac:dyDescent="0.15">
      <c r="A1662" s="655" t="s">
        <v>1554</v>
      </c>
      <c r="B1662" s="591" t="s">
        <v>1629</v>
      </c>
      <c r="C1662" s="287" t="s">
        <v>1399</v>
      </c>
      <c r="D1662" s="287" t="s">
        <v>1276</v>
      </c>
      <c r="E1662" s="656">
        <v>4280</v>
      </c>
      <c r="F1662" s="381">
        <v>760.16</v>
      </c>
    </row>
    <row r="1663" spans="1:6" s="275" customFormat="1" x14ac:dyDescent="0.15">
      <c r="A1663" s="655" t="s">
        <v>1598</v>
      </c>
      <c r="B1663" s="591"/>
      <c r="C1663" s="287" t="s">
        <v>1586</v>
      </c>
      <c r="D1663" s="287" t="s">
        <v>1500</v>
      </c>
      <c r="E1663" s="656">
        <f>2+27.6</f>
        <v>29.6</v>
      </c>
      <c r="F1663" s="381">
        <v>14.3</v>
      </c>
    </row>
    <row r="1664" spans="1:6" s="275" customFormat="1" x14ac:dyDescent="0.15">
      <c r="A1664" s="655" t="s">
        <v>1662</v>
      </c>
      <c r="B1664" s="657">
        <v>892914652</v>
      </c>
      <c r="C1664" s="287" t="s">
        <v>1663</v>
      </c>
      <c r="D1664" s="287" t="s">
        <v>1664</v>
      </c>
      <c r="E1664" s="656">
        <v>11120</v>
      </c>
      <c r="F1664" s="381">
        <v>2019.25</v>
      </c>
    </row>
    <row r="1665" spans="1:6" s="275" customFormat="1" ht="14" thickBot="1" x14ac:dyDescent="0.2">
      <c r="A1665" s="655"/>
      <c r="B1665" s="591"/>
      <c r="C1665" s="291" t="s">
        <v>1655</v>
      </c>
      <c r="D1665" s="287"/>
      <c r="E1665" s="638">
        <f>SUM(E1641:E1664)</f>
        <v>79439.5</v>
      </c>
      <c r="F1665" s="658">
        <v>13963.34</v>
      </c>
    </row>
    <row r="1666" spans="1:6" s="275" customFormat="1" ht="14" thickTop="1" x14ac:dyDescent="0.15">
      <c r="A1666" s="655"/>
      <c r="B1666" s="591"/>
      <c r="C1666" s="287"/>
      <c r="D1666" s="287"/>
      <c r="E1666" s="524"/>
      <c r="F1666" s="381"/>
    </row>
    <row r="1667" spans="1:6" s="275" customFormat="1" x14ac:dyDescent="0.15">
      <c r="A1667" s="655" t="s">
        <v>1556</v>
      </c>
      <c r="B1667" s="591" t="s">
        <v>1631</v>
      </c>
      <c r="C1667" s="287" t="s">
        <v>1248</v>
      </c>
      <c r="D1667" s="287" t="s">
        <v>1482</v>
      </c>
      <c r="E1667" s="656">
        <v>3718</v>
      </c>
      <c r="F1667" s="381">
        <v>673.46</v>
      </c>
    </row>
    <row r="1668" spans="1:6" s="295" customFormat="1" x14ac:dyDescent="0.15">
      <c r="A1668" s="655" t="s">
        <v>1558</v>
      </c>
      <c r="B1668" s="591" t="s">
        <v>1633</v>
      </c>
      <c r="C1668" s="287" t="s">
        <v>1469</v>
      </c>
      <c r="D1668" s="287" t="s">
        <v>1470</v>
      </c>
      <c r="E1668" s="656">
        <v>6880</v>
      </c>
      <c r="F1668" s="381">
        <v>1162.17</v>
      </c>
    </row>
    <row r="1669" spans="1:6" s="275" customFormat="1" x14ac:dyDescent="0.15">
      <c r="A1669" s="655" t="s">
        <v>1559</v>
      </c>
      <c r="B1669" s="591" t="s">
        <v>1634</v>
      </c>
      <c r="C1669" s="287" t="s">
        <v>1502</v>
      </c>
      <c r="D1669" s="287" t="s">
        <v>1381</v>
      </c>
      <c r="E1669" s="656">
        <v>12192</v>
      </c>
      <c r="F1669" s="381">
        <v>1973.24</v>
      </c>
    </row>
    <row r="1670" spans="1:6" s="275" customFormat="1" x14ac:dyDescent="0.15">
      <c r="A1670" s="655" t="s">
        <v>1560</v>
      </c>
      <c r="B1670" s="591" t="s">
        <v>1635</v>
      </c>
      <c r="C1670" s="287" t="s">
        <v>1504</v>
      </c>
      <c r="D1670" s="287" t="s">
        <v>1505</v>
      </c>
      <c r="E1670" s="656">
        <v>1902</v>
      </c>
      <c r="F1670" s="381">
        <v>322.25</v>
      </c>
    </row>
    <row r="1671" spans="1:6" s="275" customFormat="1" x14ac:dyDescent="0.15">
      <c r="A1671" s="655" t="s">
        <v>1675</v>
      </c>
      <c r="B1671" s="591" t="s">
        <v>1676</v>
      </c>
      <c r="C1671" s="287" t="s">
        <v>1477</v>
      </c>
      <c r="D1671" s="287" t="s">
        <v>1289</v>
      </c>
      <c r="E1671" s="656">
        <v>11700</v>
      </c>
      <c r="F1671" s="381">
        <v>2145.5300000000002</v>
      </c>
    </row>
    <row r="1672" spans="1:6" s="275" customFormat="1" x14ac:dyDescent="0.15">
      <c r="A1672" s="655" t="s">
        <v>1563</v>
      </c>
      <c r="B1672" s="591"/>
      <c r="C1672" s="287" t="s">
        <v>1267</v>
      </c>
      <c r="D1672" s="287" t="s">
        <v>1268</v>
      </c>
      <c r="E1672" s="656">
        <f>3.6+48.1</f>
        <v>51.7</v>
      </c>
      <c r="F1672" s="381">
        <v>10.309999999999999</v>
      </c>
    </row>
    <row r="1673" spans="1:6" s="275" customFormat="1" x14ac:dyDescent="0.15">
      <c r="A1673" s="655" t="s">
        <v>1564</v>
      </c>
      <c r="B1673" s="591" t="s">
        <v>1636</v>
      </c>
      <c r="C1673" s="287" t="s">
        <v>1485</v>
      </c>
      <c r="D1673" s="287" t="s">
        <v>1486</v>
      </c>
      <c r="E1673" s="656">
        <v>1640</v>
      </c>
      <c r="F1673" s="381">
        <v>345.95</v>
      </c>
    </row>
    <row r="1674" spans="1:6" s="275" customFormat="1" x14ac:dyDescent="0.15">
      <c r="A1674" s="655" t="s">
        <v>1565</v>
      </c>
      <c r="B1674" s="591" t="s">
        <v>1637</v>
      </c>
      <c r="C1674" s="287" t="s">
        <v>1267</v>
      </c>
      <c r="D1674" s="287" t="s">
        <v>1268</v>
      </c>
      <c r="E1674" s="656">
        <v>2821</v>
      </c>
      <c r="F1674" s="381">
        <v>512.05999999999995</v>
      </c>
    </row>
    <row r="1675" spans="1:6" s="275" customFormat="1" x14ac:dyDescent="0.15">
      <c r="A1675" s="655" t="s">
        <v>1569</v>
      </c>
      <c r="B1675" s="591" t="s">
        <v>1638</v>
      </c>
      <c r="C1675" s="287" t="s">
        <v>1464</v>
      </c>
      <c r="D1675" s="287" t="s">
        <v>1285</v>
      </c>
      <c r="E1675" s="656">
        <v>1204</v>
      </c>
      <c r="F1675" s="381">
        <v>265.92</v>
      </c>
    </row>
    <row r="1676" spans="1:6" s="275" customFormat="1" x14ac:dyDescent="0.15">
      <c r="A1676" s="655" t="s">
        <v>1570</v>
      </c>
      <c r="B1676" s="591" t="s">
        <v>1639</v>
      </c>
      <c r="C1676" s="287" t="s">
        <v>1472</v>
      </c>
      <c r="D1676" s="287" t="s">
        <v>1473</v>
      </c>
      <c r="E1676" s="656">
        <v>53</v>
      </c>
      <c r="F1676" s="381">
        <v>36.020000000000003</v>
      </c>
    </row>
    <row r="1677" spans="1:6" s="275" customFormat="1" x14ac:dyDescent="0.15">
      <c r="A1677" s="655" t="s">
        <v>1571</v>
      </c>
      <c r="B1677" s="591" t="s">
        <v>1640</v>
      </c>
      <c r="C1677" s="287" t="s">
        <v>1489</v>
      </c>
      <c r="D1677" s="287" t="s">
        <v>1490</v>
      </c>
      <c r="E1677" s="656">
        <v>125</v>
      </c>
      <c r="F1677" s="381">
        <v>44.19</v>
      </c>
    </row>
    <row r="1678" spans="1:6" s="275" customFormat="1" x14ac:dyDescent="0.15">
      <c r="A1678" s="655" t="s">
        <v>1572</v>
      </c>
      <c r="B1678" s="591" t="s">
        <v>1641</v>
      </c>
      <c r="C1678" s="287" t="s">
        <v>1271</v>
      </c>
      <c r="D1678" s="287" t="s">
        <v>1272</v>
      </c>
      <c r="E1678" s="656">
        <v>5192</v>
      </c>
      <c r="F1678" s="381">
        <v>871.28</v>
      </c>
    </row>
    <row r="1679" spans="1:6" s="275" customFormat="1" x14ac:dyDescent="0.15">
      <c r="A1679" s="655" t="s">
        <v>1573</v>
      </c>
      <c r="B1679" s="591"/>
      <c r="C1679" s="287" t="s">
        <v>1461</v>
      </c>
      <c r="D1679" s="287" t="s">
        <v>1462</v>
      </c>
      <c r="E1679" s="656">
        <v>26</v>
      </c>
      <c r="F1679" s="381">
        <v>16.489999999999998</v>
      </c>
    </row>
    <row r="1680" spans="1:6" s="275" customFormat="1" x14ac:dyDescent="0.15">
      <c r="A1680" s="655" t="s">
        <v>1574</v>
      </c>
      <c r="B1680" s="591" t="s">
        <v>1642</v>
      </c>
      <c r="C1680" s="287" t="s">
        <v>1377</v>
      </c>
      <c r="D1680" s="287" t="s">
        <v>1378</v>
      </c>
      <c r="E1680" s="656">
        <v>1661</v>
      </c>
      <c r="F1680" s="381">
        <v>294.89</v>
      </c>
    </row>
    <row r="1681" spans="1:8" s="275" customFormat="1" x14ac:dyDescent="0.15">
      <c r="A1681" s="655" t="s">
        <v>1575</v>
      </c>
      <c r="B1681" s="591" t="s">
        <v>1685</v>
      </c>
      <c r="C1681" s="287" t="s">
        <v>1448</v>
      </c>
      <c r="D1681" s="287" t="s">
        <v>1449</v>
      </c>
      <c r="E1681" s="656">
        <v>322</v>
      </c>
      <c r="F1681" s="381">
        <v>61.22</v>
      </c>
    </row>
    <row r="1682" spans="1:8" s="275" customFormat="1" x14ac:dyDescent="0.15">
      <c r="A1682" s="655" t="s">
        <v>1604</v>
      </c>
      <c r="B1682" s="591"/>
      <c r="C1682" s="287" t="s">
        <v>1334</v>
      </c>
      <c r="D1682" s="287" t="s">
        <v>1462</v>
      </c>
      <c r="E1682" s="656">
        <f>55.5+62.9</f>
        <v>118.4</v>
      </c>
      <c r="F1682" s="381">
        <v>46.349999999999994</v>
      </c>
    </row>
    <row r="1683" spans="1:8" s="275" customFormat="1" x14ac:dyDescent="0.15">
      <c r="A1683" s="655" t="s">
        <v>1576</v>
      </c>
      <c r="B1683" s="591" t="s">
        <v>1644</v>
      </c>
      <c r="C1683" s="287" t="s">
        <v>1401</v>
      </c>
      <c r="D1683" s="287" t="s">
        <v>1316</v>
      </c>
      <c r="E1683" s="656">
        <v>19</v>
      </c>
      <c r="F1683" s="381">
        <v>32.28</v>
      </c>
    </row>
    <row r="1684" spans="1:8" s="275" customFormat="1" x14ac:dyDescent="0.15">
      <c r="A1684" s="655" t="s">
        <v>1605</v>
      </c>
      <c r="B1684" s="591"/>
      <c r="C1684" s="287" t="s">
        <v>1334</v>
      </c>
      <c r="D1684" s="287" t="s">
        <v>1462</v>
      </c>
      <c r="E1684" s="656">
        <f>202.5+229.5</f>
        <v>432</v>
      </c>
      <c r="F1684" s="381">
        <v>168.61</v>
      </c>
    </row>
    <row r="1685" spans="1:8" s="275" customFormat="1" x14ac:dyDescent="0.15">
      <c r="A1685" s="655" t="s">
        <v>1578</v>
      </c>
      <c r="B1685" s="591" t="s">
        <v>1646</v>
      </c>
      <c r="C1685" s="287" t="s">
        <v>1579</v>
      </c>
      <c r="D1685" s="287" t="s">
        <v>1497</v>
      </c>
      <c r="E1685" s="656">
        <v>4</v>
      </c>
      <c r="F1685" s="381">
        <v>30.46</v>
      </c>
    </row>
    <row r="1686" spans="1:8" s="275" customFormat="1" x14ac:dyDescent="0.15">
      <c r="A1686" s="655" t="s">
        <v>1580</v>
      </c>
      <c r="B1686" s="591" t="s">
        <v>1647</v>
      </c>
      <c r="C1686" s="287" t="s">
        <v>1451</v>
      </c>
      <c r="D1686" s="287" t="s">
        <v>1674</v>
      </c>
      <c r="E1686" s="656">
        <v>384</v>
      </c>
      <c r="F1686" s="381">
        <v>1486.06</v>
      </c>
    </row>
    <row r="1687" spans="1:8" s="275" customFormat="1" x14ac:dyDescent="0.15">
      <c r="A1687" s="655" t="s">
        <v>1581</v>
      </c>
      <c r="B1687" s="591" t="s">
        <v>1648</v>
      </c>
      <c r="C1687" s="287" t="s">
        <v>1521</v>
      </c>
      <c r="D1687" s="287" t="s">
        <v>1229</v>
      </c>
      <c r="E1687" s="656">
        <v>1620</v>
      </c>
      <c r="F1687" s="381">
        <v>313.14</v>
      </c>
    </row>
    <row r="1688" spans="1:8" s="275" customFormat="1" x14ac:dyDescent="0.15">
      <c r="A1688" s="655" t="s">
        <v>1582</v>
      </c>
      <c r="B1688" s="591" t="s">
        <v>1649</v>
      </c>
      <c r="C1688" s="287" t="s">
        <v>1525</v>
      </c>
      <c r="D1688" s="287" t="s">
        <v>1526</v>
      </c>
      <c r="E1688" s="656">
        <v>9</v>
      </c>
      <c r="F1688" s="381">
        <v>7.55</v>
      </c>
    </row>
    <row r="1689" spans="1:8" s="275" customFormat="1" ht="14" x14ac:dyDescent="0.15">
      <c r="A1689" s="655" t="s">
        <v>1583</v>
      </c>
      <c r="B1689" s="591" t="s">
        <v>1650</v>
      </c>
      <c r="C1689" s="287" t="s">
        <v>1584</v>
      </c>
      <c r="D1689" s="618" t="s">
        <v>1264</v>
      </c>
      <c r="E1689" s="656">
        <v>1480</v>
      </c>
      <c r="F1689" s="381">
        <v>297.23</v>
      </c>
    </row>
    <row r="1690" spans="1:8" s="275" customFormat="1" x14ac:dyDescent="0.15">
      <c r="A1690" s="655" t="s">
        <v>1666</v>
      </c>
      <c r="B1690" s="591" t="s">
        <v>1672</v>
      </c>
      <c r="C1690" s="287" t="s">
        <v>1667</v>
      </c>
      <c r="D1690" s="287" t="s">
        <v>1668</v>
      </c>
      <c r="E1690" s="656">
        <v>13440</v>
      </c>
      <c r="F1690" s="381">
        <v>2483.77</v>
      </c>
    </row>
    <row r="1691" spans="1:8" s="275" customFormat="1" x14ac:dyDescent="0.15">
      <c r="A1691" s="655" t="s">
        <v>1606</v>
      </c>
      <c r="B1691" s="591"/>
      <c r="C1691" s="287" t="s">
        <v>1334</v>
      </c>
      <c r="D1691" s="287" t="s">
        <v>1462</v>
      </c>
      <c r="E1691" s="656">
        <f>24.2+27.5</f>
        <v>51.7</v>
      </c>
      <c r="F1691" s="381">
        <v>10.850000000000001</v>
      </c>
    </row>
    <row r="1692" spans="1:8" s="275" customFormat="1" ht="14" thickBot="1" x14ac:dyDescent="0.2">
      <c r="A1692" s="655"/>
      <c r="B1692" s="591"/>
      <c r="C1692" s="291" t="s">
        <v>1656</v>
      </c>
      <c r="D1692" s="287"/>
      <c r="E1692" s="643">
        <f>SUM(E1667:E1691)</f>
        <v>67045.8</v>
      </c>
      <c r="F1692" s="658">
        <v>13611.279999999997</v>
      </c>
    </row>
    <row r="1693" spans="1:8" s="275" customFormat="1" ht="14" thickTop="1" x14ac:dyDescent="0.15">
      <c r="A1693" s="660"/>
      <c r="B1693" s="661"/>
      <c r="C1693" s="359"/>
      <c r="D1693" s="359"/>
      <c r="E1693" s="662"/>
      <c r="F1693" s="375"/>
    </row>
    <row r="1694" spans="1:8" s="275" customFormat="1" ht="14" thickBot="1" x14ac:dyDescent="0.2">
      <c r="A1694" s="655" t="s">
        <v>1677</v>
      </c>
      <c r="B1694" s="591" t="s">
        <v>1678</v>
      </c>
      <c r="C1694" s="287" t="s">
        <v>1313</v>
      </c>
      <c r="D1694" s="287" t="s">
        <v>1412</v>
      </c>
      <c r="E1694" s="656">
        <v>1088</v>
      </c>
      <c r="F1694" s="381">
        <v>249.58</v>
      </c>
    </row>
    <row r="1695" spans="1:8" s="275" customFormat="1" x14ac:dyDescent="0.15">
      <c r="A1695" s="655" t="s">
        <v>1679</v>
      </c>
      <c r="B1695" s="591" t="s">
        <v>1680</v>
      </c>
      <c r="C1695" s="287" t="s">
        <v>1313</v>
      </c>
      <c r="D1695" s="287" t="s">
        <v>1412</v>
      </c>
      <c r="E1695" s="656">
        <v>0</v>
      </c>
      <c r="F1695" s="381">
        <v>30</v>
      </c>
      <c r="H1695" s="647" t="s">
        <v>1589</v>
      </c>
    </row>
    <row r="1696" spans="1:8" s="275" customFormat="1" ht="14" thickBot="1" x14ac:dyDescent="0.2">
      <c r="A1696" s="655"/>
      <c r="B1696" s="591"/>
      <c r="C1696" s="291" t="s">
        <v>1689</v>
      </c>
      <c r="D1696" s="287"/>
      <c r="E1696" s="643">
        <f>SUM(E1694:E1695)</f>
        <v>1088</v>
      </c>
      <c r="F1696" s="658">
        <v>279.58000000000004</v>
      </c>
      <c r="H1696" s="648">
        <f>SUM(F1665,F1692,F1696)</f>
        <v>27854.199999999997</v>
      </c>
    </row>
    <row r="1697" spans="1:10" s="275" customFormat="1" ht="14" thickTop="1" x14ac:dyDescent="0.15">
      <c r="A1697" s="660"/>
      <c r="B1697" s="661"/>
      <c r="C1697" s="359"/>
      <c r="D1697" s="359"/>
      <c r="E1697" s="662"/>
      <c r="F1697" s="375"/>
    </row>
    <row r="1698" spans="1:10" s="275" customFormat="1" x14ac:dyDescent="0.15">
      <c r="A1698" s="660"/>
      <c r="B1698" s="661"/>
      <c r="C1698" s="293" t="s">
        <v>1594</v>
      </c>
      <c r="D1698" s="359"/>
      <c r="E1698" s="662"/>
      <c r="F1698" s="375"/>
    </row>
    <row r="1699" spans="1:10" s="275" customFormat="1" x14ac:dyDescent="0.15">
      <c r="A1699" s="660"/>
      <c r="B1699" s="661"/>
      <c r="C1699" s="293" t="s">
        <v>1446</v>
      </c>
      <c r="D1699" s="359"/>
      <c r="E1699" s="662"/>
      <c r="F1699" s="375"/>
    </row>
    <row r="1700" spans="1:10" s="275" customFormat="1" x14ac:dyDescent="0.15">
      <c r="A1700" s="660"/>
      <c r="B1700" s="661"/>
      <c r="C1700" s="386">
        <v>41820</v>
      </c>
      <c r="D1700" s="359"/>
      <c r="E1700" s="662"/>
      <c r="F1700" s="375"/>
    </row>
    <row r="1701" spans="1:10" s="275" customFormat="1" x14ac:dyDescent="0.15">
      <c r="A1701" s="660"/>
      <c r="B1701" s="661"/>
      <c r="C1701" s="359"/>
      <c r="D1701" s="359"/>
      <c r="E1701" s="662"/>
      <c r="F1701" s="375"/>
    </row>
    <row r="1702" spans="1:10" s="275" customFormat="1" ht="14" thickBot="1" x14ac:dyDescent="0.2">
      <c r="A1702" s="663"/>
      <c r="B1702" s="664"/>
      <c r="C1702" s="665" t="s">
        <v>1174</v>
      </c>
      <c r="D1702" s="665"/>
      <c r="E1702" s="666">
        <f>SUM(E1665,E1692,E1696)</f>
        <v>147573.29999999999</v>
      </c>
      <c r="F1702" s="667">
        <v>27854.199999999997</v>
      </c>
    </row>
    <row r="1703" spans="1:10" ht="14" thickBot="1" x14ac:dyDescent="0.2"/>
    <row r="1704" spans="1:10" s="275" customFormat="1" ht="31" thickBot="1" x14ac:dyDescent="0.35">
      <c r="A1704" s="767" t="s">
        <v>1103</v>
      </c>
      <c r="B1704" s="768"/>
      <c r="C1704" s="768"/>
      <c r="D1704" s="768"/>
      <c r="E1704" s="768"/>
      <c r="F1704" s="769"/>
      <c r="G1704" s="289"/>
      <c r="H1704" s="289"/>
      <c r="I1704" s="289"/>
      <c r="J1704" s="289"/>
    </row>
    <row r="1705" spans="1:10" s="275" customFormat="1" x14ac:dyDescent="0.15">
      <c r="A1705" s="617"/>
      <c r="B1705" s="617"/>
      <c r="E1705" s="276"/>
      <c r="F1705" s="278"/>
    </row>
    <row r="1706" spans="1:10" s="275" customFormat="1" x14ac:dyDescent="0.15">
      <c r="A1706" s="652" t="s">
        <v>1534</v>
      </c>
      <c r="B1706" s="653" t="s">
        <v>1614</v>
      </c>
      <c r="C1706" s="371" t="s">
        <v>1492</v>
      </c>
      <c r="D1706" s="371" t="s">
        <v>1239</v>
      </c>
      <c r="E1706" s="654">
        <v>12800</v>
      </c>
      <c r="F1706" s="391">
        <v>1823.58</v>
      </c>
    </row>
    <row r="1707" spans="1:10" s="275" customFormat="1" x14ac:dyDescent="0.15">
      <c r="A1707" s="655" t="s">
        <v>1535</v>
      </c>
      <c r="B1707" s="591" t="s">
        <v>1615</v>
      </c>
      <c r="C1707" s="287" t="s">
        <v>1507</v>
      </c>
      <c r="D1707" s="287" t="s">
        <v>1245</v>
      </c>
      <c r="E1707" s="656">
        <v>3600</v>
      </c>
      <c r="F1707" s="381">
        <v>609.59</v>
      </c>
    </row>
    <row r="1708" spans="1:10" s="275" customFormat="1" x14ac:dyDescent="0.15">
      <c r="A1708" s="655" t="s">
        <v>1670</v>
      </c>
      <c r="B1708" s="591" t="s">
        <v>1659</v>
      </c>
      <c r="C1708" s="287" t="s">
        <v>1279</v>
      </c>
      <c r="D1708" s="287" t="s">
        <v>1660</v>
      </c>
      <c r="E1708" s="656">
        <v>10560</v>
      </c>
      <c r="F1708" s="381">
        <v>1892.06</v>
      </c>
    </row>
    <row r="1709" spans="1:10" s="275" customFormat="1" x14ac:dyDescent="0.15">
      <c r="A1709" s="655" t="s">
        <v>1536</v>
      </c>
      <c r="B1709" s="591" t="s">
        <v>1616</v>
      </c>
      <c r="C1709" s="287" t="s">
        <v>1479</v>
      </c>
      <c r="D1709" s="287" t="s">
        <v>1231</v>
      </c>
      <c r="E1709" s="656">
        <v>4001</v>
      </c>
      <c r="F1709" s="381">
        <v>559.58000000000004</v>
      </c>
    </row>
    <row r="1710" spans="1:10" s="275" customFormat="1" x14ac:dyDescent="0.15">
      <c r="A1710" s="655" t="s">
        <v>1537</v>
      </c>
      <c r="B1710" s="591" t="s">
        <v>1617</v>
      </c>
      <c r="C1710" s="287" t="s">
        <v>1269</v>
      </c>
      <c r="D1710" s="287" t="s">
        <v>1270</v>
      </c>
      <c r="E1710" s="656">
        <v>1335</v>
      </c>
      <c r="F1710" s="381">
        <v>267.75</v>
      </c>
    </row>
    <row r="1711" spans="1:10" s="275" customFormat="1" x14ac:dyDescent="0.15">
      <c r="A1711" s="655" t="s">
        <v>1538</v>
      </c>
      <c r="B1711" s="591" t="s">
        <v>1618</v>
      </c>
      <c r="C1711" s="287" t="s">
        <v>1517</v>
      </c>
      <c r="D1711" s="287" t="s">
        <v>1518</v>
      </c>
      <c r="E1711" s="656">
        <v>5</v>
      </c>
      <c r="F1711" s="381">
        <v>30.51</v>
      </c>
    </row>
    <row r="1712" spans="1:10" s="275" customFormat="1" x14ac:dyDescent="0.15">
      <c r="A1712" s="655" t="s">
        <v>1540</v>
      </c>
      <c r="B1712" s="591" t="s">
        <v>1620</v>
      </c>
      <c r="C1712" s="287" t="s">
        <v>1257</v>
      </c>
      <c r="D1712" s="287" t="s">
        <v>1258</v>
      </c>
      <c r="E1712" s="656">
        <v>22400</v>
      </c>
      <c r="F1712" s="381">
        <v>3086.68</v>
      </c>
    </row>
    <row r="1713" spans="1:6" s="275" customFormat="1" x14ac:dyDescent="0.15">
      <c r="A1713" s="655" t="s">
        <v>1541</v>
      </c>
      <c r="B1713" s="591" t="s">
        <v>1621</v>
      </c>
      <c r="C1713" s="287" t="s">
        <v>1586</v>
      </c>
      <c r="D1713" s="287" t="s">
        <v>1500</v>
      </c>
      <c r="E1713" s="656">
        <v>3360</v>
      </c>
      <c r="F1713" s="381">
        <v>546.53</v>
      </c>
    </row>
    <row r="1714" spans="1:6" s="275" customFormat="1" x14ac:dyDescent="0.15">
      <c r="A1714" s="655" t="s">
        <v>1542</v>
      </c>
      <c r="B1714" s="591" t="s">
        <v>1622</v>
      </c>
      <c r="C1714" s="287" t="s">
        <v>1240</v>
      </c>
      <c r="D1714" s="287" t="s">
        <v>1467</v>
      </c>
      <c r="E1714" s="656">
        <v>5000</v>
      </c>
      <c r="F1714" s="381">
        <v>686.12</v>
      </c>
    </row>
    <row r="1715" spans="1:6" s="275" customFormat="1" x14ac:dyDescent="0.15">
      <c r="A1715" s="655" t="s">
        <v>1543</v>
      </c>
      <c r="B1715" s="591" t="s">
        <v>1623</v>
      </c>
      <c r="C1715" s="287" t="s">
        <v>1523</v>
      </c>
      <c r="D1715" s="287" t="s">
        <v>1266</v>
      </c>
      <c r="E1715" s="656">
        <v>1388</v>
      </c>
      <c r="F1715" s="381">
        <v>258</v>
      </c>
    </row>
    <row r="1716" spans="1:6" s="275" customFormat="1" x14ac:dyDescent="0.15">
      <c r="A1716" s="655" t="s">
        <v>1544</v>
      </c>
      <c r="B1716" s="591" t="s">
        <v>1624</v>
      </c>
      <c r="C1716" s="287" t="s">
        <v>1234</v>
      </c>
      <c r="D1716" s="287" t="s">
        <v>1494</v>
      </c>
      <c r="E1716" s="656">
        <v>6123</v>
      </c>
      <c r="F1716" s="381">
        <v>932.41</v>
      </c>
    </row>
    <row r="1717" spans="1:6" s="275" customFormat="1" x14ac:dyDescent="0.15">
      <c r="A1717" s="655" t="s">
        <v>1601</v>
      </c>
      <c r="B1717" s="591"/>
      <c r="C1717" s="287" t="s">
        <v>1334</v>
      </c>
      <c r="D1717" s="287" t="s">
        <v>1462</v>
      </c>
      <c r="E1717" s="656">
        <f>1051.7+1375.5</f>
        <v>2427.1999999999998</v>
      </c>
      <c r="F1717" s="381">
        <v>494.67</v>
      </c>
    </row>
    <row r="1718" spans="1:6" s="275" customFormat="1" x14ac:dyDescent="0.15">
      <c r="A1718" s="655" t="s">
        <v>1545</v>
      </c>
      <c r="B1718" s="591"/>
      <c r="C1718" s="287" t="s">
        <v>1234</v>
      </c>
      <c r="D1718" s="287" t="s">
        <v>1494</v>
      </c>
      <c r="E1718" s="656">
        <f>5+50.4</f>
        <v>55.4</v>
      </c>
      <c r="F1718" s="381">
        <v>14.17</v>
      </c>
    </row>
    <row r="1719" spans="1:6" s="275" customFormat="1" x14ac:dyDescent="0.15">
      <c r="A1719" s="655" t="s">
        <v>1602</v>
      </c>
      <c r="B1719" s="591"/>
      <c r="C1719" s="287" t="s">
        <v>1334</v>
      </c>
      <c r="D1719" s="287" t="s">
        <v>1462</v>
      </c>
      <c r="E1719" s="656">
        <f>58.8+76.8</f>
        <v>135.6</v>
      </c>
      <c r="F1719" s="381">
        <v>40.28</v>
      </c>
    </row>
    <row r="1720" spans="1:6" s="275" customFormat="1" x14ac:dyDescent="0.15">
      <c r="A1720" s="655" t="s">
        <v>1546</v>
      </c>
      <c r="B1720" s="591"/>
      <c r="C1720" s="287" t="s">
        <v>1586</v>
      </c>
      <c r="D1720" s="287" t="s">
        <v>1500</v>
      </c>
      <c r="E1720" s="656">
        <f>5.8+57.6</f>
        <v>63.4</v>
      </c>
      <c r="F1720" s="381">
        <v>24.020000000000003</v>
      </c>
    </row>
    <row r="1721" spans="1:6" s="275" customFormat="1" x14ac:dyDescent="0.15">
      <c r="A1721" s="655" t="s">
        <v>1547</v>
      </c>
      <c r="B1721" s="591"/>
      <c r="C1721" s="287" t="s">
        <v>1286</v>
      </c>
      <c r="D1721" s="287" t="s">
        <v>1514</v>
      </c>
      <c r="E1721" s="656">
        <f>162+5.4</f>
        <v>167.4</v>
      </c>
      <c r="F1721" s="381">
        <v>43.83</v>
      </c>
    </row>
    <row r="1722" spans="1:6" s="275" customFormat="1" x14ac:dyDescent="0.15">
      <c r="A1722" s="655" t="s">
        <v>1549</v>
      </c>
      <c r="B1722" s="591" t="s">
        <v>1625</v>
      </c>
      <c r="C1722" s="287" t="s">
        <v>1459</v>
      </c>
      <c r="D1722" s="287" t="s">
        <v>1251</v>
      </c>
      <c r="E1722" s="656">
        <v>1043</v>
      </c>
      <c r="F1722" s="381">
        <v>214.56</v>
      </c>
    </row>
    <row r="1723" spans="1:6" s="275" customFormat="1" x14ac:dyDescent="0.15">
      <c r="A1723" s="655" t="s">
        <v>1603</v>
      </c>
      <c r="B1723" s="591"/>
      <c r="C1723" s="287" t="s">
        <v>1334</v>
      </c>
      <c r="D1723" s="287" t="s">
        <v>1462</v>
      </c>
      <c r="E1723" s="656">
        <f>440.2+575.8</f>
        <v>1016</v>
      </c>
      <c r="F1723" s="381">
        <v>223.58</v>
      </c>
    </row>
    <row r="1724" spans="1:6" s="275" customFormat="1" x14ac:dyDescent="0.15">
      <c r="A1724" s="655" t="s">
        <v>1597</v>
      </c>
      <c r="B1724" s="591" t="s">
        <v>1626</v>
      </c>
      <c r="C1724" s="287" t="s">
        <v>1454</v>
      </c>
      <c r="D1724" s="287" t="s">
        <v>1247</v>
      </c>
      <c r="E1724" s="656">
        <v>3560</v>
      </c>
      <c r="F1724" s="381">
        <v>536.75</v>
      </c>
    </row>
    <row r="1725" spans="1:6" s="275" customFormat="1" x14ac:dyDescent="0.15">
      <c r="A1725" s="655" t="s">
        <v>1551</v>
      </c>
      <c r="B1725" s="591" t="s">
        <v>1627</v>
      </c>
      <c r="C1725" s="287" t="s">
        <v>1235</v>
      </c>
      <c r="D1725" s="287" t="s">
        <v>1236</v>
      </c>
      <c r="E1725" s="656">
        <v>5957</v>
      </c>
      <c r="F1725" s="381">
        <v>907.55</v>
      </c>
    </row>
    <row r="1726" spans="1:6" s="275" customFormat="1" x14ac:dyDescent="0.15">
      <c r="A1726" s="655" t="s">
        <v>1553</v>
      </c>
      <c r="B1726" s="591" t="s">
        <v>1628</v>
      </c>
      <c r="C1726" s="287" t="s">
        <v>1475</v>
      </c>
      <c r="D1726" s="287" t="s">
        <v>1387</v>
      </c>
      <c r="E1726" s="656">
        <v>1227</v>
      </c>
      <c r="F1726" s="381">
        <v>219.68</v>
      </c>
    </row>
    <row r="1727" spans="1:6" s="275" customFormat="1" x14ac:dyDescent="0.15">
      <c r="A1727" s="655" t="s">
        <v>1554</v>
      </c>
      <c r="B1727" s="591" t="s">
        <v>1629</v>
      </c>
      <c r="C1727" s="287" t="s">
        <v>1399</v>
      </c>
      <c r="D1727" s="287" t="s">
        <v>1276</v>
      </c>
      <c r="E1727" s="656">
        <v>5200</v>
      </c>
      <c r="F1727" s="381">
        <v>798.49</v>
      </c>
    </row>
    <row r="1728" spans="1:6" s="275" customFormat="1" x14ac:dyDescent="0.15">
      <c r="A1728" s="655" t="s">
        <v>1598</v>
      </c>
      <c r="B1728" s="591"/>
      <c r="C1728" s="287" t="s">
        <v>1586</v>
      </c>
      <c r="D1728" s="287" t="s">
        <v>1500</v>
      </c>
      <c r="E1728" s="656">
        <f>2.9+28.8</f>
        <v>31.7</v>
      </c>
      <c r="F1728" s="381">
        <v>14.61</v>
      </c>
    </row>
    <row r="1729" spans="1:6" s="275" customFormat="1" x14ac:dyDescent="0.15">
      <c r="A1729" s="655" t="s">
        <v>1662</v>
      </c>
      <c r="B1729" s="657">
        <v>892914652</v>
      </c>
      <c r="C1729" s="287" t="s">
        <v>1663</v>
      </c>
      <c r="D1729" s="287" t="s">
        <v>1664</v>
      </c>
      <c r="E1729" s="656">
        <v>13120</v>
      </c>
      <c r="F1729" s="381">
        <v>2115.56</v>
      </c>
    </row>
    <row r="1730" spans="1:6" s="275" customFormat="1" ht="14" thickBot="1" x14ac:dyDescent="0.2">
      <c r="A1730" s="655"/>
      <c r="B1730" s="591"/>
      <c r="C1730" s="291" t="s">
        <v>1657</v>
      </c>
      <c r="D1730" s="287"/>
      <c r="E1730" s="638">
        <f>SUM(E1706:E1729)</f>
        <v>104575.69999999998</v>
      </c>
      <c r="F1730" s="658">
        <v>16340.560000000001</v>
      </c>
    </row>
    <row r="1731" spans="1:6" s="275" customFormat="1" ht="14" thickTop="1" x14ac:dyDescent="0.15">
      <c r="A1731" s="655"/>
      <c r="B1731" s="591"/>
      <c r="C1731" s="287"/>
      <c r="D1731" s="287"/>
      <c r="E1731" s="524"/>
      <c r="F1731" s="381"/>
    </row>
    <row r="1732" spans="1:6" s="275" customFormat="1" x14ac:dyDescent="0.15">
      <c r="A1732" s="655" t="s">
        <v>1556</v>
      </c>
      <c r="B1732" s="591" t="s">
        <v>1631</v>
      </c>
      <c r="C1732" s="287" t="s">
        <v>1248</v>
      </c>
      <c r="D1732" s="287" t="s">
        <v>1482</v>
      </c>
      <c r="E1732" s="656">
        <v>4306</v>
      </c>
      <c r="F1732" s="381">
        <v>713.39</v>
      </c>
    </row>
    <row r="1733" spans="1:6" s="295" customFormat="1" x14ac:dyDescent="0.15">
      <c r="A1733" s="655" t="s">
        <v>1558</v>
      </c>
      <c r="B1733" s="591" t="s">
        <v>1633</v>
      </c>
      <c r="C1733" s="287" t="s">
        <v>1469</v>
      </c>
      <c r="D1733" s="287" t="s">
        <v>1470</v>
      </c>
      <c r="E1733" s="656">
        <v>7760</v>
      </c>
      <c r="F1733" s="381">
        <v>1232.01</v>
      </c>
    </row>
    <row r="1734" spans="1:6" s="275" customFormat="1" x14ac:dyDescent="0.15">
      <c r="A1734" s="655" t="s">
        <v>1559</v>
      </c>
      <c r="B1734" s="591" t="s">
        <v>1634</v>
      </c>
      <c r="C1734" s="287" t="s">
        <v>1502</v>
      </c>
      <c r="D1734" s="287" t="s">
        <v>1381</v>
      </c>
      <c r="E1734" s="656">
        <v>20544</v>
      </c>
      <c r="F1734" s="381">
        <v>2970.31</v>
      </c>
    </row>
    <row r="1735" spans="1:6" s="275" customFormat="1" x14ac:dyDescent="0.15">
      <c r="A1735" s="655" t="s">
        <v>1560</v>
      </c>
      <c r="B1735" s="591" t="s">
        <v>1635</v>
      </c>
      <c r="C1735" s="287" t="s">
        <v>1504</v>
      </c>
      <c r="D1735" s="287" t="s">
        <v>1505</v>
      </c>
      <c r="E1735" s="656">
        <v>2186</v>
      </c>
      <c r="F1735" s="381">
        <v>333.12</v>
      </c>
    </row>
    <row r="1736" spans="1:6" s="275" customFormat="1" x14ac:dyDescent="0.15">
      <c r="A1736" s="655" t="s">
        <v>1675</v>
      </c>
      <c r="B1736" s="591" t="s">
        <v>1676</v>
      </c>
      <c r="C1736" s="287" t="s">
        <v>1477</v>
      </c>
      <c r="D1736" s="287" t="s">
        <v>1289</v>
      </c>
      <c r="E1736" s="656">
        <v>13890</v>
      </c>
      <c r="F1736" s="381">
        <v>2491.94</v>
      </c>
    </row>
    <row r="1737" spans="1:6" s="275" customFormat="1" x14ac:dyDescent="0.15">
      <c r="A1737" s="655" t="s">
        <v>1563</v>
      </c>
      <c r="B1737" s="591"/>
      <c r="C1737" s="287" t="s">
        <v>1267</v>
      </c>
      <c r="D1737" s="287" t="s">
        <v>1268</v>
      </c>
      <c r="E1737" s="656">
        <f>5+50.4</f>
        <v>55.4</v>
      </c>
      <c r="F1737" s="381">
        <v>10.77</v>
      </c>
    </row>
    <row r="1738" spans="1:6" s="275" customFormat="1" x14ac:dyDescent="0.15">
      <c r="A1738" s="655" t="s">
        <v>1564</v>
      </c>
      <c r="B1738" s="591" t="s">
        <v>1636</v>
      </c>
      <c r="C1738" s="287" t="s">
        <v>1485</v>
      </c>
      <c r="D1738" s="287" t="s">
        <v>1486</v>
      </c>
      <c r="E1738" s="656">
        <v>2640</v>
      </c>
      <c r="F1738" s="381">
        <v>487.09</v>
      </c>
    </row>
    <row r="1739" spans="1:6" s="275" customFormat="1" x14ac:dyDescent="0.15">
      <c r="A1739" s="655" t="s">
        <v>1565</v>
      </c>
      <c r="B1739" s="591" t="s">
        <v>1637</v>
      </c>
      <c r="C1739" s="287" t="s">
        <v>1267</v>
      </c>
      <c r="D1739" s="287" t="s">
        <v>1268</v>
      </c>
      <c r="E1739" s="656">
        <v>3762</v>
      </c>
      <c r="F1739" s="381">
        <v>673.58</v>
      </c>
    </row>
    <row r="1740" spans="1:6" s="275" customFormat="1" x14ac:dyDescent="0.15">
      <c r="A1740" s="655" t="s">
        <v>1569</v>
      </c>
      <c r="B1740" s="591" t="s">
        <v>1638</v>
      </c>
      <c r="C1740" s="287" t="s">
        <v>1464</v>
      </c>
      <c r="D1740" s="287" t="s">
        <v>1285</v>
      </c>
      <c r="E1740" s="656">
        <v>1196</v>
      </c>
      <c r="F1740" s="381">
        <v>238.06</v>
      </c>
    </row>
    <row r="1741" spans="1:6" s="275" customFormat="1" x14ac:dyDescent="0.15">
      <c r="A1741" s="655" t="s">
        <v>1570</v>
      </c>
      <c r="B1741" s="591" t="s">
        <v>1639</v>
      </c>
      <c r="C1741" s="287" t="s">
        <v>1472</v>
      </c>
      <c r="D1741" s="287" t="s">
        <v>1473</v>
      </c>
      <c r="E1741" s="656">
        <v>54</v>
      </c>
      <c r="F1741" s="381">
        <v>35.619999999999997</v>
      </c>
    </row>
    <row r="1742" spans="1:6" s="275" customFormat="1" x14ac:dyDescent="0.15">
      <c r="A1742" s="655" t="s">
        <v>1571</v>
      </c>
      <c r="B1742" s="591" t="s">
        <v>1640</v>
      </c>
      <c r="C1742" s="287" t="s">
        <v>1489</v>
      </c>
      <c r="D1742" s="287" t="s">
        <v>1490</v>
      </c>
      <c r="E1742" s="656">
        <v>139</v>
      </c>
      <c r="F1742" s="381">
        <v>44.43</v>
      </c>
    </row>
    <row r="1743" spans="1:6" s="275" customFormat="1" x14ac:dyDescent="0.15">
      <c r="A1743" s="655" t="s">
        <v>1572</v>
      </c>
      <c r="B1743" s="591" t="s">
        <v>1641</v>
      </c>
      <c r="C1743" s="287" t="s">
        <v>1271</v>
      </c>
      <c r="D1743" s="287" t="s">
        <v>1272</v>
      </c>
      <c r="E1743" s="656">
        <v>7066</v>
      </c>
      <c r="F1743" s="381">
        <v>1060.78</v>
      </c>
    </row>
    <row r="1744" spans="1:6" s="275" customFormat="1" x14ac:dyDescent="0.15">
      <c r="A1744" s="655" t="s">
        <v>1573</v>
      </c>
      <c r="B1744" s="591"/>
      <c r="C1744" s="287" t="s">
        <v>1461</v>
      </c>
      <c r="D1744" s="287" t="s">
        <v>1462</v>
      </c>
      <c r="E1744" s="656">
        <v>26</v>
      </c>
      <c r="F1744" s="381">
        <v>16.34</v>
      </c>
    </row>
    <row r="1745" spans="1:8" s="275" customFormat="1" x14ac:dyDescent="0.15">
      <c r="A1745" s="655" t="s">
        <v>1574</v>
      </c>
      <c r="B1745" s="591" t="s">
        <v>1642</v>
      </c>
      <c r="C1745" s="287" t="s">
        <v>1377</v>
      </c>
      <c r="D1745" s="287" t="s">
        <v>1378</v>
      </c>
      <c r="E1745" s="656">
        <v>2690</v>
      </c>
      <c r="F1745" s="381">
        <v>431.24</v>
      </c>
    </row>
    <row r="1746" spans="1:8" s="275" customFormat="1" x14ac:dyDescent="0.15">
      <c r="A1746" s="655" t="s">
        <v>1575</v>
      </c>
      <c r="B1746" s="591" t="s">
        <v>1685</v>
      </c>
      <c r="C1746" s="287" t="s">
        <v>1448</v>
      </c>
      <c r="D1746" s="287" t="s">
        <v>1449</v>
      </c>
      <c r="E1746" s="656">
        <v>328</v>
      </c>
      <c r="F1746" s="381">
        <v>61.45</v>
      </c>
    </row>
    <row r="1747" spans="1:8" s="275" customFormat="1" x14ac:dyDescent="0.15">
      <c r="A1747" s="655" t="s">
        <v>1604</v>
      </c>
      <c r="B1747" s="591"/>
      <c r="C1747" s="287" t="s">
        <v>1334</v>
      </c>
      <c r="D1747" s="287" t="s">
        <v>1462</v>
      </c>
      <c r="E1747" s="656">
        <f>54.9+71.9</f>
        <v>126.80000000000001</v>
      </c>
      <c r="F1747" s="381">
        <v>47.44</v>
      </c>
    </row>
    <row r="1748" spans="1:8" s="275" customFormat="1" x14ac:dyDescent="0.15">
      <c r="A1748" s="655" t="s">
        <v>1576</v>
      </c>
      <c r="B1748" s="591" t="s">
        <v>1644</v>
      </c>
      <c r="C1748" s="287" t="s">
        <v>1401</v>
      </c>
      <c r="D1748" s="287" t="s">
        <v>1316</v>
      </c>
      <c r="E1748" s="656">
        <v>34</v>
      </c>
      <c r="F1748" s="381">
        <v>33.72</v>
      </c>
    </row>
    <row r="1749" spans="1:8" s="275" customFormat="1" x14ac:dyDescent="0.15">
      <c r="A1749" s="655" t="s">
        <v>1605</v>
      </c>
      <c r="B1749" s="591"/>
      <c r="C1749" s="287" t="s">
        <v>1334</v>
      </c>
      <c r="D1749" s="287" t="s">
        <v>1462</v>
      </c>
      <c r="E1749" s="656">
        <f>200.6+262.4</f>
        <v>463</v>
      </c>
      <c r="F1749" s="381">
        <v>172.6</v>
      </c>
    </row>
    <row r="1750" spans="1:8" s="275" customFormat="1" x14ac:dyDescent="0.15">
      <c r="A1750" s="655" t="s">
        <v>1578</v>
      </c>
      <c r="B1750" s="591" t="s">
        <v>1646</v>
      </c>
      <c r="C1750" s="287" t="s">
        <v>1579</v>
      </c>
      <c r="D1750" s="287" t="s">
        <v>1497</v>
      </c>
      <c r="E1750" s="656">
        <v>0</v>
      </c>
      <c r="F1750" s="381">
        <v>30</v>
      </c>
    </row>
    <row r="1751" spans="1:8" s="275" customFormat="1" x14ac:dyDescent="0.15">
      <c r="A1751" s="655" t="s">
        <v>1580</v>
      </c>
      <c r="B1751" s="591" t="s">
        <v>1647</v>
      </c>
      <c r="C1751" s="287" t="s">
        <v>1451</v>
      </c>
      <c r="D1751" s="287" t="s">
        <v>1674</v>
      </c>
      <c r="E1751" s="656">
        <v>1344</v>
      </c>
      <c r="F1751" s="381">
        <v>1826.22</v>
      </c>
    </row>
    <row r="1752" spans="1:8" s="275" customFormat="1" x14ac:dyDescent="0.15">
      <c r="A1752" s="655" t="s">
        <v>1581</v>
      </c>
      <c r="B1752" s="591" t="s">
        <v>1648</v>
      </c>
      <c r="C1752" s="287" t="s">
        <v>1521</v>
      </c>
      <c r="D1752" s="287" t="s">
        <v>1229</v>
      </c>
      <c r="E1752" s="656">
        <v>2093</v>
      </c>
      <c r="F1752" s="381">
        <v>346.38</v>
      </c>
    </row>
    <row r="1753" spans="1:8" s="275" customFormat="1" x14ac:dyDescent="0.15">
      <c r="A1753" s="655" t="s">
        <v>1582</v>
      </c>
      <c r="B1753" s="591" t="s">
        <v>1649</v>
      </c>
      <c r="C1753" s="287" t="s">
        <v>1525</v>
      </c>
      <c r="D1753" s="287" t="s">
        <v>1526</v>
      </c>
      <c r="E1753" s="656">
        <v>11</v>
      </c>
      <c r="F1753" s="381">
        <v>7.85</v>
      </c>
    </row>
    <row r="1754" spans="1:8" s="275" customFormat="1" ht="14" x14ac:dyDescent="0.15">
      <c r="A1754" s="655" t="s">
        <v>1583</v>
      </c>
      <c r="B1754" s="591" t="s">
        <v>1650</v>
      </c>
      <c r="C1754" s="287" t="s">
        <v>1584</v>
      </c>
      <c r="D1754" s="618" t="s">
        <v>1264</v>
      </c>
      <c r="E1754" s="656">
        <v>1600</v>
      </c>
      <c r="F1754" s="381">
        <v>478.47</v>
      </c>
    </row>
    <row r="1755" spans="1:8" s="275" customFormat="1" x14ac:dyDescent="0.15">
      <c r="A1755" s="655" t="s">
        <v>1666</v>
      </c>
      <c r="B1755" s="591" t="s">
        <v>1672</v>
      </c>
      <c r="C1755" s="287" t="s">
        <v>1667</v>
      </c>
      <c r="D1755" s="287" t="s">
        <v>1668</v>
      </c>
      <c r="E1755" s="656">
        <v>16512</v>
      </c>
      <c r="F1755" s="381">
        <v>3582.13</v>
      </c>
    </row>
    <row r="1756" spans="1:8" s="275" customFormat="1" x14ac:dyDescent="0.15">
      <c r="A1756" s="655" t="s">
        <v>1606</v>
      </c>
      <c r="B1756" s="591"/>
      <c r="C1756" s="287" t="s">
        <v>1334</v>
      </c>
      <c r="D1756" s="287" t="s">
        <v>1462</v>
      </c>
      <c r="E1756" s="656">
        <f>24+31.4</f>
        <v>55.4</v>
      </c>
      <c r="F1756" s="381">
        <v>11.350000000000001</v>
      </c>
    </row>
    <row r="1757" spans="1:8" s="275" customFormat="1" ht="14" thickBot="1" x14ac:dyDescent="0.2">
      <c r="A1757" s="655"/>
      <c r="B1757" s="591"/>
      <c r="C1757" s="291" t="s">
        <v>1669</v>
      </c>
      <c r="D1757" s="287"/>
      <c r="E1757" s="643">
        <f>SUM(E1732:E1756)</f>
        <v>88881.599999999991</v>
      </c>
      <c r="F1757" s="658">
        <v>17336.29</v>
      </c>
    </row>
    <row r="1758" spans="1:8" s="275" customFormat="1" ht="14" thickTop="1" x14ac:dyDescent="0.15">
      <c r="A1758" s="660"/>
      <c r="B1758" s="661"/>
      <c r="C1758" s="359"/>
      <c r="D1758" s="359"/>
      <c r="E1758" s="662"/>
      <c r="F1758" s="375"/>
    </row>
    <row r="1759" spans="1:8" s="275" customFormat="1" ht="14" thickBot="1" x14ac:dyDescent="0.2">
      <c r="A1759" s="655" t="s">
        <v>1677</v>
      </c>
      <c r="B1759" s="591" t="s">
        <v>1678</v>
      </c>
      <c r="C1759" s="287" t="s">
        <v>1313</v>
      </c>
      <c r="D1759" s="287" t="s">
        <v>1412</v>
      </c>
      <c r="E1759" s="656">
        <v>1237</v>
      </c>
      <c r="F1759" s="381">
        <v>254.68</v>
      </c>
    </row>
    <row r="1760" spans="1:8" s="275" customFormat="1" x14ac:dyDescent="0.15">
      <c r="A1760" s="655" t="s">
        <v>1679</v>
      </c>
      <c r="B1760" s="591" t="s">
        <v>1680</v>
      </c>
      <c r="C1760" s="287" t="s">
        <v>1313</v>
      </c>
      <c r="D1760" s="287" t="s">
        <v>1412</v>
      </c>
      <c r="E1760" s="656">
        <v>0</v>
      </c>
      <c r="F1760" s="381">
        <v>30</v>
      </c>
      <c r="H1760" s="647" t="s">
        <v>1589</v>
      </c>
    </row>
    <row r="1761" spans="1:8" s="275" customFormat="1" ht="14" thickBot="1" x14ac:dyDescent="0.2">
      <c r="A1761" s="655"/>
      <c r="B1761" s="591"/>
      <c r="C1761" s="291" t="s">
        <v>1690</v>
      </c>
      <c r="D1761" s="287"/>
      <c r="E1761" s="643">
        <f>SUM(E1759:E1760)</f>
        <v>1237</v>
      </c>
      <c r="F1761" s="658">
        <v>284.68</v>
      </c>
      <c r="H1761" s="648">
        <f>SUM(F1730,F1757,F1761)</f>
        <v>33961.530000000006</v>
      </c>
    </row>
    <row r="1762" spans="1:8" s="275" customFormat="1" ht="14" thickTop="1" x14ac:dyDescent="0.15">
      <c r="A1762" s="660"/>
      <c r="B1762" s="661"/>
      <c r="C1762" s="359"/>
      <c r="D1762" s="359"/>
      <c r="E1762" s="662"/>
      <c r="F1762" s="375"/>
    </row>
    <row r="1763" spans="1:8" s="275" customFormat="1" x14ac:dyDescent="0.15">
      <c r="A1763" s="660"/>
      <c r="B1763" s="661"/>
      <c r="C1763" s="293" t="s">
        <v>1594</v>
      </c>
      <c r="D1763" s="359"/>
      <c r="E1763" s="662"/>
      <c r="F1763" s="375"/>
    </row>
    <row r="1764" spans="1:8" s="275" customFormat="1" x14ac:dyDescent="0.15">
      <c r="A1764" s="660"/>
      <c r="B1764" s="661"/>
      <c r="C1764" s="293" t="s">
        <v>1446</v>
      </c>
      <c r="D1764" s="359"/>
      <c r="E1764" s="662"/>
      <c r="F1764" s="375"/>
    </row>
    <row r="1765" spans="1:8" s="275" customFormat="1" x14ac:dyDescent="0.15">
      <c r="A1765" s="660"/>
      <c r="B1765" s="661"/>
      <c r="C1765" s="386">
        <v>41851</v>
      </c>
      <c r="D1765" s="359"/>
      <c r="E1765" s="662"/>
      <c r="F1765" s="375"/>
    </row>
    <row r="1766" spans="1:8" s="275" customFormat="1" x14ac:dyDescent="0.15">
      <c r="A1766" s="660"/>
      <c r="B1766" s="661"/>
      <c r="C1766" s="359"/>
      <c r="D1766" s="359"/>
      <c r="E1766" s="662"/>
      <c r="F1766" s="375"/>
    </row>
    <row r="1767" spans="1:8" s="275" customFormat="1" ht="14" thickBot="1" x14ac:dyDescent="0.2">
      <c r="A1767" s="663"/>
      <c r="B1767" s="664"/>
      <c r="C1767" s="665" t="s">
        <v>1177</v>
      </c>
      <c r="D1767" s="665"/>
      <c r="E1767" s="666">
        <f>SUM(E1730,E1757,E1761)</f>
        <v>194694.3</v>
      </c>
      <c r="F1767" s="667">
        <v>33961.53</v>
      </c>
    </row>
    <row r="1768" spans="1:8" s="275" customFormat="1" x14ac:dyDescent="0.15">
      <c r="A1768" s="617"/>
      <c r="B1768" s="617"/>
      <c r="E1768" s="276"/>
      <c r="F1768" s="278"/>
    </row>
    <row r="1769" spans="1:8" s="275" customFormat="1" x14ac:dyDescent="0.15">
      <c r="A1769" s="652" t="s">
        <v>1534</v>
      </c>
      <c r="B1769" s="653" t="s">
        <v>1614</v>
      </c>
      <c r="C1769" s="371" t="s">
        <v>1492</v>
      </c>
      <c r="D1769" s="371" t="s">
        <v>1239</v>
      </c>
      <c r="E1769" s="654">
        <v>7760</v>
      </c>
      <c r="F1769" s="391">
        <v>1224.42</v>
      </c>
    </row>
    <row r="1770" spans="1:8" s="275" customFormat="1" x14ac:dyDescent="0.15">
      <c r="A1770" s="655" t="s">
        <v>1535</v>
      </c>
      <c r="B1770" s="591" t="s">
        <v>1615</v>
      </c>
      <c r="C1770" s="287" t="s">
        <v>1507</v>
      </c>
      <c r="D1770" s="287" t="s">
        <v>1245</v>
      </c>
      <c r="E1770" s="656">
        <v>2760</v>
      </c>
      <c r="F1770" s="381">
        <v>504.48</v>
      </c>
    </row>
    <row r="1771" spans="1:8" s="275" customFormat="1" x14ac:dyDescent="0.15">
      <c r="A1771" s="655" t="s">
        <v>1670</v>
      </c>
      <c r="B1771" s="591" t="s">
        <v>1659</v>
      </c>
      <c r="C1771" s="287" t="s">
        <v>1279</v>
      </c>
      <c r="D1771" s="287" t="s">
        <v>1660</v>
      </c>
      <c r="E1771" s="656">
        <v>6240</v>
      </c>
      <c r="F1771" s="381">
        <v>1177.3599999999999</v>
      </c>
    </row>
    <row r="1772" spans="1:8" s="275" customFormat="1" x14ac:dyDescent="0.15">
      <c r="A1772" s="655" t="s">
        <v>1536</v>
      </c>
      <c r="B1772" s="591" t="s">
        <v>1616</v>
      </c>
      <c r="C1772" s="287" t="s">
        <v>1479</v>
      </c>
      <c r="D1772" s="287" t="s">
        <v>1231</v>
      </c>
      <c r="E1772" s="656">
        <v>3869</v>
      </c>
      <c r="F1772" s="381">
        <v>565</v>
      </c>
    </row>
    <row r="1773" spans="1:8" s="275" customFormat="1" x14ac:dyDescent="0.15">
      <c r="A1773" s="655" t="s">
        <v>1537</v>
      </c>
      <c r="B1773" s="591" t="s">
        <v>1617</v>
      </c>
      <c r="C1773" s="287" t="s">
        <v>1269</v>
      </c>
      <c r="D1773" s="287" t="s">
        <v>1270</v>
      </c>
      <c r="E1773" s="656">
        <v>2184</v>
      </c>
      <c r="F1773" s="381">
        <v>590.36</v>
      </c>
    </row>
    <row r="1774" spans="1:8" s="275" customFormat="1" x14ac:dyDescent="0.15">
      <c r="A1774" s="655" t="s">
        <v>1538</v>
      </c>
      <c r="B1774" s="591" t="s">
        <v>1618</v>
      </c>
      <c r="C1774" s="287" t="s">
        <v>1517</v>
      </c>
      <c r="D1774" s="287" t="s">
        <v>1518</v>
      </c>
      <c r="E1774" s="656">
        <v>6</v>
      </c>
      <c r="F1774" s="381">
        <v>30.62</v>
      </c>
    </row>
    <row r="1775" spans="1:8" s="275" customFormat="1" x14ac:dyDescent="0.15">
      <c r="A1775" s="655" t="s">
        <v>1540</v>
      </c>
      <c r="B1775" s="591" t="s">
        <v>1620</v>
      </c>
      <c r="C1775" s="287" t="s">
        <v>1257</v>
      </c>
      <c r="D1775" s="287" t="s">
        <v>1258</v>
      </c>
      <c r="E1775" s="656">
        <v>16800</v>
      </c>
      <c r="F1775" s="381">
        <v>2420.62</v>
      </c>
    </row>
    <row r="1776" spans="1:8" s="275" customFormat="1" x14ac:dyDescent="0.15">
      <c r="A1776" s="655" t="s">
        <v>1541</v>
      </c>
      <c r="B1776" s="591" t="s">
        <v>1621</v>
      </c>
      <c r="C1776" s="287" t="s">
        <v>1586</v>
      </c>
      <c r="D1776" s="287" t="s">
        <v>1500</v>
      </c>
      <c r="E1776" s="656">
        <v>3080</v>
      </c>
      <c r="F1776" s="381">
        <v>537.4</v>
      </c>
    </row>
    <row r="1777" spans="1:6" s="275" customFormat="1" x14ac:dyDescent="0.15">
      <c r="A1777" s="655" t="s">
        <v>1542</v>
      </c>
      <c r="B1777" s="591" t="s">
        <v>1622</v>
      </c>
      <c r="C1777" s="287" t="s">
        <v>1240</v>
      </c>
      <c r="D1777" s="287" t="s">
        <v>1467</v>
      </c>
      <c r="E1777" s="656">
        <v>4072</v>
      </c>
      <c r="F1777" s="381">
        <v>601.16</v>
      </c>
    </row>
    <row r="1778" spans="1:6" s="275" customFormat="1" x14ac:dyDescent="0.15">
      <c r="A1778" s="655" t="s">
        <v>1543</v>
      </c>
      <c r="B1778" s="591" t="s">
        <v>1623</v>
      </c>
      <c r="C1778" s="287" t="s">
        <v>1523</v>
      </c>
      <c r="D1778" s="287" t="s">
        <v>1266</v>
      </c>
      <c r="E1778" s="656">
        <v>1097</v>
      </c>
      <c r="F1778" s="381">
        <v>196.19</v>
      </c>
    </row>
    <row r="1779" spans="1:6" s="275" customFormat="1" x14ac:dyDescent="0.15">
      <c r="A1779" s="655" t="s">
        <v>1544</v>
      </c>
      <c r="B1779" s="591" t="s">
        <v>1624</v>
      </c>
      <c r="C1779" s="287" t="s">
        <v>1234</v>
      </c>
      <c r="D1779" s="287" t="s">
        <v>1494</v>
      </c>
      <c r="E1779" s="656">
        <v>3884</v>
      </c>
      <c r="F1779" s="381">
        <v>681.07</v>
      </c>
    </row>
    <row r="1780" spans="1:6" s="275" customFormat="1" x14ac:dyDescent="0.15">
      <c r="A1780" s="655" t="s">
        <v>1601</v>
      </c>
      <c r="B1780" s="591"/>
      <c r="C1780" s="287" t="s">
        <v>1334</v>
      </c>
      <c r="D1780" s="287" t="s">
        <v>1462</v>
      </c>
      <c r="E1780" s="656">
        <f>1187.6+1526.9</f>
        <v>2714.5</v>
      </c>
      <c r="F1780" s="381">
        <v>524.39</v>
      </c>
    </row>
    <row r="1781" spans="1:6" s="275" customFormat="1" x14ac:dyDescent="0.15">
      <c r="A1781" s="655" t="s">
        <v>1545</v>
      </c>
      <c r="B1781" s="591"/>
      <c r="C1781" s="287" t="s">
        <v>1234</v>
      </c>
      <c r="D1781" s="287" t="s">
        <v>1494</v>
      </c>
      <c r="E1781" s="656">
        <f>2.1+59.9</f>
        <v>62</v>
      </c>
      <c r="F1781" s="381">
        <v>14.84</v>
      </c>
    </row>
    <row r="1782" spans="1:6" s="275" customFormat="1" x14ac:dyDescent="0.15">
      <c r="A1782" s="655" t="s">
        <v>1602</v>
      </c>
      <c r="B1782" s="591"/>
      <c r="C1782" s="287" t="s">
        <v>1334</v>
      </c>
      <c r="D1782" s="287" t="s">
        <v>1462</v>
      </c>
      <c r="E1782" s="656">
        <f>66.4+85.4</f>
        <v>151.80000000000001</v>
      </c>
      <c r="F1782" s="381">
        <v>41.95</v>
      </c>
    </row>
    <row r="1783" spans="1:6" s="275" customFormat="1" x14ac:dyDescent="0.15">
      <c r="A1783" s="655" t="s">
        <v>1546</v>
      </c>
      <c r="B1783" s="591"/>
      <c r="C1783" s="287" t="s">
        <v>1586</v>
      </c>
      <c r="D1783" s="287" t="s">
        <v>1500</v>
      </c>
      <c r="E1783" s="656">
        <f>2.4+68.6</f>
        <v>71</v>
      </c>
      <c r="F1783" s="381">
        <v>24.75</v>
      </c>
    </row>
    <row r="1784" spans="1:6" s="275" customFormat="1" x14ac:dyDescent="0.15">
      <c r="A1784" s="655" t="s">
        <v>1547</v>
      </c>
      <c r="B1784" s="591"/>
      <c r="C1784" s="287" t="s">
        <v>1286</v>
      </c>
      <c r="D1784" s="287" t="s">
        <v>1514</v>
      </c>
      <c r="E1784" s="656">
        <f>175.5+11.7</f>
        <v>187.2</v>
      </c>
      <c r="F1784" s="381">
        <v>45.7</v>
      </c>
    </row>
    <row r="1785" spans="1:6" s="275" customFormat="1" x14ac:dyDescent="0.15">
      <c r="A1785" s="655" t="s">
        <v>1549</v>
      </c>
      <c r="B1785" s="591" t="s">
        <v>1625</v>
      </c>
      <c r="C1785" s="287" t="s">
        <v>1459</v>
      </c>
      <c r="D1785" s="287" t="s">
        <v>1251</v>
      </c>
      <c r="E1785" s="656">
        <v>865</v>
      </c>
      <c r="F1785" s="381">
        <v>172.33</v>
      </c>
    </row>
    <row r="1786" spans="1:6" s="275" customFormat="1" x14ac:dyDescent="0.15">
      <c r="A1786" s="655" t="s">
        <v>1603</v>
      </c>
      <c r="B1786" s="591"/>
      <c r="C1786" s="287" t="s">
        <v>1334</v>
      </c>
      <c r="D1786" s="287" t="s">
        <v>1462</v>
      </c>
      <c r="E1786" s="656">
        <f>497.3+639.4</f>
        <v>1136.7</v>
      </c>
      <c r="F1786" s="381">
        <v>236.07</v>
      </c>
    </row>
    <row r="1787" spans="1:6" s="275" customFormat="1" x14ac:dyDescent="0.15">
      <c r="A1787" s="655" t="s">
        <v>1597</v>
      </c>
      <c r="B1787" s="591" t="s">
        <v>1626</v>
      </c>
      <c r="C1787" s="287" t="s">
        <v>1454</v>
      </c>
      <c r="D1787" s="287" t="s">
        <v>1247</v>
      </c>
      <c r="E1787" s="656">
        <v>2760</v>
      </c>
      <c r="F1787" s="381">
        <v>443.4</v>
      </c>
    </row>
    <row r="1788" spans="1:6" s="275" customFormat="1" x14ac:dyDescent="0.15">
      <c r="A1788" s="655" t="s">
        <v>1551</v>
      </c>
      <c r="B1788" s="591" t="s">
        <v>1627</v>
      </c>
      <c r="C1788" s="287" t="s">
        <v>1235</v>
      </c>
      <c r="D1788" s="287" t="s">
        <v>1236</v>
      </c>
      <c r="E1788" s="656">
        <v>5654</v>
      </c>
      <c r="F1788" s="381">
        <v>817.17</v>
      </c>
    </row>
    <row r="1789" spans="1:6" s="275" customFormat="1" x14ac:dyDescent="0.15">
      <c r="A1789" s="655" t="s">
        <v>1553</v>
      </c>
      <c r="B1789" s="591" t="s">
        <v>1628</v>
      </c>
      <c r="C1789" s="287" t="s">
        <v>1475</v>
      </c>
      <c r="D1789" s="287" t="s">
        <v>1387</v>
      </c>
      <c r="E1789" s="656">
        <v>674</v>
      </c>
      <c r="F1789" s="381">
        <v>120.51</v>
      </c>
    </row>
    <row r="1790" spans="1:6" s="275" customFormat="1" x14ac:dyDescent="0.15">
      <c r="A1790" s="655" t="s">
        <v>1554</v>
      </c>
      <c r="B1790" s="591" t="s">
        <v>1629</v>
      </c>
      <c r="C1790" s="287" t="s">
        <v>1399</v>
      </c>
      <c r="D1790" s="287" t="s">
        <v>1276</v>
      </c>
      <c r="E1790" s="656">
        <v>4400</v>
      </c>
      <c r="F1790" s="381">
        <v>711.2</v>
      </c>
    </row>
    <row r="1791" spans="1:6" s="275" customFormat="1" x14ac:dyDescent="0.15">
      <c r="A1791" s="655" t="s">
        <v>1598</v>
      </c>
      <c r="B1791" s="591"/>
      <c r="C1791" s="287" t="s">
        <v>1586</v>
      </c>
      <c r="D1791" s="287" t="s">
        <v>1500</v>
      </c>
      <c r="E1791" s="656">
        <f>1.2+34.3</f>
        <v>35.5</v>
      </c>
      <c r="F1791" s="381">
        <v>15.04</v>
      </c>
    </row>
    <row r="1792" spans="1:6" s="275" customFormat="1" x14ac:dyDescent="0.15">
      <c r="A1792" s="655" t="s">
        <v>1662</v>
      </c>
      <c r="B1792" s="657">
        <v>892914652</v>
      </c>
      <c r="C1792" s="287" t="s">
        <v>1663</v>
      </c>
      <c r="D1792" s="287" t="s">
        <v>1664</v>
      </c>
      <c r="E1792" s="656">
        <v>13040</v>
      </c>
      <c r="F1792" s="381">
        <v>2109.61</v>
      </c>
    </row>
    <row r="1793" spans="1:6" s="275" customFormat="1" ht="14" thickBot="1" x14ac:dyDescent="0.2">
      <c r="A1793" s="655"/>
      <c r="B1793" s="591"/>
      <c r="C1793" s="291" t="s">
        <v>1671</v>
      </c>
      <c r="D1793" s="287"/>
      <c r="E1793" s="638">
        <f>SUM(E1769:E1792)</f>
        <v>83503.7</v>
      </c>
      <c r="F1793" s="658">
        <v>13805.640000000001</v>
      </c>
    </row>
    <row r="1794" spans="1:6" s="275" customFormat="1" ht="14" thickTop="1" x14ac:dyDescent="0.15">
      <c r="A1794" s="655"/>
      <c r="B1794" s="591"/>
      <c r="C1794" s="287"/>
      <c r="D1794" s="287"/>
      <c r="E1794" s="524"/>
      <c r="F1794" s="381"/>
    </row>
    <row r="1795" spans="1:6" s="275" customFormat="1" x14ac:dyDescent="0.15">
      <c r="A1795" s="655" t="s">
        <v>1556</v>
      </c>
      <c r="B1795" s="591" t="s">
        <v>1631</v>
      </c>
      <c r="C1795" s="287" t="s">
        <v>1248</v>
      </c>
      <c r="D1795" s="287" t="s">
        <v>1482</v>
      </c>
      <c r="E1795" s="656">
        <v>3799</v>
      </c>
      <c r="F1795" s="381">
        <v>649.44000000000005</v>
      </c>
    </row>
    <row r="1796" spans="1:6" s="295" customFormat="1" x14ac:dyDescent="0.15">
      <c r="A1796" s="655" t="s">
        <v>1558</v>
      </c>
      <c r="B1796" s="591" t="s">
        <v>1633</v>
      </c>
      <c r="C1796" s="287" t="s">
        <v>1469</v>
      </c>
      <c r="D1796" s="287" t="s">
        <v>1470</v>
      </c>
      <c r="E1796" s="656">
        <v>6640</v>
      </c>
      <c r="F1796" s="381">
        <v>1048.26</v>
      </c>
    </row>
    <row r="1797" spans="1:6" s="275" customFormat="1" x14ac:dyDescent="0.15">
      <c r="A1797" s="655" t="s">
        <v>1559</v>
      </c>
      <c r="B1797" s="591" t="s">
        <v>1634</v>
      </c>
      <c r="C1797" s="287" t="s">
        <v>1502</v>
      </c>
      <c r="D1797" s="287" t="s">
        <v>1381</v>
      </c>
      <c r="E1797" s="656">
        <v>22848</v>
      </c>
      <c r="F1797" s="381">
        <v>3095.36</v>
      </c>
    </row>
    <row r="1798" spans="1:6" s="275" customFormat="1" x14ac:dyDescent="0.15">
      <c r="A1798" s="655" t="s">
        <v>1560</v>
      </c>
      <c r="B1798" s="591" t="s">
        <v>1635</v>
      </c>
      <c r="C1798" s="287" t="s">
        <v>1504</v>
      </c>
      <c r="D1798" s="287" t="s">
        <v>1505</v>
      </c>
      <c r="E1798" s="656">
        <v>1810</v>
      </c>
      <c r="F1798" s="381">
        <v>284.72000000000003</v>
      </c>
    </row>
    <row r="1799" spans="1:6" s="275" customFormat="1" x14ac:dyDescent="0.15">
      <c r="A1799" s="655" t="s">
        <v>1675</v>
      </c>
      <c r="B1799" s="591" t="s">
        <v>1676</v>
      </c>
      <c r="C1799" s="287" t="s">
        <v>1477</v>
      </c>
      <c r="D1799" s="287" t="s">
        <v>1289</v>
      </c>
      <c r="E1799" s="656">
        <v>12270</v>
      </c>
      <c r="F1799" s="381">
        <v>2269.48</v>
      </c>
    </row>
    <row r="1800" spans="1:6" s="275" customFormat="1" x14ac:dyDescent="0.15">
      <c r="A1800" s="655" t="s">
        <v>1563</v>
      </c>
      <c r="B1800" s="591"/>
      <c r="C1800" s="287" t="s">
        <v>1267</v>
      </c>
      <c r="D1800" s="287" t="s">
        <v>1268</v>
      </c>
      <c r="E1800" s="656">
        <f>2.1+59.9</f>
        <v>62</v>
      </c>
      <c r="F1800" s="381">
        <v>11.43</v>
      </c>
    </row>
    <row r="1801" spans="1:6" s="275" customFormat="1" x14ac:dyDescent="0.15">
      <c r="A1801" s="655" t="s">
        <v>1564</v>
      </c>
      <c r="B1801" s="591" t="s">
        <v>1636</v>
      </c>
      <c r="C1801" s="287" t="s">
        <v>1485</v>
      </c>
      <c r="D1801" s="287" t="s">
        <v>1486</v>
      </c>
      <c r="E1801" s="656">
        <v>2040</v>
      </c>
      <c r="F1801" s="381">
        <v>415.24</v>
      </c>
    </row>
    <row r="1802" spans="1:6" s="275" customFormat="1" x14ac:dyDescent="0.15">
      <c r="A1802" s="655" t="s">
        <v>1565</v>
      </c>
      <c r="B1802" s="591" t="s">
        <v>1637</v>
      </c>
      <c r="C1802" s="287" t="s">
        <v>1267</v>
      </c>
      <c r="D1802" s="287" t="s">
        <v>1268</v>
      </c>
      <c r="E1802" s="656">
        <v>2794</v>
      </c>
      <c r="F1802" s="381">
        <v>499.57</v>
      </c>
    </row>
    <row r="1803" spans="1:6" s="275" customFormat="1" x14ac:dyDescent="0.15">
      <c r="A1803" s="655" t="s">
        <v>1569</v>
      </c>
      <c r="B1803" s="591" t="s">
        <v>1638</v>
      </c>
      <c r="C1803" s="287" t="s">
        <v>1464</v>
      </c>
      <c r="D1803" s="287" t="s">
        <v>1285</v>
      </c>
      <c r="E1803" s="656">
        <v>1143</v>
      </c>
      <c r="F1803" s="381">
        <v>246.71</v>
      </c>
    </row>
    <row r="1804" spans="1:6" s="275" customFormat="1" x14ac:dyDescent="0.15">
      <c r="A1804" s="655" t="s">
        <v>1570</v>
      </c>
      <c r="B1804" s="591" t="s">
        <v>1639</v>
      </c>
      <c r="C1804" s="287" t="s">
        <v>1472</v>
      </c>
      <c r="D1804" s="287" t="s">
        <v>1473</v>
      </c>
      <c r="E1804" s="656">
        <v>46</v>
      </c>
      <c r="F1804" s="381">
        <v>34.72</v>
      </c>
    </row>
    <row r="1805" spans="1:6" s="275" customFormat="1" x14ac:dyDescent="0.15">
      <c r="A1805" s="655" t="s">
        <v>1571</v>
      </c>
      <c r="B1805" s="591" t="s">
        <v>1640</v>
      </c>
      <c r="C1805" s="287" t="s">
        <v>1489</v>
      </c>
      <c r="D1805" s="287" t="s">
        <v>1490</v>
      </c>
      <c r="E1805" s="656">
        <v>130</v>
      </c>
      <c r="F1805" s="381">
        <v>43.37</v>
      </c>
    </row>
    <row r="1806" spans="1:6" s="275" customFormat="1" x14ac:dyDescent="0.15">
      <c r="A1806" s="655" t="s">
        <v>1572</v>
      </c>
      <c r="B1806" s="591" t="s">
        <v>1641</v>
      </c>
      <c r="C1806" s="287" t="s">
        <v>1271</v>
      </c>
      <c r="D1806" s="287" t="s">
        <v>1272</v>
      </c>
      <c r="E1806" s="656">
        <v>5957</v>
      </c>
      <c r="F1806" s="381">
        <v>909.37</v>
      </c>
    </row>
    <row r="1807" spans="1:6" s="275" customFormat="1" x14ac:dyDescent="0.15">
      <c r="A1807" s="655" t="s">
        <v>1573</v>
      </c>
      <c r="B1807" s="591"/>
      <c r="C1807" s="287" t="s">
        <v>1461</v>
      </c>
      <c r="D1807" s="287" t="s">
        <v>1462</v>
      </c>
      <c r="E1807" s="656">
        <v>26</v>
      </c>
      <c r="F1807" s="381">
        <v>16.34</v>
      </c>
    </row>
    <row r="1808" spans="1:6" s="275" customFormat="1" x14ac:dyDescent="0.15">
      <c r="A1808" s="655" t="s">
        <v>1574</v>
      </c>
      <c r="B1808" s="591" t="s">
        <v>1642</v>
      </c>
      <c r="C1808" s="287" t="s">
        <v>1377</v>
      </c>
      <c r="D1808" s="287" t="s">
        <v>1378</v>
      </c>
      <c r="E1808" s="656">
        <v>2126</v>
      </c>
      <c r="F1808" s="381">
        <v>340.08</v>
      </c>
    </row>
    <row r="1809" spans="1:8" s="275" customFormat="1" x14ac:dyDescent="0.15">
      <c r="A1809" s="655" t="s">
        <v>1575</v>
      </c>
      <c r="B1809" s="591" t="s">
        <v>1685</v>
      </c>
      <c r="C1809" s="287" t="s">
        <v>1448</v>
      </c>
      <c r="D1809" s="287" t="s">
        <v>1449</v>
      </c>
      <c r="E1809" s="656">
        <v>288</v>
      </c>
      <c r="F1809" s="381">
        <v>54.61</v>
      </c>
    </row>
    <row r="1810" spans="1:8" s="275" customFormat="1" x14ac:dyDescent="0.15">
      <c r="A1810" s="655" t="s">
        <v>1604</v>
      </c>
      <c r="B1810" s="591"/>
      <c r="C1810" s="287" t="s">
        <v>1334</v>
      </c>
      <c r="D1810" s="287" t="s">
        <v>1462</v>
      </c>
      <c r="E1810" s="656">
        <f>62.1+79.9</f>
        <v>142</v>
      </c>
      <c r="F1810" s="381">
        <v>49.12</v>
      </c>
    </row>
    <row r="1811" spans="1:8" s="275" customFormat="1" x14ac:dyDescent="0.15">
      <c r="A1811" s="655" t="s">
        <v>1576</v>
      </c>
      <c r="B1811" s="591" t="s">
        <v>1644</v>
      </c>
      <c r="C1811" s="287" t="s">
        <v>1401</v>
      </c>
      <c r="D1811" s="287" t="s">
        <v>1316</v>
      </c>
      <c r="E1811" s="656">
        <v>621</v>
      </c>
      <c r="F1811" s="381">
        <v>97.36</v>
      </c>
    </row>
    <row r="1812" spans="1:8" s="275" customFormat="1" x14ac:dyDescent="0.15">
      <c r="A1812" s="655" t="s">
        <v>1605</v>
      </c>
      <c r="B1812" s="591"/>
      <c r="C1812" s="287" t="s">
        <v>1334</v>
      </c>
      <c r="D1812" s="287" t="s">
        <v>1462</v>
      </c>
      <c r="E1812" s="656">
        <f>226.6+291.4</f>
        <v>518</v>
      </c>
      <c r="F1812" s="381">
        <v>178.62</v>
      </c>
    </row>
    <row r="1813" spans="1:8" s="275" customFormat="1" x14ac:dyDescent="0.15">
      <c r="A1813" s="655" t="s">
        <v>1578</v>
      </c>
      <c r="B1813" s="591" t="s">
        <v>1646</v>
      </c>
      <c r="C1813" s="287" t="s">
        <v>1579</v>
      </c>
      <c r="D1813" s="287" t="s">
        <v>1497</v>
      </c>
      <c r="E1813" s="656">
        <v>0</v>
      </c>
      <c r="F1813" s="381">
        <v>60</v>
      </c>
    </row>
    <row r="1814" spans="1:8" s="275" customFormat="1" x14ac:dyDescent="0.15">
      <c r="A1814" s="655" t="s">
        <v>1580</v>
      </c>
      <c r="B1814" s="591" t="s">
        <v>1647</v>
      </c>
      <c r="C1814" s="287" t="s">
        <v>1451</v>
      </c>
      <c r="D1814" s="287" t="s">
        <v>1674</v>
      </c>
      <c r="E1814" s="656">
        <v>576</v>
      </c>
      <c r="F1814" s="381">
        <v>89.2</v>
      </c>
    </row>
    <row r="1815" spans="1:8" s="275" customFormat="1" x14ac:dyDescent="0.15">
      <c r="A1815" s="655" t="s">
        <v>1581</v>
      </c>
      <c r="B1815" s="591" t="s">
        <v>1648</v>
      </c>
      <c r="C1815" s="287" t="s">
        <v>1521</v>
      </c>
      <c r="D1815" s="287" t="s">
        <v>1229</v>
      </c>
      <c r="E1815" s="656">
        <v>2304</v>
      </c>
      <c r="F1815" s="381">
        <v>366.01</v>
      </c>
    </row>
    <row r="1816" spans="1:8" s="275" customFormat="1" x14ac:dyDescent="0.15">
      <c r="A1816" s="655" t="s">
        <v>1582</v>
      </c>
      <c r="B1816" s="591" t="s">
        <v>1649</v>
      </c>
      <c r="C1816" s="287" t="s">
        <v>1525</v>
      </c>
      <c r="D1816" s="287" t="s">
        <v>1526</v>
      </c>
      <c r="E1816" s="656">
        <v>9</v>
      </c>
      <c r="F1816" s="381">
        <v>7.53</v>
      </c>
    </row>
    <row r="1817" spans="1:8" s="275" customFormat="1" ht="14" x14ac:dyDescent="0.15">
      <c r="A1817" s="655" t="s">
        <v>1583</v>
      </c>
      <c r="B1817" s="591" t="s">
        <v>1650</v>
      </c>
      <c r="C1817" s="287" t="s">
        <v>1584</v>
      </c>
      <c r="D1817" s="618" t="s">
        <v>1264</v>
      </c>
      <c r="E1817" s="656">
        <v>1720</v>
      </c>
      <c r="F1817" s="381">
        <v>321.26</v>
      </c>
    </row>
    <row r="1818" spans="1:8" s="275" customFormat="1" x14ac:dyDescent="0.15">
      <c r="A1818" s="655" t="s">
        <v>1666</v>
      </c>
      <c r="B1818" s="591" t="s">
        <v>1672</v>
      </c>
      <c r="C1818" s="287" t="s">
        <v>1667</v>
      </c>
      <c r="D1818" s="287" t="s">
        <v>1668</v>
      </c>
      <c r="E1818" s="656">
        <v>16320</v>
      </c>
      <c r="F1818" s="381">
        <v>3000.78</v>
      </c>
    </row>
    <row r="1819" spans="1:8" s="275" customFormat="1" x14ac:dyDescent="0.15">
      <c r="A1819" s="655" t="s">
        <v>1606</v>
      </c>
      <c r="B1819" s="591"/>
      <c r="C1819" s="287" t="s">
        <v>1334</v>
      </c>
      <c r="D1819" s="287" t="s">
        <v>1462</v>
      </c>
      <c r="E1819" s="656">
        <f>27.1+34.9</f>
        <v>62</v>
      </c>
      <c r="F1819" s="381">
        <v>12.07</v>
      </c>
    </row>
    <row r="1820" spans="1:8" s="275" customFormat="1" ht="14" thickBot="1" x14ac:dyDescent="0.2">
      <c r="A1820" s="655"/>
      <c r="B1820" s="591"/>
      <c r="C1820" s="291" t="s">
        <v>1673</v>
      </c>
      <c r="D1820" s="287"/>
      <c r="E1820" s="643">
        <f>SUM(E1795:E1819)</f>
        <v>84251</v>
      </c>
      <c r="F1820" s="658">
        <v>14100.650000000005</v>
      </c>
    </row>
    <row r="1821" spans="1:8" s="275" customFormat="1" ht="14" thickTop="1" x14ac:dyDescent="0.15">
      <c r="A1821" s="660"/>
      <c r="B1821" s="661"/>
      <c r="C1821" s="359"/>
      <c r="D1821" s="359"/>
      <c r="E1821" s="662"/>
      <c r="F1821" s="375"/>
    </row>
    <row r="1822" spans="1:8" s="275" customFormat="1" ht="14" thickBot="1" x14ac:dyDescent="0.2">
      <c r="A1822" s="655" t="s">
        <v>1677</v>
      </c>
      <c r="B1822" s="591" t="s">
        <v>1678</v>
      </c>
      <c r="C1822" s="287" t="s">
        <v>1313</v>
      </c>
      <c r="D1822" s="287" t="s">
        <v>1412</v>
      </c>
      <c r="E1822" s="656">
        <v>1116</v>
      </c>
      <c r="F1822" s="381">
        <v>232.18</v>
      </c>
    </row>
    <row r="1823" spans="1:8" s="275" customFormat="1" x14ac:dyDescent="0.15">
      <c r="A1823" s="655" t="s">
        <v>1679</v>
      </c>
      <c r="B1823" s="591" t="s">
        <v>1680</v>
      </c>
      <c r="C1823" s="287" t="s">
        <v>1313</v>
      </c>
      <c r="D1823" s="287" t="s">
        <v>1412</v>
      </c>
      <c r="E1823" s="656">
        <v>0</v>
      </c>
      <c r="F1823" s="381">
        <v>30</v>
      </c>
      <c r="H1823" s="647" t="s">
        <v>1589</v>
      </c>
    </row>
    <row r="1824" spans="1:8" s="275" customFormat="1" ht="14" thickBot="1" x14ac:dyDescent="0.2">
      <c r="A1824" s="655"/>
      <c r="B1824" s="591"/>
      <c r="C1824" s="291" t="s">
        <v>1691</v>
      </c>
      <c r="D1824" s="287"/>
      <c r="E1824" s="643">
        <f>SUM(E1822:E1823)</f>
        <v>1116</v>
      </c>
      <c r="F1824" s="658">
        <v>262.18</v>
      </c>
      <c r="H1824" s="648">
        <f>SUM(F1793,F1820,F1824)</f>
        <v>28168.470000000008</v>
      </c>
    </row>
    <row r="1825" spans="1:6" s="275" customFormat="1" ht="14" thickTop="1" x14ac:dyDescent="0.15">
      <c r="A1825" s="660"/>
      <c r="B1825" s="661"/>
      <c r="C1825" s="359"/>
      <c r="D1825" s="359"/>
      <c r="E1825" s="662"/>
      <c r="F1825" s="375"/>
    </row>
    <row r="1826" spans="1:6" s="275" customFormat="1" x14ac:dyDescent="0.15">
      <c r="A1826" s="660"/>
      <c r="B1826" s="661"/>
      <c r="C1826" s="293" t="s">
        <v>1594</v>
      </c>
      <c r="D1826" s="359"/>
      <c r="E1826" s="662"/>
      <c r="F1826" s="375"/>
    </row>
    <row r="1827" spans="1:6" s="275" customFormat="1" x14ac:dyDescent="0.15">
      <c r="A1827" s="660"/>
      <c r="B1827" s="661"/>
      <c r="C1827" s="293" t="s">
        <v>1446</v>
      </c>
      <c r="D1827" s="359"/>
      <c r="E1827" s="662"/>
      <c r="F1827" s="375"/>
    </row>
    <row r="1828" spans="1:6" s="275" customFormat="1" x14ac:dyDescent="0.15">
      <c r="A1828" s="660"/>
      <c r="B1828" s="661"/>
      <c r="C1828" s="386">
        <v>41882</v>
      </c>
      <c r="D1828" s="359"/>
      <c r="E1828" s="662"/>
      <c r="F1828" s="375"/>
    </row>
    <row r="1829" spans="1:6" s="275" customFormat="1" x14ac:dyDescent="0.15">
      <c r="A1829" s="660"/>
      <c r="B1829" s="661"/>
      <c r="C1829" s="359"/>
      <c r="D1829" s="359"/>
      <c r="E1829" s="662"/>
      <c r="F1829" s="375"/>
    </row>
    <row r="1830" spans="1:6" s="275" customFormat="1" ht="14" thickBot="1" x14ac:dyDescent="0.2">
      <c r="A1830" s="663"/>
      <c r="B1830" s="664"/>
      <c r="C1830" s="665" t="s">
        <v>1145</v>
      </c>
      <c r="D1830" s="665"/>
      <c r="E1830" s="666">
        <f>SUM(E1793,E1820,E1824)</f>
        <v>168870.7</v>
      </c>
      <c r="F1830" s="667">
        <v>28168.470000000008</v>
      </c>
    </row>
    <row r="1831" spans="1:6" s="275" customFormat="1" x14ac:dyDescent="0.15">
      <c r="A1831" s="617"/>
      <c r="B1831" s="617"/>
      <c r="E1831" s="276"/>
      <c r="F1831" s="278"/>
    </row>
    <row r="1832" spans="1:6" s="275" customFormat="1" x14ac:dyDescent="0.15">
      <c r="A1832" s="652" t="s">
        <v>1534</v>
      </c>
      <c r="B1832" s="653" t="s">
        <v>1614</v>
      </c>
      <c r="C1832" s="371" t="s">
        <v>1492</v>
      </c>
      <c r="D1832" s="371" t="s">
        <v>1239</v>
      </c>
      <c r="E1832" s="654">
        <v>13360</v>
      </c>
      <c r="F1832" s="391">
        <v>1914.43</v>
      </c>
    </row>
    <row r="1833" spans="1:6" s="275" customFormat="1" x14ac:dyDescent="0.15">
      <c r="A1833" s="655" t="s">
        <v>1535</v>
      </c>
      <c r="B1833" s="591" t="s">
        <v>1615</v>
      </c>
      <c r="C1833" s="287" t="s">
        <v>1507</v>
      </c>
      <c r="D1833" s="287" t="s">
        <v>1245</v>
      </c>
      <c r="E1833" s="656">
        <v>3640</v>
      </c>
      <c r="F1833" s="381">
        <v>633.09</v>
      </c>
    </row>
    <row r="1834" spans="1:6" s="275" customFormat="1" x14ac:dyDescent="0.15">
      <c r="A1834" s="655" t="s">
        <v>1670</v>
      </c>
      <c r="B1834" s="591" t="s">
        <v>1659</v>
      </c>
      <c r="C1834" s="287" t="s">
        <v>1279</v>
      </c>
      <c r="D1834" s="287" t="s">
        <v>1660</v>
      </c>
      <c r="E1834" s="656">
        <v>8480</v>
      </c>
      <c r="F1834" s="381">
        <v>325.32</v>
      </c>
    </row>
    <row r="1835" spans="1:6" s="275" customFormat="1" x14ac:dyDescent="0.15">
      <c r="A1835" s="655" t="s">
        <v>1536</v>
      </c>
      <c r="B1835" s="591" t="s">
        <v>1616</v>
      </c>
      <c r="C1835" s="287" t="s">
        <v>1479</v>
      </c>
      <c r="D1835" s="287" t="s">
        <v>1231</v>
      </c>
      <c r="E1835" s="656">
        <v>6347</v>
      </c>
      <c r="F1835" s="381">
        <v>895.98</v>
      </c>
    </row>
    <row r="1836" spans="1:6" s="275" customFormat="1" x14ac:dyDescent="0.15">
      <c r="A1836" s="655" t="s">
        <v>1537</v>
      </c>
      <c r="B1836" s="591" t="s">
        <v>1617</v>
      </c>
      <c r="C1836" s="287" t="s">
        <v>1269</v>
      </c>
      <c r="D1836" s="287" t="s">
        <v>1270</v>
      </c>
      <c r="E1836" s="656">
        <v>4412</v>
      </c>
      <c r="F1836" s="381">
        <v>681.87</v>
      </c>
    </row>
    <row r="1837" spans="1:6" s="275" customFormat="1" x14ac:dyDescent="0.15">
      <c r="A1837" s="655" t="s">
        <v>1538</v>
      </c>
      <c r="B1837" s="591" t="s">
        <v>1618</v>
      </c>
      <c r="C1837" s="287" t="s">
        <v>1517</v>
      </c>
      <c r="D1837" s="287" t="s">
        <v>1518</v>
      </c>
      <c r="E1837" s="656">
        <v>5</v>
      </c>
      <c r="F1837" s="381">
        <v>30.51</v>
      </c>
    </row>
    <row r="1838" spans="1:6" s="275" customFormat="1" x14ac:dyDescent="0.15">
      <c r="A1838" s="655" t="s">
        <v>1540</v>
      </c>
      <c r="B1838" s="591" t="s">
        <v>1620</v>
      </c>
      <c r="C1838" s="287" t="s">
        <v>1257</v>
      </c>
      <c r="D1838" s="287" t="s">
        <v>1258</v>
      </c>
      <c r="E1838" s="656">
        <v>24560</v>
      </c>
      <c r="F1838" s="381">
        <v>3347.83</v>
      </c>
    </row>
    <row r="1839" spans="1:6" s="275" customFormat="1" x14ac:dyDescent="0.15">
      <c r="A1839" s="655" t="s">
        <v>1541</v>
      </c>
      <c r="B1839" s="591" t="s">
        <v>1621</v>
      </c>
      <c r="C1839" s="287" t="s">
        <v>1586</v>
      </c>
      <c r="D1839" s="287" t="s">
        <v>1500</v>
      </c>
      <c r="E1839" s="656">
        <v>4360</v>
      </c>
      <c r="F1839" s="381">
        <v>676.55</v>
      </c>
    </row>
    <row r="1840" spans="1:6" s="275" customFormat="1" x14ac:dyDescent="0.15">
      <c r="A1840" s="655" t="s">
        <v>1542</v>
      </c>
      <c r="B1840" s="591" t="s">
        <v>1622</v>
      </c>
      <c r="C1840" s="287" t="s">
        <v>1240</v>
      </c>
      <c r="D1840" s="287" t="s">
        <v>1467</v>
      </c>
      <c r="E1840" s="656">
        <v>4671</v>
      </c>
      <c r="F1840" s="381">
        <v>670.35</v>
      </c>
    </row>
    <row r="1841" spans="1:6" s="275" customFormat="1" x14ac:dyDescent="0.15">
      <c r="A1841" s="655" t="s">
        <v>1543</v>
      </c>
      <c r="B1841" s="591" t="s">
        <v>1623</v>
      </c>
      <c r="C1841" s="287" t="s">
        <v>1523</v>
      </c>
      <c r="D1841" s="287" t="s">
        <v>1266</v>
      </c>
      <c r="E1841" s="656">
        <v>868</v>
      </c>
      <c r="F1841" s="381">
        <v>172.64</v>
      </c>
    </row>
    <row r="1842" spans="1:6" s="275" customFormat="1" x14ac:dyDescent="0.15">
      <c r="A1842" s="655" t="s">
        <v>1544</v>
      </c>
      <c r="B1842" s="591" t="s">
        <v>1624</v>
      </c>
      <c r="C1842" s="287" t="s">
        <v>1234</v>
      </c>
      <c r="D1842" s="287" t="s">
        <v>1494</v>
      </c>
      <c r="E1842" s="656">
        <v>5440</v>
      </c>
      <c r="F1842" s="381">
        <v>848.6</v>
      </c>
    </row>
    <row r="1843" spans="1:6" s="275" customFormat="1" x14ac:dyDescent="0.15">
      <c r="A1843" s="655" t="s">
        <v>1601</v>
      </c>
      <c r="B1843" s="591"/>
      <c r="C1843" s="287" t="s">
        <v>1334</v>
      </c>
      <c r="D1843" s="287" t="s">
        <v>1462</v>
      </c>
      <c r="E1843" s="656">
        <f>1306.8+1709.1</f>
        <v>3015.8999999999996</v>
      </c>
      <c r="F1843" s="381">
        <v>552.49</v>
      </c>
    </row>
    <row r="1844" spans="1:6" s="275" customFormat="1" x14ac:dyDescent="0.15">
      <c r="A1844" s="655" t="s">
        <v>1545</v>
      </c>
      <c r="B1844" s="591"/>
      <c r="C1844" s="287" t="s">
        <v>1234</v>
      </c>
      <c r="D1844" s="287" t="s">
        <v>1494</v>
      </c>
      <c r="E1844" s="656">
        <f>6.5+62.4</f>
        <v>68.900000000000006</v>
      </c>
      <c r="F1844" s="381">
        <v>15.45</v>
      </c>
    </row>
    <row r="1845" spans="1:6" s="275" customFormat="1" x14ac:dyDescent="0.15">
      <c r="A1845" s="655" t="s">
        <v>1602</v>
      </c>
      <c r="B1845" s="591"/>
      <c r="C1845" s="287" t="s">
        <v>1334</v>
      </c>
      <c r="D1845" s="287" t="s">
        <v>1462</v>
      </c>
      <c r="E1845" s="656">
        <f>73.1+95.5</f>
        <v>168.6</v>
      </c>
      <c r="F1845" s="381">
        <v>43.53</v>
      </c>
    </row>
    <row r="1846" spans="1:6" s="275" customFormat="1" x14ac:dyDescent="0.15">
      <c r="A1846" s="655" t="s">
        <v>1546</v>
      </c>
      <c r="B1846" s="591"/>
      <c r="C1846" s="287" t="s">
        <v>1586</v>
      </c>
      <c r="D1846" s="287" t="s">
        <v>1500</v>
      </c>
      <c r="E1846" s="656">
        <f>7.4+71.4</f>
        <v>78.800000000000011</v>
      </c>
      <c r="F1846" s="381">
        <v>25.48</v>
      </c>
    </row>
    <row r="1847" spans="1:6" s="275" customFormat="1" x14ac:dyDescent="0.15">
      <c r="A1847" s="655" t="s">
        <v>1547</v>
      </c>
      <c r="B1847" s="591"/>
      <c r="C1847" s="287" t="s">
        <v>1286</v>
      </c>
      <c r="D1847" s="287" t="s">
        <v>1514</v>
      </c>
      <c r="E1847" s="656">
        <f>200.8+7.2</f>
        <v>208</v>
      </c>
      <c r="F1847" s="381">
        <v>47.629999999999995</v>
      </c>
    </row>
    <row r="1848" spans="1:6" s="275" customFormat="1" x14ac:dyDescent="0.15">
      <c r="A1848" s="655" t="s">
        <v>1549</v>
      </c>
      <c r="B1848" s="591" t="s">
        <v>1625</v>
      </c>
      <c r="C1848" s="287" t="s">
        <v>1459</v>
      </c>
      <c r="D1848" s="287" t="s">
        <v>1251</v>
      </c>
      <c r="E1848" s="656">
        <v>992</v>
      </c>
      <c r="F1848" s="381">
        <v>208.3</v>
      </c>
    </row>
    <row r="1849" spans="1:6" s="275" customFormat="1" x14ac:dyDescent="0.15">
      <c r="A1849" s="655" t="s">
        <v>1603</v>
      </c>
      <c r="B1849" s="591"/>
      <c r="C1849" s="287" t="s">
        <v>1334</v>
      </c>
      <c r="D1849" s="287" t="s">
        <v>1462</v>
      </c>
      <c r="E1849" s="656">
        <f>546.3+714.5</f>
        <v>1260.8</v>
      </c>
      <c r="F1849" s="381">
        <v>247.65</v>
      </c>
    </row>
    <row r="1850" spans="1:6" s="275" customFormat="1" x14ac:dyDescent="0.15">
      <c r="A1850" s="655" t="s">
        <v>1597</v>
      </c>
      <c r="B1850" s="591" t="s">
        <v>1626</v>
      </c>
      <c r="C1850" s="287" t="s">
        <v>1454</v>
      </c>
      <c r="D1850" s="287" t="s">
        <v>1247</v>
      </c>
      <c r="E1850" s="656">
        <v>4560</v>
      </c>
      <c r="F1850" s="381">
        <v>689.47</v>
      </c>
    </row>
    <row r="1851" spans="1:6" s="275" customFormat="1" x14ac:dyDescent="0.15">
      <c r="A1851" s="655" t="s">
        <v>1551</v>
      </c>
      <c r="B1851" s="591" t="s">
        <v>1627</v>
      </c>
      <c r="C1851" s="287" t="s">
        <v>1235</v>
      </c>
      <c r="D1851" s="287" t="s">
        <v>1236</v>
      </c>
      <c r="E1851" s="656">
        <v>9164</v>
      </c>
      <c r="F1851" s="381">
        <v>1299.99</v>
      </c>
    </row>
    <row r="1852" spans="1:6" s="275" customFormat="1" x14ac:dyDescent="0.15">
      <c r="A1852" s="655" t="s">
        <v>1553</v>
      </c>
      <c r="B1852" s="591" t="s">
        <v>1628</v>
      </c>
      <c r="C1852" s="287" t="s">
        <v>1475</v>
      </c>
      <c r="D1852" s="287" t="s">
        <v>1387</v>
      </c>
      <c r="E1852" s="656">
        <v>1022</v>
      </c>
      <c r="F1852" s="381">
        <v>182.75</v>
      </c>
    </row>
    <row r="1853" spans="1:6" s="275" customFormat="1" x14ac:dyDescent="0.15">
      <c r="A1853" s="655" t="s">
        <v>1554</v>
      </c>
      <c r="B1853" s="591" t="s">
        <v>1629</v>
      </c>
      <c r="C1853" s="287" t="s">
        <v>1399</v>
      </c>
      <c r="D1853" s="287" t="s">
        <v>1276</v>
      </c>
      <c r="E1853" s="656">
        <v>5080</v>
      </c>
      <c r="F1853" s="381">
        <v>735.28</v>
      </c>
    </row>
    <row r="1854" spans="1:6" s="275" customFormat="1" x14ac:dyDescent="0.15">
      <c r="A1854" s="655" t="s">
        <v>1598</v>
      </c>
      <c r="B1854" s="591"/>
      <c r="C1854" s="287" t="s">
        <v>1586</v>
      </c>
      <c r="D1854" s="287" t="s">
        <v>1500</v>
      </c>
      <c r="E1854" s="656">
        <f>3.7+35.7</f>
        <v>39.400000000000006</v>
      </c>
      <c r="F1854" s="381">
        <v>15.379999999999999</v>
      </c>
    </row>
    <row r="1855" spans="1:6" s="275" customFormat="1" x14ac:dyDescent="0.15">
      <c r="A1855" s="655" t="s">
        <v>1662</v>
      </c>
      <c r="B1855" s="657">
        <v>892914652</v>
      </c>
      <c r="C1855" s="287" t="s">
        <v>1663</v>
      </c>
      <c r="D1855" s="287" t="s">
        <v>1664</v>
      </c>
      <c r="E1855" s="656">
        <v>12160</v>
      </c>
      <c r="F1855" s="381">
        <v>2014.12</v>
      </c>
    </row>
    <row r="1856" spans="1:6" s="275" customFormat="1" ht="14" thickBot="1" x14ac:dyDescent="0.2">
      <c r="A1856" s="655"/>
      <c r="B1856" s="591"/>
      <c r="C1856" s="291" t="s">
        <v>1692</v>
      </c>
      <c r="D1856" s="287"/>
      <c r="E1856" s="638">
        <f>SUM(E1832:E1855)</f>
        <v>113961.4</v>
      </c>
      <c r="F1856" s="658">
        <v>16274.689999999999</v>
      </c>
    </row>
    <row r="1857" spans="1:6" s="275" customFormat="1" ht="14" thickTop="1" x14ac:dyDescent="0.15">
      <c r="A1857" s="655"/>
      <c r="B1857" s="591"/>
      <c r="C1857" s="287"/>
      <c r="D1857" s="287"/>
      <c r="E1857" s="524"/>
      <c r="F1857" s="381"/>
    </row>
    <row r="1858" spans="1:6" s="275" customFormat="1" x14ac:dyDescent="0.15">
      <c r="A1858" s="655" t="s">
        <v>1556</v>
      </c>
      <c r="B1858" s="591" t="s">
        <v>1631</v>
      </c>
      <c r="C1858" s="287" t="s">
        <v>1248</v>
      </c>
      <c r="D1858" s="287" t="s">
        <v>1482</v>
      </c>
      <c r="E1858" s="656">
        <v>3938</v>
      </c>
      <c r="F1858" s="381">
        <v>656.11</v>
      </c>
    </row>
    <row r="1859" spans="1:6" s="295" customFormat="1" x14ac:dyDescent="0.15">
      <c r="A1859" s="655" t="s">
        <v>1558</v>
      </c>
      <c r="B1859" s="591" t="s">
        <v>1633</v>
      </c>
      <c r="C1859" s="287" t="s">
        <v>1469</v>
      </c>
      <c r="D1859" s="287" t="s">
        <v>1470</v>
      </c>
      <c r="E1859" s="656">
        <v>6640</v>
      </c>
      <c r="F1859" s="381">
        <v>1078.8</v>
      </c>
    </row>
    <row r="1860" spans="1:6" s="275" customFormat="1" x14ac:dyDescent="0.15">
      <c r="A1860" s="655" t="s">
        <v>1559</v>
      </c>
      <c r="B1860" s="591" t="s">
        <v>1634</v>
      </c>
      <c r="C1860" s="287" t="s">
        <v>1502</v>
      </c>
      <c r="D1860" s="287" t="s">
        <v>1381</v>
      </c>
      <c r="E1860" s="656">
        <v>22848</v>
      </c>
      <c r="F1860" s="381">
        <v>2843.4</v>
      </c>
    </row>
    <row r="1861" spans="1:6" s="275" customFormat="1" x14ac:dyDescent="0.15">
      <c r="A1861" s="655" t="s">
        <v>1560</v>
      </c>
      <c r="B1861" s="591" t="s">
        <v>1635</v>
      </c>
      <c r="C1861" s="287" t="s">
        <v>1504</v>
      </c>
      <c r="D1861" s="287" t="s">
        <v>1505</v>
      </c>
      <c r="E1861" s="656">
        <v>1955</v>
      </c>
      <c r="F1861" s="381">
        <v>291.97000000000003</v>
      </c>
    </row>
    <row r="1862" spans="1:6" s="275" customFormat="1" x14ac:dyDescent="0.15">
      <c r="A1862" s="655" t="s">
        <v>1675</v>
      </c>
      <c r="B1862" s="591" t="s">
        <v>1676</v>
      </c>
      <c r="C1862" s="287" t="s">
        <v>1477</v>
      </c>
      <c r="D1862" s="287" t="s">
        <v>1289</v>
      </c>
      <c r="E1862" s="656">
        <v>11810</v>
      </c>
      <c r="F1862" s="381">
        <v>809.98</v>
      </c>
    </row>
    <row r="1863" spans="1:6" s="275" customFormat="1" x14ac:dyDescent="0.15">
      <c r="A1863" s="655" t="s">
        <v>1563</v>
      </c>
      <c r="B1863" s="591"/>
      <c r="C1863" s="287" t="s">
        <v>1267</v>
      </c>
      <c r="D1863" s="287" t="s">
        <v>1268</v>
      </c>
      <c r="E1863" s="656">
        <f>6.3+62.5</f>
        <v>68.8</v>
      </c>
      <c r="F1863" s="381">
        <v>12.040000000000001</v>
      </c>
    </row>
    <row r="1864" spans="1:6" s="275" customFormat="1" x14ac:dyDescent="0.15">
      <c r="A1864" s="655" t="s">
        <v>1564</v>
      </c>
      <c r="B1864" s="591" t="s">
        <v>1636</v>
      </c>
      <c r="C1864" s="287" t="s">
        <v>1485</v>
      </c>
      <c r="D1864" s="287" t="s">
        <v>1486</v>
      </c>
      <c r="E1864" s="656">
        <v>1640</v>
      </c>
      <c r="F1864" s="381">
        <v>351.22</v>
      </c>
    </row>
    <row r="1865" spans="1:6" s="275" customFormat="1" x14ac:dyDescent="0.15">
      <c r="A1865" s="655" t="s">
        <v>1565</v>
      </c>
      <c r="B1865" s="591" t="s">
        <v>1637</v>
      </c>
      <c r="C1865" s="287" t="s">
        <v>1267</v>
      </c>
      <c r="D1865" s="287" t="s">
        <v>1268</v>
      </c>
      <c r="E1865" s="656">
        <v>2863</v>
      </c>
      <c r="F1865" s="381">
        <v>511.91</v>
      </c>
    </row>
    <row r="1866" spans="1:6" s="275" customFormat="1" x14ac:dyDescent="0.15">
      <c r="A1866" s="655" t="s">
        <v>1569</v>
      </c>
      <c r="B1866" s="591" t="s">
        <v>1638</v>
      </c>
      <c r="C1866" s="287" t="s">
        <v>1464</v>
      </c>
      <c r="D1866" s="287" t="s">
        <v>1285</v>
      </c>
      <c r="E1866" s="656">
        <v>860</v>
      </c>
      <c r="F1866" s="381">
        <v>187.09</v>
      </c>
    </row>
    <row r="1867" spans="1:6" s="275" customFormat="1" x14ac:dyDescent="0.15">
      <c r="A1867" s="655" t="s">
        <v>1570</v>
      </c>
      <c r="B1867" s="591" t="s">
        <v>1639</v>
      </c>
      <c r="C1867" s="287" t="s">
        <v>1472</v>
      </c>
      <c r="D1867" s="287" t="s">
        <v>1473</v>
      </c>
      <c r="E1867" s="656">
        <v>132</v>
      </c>
      <c r="F1867" s="381">
        <v>43.57</v>
      </c>
    </row>
    <row r="1868" spans="1:6" s="275" customFormat="1" x14ac:dyDescent="0.15">
      <c r="A1868" s="655" t="s">
        <v>1571</v>
      </c>
      <c r="B1868" s="591" t="s">
        <v>1640</v>
      </c>
      <c r="C1868" s="287" t="s">
        <v>1489</v>
      </c>
      <c r="D1868" s="287" t="s">
        <v>1490</v>
      </c>
      <c r="E1868" s="656">
        <v>142</v>
      </c>
      <c r="F1868" s="381">
        <v>44.58</v>
      </c>
    </row>
    <row r="1869" spans="1:6" s="275" customFormat="1" x14ac:dyDescent="0.15">
      <c r="A1869" s="655" t="s">
        <v>1572</v>
      </c>
      <c r="B1869" s="591" t="s">
        <v>1641</v>
      </c>
      <c r="C1869" s="287" t="s">
        <v>1271</v>
      </c>
      <c r="D1869" s="287" t="s">
        <v>1272</v>
      </c>
      <c r="E1869" s="656">
        <v>5883</v>
      </c>
      <c r="F1869" s="381">
        <v>978.12</v>
      </c>
    </row>
    <row r="1870" spans="1:6" s="275" customFormat="1" x14ac:dyDescent="0.15">
      <c r="A1870" s="655" t="s">
        <v>1573</v>
      </c>
      <c r="B1870" s="591"/>
      <c r="C1870" s="287" t="s">
        <v>1461</v>
      </c>
      <c r="D1870" s="287" t="s">
        <v>1462</v>
      </c>
      <c r="E1870" s="656">
        <v>26</v>
      </c>
      <c r="F1870" s="381">
        <v>16.34</v>
      </c>
    </row>
    <row r="1871" spans="1:6" s="275" customFormat="1" x14ac:dyDescent="0.15">
      <c r="A1871" s="655" t="s">
        <v>1574</v>
      </c>
      <c r="B1871" s="591" t="s">
        <v>1642</v>
      </c>
      <c r="C1871" s="287" t="s">
        <v>1377</v>
      </c>
      <c r="D1871" s="287" t="s">
        <v>1378</v>
      </c>
      <c r="E1871" s="656">
        <v>2388</v>
      </c>
      <c r="F1871" s="381">
        <v>435.74</v>
      </c>
    </row>
    <row r="1872" spans="1:6" s="275" customFormat="1" x14ac:dyDescent="0.15">
      <c r="A1872" s="655" t="s">
        <v>1575</v>
      </c>
      <c r="B1872" s="591" t="s">
        <v>1685</v>
      </c>
      <c r="C1872" s="287" t="s">
        <v>1448</v>
      </c>
      <c r="D1872" s="287" t="s">
        <v>1449</v>
      </c>
      <c r="E1872" s="656">
        <v>301</v>
      </c>
      <c r="F1872" s="381">
        <v>56.81</v>
      </c>
    </row>
    <row r="1873" spans="1:8" s="275" customFormat="1" x14ac:dyDescent="0.15">
      <c r="A1873" s="655" t="s">
        <v>1604</v>
      </c>
      <c r="B1873" s="591"/>
      <c r="C1873" s="287" t="s">
        <v>1334</v>
      </c>
      <c r="D1873" s="287" t="s">
        <v>1462</v>
      </c>
      <c r="E1873" s="656">
        <f>68.3+89.3</f>
        <v>157.6</v>
      </c>
      <c r="F1873" s="381">
        <v>14.890000000000008</v>
      </c>
    </row>
    <row r="1874" spans="1:8" s="275" customFormat="1" x14ac:dyDescent="0.15">
      <c r="A1874" s="655" t="s">
        <v>1576</v>
      </c>
      <c r="B1874" s="591" t="s">
        <v>1644</v>
      </c>
      <c r="C1874" s="287" t="s">
        <v>1401</v>
      </c>
      <c r="D1874" s="287" t="s">
        <v>1316</v>
      </c>
      <c r="E1874" s="656">
        <v>591</v>
      </c>
      <c r="F1874" s="381">
        <v>67.399999999999991</v>
      </c>
    </row>
    <row r="1875" spans="1:8" s="275" customFormat="1" x14ac:dyDescent="0.15">
      <c r="A1875" s="655" t="s">
        <v>1605</v>
      </c>
      <c r="B1875" s="591"/>
      <c r="C1875" s="287" t="s">
        <v>1334</v>
      </c>
      <c r="D1875" s="287" t="s">
        <v>1462</v>
      </c>
      <c r="E1875" s="656">
        <f>249.1+325.9</f>
        <v>575</v>
      </c>
      <c r="F1875" s="381">
        <v>52.210000000000008</v>
      </c>
    </row>
    <row r="1876" spans="1:8" s="275" customFormat="1" x14ac:dyDescent="0.15">
      <c r="A1876" s="655" t="s">
        <v>1578</v>
      </c>
      <c r="B1876" s="591" t="s">
        <v>1646</v>
      </c>
      <c r="C1876" s="287" t="s">
        <v>1579</v>
      </c>
      <c r="D1876" s="287" t="s">
        <v>1497</v>
      </c>
      <c r="E1876" s="656">
        <v>16</v>
      </c>
      <c r="F1876" s="381">
        <v>31.65</v>
      </c>
    </row>
    <row r="1877" spans="1:8" s="275" customFormat="1" x14ac:dyDescent="0.15">
      <c r="A1877" s="655" t="s">
        <v>1580</v>
      </c>
      <c r="B1877" s="591" t="s">
        <v>1647</v>
      </c>
      <c r="C1877" s="287" t="s">
        <v>1451</v>
      </c>
      <c r="D1877" s="287" t="s">
        <v>1674</v>
      </c>
      <c r="E1877" s="656">
        <v>960</v>
      </c>
      <c r="F1877" s="381">
        <v>1762.54</v>
      </c>
    </row>
    <row r="1878" spans="1:8" s="275" customFormat="1" x14ac:dyDescent="0.15">
      <c r="A1878" s="655" t="s">
        <v>1581</v>
      </c>
      <c r="B1878" s="591" t="s">
        <v>1648</v>
      </c>
      <c r="C1878" s="287" t="s">
        <v>1521</v>
      </c>
      <c r="D1878" s="287" t="s">
        <v>1229</v>
      </c>
      <c r="E1878" s="656">
        <v>2508</v>
      </c>
      <c r="F1878" s="381">
        <v>402.25</v>
      </c>
    </row>
    <row r="1879" spans="1:8" s="275" customFormat="1" x14ac:dyDescent="0.15">
      <c r="A1879" s="655" t="s">
        <v>1582</v>
      </c>
      <c r="B1879" s="591" t="s">
        <v>1649</v>
      </c>
      <c r="C1879" s="287" t="s">
        <v>1525</v>
      </c>
      <c r="D1879" s="287" t="s">
        <v>1526</v>
      </c>
      <c r="E1879" s="656">
        <v>11</v>
      </c>
      <c r="F1879" s="381">
        <v>7.85</v>
      </c>
    </row>
    <row r="1880" spans="1:8" s="275" customFormat="1" ht="14" x14ac:dyDescent="0.15">
      <c r="A1880" s="655" t="s">
        <v>1583</v>
      </c>
      <c r="B1880" s="591" t="s">
        <v>1650</v>
      </c>
      <c r="C1880" s="287" t="s">
        <v>1584</v>
      </c>
      <c r="D1880" s="618" t="s">
        <v>1264</v>
      </c>
      <c r="E1880" s="656">
        <v>1240</v>
      </c>
      <c r="F1880" s="381">
        <v>287.24</v>
      </c>
    </row>
    <row r="1881" spans="1:8" s="275" customFormat="1" x14ac:dyDescent="0.15">
      <c r="A1881" s="655" t="s">
        <v>1666</v>
      </c>
      <c r="B1881" s="591" t="s">
        <v>1672</v>
      </c>
      <c r="C1881" s="287" t="s">
        <v>1667</v>
      </c>
      <c r="D1881" s="287" t="s">
        <v>1668</v>
      </c>
      <c r="E1881" s="656">
        <v>21696</v>
      </c>
      <c r="F1881" s="381">
        <v>428.20999999999958</v>
      </c>
    </row>
    <row r="1882" spans="1:8" s="275" customFormat="1" x14ac:dyDescent="0.15">
      <c r="A1882" s="655" t="s">
        <v>1606</v>
      </c>
      <c r="B1882" s="591"/>
      <c r="C1882" s="287" t="s">
        <v>1334</v>
      </c>
      <c r="D1882" s="287" t="s">
        <v>1462</v>
      </c>
      <c r="E1882" s="656">
        <f>29.8+39</f>
        <v>68.8</v>
      </c>
      <c r="F1882" s="381">
        <v>3.75</v>
      </c>
    </row>
    <row r="1883" spans="1:8" s="275" customFormat="1" ht="14" thickBot="1" x14ac:dyDescent="0.2">
      <c r="A1883" s="655"/>
      <c r="B1883" s="591"/>
      <c r="C1883" s="291" t="s">
        <v>1693</v>
      </c>
      <c r="D1883" s="287"/>
      <c r="E1883" s="643">
        <f>SUM(E1858:E1882)</f>
        <v>89318.2</v>
      </c>
      <c r="F1883" s="658">
        <v>11375.669999999998</v>
      </c>
    </row>
    <row r="1884" spans="1:8" s="275" customFormat="1" ht="14" thickTop="1" x14ac:dyDescent="0.15">
      <c r="A1884" s="660"/>
      <c r="B1884" s="661"/>
      <c r="C1884" s="359"/>
      <c r="D1884" s="359"/>
      <c r="E1884" s="662"/>
      <c r="F1884" s="375"/>
    </row>
    <row r="1885" spans="1:8" s="275" customFormat="1" ht="14" thickBot="1" x14ac:dyDescent="0.2">
      <c r="A1885" s="655" t="s">
        <v>1677</v>
      </c>
      <c r="B1885" s="591" t="s">
        <v>1678</v>
      </c>
      <c r="C1885" s="287" t="s">
        <v>1313</v>
      </c>
      <c r="D1885" s="287" t="s">
        <v>1412</v>
      </c>
      <c r="E1885" s="656">
        <v>1162</v>
      </c>
      <c r="F1885" s="381">
        <v>107.16</v>
      </c>
    </row>
    <row r="1886" spans="1:8" s="275" customFormat="1" x14ac:dyDescent="0.15">
      <c r="A1886" s="655" t="s">
        <v>1679</v>
      </c>
      <c r="B1886" s="591" t="s">
        <v>1680</v>
      </c>
      <c r="C1886" s="287" t="s">
        <v>1313</v>
      </c>
      <c r="D1886" s="287" t="s">
        <v>1412</v>
      </c>
      <c r="E1886" s="656">
        <v>0</v>
      </c>
      <c r="F1886" s="381">
        <v>11.309999999999999</v>
      </c>
      <c r="H1886" s="647" t="s">
        <v>1589</v>
      </c>
    </row>
    <row r="1887" spans="1:8" s="275" customFormat="1" ht="14" thickBot="1" x14ac:dyDescent="0.2">
      <c r="A1887" s="655"/>
      <c r="B1887" s="591"/>
      <c r="C1887" s="291" t="s">
        <v>1694</v>
      </c>
      <c r="D1887" s="287"/>
      <c r="E1887" s="643">
        <f>SUM(E1885:E1886)</f>
        <v>1162</v>
      </c>
      <c r="F1887" s="658">
        <v>118.47</v>
      </c>
      <c r="H1887" s="648">
        <f>SUM(F1856,F1883,F1887)</f>
        <v>27768.829999999998</v>
      </c>
    </row>
    <row r="1888" spans="1:8" s="275" customFormat="1" ht="14" thickTop="1" x14ac:dyDescent="0.15">
      <c r="A1888" s="660"/>
      <c r="B1888" s="661"/>
      <c r="C1888" s="359"/>
      <c r="D1888" s="359"/>
      <c r="E1888" s="662"/>
      <c r="F1888" s="375"/>
    </row>
    <row r="1889" spans="1:6" s="275" customFormat="1" x14ac:dyDescent="0.15">
      <c r="A1889" s="660"/>
      <c r="B1889" s="661"/>
      <c r="C1889" s="293" t="s">
        <v>1594</v>
      </c>
      <c r="D1889" s="359"/>
      <c r="E1889" s="662"/>
      <c r="F1889" s="375"/>
    </row>
    <row r="1890" spans="1:6" s="275" customFormat="1" x14ac:dyDescent="0.15">
      <c r="A1890" s="660"/>
      <c r="B1890" s="661"/>
      <c r="C1890" s="293" t="s">
        <v>1446</v>
      </c>
      <c r="D1890" s="359"/>
      <c r="E1890" s="662"/>
      <c r="F1890" s="375"/>
    </row>
    <row r="1891" spans="1:6" s="275" customFormat="1" x14ac:dyDescent="0.15">
      <c r="A1891" s="660"/>
      <c r="B1891" s="661"/>
      <c r="C1891" s="386">
        <v>41912</v>
      </c>
      <c r="D1891" s="359"/>
      <c r="E1891" s="662"/>
      <c r="F1891" s="375"/>
    </row>
    <row r="1892" spans="1:6" s="275" customFormat="1" x14ac:dyDescent="0.15">
      <c r="A1892" s="660"/>
      <c r="B1892" s="661"/>
      <c r="C1892" s="359"/>
      <c r="D1892" s="359"/>
      <c r="E1892" s="662"/>
      <c r="F1892" s="375"/>
    </row>
    <row r="1893" spans="1:6" s="275" customFormat="1" ht="14" thickBot="1" x14ac:dyDescent="0.2">
      <c r="A1893" s="663"/>
      <c r="B1893" s="664"/>
      <c r="C1893" s="665" t="s">
        <v>1187</v>
      </c>
      <c r="D1893" s="665"/>
      <c r="E1893" s="666">
        <f>SUM(E1856,E1883,E1887)</f>
        <v>204441.59999999998</v>
      </c>
      <c r="F1893" s="667">
        <v>27768.829999999998</v>
      </c>
    </row>
    <row r="1894" spans="1:6" s="275" customFormat="1" x14ac:dyDescent="0.15">
      <c r="A1894" s="617"/>
      <c r="B1894" s="617"/>
      <c r="E1894" s="276"/>
      <c r="F1894" s="278"/>
    </row>
    <row r="1895" spans="1:6" s="275" customFormat="1" x14ac:dyDescent="0.15">
      <c r="A1895" s="652" t="s">
        <v>1534</v>
      </c>
      <c r="B1895" s="653" t="s">
        <v>1614</v>
      </c>
      <c r="C1895" s="371" t="s">
        <v>1492</v>
      </c>
      <c r="D1895" s="371" t="s">
        <v>1239</v>
      </c>
      <c r="E1895" s="654">
        <v>10800</v>
      </c>
      <c r="F1895" s="391">
        <v>1582.64</v>
      </c>
    </row>
    <row r="1896" spans="1:6" s="275" customFormat="1" x14ac:dyDescent="0.15">
      <c r="A1896" s="655" t="s">
        <v>1535</v>
      </c>
      <c r="B1896" s="591" t="s">
        <v>1615</v>
      </c>
      <c r="C1896" s="287" t="s">
        <v>1507</v>
      </c>
      <c r="D1896" s="287" t="s">
        <v>1245</v>
      </c>
      <c r="E1896" s="656">
        <v>3400</v>
      </c>
      <c r="F1896" s="381">
        <v>623.71</v>
      </c>
    </row>
    <row r="1897" spans="1:6" s="275" customFormat="1" x14ac:dyDescent="0.15">
      <c r="A1897" s="655" t="s">
        <v>1670</v>
      </c>
      <c r="B1897" s="591" t="s">
        <v>1659</v>
      </c>
      <c r="C1897" s="287" t="s">
        <v>1279</v>
      </c>
      <c r="D1897" s="287" t="s">
        <v>1660</v>
      </c>
      <c r="E1897" s="656">
        <v>8320</v>
      </c>
      <c r="F1897" s="381">
        <v>1228.54</v>
      </c>
    </row>
    <row r="1898" spans="1:6" s="275" customFormat="1" x14ac:dyDescent="0.15">
      <c r="A1898" s="655" t="s">
        <v>1536</v>
      </c>
      <c r="B1898" s="591" t="s">
        <v>1616</v>
      </c>
      <c r="C1898" s="287" t="s">
        <v>1479</v>
      </c>
      <c r="D1898" s="287" t="s">
        <v>1231</v>
      </c>
      <c r="E1898" s="656">
        <v>5752</v>
      </c>
      <c r="F1898" s="381">
        <v>834.87</v>
      </c>
    </row>
    <row r="1899" spans="1:6" s="275" customFormat="1" x14ac:dyDescent="0.15">
      <c r="A1899" s="655" t="s">
        <v>1537</v>
      </c>
      <c r="B1899" s="591" t="s">
        <v>1617</v>
      </c>
      <c r="C1899" s="287" t="s">
        <v>1269</v>
      </c>
      <c r="D1899" s="287" t="s">
        <v>1270</v>
      </c>
      <c r="E1899" s="656">
        <v>3460</v>
      </c>
      <c r="F1899" s="381">
        <v>538.25</v>
      </c>
    </row>
    <row r="1900" spans="1:6" s="275" customFormat="1" x14ac:dyDescent="0.15">
      <c r="A1900" s="655" t="s">
        <v>1538</v>
      </c>
      <c r="B1900" s="591" t="s">
        <v>1618</v>
      </c>
      <c r="C1900" s="287" t="s">
        <v>1517</v>
      </c>
      <c r="D1900" s="287" t="s">
        <v>1518</v>
      </c>
      <c r="E1900" s="656">
        <v>5</v>
      </c>
      <c r="F1900" s="381">
        <v>30.51</v>
      </c>
    </row>
    <row r="1901" spans="1:6" s="275" customFormat="1" x14ac:dyDescent="0.15">
      <c r="A1901" s="655" t="s">
        <v>1540</v>
      </c>
      <c r="B1901" s="591" t="s">
        <v>1620</v>
      </c>
      <c r="C1901" s="287" t="s">
        <v>1257</v>
      </c>
      <c r="D1901" s="287" t="s">
        <v>1258</v>
      </c>
      <c r="E1901" s="656">
        <v>22560</v>
      </c>
      <c r="F1901" s="381">
        <v>3142.31</v>
      </c>
    </row>
    <row r="1902" spans="1:6" s="275" customFormat="1" x14ac:dyDescent="0.15">
      <c r="A1902" s="655" t="s">
        <v>1541</v>
      </c>
      <c r="B1902" s="591" t="s">
        <v>1621</v>
      </c>
      <c r="C1902" s="287" t="s">
        <v>1586</v>
      </c>
      <c r="D1902" s="287" t="s">
        <v>1500</v>
      </c>
      <c r="E1902" s="656">
        <v>3840</v>
      </c>
      <c r="F1902" s="381">
        <v>638.41</v>
      </c>
    </row>
    <row r="1903" spans="1:6" s="275" customFormat="1" x14ac:dyDescent="0.15">
      <c r="A1903" s="655" t="s">
        <v>1542</v>
      </c>
      <c r="B1903" s="591" t="s">
        <v>1622</v>
      </c>
      <c r="C1903" s="287" t="s">
        <v>1240</v>
      </c>
      <c r="D1903" s="287" t="s">
        <v>1467</v>
      </c>
      <c r="E1903" s="656">
        <v>4295</v>
      </c>
      <c r="F1903" s="381">
        <v>624.04999999999995</v>
      </c>
    </row>
    <row r="1904" spans="1:6" s="275" customFormat="1" x14ac:dyDescent="0.15">
      <c r="A1904" s="655" t="s">
        <v>1543</v>
      </c>
      <c r="B1904" s="591" t="s">
        <v>1623</v>
      </c>
      <c r="C1904" s="287" t="s">
        <v>1523</v>
      </c>
      <c r="D1904" s="287" t="s">
        <v>1266</v>
      </c>
      <c r="E1904" s="656">
        <v>758</v>
      </c>
      <c r="F1904" s="381">
        <v>176.63</v>
      </c>
    </row>
    <row r="1905" spans="1:6" s="275" customFormat="1" x14ac:dyDescent="0.15">
      <c r="A1905" s="655" t="s">
        <v>1544</v>
      </c>
      <c r="B1905" s="591" t="s">
        <v>1624</v>
      </c>
      <c r="C1905" s="287" t="s">
        <v>1234</v>
      </c>
      <c r="D1905" s="287" t="s">
        <v>1494</v>
      </c>
      <c r="E1905" s="656">
        <v>5009</v>
      </c>
      <c r="F1905" s="381">
        <v>819.59</v>
      </c>
    </row>
    <row r="1906" spans="1:6" s="275" customFormat="1" x14ac:dyDescent="0.15">
      <c r="A1906" s="655" t="s">
        <v>1601</v>
      </c>
      <c r="B1906" s="591"/>
      <c r="C1906" s="287" t="s">
        <v>1334</v>
      </c>
      <c r="D1906" s="287" t="s">
        <v>1462</v>
      </c>
      <c r="E1906" s="656">
        <f>1569.2+1931.1</f>
        <v>3500.3</v>
      </c>
      <c r="F1906" s="381">
        <v>601.34</v>
      </c>
    </row>
    <row r="1907" spans="1:6" s="275" customFormat="1" x14ac:dyDescent="0.15">
      <c r="A1907" s="655" t="s">
        <v>1545</v>
      </c>
      <c r="B1907" s="591"/>
      <c r="C1907" s="287" t="s">
        <v>1234</v>
      </c>
      <c r="D1907" s="287" t="s">
        <v>1494</v>
      </c>
      <c r="E1907" s="656">
        <f>2.8+77.1</f>
        <v>79.899999999999991</v>
      </c>
      <c r="F1907" s="381">
        <v>16.66</v>
      </c>
    </row>
    <row r="1908" spans="1:6" s="275" customFormat="1" x14ac:dyDescent="0.15">
      <c r="A1908" s="655" t="s">
        <v>1602</v>
      </c>
      <c r="B1908" s="591"/>
      <c r="C1908" s="287" t="s">
        <v>1334</v>
      </c>
      <c r="D1908" s="287" t="s">
        <v>1462</v>
      </c>
      <c r="E1908" s="656">
        <f>87.7+107.9</f>
        <v>195.60000000000002</v>
      </c>
      <c r="F1908" s="381">
        <v>46.25</v>
      </c>
    </row>
    <row r="1909" spans="1:6" s="275" customFormat="1" x14ac:dyDescent="0.15">
      <c r="A1909" s="655" t="s">
        <v>1546</v>
      </c>
      <c r="B1909" s="591"/>
      <c r="C1909" s="287" t="s">
        <v>1586</v>
      </c>
      <c r="D1909" s="287" t="s">
        <v>1500</v>
      </c>
      <c r="E1909" s="656">
        <f>3.2+88.4</f>
        <v>91.600000000000009</v>
      </c>
      <c r="F1909" s="381">
        <v>26.9</v>
      </c>
    </row>
    <row r="1910" spans="1:6" s="275" customFormat="1" x14ac:dyDescent="0.15">
      <c r="A1910" s="655" t="s">
        <v>1547</v>
      </c>
      <c r="B1910" s="591"/>
      <c r="C1910" s="287" t="s">
        <v>1286</v>
      </c>
      <c r="D1910" s="287" t="s">
        <v>1514</v>
      </c>
      <c r="E1910" s="656">
        <f>219.5+21.9</f>
        <v>241.4</v>
      </c>
      <c r="F1910" s="381">
        <v>51.42</v>
      </c>
    </row>
    <row r="1911" spans="1:6" s="275" customFormat="1" x14ac:dyDescent="0.15">
      <c r="A1911" s="655" t="s">
        <v>1549</v>
      </c>
      <c r="B1911" s="591" t="s">
        <v>1625</v>
      </c>
      <c r="C1911" s="287" t="s">
        <v>1459</v>
      </c>
      <c r="D1911" s="287" t="s">
        <v>1251</v>
      </c>
      <c r="E1911" s="656">
        <v>977</v>
      </c>
      <c r="F1911" s="381">
        <v>176.21</v>
      </c>
    </row>
    <row r="1912" spans="1:6" s="275" customFormat="1" x14ac:dyDescent="0.15">
      <c r="A1912" s="655" t="s">
        <v>1603</v>
      </c>
      <c r="B1912" s="591"/>
      <c r="C1912" s="287" t="s">
        <v>1334</v>
      </c>
      <c r="D1912" s="287" t="s">
        <v>1462</v>
      </c>
      <c r="E1912" s="656">
        <f>656.7+808.1</f>
        <v>1464.8000000000002</v>
      </c>
      <c r="F1912" s="381">
        <v>268.2</v>
      </c>
    </row>
    <row r="1913" spans="1:6" s="275" customFormat="1" x14ac:dyDescent="0.15">
      <c r="A1913" s="655" t="s">
        <v>1597</v>
      </c>
      <c r="B1913" s="591" t="s">
        <v>1626</v>
      </c>
      <c r="C1913" s="287" t="s">
        <v>1454</v>
      </c>
      <c r="D1913" s="287" t="s">
        <v>1247</v>
      </c>
      <c r="E1913" s="656">
        <v>4440</v>
      </c>
      <c r="F1913" s="381">
        <v>669.49</v>
      </c>
    </row>
    <row r="1914" spans="1:6" s="275" customFormat="1" x14ac:dyDescent="0.15">
      <c r="A1914" s="655" t="s">
        <v>1551</v>
      </c>
      <c r="B1914" s="591" t="s">
        <v>1627</v>
      </c>
      <c r="C1914" s="287" t="s">
        <v>1235</v>
      </c>
      <c r="D1914" s="287" t="s">
        <v>1236</v>
      </c>
      <c r="E1914" s="656">
        <v>8329</v>
      </c>
      <c r="F1914" s="381">
        <v>1191.27</v>
      </c>
    </row>
    <row r="1915" spans="1:6" s="275" customFormat="1" x14ac:dyDescent="0.15">
      <c r="A1915" s="655" t="s">
        <v>1553</v>
      </c>
      <c r="B1915" s="591" t="s">
        <v>1628</v>
      </c>
      <c r="C1915" s="287" t="s">
        <v>1475</v>
      </c>
      <c r="D1915" s="287" t="s">
        <v>1387</v>
      </c>
      <c r="E1915" s="656">
        <v>947</v>
      </c>
      <c r="F1915" s="381">
        <v>169.32</v>
      </c>
    </row>
    <row r="1916" spans="1:6" s="275" customFormat="1" x14ac:dyDescent="0.15">
      <c r="A1916" s="655" t="s">
        <v>1554</v>
      </c>
      <c r="B1916" s="591" t="s">
        <v>1629</v>
      </c>
      <c r="C1916" s="287" t="s">
        <v>1399</v>
      </c>
      <c r="D1916" s="287" t="s">
        <v>1276</v>
      </c>
      <c r="E1916" s="656">
        <v>4800</v>
      </c>
      <c r="F1916" s="381">
        <v>759.94</v>
      </c>
    </row>
    <row r="1917" spans="1:6" s="275" customFormat="1" x14ac:dyDescent="0.15">
      <c r="A1917" s="655" t="s">
        <v>1598</v>
      </c>
      <c r="B1917" s="591"/>
      <c r="C1917" s="287" t="s">
        <v>1586</v>
      </c>
      <c r="D1917" s="287" t="s">
        <v>1500</v>
      </c>
      <c r="E1917" s="656">
        <f>1.6+44.2</f>
        <v>45.800000000000004</v>
      </c>
      <c r="F1917" s="381">
        <v>16.09</v>
      </c>
    </row>
    <row r="1918" spans="1:6" s="275" customFormat="1" x14ac:dyDescent="0.15">
      <c r="A1918" s="655" t="s">
        <v>1662</v>
      </c>
      <c r="B1918" s="657">
        <v>892914652</v>
      </c>
      <c r="C1918" s="287" t="s">
        <v>1663</v>
      </c>
      <c r="D1918" s="287" t="s">
        <v>1664</v>
      </c>
      <c r="E1918" s="656">
        <v>9920</v>
      </c>
      <c r="F1918" s="381">
        <v>1649.49</v>
      </c>
    </row>
    <row r="1919" spans="1:6" s="275" customFormat="1" ht="14" thickBot="1" x14ac:dyDescent="0.2">
      <c r="A1919" s="655"/>
      <c r="B1919" s="591"/>
      <c r="C1919" s="291" t="s">
        <v>1695</v>
      </c>
      <c r="D1919" s="287"/>
      <c r="E1919" s="638">
        <f>SUM(E1895:E1918)</f>
        <v>103231.40000000001</v>
      </c>
      <c r="F1919" s="658">
        <v>15882.089999999998</v>
      </c>
    </row>
    <row r="1920" spans="1:6" s="275" customFormat="1" ht="14" thickTop="1" x14ac:dyDescent="0.15">
      <c r="A1920" s="655"/>
      <c r="B1920" s="591"/>
      <c r="C1920" s="287"/>
      <c r="D1920" s="287"/>
      <c r="E1920" s="524"/>
      <c r="F1920" s="381"/>
    </row>
    <row r="1921" spans="1:6" s="275" customFormat="1" x14ac:dyDescent="0.15">
      <c r="A1921" s="655" t="s">
        <v>1556</v>
      </c>
      <c r="B1921" s="591" t="s">
        <v>1631</v>
      </c>
      <c r="C1921" s="287" t="s">
        <v>1248</v>
      </c>
      <c r="D1921" s="287" t="s">
        <v>1482</v>
      </c>
      <c r="E1921" s="656">
        <v>3665</v>
      </c>
      <c r="F1921" s="381">
        <v>612.76</v>
      </c>
    </row>
    <row r="1922" spans="1:6" s="295" customFormat="1" x14ac:dyDescent="0.15">
      <c r="A1922" s="655" t="s">
        <v>1558</v>
      </c>
      <c r="B1922" s="591" t="s">
        <v>1633</v>
      </c>
      <c r="C1922" s="287" t="s">
        <v>1469</v>
      </c>
      <c r="D1922" s="287" t="s">
        <v>1470</v>
      </c>
      <c r="E1922" s="656">
        <v>5840</v>
      </c>
      <c r="F1922" s="381">
        <v>920.28</v>
      </c>
    </row>
    <row r="1923" spans="1:6" s="275" customFormat="1" x14ac:dyDescent="0.15">
      <c r="A1923" s="655" t="s">
        <v>1559</v>
      </c>
      <c r="B1923" s="591" t="s">
        <v>1634</v>
      </c>
      <c r="C1923" s="287" t="s">
        <v>1502</v>
      </c>
      <c r="D1923" s="287" t="s">
        <v>1381</v>
      </c>
      <c r="E1923" s="656">
        <v>17376</v>
      </c>
      <c r="F1923" s="381">
        <v>2182.5100000000002</v>
      </c>
    </row>
    <row r="1924" spans="1:6" s="275" customFormat="1" x14ac:dyDescent="0.15">
      <c r="A1924" s="655" t="s">
        <v>1560</v>
      </c>
      <c r="B1924" s="591" t="s">
        <v>1635</v>
      </c>
      <c r="C1924" s="287" t="s">
        <v>1504</v>
      </c>
      <c r="D1924" s="287" t="s">
        <v>1505</v>
      </c>
      <c r="E1924" s="656">
        <v>1621</v>
      </c>
      <c r="F1924" s="381">
        <v>242.39</v>
      </c>
    </row>
    <row r="1925" spans="1:6" s="275" customFormat="1" x14ac:dyDescent="0.15">
      <c r="A1925" s="655" t="s">
        <v>1675</v>
      </c>
      <c r="B1925" s="591" t="s">
        <v>1676</v>
      </c>
      <c r="C1925" s="287" t="s">
        <v>1477</v>
      </c>
      <c r="D1925" s="287" t="s">
        <v>1289</v>
      </c>
      <c r="E1925" s="656">
        <v>9480</v>
      </c>
      <c r="F1925" s="381">
        <v>1630.22</v>
      </c>
    </row>
    <row r="1926" spans="1:6" s="275" customFormat="1" x14ac:dyDescent="0.15">
      <c r="A1926" s="655" t="s">
        <v>1563</v>
      </c>
      <c r="B1926" s="591"/>
      <c r="C1926" s="287" t="s">
        <v>1267</v>
      </c>
      <c r="D1926" s="287" t="s">
        <v>1268</v>
      </c>
      <c r="E1926" s="656">
        <v>79.900000000000006</v>
      </c>
      <c r="F1926" s="381">
        <v>13.26</v>
      </c>
    </row>
    <row r="1927" spans="1:6" s="275" customFormat="1" x14ac:dyDescent="0.15">
      <c r="A1927" s="655" t="s">
        <v>1564</v>
      </c>
      <c r="B1927" s="591" t="s">
        <v>1636</v>
      </c>
      <c r="C1927" s="287" t="s">
        <v>1485</v>
      </c>
      <c r="D1927" s="287" t="s">
        <v>1486</v>
      </c>
      <c r="E1927" s="656">
        <v>1360</v>
      </c>
      <c r="F1927" s="381">
        <v>246.11</v>
      </c>
    </row>
    <row r="1928" spans="1:6" s="275" customFormat="1" x14ac:dyDescent="0.15">
      <c r="A1928" s="655" t="s">
        <v>1565</v>
      </c>
      <c r="B1928" s="591" t="s">
        <v>1637</v>
      </c>
      <c r="C1928" s="287" t="s">
        <v>1267</v>
      </c>
      <c r="D1928" s="287" t="s">
        <v>1268</v>
      </c>
      <c r="E1928" s="656">
        <v>2277</v>
      </c>
      <c r="F1928" s="381">
        <v>407.13</v>
      </c>
    </row>
    <row r="1929" spans="1:6" s="275" customFormat="1" x14ac:dyDescent="0.15">
      <c r="A1929" s="655" t="s">
        <v>1569</v>
      </c>
      <c r="B1929" s="591" t="s">
        <v>1638</v>
      </c>
      <c r="C1929" s="287" t="s">
        <v>1464</v>
      </c>
      <c r="D1929" s="287" t="s">
        <v>1285</v>
      </c>
      <c r="E1929" s="656">
        <v>961</v>
      </c>
      <c r="F1929" s="381">
        <v>197.47</v>
      </c>
    </row>
    <row r="1930" spans="1:6" s="275" customFormat="1" x14ac:dyDescent="0.15">
      <c r="A1930" s="655" t="s">
        <v>1570</v>
      </c>
      <c r="B1930" s="591" t="s">
        <v>1639</v>
      </c>
      <c r="C1930" s="287" t="s">
        <v>1472</v>
      </c>
      <c r="D1930" s="287" t="s">
        <v>1473</v>
      </c>
      <c r="E1930" s="656">
        <v>43</v>
      </c>
      <c r="F1930" s="381">
        <v>34.42</v>
      </c>
    </row>
    <row r="1931" spans="1:6" s="275" customFormat="1" x14ac:dyDescent="0.15">
      <c r="A1931" s="655" t="s">
        <v>1571</v>
      </c>
      <c r="B1931" s="591" t="s">
        <v>1640</v>
      </c>
      <c r="C1931" s="287" t="s">
        <v>1489</v>
      </c>
      <c r="D1931" s="287" t="s">
        <v>1490</v>
      </c>
      <c r="E1931" s="656">
        <v>139</v>
      </c>
      <c r="F1931" s="381">
        <v>44.3</v>
      </c>
    </row>
    <row r="1932" spans="1:6" s="275" customFormat="1" x14ac:dyDescent="0.15">
      <c r="A1932" s="655" t="s">
        <v>1572</v>
      </c>
      <c r="B1932" s="591" t="s">
        <v>1641</v>
      </c>
      <c r="C1932" s="287" t="s">
        <v>1271</v>
      </c>
      <c r="D1932" s="287" t="s">
        <v>1272</v>
      </c>
      <c r="E1932" s="656">
        <v>3691</v>
      </c>
      <c r="F1932" s="381">
        <v>592.54</v>
      </c>
    </row>
    <row r="1933" spans="1:6" s="275" customFormat="1" x14ac:dyDescent="0.15">
      <c r="A1933" s="655" t="s">
        <v>1573</v>
      </c>
      <c r="B1933" s="591"/>
      <c r="C1933" s="287" t="s">
        <v>1461</v>
      </c>
      <c r="D1933" s="287" t="s">
        <v>1462</v>
      </c>
      <c r="E1933" s="656">
        <v>26</v>
      </c>
      <c r="F1933" s="381">
        <v>16.34</v>
      </c>
    </row>
    <row r="1934" spans="1:6" s="275" customFormat="1" x14ac:dyDescent="0.15">
      <c r="A1934" s="655" t="s">
        <v>1574</v>
      </c>
      <c r="B1934" s="591" t="s">
        <v>1642</v>
      </c>
      <c r="C1934" s="287" t="s">
        <v>1377</v>
      </c>
      <c r="D1934" s="287" t="s">
        <v>1378</v>
      </c>
      <c r="E1934" s="656">
        <v>1787</v>
      </c>
      <c r="F1934" s="381">
        <v>282.36</v>
      </c>
    </row>
    <row r="1935" spans="1:6" s="275" customFormat="1" x14ac:dyDescent="0.15">
      <c r="A1935" s="655" t="s">
        <v>1575</v>
      </c>
      <c r="B1935" s="591" t="s">
        <v>1685</v>
      </c>
      <c r="C1935" s="287" t="s">
        <v>1448</v>
      </c>
      <c r="D1935" s="287" t="s">
        <v>1449</v>
      </c>
      <c r="E1935" s="656">
        <v>224</v>
      </c>
      <c r="F1935" s="381">
        <v>43.8</v>
      </c>
    </row>
    <row r="1936" spans="1:6" s="275" customFormat="1" x14ac:dyDescent="0.15">
      <c r="A1936" s="655" t="s">
        <v>1604</v>
      </c>
      <c r="B1936" s="591"/>
      <c r="C1936" s="287" t="s">
        <v>1334</v>
      </c>
      <c r="D1936" s="287" t="s">
        <v>1462</v>
      </c>
      <c r="E1936" s="656">
        <f>82.1+101.1</f>
        <v>183.2</v>
      </c>
      <c r="F1936" s="381">
        <v>50.35</v>
      </c>
    </row>
    <row r="1937" spans="1:8" s="275" customFormat="1" x14ac:dyDescent="0.15">
      <c r="A1937" s="655" t="s">
        <v>1576</v>
      </c>
      <c r="B1937" s="591" t="s">
        <v>1644</v>
      </c>
      <c r="C1937" s="287" t="s">
        <v>1401</v>
      </c>
      <c r="D1937" s="287" t="s">
        <v>1316</v>
      </c>
      <c r="E1937" s="656">
        <v>416</v>
      </c>
      <c r="F1937" s="381">
        <v>72.77</v>
      </c>
    </row>
    <row r="1938" spans="1:8" s="275" customFormat="1" x14ac:dyDescent="0.15">
      <c r="A1938" s="655" t="s">
        <v>1605</v>
      </c>
      <c r="B1938" s="591"/>
      <c r="C1938" s="287" t="s">
        <v>1334</v>
      </c>
      <c r="D1938" s="287" t="s">
        <v>1462</v>
      </c>
      <c r="E1938" s="656">
        <f>299.5+368.5</f>
        <v>668</v>
      </c>
      <c r="F1938" s="381">
        <v>183.14999999999998</v>
      </c>
    </row>
    <row r="1939" spans="1:8" s="275" customFormat="1" x14ac:dyDescent="0.15">
      <c r="A1939" s="655" t="s">
        <v>1578</v>
      </c>
      <c r="B1939" s="591" t="s">
        <v>1646</v>
      </c>
      <c r="C1939" s="287" t="s">
        <v>1579</v>
      </c>
      <c r="D1939" s="287" t="s">
        <v>1497</v>
      </c>
      <c r="E1939" s="656">
        <v>23</v>
      </c>
      <c r="F1939" s="381">
        <v>32.36</v>
      </c>
    </row>
    <row r="1940" spans="1:8" s="275" customFormat="1" x14ac:dyDescent="0.15">
      <c r="A1940" s="655" t="s">
        <v>1580</v>
      </c>
      <c r="B1940" s="591" t="s">
        <v>1647</v>
      </c>
      <c r="C1940" s="287" t="s">
        <v>1451</v>
      </c>
      <c r="D1940" s="287" t="s">
        <v>1674</v>
      </c>
      <c r="E1940" s="656">
        <v>6912</v>
      </c>
      <c r="F1940" s="381">
        <v>2397.08</v>
      </c>
    </row>
    <row r="1941" spans="1:8" s="275" customFormat="1" x14ac:dyDescent="0.15">
      <c r="A1941" s="655" t="s">
        <v>1581</v>
      </c>
      <c r="B1941" s="591" t="s">
        <v>1648</v>
      </c>
      <c r="C1941" s="287" t="s">
        <v>1521</v>
      </c>
      <c r="D1941" s="287" t="s">
        <v>1229</v>
      </c>
      <c r="E1941" s="656">
        <v>2323</v>
      </c>
      <c r="F1941" s="381">
        <v>383.24</v>
      </c>
    </row>
    <row r="1942" spans="1:8" s="275" customFormat="1" x14ac:dyDescent="0.15">
      <c r="A1942" s="655" t="s">
        <v>1582</v>
      </c>
      <c r="B1942" s="591" t="s">
        <v>1649</v>
      </c>
      <c r="C1942" s="287" t="s">
        <v>1525</v>
      </c>
      <c r="D1942" s="287" t="s">
        <v>1526</v>
      </c>
      <c r="E1942" s="656">
        <v>11</v>
      </c>
      <c r="F1942" s="381">
        <v>7.85</v>
      </c>
    </row>
    <row r="1943" spans="1:8" s="275" customFormat="1" ht="14" x14ac:dyDescent="0.15">
      <c r="A1943" s="655" t="s">
        <v>1583</v>
      </c>
      <c r="B1943" s="591" t="s">
        <v>1650</v>
      </c>
      <c r="C1943" s="287" t="s">
        <v>1584</v>
      </c>
      <c r="D1943" s="618" t="s">
        <v>1264</v>
      </c>
      <c r="E1943" s="656">
        <v>1240</v>
      </c>
      <c r="F1943" s="381">
        <v>355.95</v>
      </c>
    </row>
    <row r="1944" spans="1:8" s="275" customFormat="1" x14ac:dyDescent="0.15">
      <c r="A1944" s="655" t="s">
        <v>1666</v>
      </c>
      <c r="B1944" s="591" t="s">
        <v>1672</v>
      </c>
      <c r="C1944" s="287" t="s">
        <v>1667</v>
      </c>
      <c r="D1944" s="287" t="s">
        <v>1668</v>
      </c>
      <c r="E1944" s="656">
        <v>21504</v>
      </c>
      <c r="F1944" s="381">
        <v>4507.37</v>
      </c>
    </row>
    <row r="1945" spans="1:8" s="275" customFormat="1" x14ac:dyDescent="0.15">
      <c r="A1945" s="655" t="s">
        <v>1606</v>
      </c>
      <c r="B1945" s="591"/>
      <c r="C1945" s="287" t="s">
        <v>1334</v>
      </c>
      <c r="D1945" s="287" t="s">
        <v>1462</v>
      </c>
      <c r="E1945" s="656">
        <f>35.8+44.1</f>
        <v>79.900000000000006</v>
      </c>
      <c r="F1945" s="381">
        <v>13.14</v>
      </c>
    </row>
    <row r="1946" spans="1:8" s="275" customFormat="1" ht="14" thickBot="1" x14ac:dyDescent="0.2">
      <c r="A1946" s="655"/>
      <c r="B1946" s="591"/>
      <c r="C1946" s="291" t="s">
        <v>1696</v>
      </c>
      <c r="D1946" s="287"/>
      <c r="E1946" s="643">
        <f>SUM(E1921:E1945)</f>
        <v>81930</v>
      </c>
      <c r="F1946" s="658">
        <v>15469.15</v>
      </c>
    </row>
    <row r="1947" spans="1:8" s="275" customFormat="1" ht="14" thickTop="1" x14ac:dyDescent="0.15">
      <c r="A1947" s="660"/>
      <c r="B1947" s="661"/>
      <c r="C1947" s="359"/>
      <c r="D1947" s="359"/>
      <c r="E1947" s="662"/>
      <c r="F1947" s="375"/>
    </row>
    <row r="1948" spans="1:8" s="275" customFormat="1" ht="14" thickBot="1" x14ac:dyDescent="0.2">
      <c r="A1948" s="655" t="s">
        <v>1677</v>
      </c>
      <c r="B1948" s="591" t="s">
        <v>1678</v>
      </c>
      <c r="C1948" s="287" t="s">
        <v>1313</v>
      </c>
      <c r="D1948" s="287" t="s">
        <v>1412</v>
      </c>
      <c r="E1948" s="656">
        <v>991</v>
      </c>
      <c r="F1948" s="381">
        <v>200.55</v>
      </c>
    </row>
    <row r="1949" spans="1:8" s="275" customFormat="1" x14ac:dyDescent="0.15">
      <c r="A1949" s="655" t="s">
        <v>1679</v>
      </c>
      <c r="B1949" s="591" t="s">
        <v>1680</v>
      </c>
      <c r="C1949" s="287" t="s">
        <v>1313</v>
      </c>
      <c r="D1949" s="287" t="s">
        <v>1412</v>
      </c>
      <c r="E1949" s="656">
        <v>0</v>
      </c>
      <c r="F1949" s="381">
        <v>30</v>
      </c>
      <c r="H1949" s="647" t="s">
        <v>1589</v>
      </c>
    </row>
    <row r="1950" spans="1:8" s="275" customFormat="1" ht="14" thickBot="1" x14ac:dyDescent="0.2">
      <c r="A1950" s="655"/>
      <c r="B1950" s="591"/>
      <c r="C1950" s="291" t="s">
        <v>1697</v>
      </c>
      <c r="D1950" s="287"/>
      <c r="E1950" s="643">
        <f>SUM(E1948:E1949)</f>
        <v>991</v>
      </c>
      <c r="F1950" s="658">
        <v>230.55</v>
      </c>
      <c r="H1950" s="648">
        <f>SUM(F1919,F1946,F1950)</f>
        <v>31581.789999999997</v>
      </c>
    </row>
    <row r="1951" spans="1:8" s="275" customFormat="1" ht="14" thickTop="1" x14ac:dyDescent="0.15">
      <c r="A1951" s="660"/>
      <c r="B1951" s="661"/>
      <c r="C1951" s="359"/>
      <c r="D1951" s="359"/>
      <c r="E1951" s="662"/>
      <c r="F1951" s="375"/>
    </row>
    <row r="1952" spans="1:8" s="275" customFormat="1" x14ac:dyDescent="0.15">
      <c r="A1952" s="660"/>
      <c r="B1952" s="661"/>
      <c r="C1952" s="293" t="s">
        <v>1594</v>
      </c>
      <c r="D1952" s="359"/>
      <c r="E1952" s="662"/>
      <c r="F1952" s="375"/>
    </row>
    <row r="1953" spans="1:6" s="275" customFormat="1" x14ac:dyDescent="0.15">
      <c r="A1953" s="660"/>
      <c r="B1953" s="661"/>
      <c r="C1953" s="293" t="s">
        <v>1446</v>
      </c>
      <c r="D1953" s="359"/>
      <c r="E1953" s="662"/>
      <c r="F1953" s="375"/>
    </row>
    <row r="1954" spans="1:6" s="275" customFormat="1" x14ac:dyDescent="0.15">
      <c r="A1954" s="660"/>
      <c r="B1954" s="661"/>
      <c r="C1954" s="386">
        <v>41943</v>
      </c>
      <c r="D1954" s="359"/>
      <c r="E1954" s="662"/>
      <c r="F1954" s="375"/>
    </row>
    <row r="1955" spans="1:6" s="275" customFormat="1" x14ac:dyDescent="0.15">
      <c r="A1955" s="660"/>
      <c r="B1955" s="661"/>
      <c r="C1955" s="359"/>
      <c r="D1955" s="359"/>
      <c r="E1955" s="662"/>
      <c r="F1955" s="375"/>
    </row>
    <row r="1956" spans="1:6" s="275" customFormat="1" ht="14" thickBot="1" x14ac:dyDescent="0.2">
      <c r="A1956" s="663"/>
      <c r="B1956" s="664"/>
      <c r="C1956" s="665" t="s">
        <v>1190</v>
      </c>
      <c r="D1956" s="665"/>
      <c r="E1956" s="666">
        <f>SUM(E1919,E1946,E1950)</f>
        <v>186152.40000000002</v>
      </c>
      <c r="F1956" s="667">
        <v>31581.789999999997</v>
      </c>
    </row>
    <row r="1957" spans="1:6" s="275" customFormat="1" x14ac:dyDescent="0.15">
      <c r="A1957" s="617"/>
      <c r="B1957" s="617"/>
      <c r="E1957" s="276"/>
      <c r="F1957" s="278"/>
    </row>
    <row r="1958" spans="1:6" s="295" customFormat="1" x14ac:dyDescent="0.15">
      <c r="A1958" s="652" t="s">
        <v>1534</v>
      </c>
      <c r="B1958" s="653" t="s">
        <v>1614</v>
      </c>
      <c r="C1958" s="371" t="s">
        <v>1492</v>
      </c>
      <c r="D1958" s="371" t="s">
        <v>1239</v>
      </c>
      <c r="E1958" s="654">
        <v>11680</v>
      </c>
      <c r="F1958" s="391">
        <v>1680.71</v>
      </c>
    </row>
    <row r="1959" spans="1:6" s="295" customFormat="1" x14ac:dyDescent="0.15">
      <c r="A1959" s="655" t="s">
        <v>1535</v>
      </c>
      <c r="B1959" s="591" t="s">
        <v>1615</v>
      </c>
      <c r="C1959" s="287" t="s">
        <v>1507</v>
      </c>
      <c r="D1959" s="287" t="s">
        <v>1245</v>
      </c>
      <c r="E1959" s="656">
        <v>4080</v>
      </c>
      <c r="F1959" s="381">
        <v>663.06</v>
      </c>
    </row>
    <row r="1960" spans="1:6" s="295" customFormat="1" x14ac:dyDescent="0.15">
      <c r="A1960" s="655" t="s">
        <v>1670</v>
      </c>
      <c r="B1960" s="591" t="s">
        <v>1659</v>
      </c>
      <c r="C1960" s="287" t="s">
        <v>1279</v>
      </c>
      <c r="D1960" s="287" t="s">
        <v>1660</v>
      </c>
      <c r="E1960" s="656">
        <v>9760</v>
      </c>
      <c r="F1960" s="381">
        <v>1384.13</v>
      </c>
    </row>
    <row r="1961" spans="1:6" s="275" customFormat="1" x14ac:dyDescent="0.15">
      <c r="A1961" s="655" t="s">
        <v>1536</v>
      </c>
      <c r="B1961" s="591" t="s">
        <v>1616</v>
      </c>
      <c r="C1961" s="287" t="s">
        <v>1479</v>
      </c>
      <c r="D1961" s="287" t="s">
        <v>1231</v>
      </c>
      <c r="E1961" s="656">
        <v>6238</v>
      </c>
      <c r="F1961" s="381">
        <v>869.52</v>
      </c>
    </row>
    <row r="1962" spans="1:6" s="275" customFormat="1" x14ac:dyDescent="0.15">
      <c r="A1962" s="655" t="s">
        <v>1537</v>
      </c>
      <c r="B1962" s="591" t="s">
        <v>1617</v>
      </c>
      <c r="C1962" s="287" t="s">
        <v>1269</v>
      </c>
      <c r="D1962" s="287" t="s">
        <v>1270</v>
      </c>
      <c r="E1962" s="656">
        <v>4651</v>
      </c>
      <c r="F1962" s="381">
        <v>668.29</v>
      </c>
    </row>
    <row r="1963" spans="1:6" s="295" customFormat="1" x14ac:dyDescent="0.15">
      <c r="A1963" s="655" t="s">
        <v>1538</v>
      </c>
      <c r="B1963" s="591" t="s">
        <v>1618</v>
      </c>
      <c r="C1963" s="287" t="s">
        <v>1517</v>
      </c>
      <c r="D1963" s="287" t="s">
        <v>1518</v>
      </c>
      <c r="E1963" s="656">
        <v>5</v>
      </c>
      <c r="F1963" s="381">
        <v>30.51</v>
      </c>
    </row>
    <row r="1964" spans="1:6" s="295" customFormat="1" x14ac:dyDescent="0.15">
      <c r="A1964" s="655" t="s">
        <v>1540</v>
      </c>
      <c r="B1964" s="591" t="s">
        <v>1620</v>
      </c>
      <c r="C1964" s="287" t="s">
        <v>1257</v>
      </c>
      <c r="D1964" s="287" t="s">
        <v>1258</v>
      </c>
      <c r="E1964" s="656">
        <v>25920</v>
      </c>
      <c r="F1964" s="381">
        <v>3495.2</v>
      </c>
    </row>
    <row r="1965" spans="1:6" s="295" customFormat="1" x14ac:dyDescent="0.15">
      <c r="A1965" s="655" t="s">
        <v>1541</v>
      </c>
      <c r="B1965" s="591" t="s">
        <v>1621</v>
      </c>
      <c r="C1965" s="287" t="s">
        <v>1586</v>
      </c>
      <c r="D1965" s="287" t="s">
        <v>1500</v>
      </c>
      <c r="E1965" s="656">
        <v>4400</v>
      </c>
      <c r="F1965" s="381">
        <v>711.2</v>
      </c>
    </row>
    <row r="1966" spans="1:6" s="295" customFormat="1" x14ac:dyDescent="0.15">
      <c r="A1966" s="655" t="s">
        <v>1542</v>
      </c>
      <c r="B1966" s="591" t="s">
        <v>1622</v>
      </c>
      <c r="C1966" s="287" t="s">
        <v>1240</v>
      </c>
      <c r="D1966" s="287" t="s">
        <v>1467</v>
      </c>
      <c r="E1966" s="656">
        <v>5160</v>
      </c>
      <c r="F1966" s="381">
        <v>720.55</v>
      </c>
    </row>
    <row r="1967" spans="1:6" s="295" customFormat="1" x14ac:dyDescent="0.15">
      <c r="A1967" s="655" t="s">
        <v>1543</v>
      </c>
      <c r="B1967" s="591" t="s">
        <v>1623</v>
      </c>
      <c r="C1967" s="287" t="s">
        <v>1523</v>
      </c>
      <c r="D1967" s="287" t="s">
        <v>1266</v>
      </c>
      <c r="E1967" s="656">
        <v>936</v>
      </c>
      <c r="F1967" s="381">
        <v>202.56</v>
      </c>
    </row>
    <row r="1968" spans="1:6" s="295" customFormat="1" x14ac:dyDescent="0.15">
      <c r="A1968" s="655" t="s">
        <v>1544</v>
      </c>
      <c r="B1968" s="591" t="s">
        <v>1624</v>
      </c>
      <c r="C1968" s="287" t="s">
        <v>1234</v>
      </c>
      <c r="D1968" s="287" t="s">
        <v>1494</v>
      </c>
      <c r="E1968" s="656">
        <v>5822</v>
      </c>
      <c r="F1968" s="381">
        <v>895.5</v>
      </c>
    </row>
    <row r="1969" spans="1:6" s="295" customFormat="1" x14ac:dyDescent="0.15">
      <c r="A1969" s="655" t="s">
        <v>1601</v>
      </c>
      <c r="B1969" s="591"/>
      <c r="C1969" s="287" t="s">
        <v>1334</v>
      </c>
      <c r="D1969" s="287" t="s">
        <v>1462</v>
      </c>
      <c r="E1969" s="656">
        <f>1747+1979.9</f>
        <v>3726.9</v>
      </c>
      <c r="F1969" s="381">
        <v>641.05999999999995</v>
      </c>
    </row>
    <row r="1970" spans="1:6" s="295" customFormat="1" x14ac:dyDescent="0.15">
      <c r="A1970" s="655" t="s">
        <v>1545</v>
      </c>
      <c r="B1970" s="591"/>
      <c r="C1970" s="287" t="s">
        <v>1234</v>
      </c>
      <c r="D1970" s="287" t="s">
        <v>1494</v>
      </c>
      <c r="E1970" s="656">
        <f>7.5+75+2.5</f>
        <v>85</v>
      </c>
      <c r="F1970" s="381">
        <v>17.600000000000001</v>
      </c>
    </row>
    <row r="1971" spans="1:6" s="295" customFormat="1" x14ac:dyDescent="0.15">
      <c r="A1971" s="655" t="s">
        <v>1602</v>
      </c>
      <c r="B1971" s="591"/>
      <c r="C1971" s="287" t="s">
        <v>1334</v>
      </c>
      <c r="D1971" s="287" t="s">
        <v>1462</v>
      </c>
      <c r="E1971" s="656">
        <f>97.6+110.6</f>
        <v>208.2</v>
      </c>
      <c r="F1971" s="381">
        <v>48.44</v>
      </c>
    </row>
    <row r="1972" spans="1:6" s="295" customFormat="1" x14ac:dyDescent="0.15">
      <c r="A1972" s="655" t="s">
        <v>1546</v>
      </c>
      <c r="B1972" s="591"/>
      <c r="C1972" s="287" t="s">
        <v>1586</v>
      </c>
      <c r="D1972" s="287" t="s">
        <v>1500</v>
      </c>
      <c r="E1972" s="656">
        <f>8.6+85.9+2.9</f>
        <v>97.4</v>
      </c>
      <c r="F1972" s="381">
        <v>27.76</v>
      </c>
    </row>
    <row r="1973" spans="1:6" s="295" customFormat="1" x14ac:dyDescent="0.15">
      <c r="A1973" s="655" t="s">
        <v>1547</v>
      </c>
      <c r="B1973" s="591"/>
      <c r="C1973" s="287" t="s">
        <v>1286</v>
      </c>
      <c r="D1973" s="287" t="s">
        <v>1514</v>
      </c>
      <c r="E1973" s="656">
        <f>239.3+17.7</f>
        <v>257</v>
      </c>
      <c r="F1973" s="381">
        <v>54.82</v>
      </c>
    </row>
    <row r="1974" spans="1:6" s="295" customFormat="1" x14ac:dyDescent="0.15">
      <c r="A1974" s="655" t="s">
        <v>1549</v>
      </c>
      <c r="B1974" s="591" t="s">
        <v>1625</v>
      </c>
      <c r="C1974" s="287" t="s">
        <v>1459</v>
      </c>
      <c r="D1974" s="287" t="s">
        <v>1251</v>
      </c>
      <c r="E1974" s="656">
        <v>1794</v>
      </c>
      <c r="F1974" s="381">
        <v>313.62</v>
      </c>
    </row>
    <row r="1975" spans="1:6" s="295" customFormat="1" x14ac:dyDescent="0.15">
      <c r="A1975" s="655" t="s">
        <v>1603</v>
      </c>
      <c r="B1975" s="591"/>
      <c r="C1975" s="287" t="s">
        <v>1334</v>
      </c>
      <c r="D1975" s="287" t="s">
        <v>1462</v>
      </c>
      <c r="E1975" s="656">
        <f>731+828.4</f>
        <v>1559.4</v>
      </c>
      <c r="F1975" s="381">
        <v>284.78999999999996</v>
      </c>
    </row>
    <row r="1976" spans="1:6" s="295" customFormat="1" x14ac:dyDescent="0.15">
      <c r="A1976" s="655" t="s">
        <v>1597</v>
      </c>
      <c r="B1976" s="591" t="s">
        <v>1626</v>
      </c>
      <c r="C1976" s="287" t="s">
        <v>1454</v>
      </c>
      <c r="D1976" s="287" t="s">
        <v>1247</v>
      </c>
      <c r="E1976" s="656">
        <v>5520</v>
      </c>
      <c r="F1976" s="381">
        <v>818.67</v>
      </c>
    </row>
    <row r="1977" spans="1:6" s="295" customFormat="1" x14ac:dyDescent="0.15">
      <c r="A1977" s="655" t="s">
        <v>1677</v>
      </c>
      <c r="B1977" s="591" t="s">
        <v>1678</v>
      </c>
      <c r="C1977" s="287" t="s">
        <v>1313</v>
      </c>
      <c r="D1977" s="287" t="s">
        <v>1412</v>
      </c>
      <c r="E1977" s="656">
        <v>1587</v>
      </c>
      <c r="F1977" s="381">
        <v>284.7</v>
      </c>
    </row>
    <row r="1978" spans="1:6" s="295" customFormat="1" x14ac:dyDescent="0.15">
      <c r="A1978" s="655" t="s">
        <v>1551</v>
      </c>
      <c r="B1978" s="591" t="s">
        <v>1627</v>
      </c>
      <c r="C1978" s="287" t="s">
        <v>1235</v>
      </c>
      <c r="D1978" s="287" t="s">
        <v>1236</v>
      </c>
      <c r="E1978" s="656">
        <v>9836</v>
      </c>
      <c r="F1978" s="381">
        <v>1376.7</v>
      </c>
    </row>
    <row r="1979" spans="1:6" s="295" customFormat="1" x14ac:dyDescent="0.15">
      <c r="A1979" s="655" t="s">
        <v>1553</v>
      </c>
      <c r="B1979" s="591" t="s">
        <v>1628</v>
      </c>
      <c r="C1979" s="287" t="s">
        <v>1475</v>
      </c>
      <c r="D1979" s="287" t="s">
        <v>1387</v>
      </c>
      <c r="E1979" s="656">
        <v>1171</v>
      </c>
      <c r="F1979" s="381">
        <v>209.39</v>
      </c>
    </row>
    <row r="1980" spans="1:6" s="295" customFormat="1" x14ac:dyDescent="0.15">
      <c r="A1980" s="655" t="s">
        <v>1554</v>
      </c>
      <c r="B1980" s="591" t="s">
        <v>1629</v>
      </c>
      <c r="C1980" s="287" t="s">
        <v>1399</v>
      </c>
      <c r="D1980" s="287" t="s">
        <v>1276</v>
      </c>
      <c r="E1980" s="656">
        <v>5600</v>
      </c>
      <c r="F1980" s="381">
        <v>849.77</v>
      </c>
    </row>
    <row r="1981" spans="1:6" s="295" customFormat="1" x14ac:dyDescent="0.15">
      <c r="A1981" s="655" t="s">
        <v>1598</v>
      </c>
      <c r="B1981" s="591"/>
      <c r="C1981" s="287" t="s">
        <v>1586</v>
      </c>
      <c r="D1981" s="287" t="s">
        <v>1500</v>
      </c>
      <c r="E1981" s="656">
        <f>4.3+43+1.4</f>
        <v>48.699999999999996</v>
      </c>
      <c r="F1981" s="381">
        <v>16.62</v>
      </c>
    </row>
    <row r="1982" spans="1:6" s="295" customFormat="1" x14ac:dyDescent="0.15">
      <c r="A1982" s="655" t="s">
        <v>1662</v>
      </c>
      <c r="B1982" s="657">
        <v>892914652</v>
      </c>
      <c r="C1982" s="287" t="s">
        <v>1663</v>
      </c>
      <c r="D1982" s="287" t="s">
        <v>1664</v>
      </c>
      <c r="E1982" s="656">
        <v>10400</v>
      </c>
      <c r="F1982" s="381">
        <v>1620.47</v>
      </c>
    </row>
    <row r="1983" spans="1:6" s="275" customFormat="1" ht="14" thickBot="1" x14ac:dyDescent="0.2">
      <c r="A1983" s="655"/>
      <c r="B1983" s="591"/>
      <c r="C1983" s="291" t="s">
        <v>1698</v>
      </c>
      <c r="D1983" s="287"/>
      <c r="E1983" s="638">
        <f>SUM(E1958:E1982)</f>
        <v>120542.59999999998</v>
      </c>
      <c r="F1983" s="658">
        <v>17885.64</v>
      </c>
    </row>
    <row r="1984" spans="1:6" s="275" customFormat="1" ht="14" thickTop="1" x14ac:dyDescent="0.15">
      <c r="A1984" s="655"/>
      <c r="B1984" s="591"/>
      <c r="C1984" s="287"/>
      <c r="D1984" s="287"/>
      <c r="E1984" s="524"/>
      <c r="F1984" s="381"/>
    </row>
    <row r="1985" spans="1:6" s="295" customFormat="1" x14ac:dyDescent="0.15">
      <c r="A1985" s="655" t="s">
        <v>1556</v>
      </c>
      <c r="B1985" s="591" t="s">
        <v>1631</v>
      </c>
      <c r="C1985" s="287" t="s">
        <v>1248</v>
      </c>
      <c r="D1985" s="287" t="s">
        <v>1482</v>
      </c>
      <c r="E1985" s="656">
        <v>4074</v>
      </c>
      <c r="F1985" s="381">
        <v>609</v>
      </c>
    </row>
    <row r="1986" spans="1:6" s="295" customFormat="1" x14ac:dyDescent="0.15">
      <c r="A1986" s="655" t="s">
        <v>1558</v>
      </c>
      <c r="B1986" s="591" t="s">
        <v>1633</v>
      </c>
      <c r="C1986" s="287" t="s">
        <v>1469</v>
      </c>
      <c r="D1986" s="287" t="s">
        <v>1470</v>
      </c>
      <c r="E1986" s="656">
        <v>6720</v>
      </c>
      <c r="F1986" s="381">
        <v>995.39</v>
      </c>
    </row>
    <row r="1987" spans="1:6" s="295" customFormat="1" x14ac:dyDescent="0.15">
      <c r="A1987" s="655" t="s">
        <v>1559</v>
      </c>
      <c r="B1987" s="591" t="s">
        <v>1634</v>
      </c>
      <c r="C1987" s="287" t="s">
        <v>1502</v>
      </c>
      <c r="D1987" s="287" t="s">
        <v>1381</v>
      </c>
      <c r="E1987" s="656">
        <v>18624</v>
      </c>
      <c r="F1987" s="381">
        <v>2670.81</v>
      </c>
    </row>
    <row r="1988" spans="1:6" s="295" customFormat="1" x14ac:dyDescent="0.15">
      <c r="A1988" s="655" t="s">
        <v>1560</v>
      </c>
      <c r="B1988" s="591" t="s">
        <v>1635</v>
      </c>
      <c r="C1988" s="287" t="s">
        <v>1504</v>
      </c>
      <c r="D1988" s="287" t="s">
        <v>1505</v>
      </c>
      <c r="E1988" s="656">
        <v>1584</v>
      </c>
      <c r="F1988" s="381">
        <v>223.29</v>
      </c>
    </row>
    <row r="1989" spans="1:6" s="295" customFormat="1" x14ac:dyDescent="0.15">
      <c r="A1989" s="655" t="s">
        <v>1675</v>
      </c>
      <c r="B1989" s="591" t="s">
        <v>1676</v>
      </c>
      <c r="C1989" s="287" t="s">
        <v>1477</v>
      </c>
      <c r="D1989" s="287" t="s">
        <v>1289</v>
      </c>
      <c r="E1989" s="656">
        <v>10300</v>
      </c>
      <c r="F1989" s="381">
        <v>1554.17</v>
      </c>
    </row>
    <row r="1990" spans="1:6" s="295" customFormat="1" x14ac:dyDescent="0.15">
      <c r="A1990" s="655" t="s">
        <v>1563</v>
      </c>
      <c r="B1990" s="591"/>
      <c r="C1990" s="287" t="s">
        <v>1267</v>
      </c>
      <c r="D1990" s="287" t="s">
        <v>1268</v>
      </c>
      <c r="E1990" s="656">
        <f>7.5+75+2.5</f>
        <v>85</v>
      </c>
      <c r="F1990" s="381">
        <v>14.32</v>
      </c>
    </row>
    <row r="1991" spans="1:6" s="295" customFormat="1" x14ac:dyDescent="0.15">
      <c r="A1991" s="655" t="s">
        <v>1564</v>
      </c>
      <c r="B1991" s="591" t="s">
        <v>1636</v>
      </c>
      <c r="C1991" s="287" t="s">
        <v>1485</v>
      </c>
      <c r="D1991" s="287" t="s">
        <v>1486</v>
      </c>
      <c r="E1991" s="656">
        <v>1960</v>
      </c>
      <c r="F1991" s="381">
        <v>315.39999999999998</v>
      </c>
    </row>
    <row r="1992" spans="1:6" s="295" customFormat="1" x14ac:dyDescent="0.15">
      <c r="A1992" s="655" t="s">
        <v>1565</v>
      </c>
      <c r="B1992" s="591" t="s">
        <v>1637</v>
      </c>
      <c r="C1992" s="287" t="s">
        <v>1267</v>
      </c>
      <c r="D1992" s="287" t="s">
        <v>1268</v>
      </c>
      <c r="E1992" s="656">
        <v>2632</v>
      </c>
      <c r="F1992" s="381">
        <v>470.61</v>
      </c>
    </row>
    <row r="1993" spans="1:6" s="295" customFormat="1" x14ac:dyDescent="0.15">
      <c r="A1993" s="655" t="s">
        <v>1569</v>
      </c>
      <c r="B1993" s="591" t="s">
        <v>1638</v>
      </c>
      <c r="C1993" s="287" t="s">
        <v>1464</v>
      </c>
      <c r="D1993" s="287" t="s">
        <v>1285</v>
      </c>
      <c r="E1993" s="656">
        <v>1090</v>
      </c>
      <c r="F1993" s="381">
        <v>210.74</v>
      </c>
    </row>
    <row r="1994" spans="1:6" s="295" customFormat="1" x14ac:dyDescent="0.15">
      <c r="A1994" s="655" t="s">
        <v>1570</v>
      </c>
      <c r="B1994" s="591" t="s">
        <v>1639</v>
      </c>
      <c r="C1994" s="287" t="s">
        <v>1472</v>
      </c>
      <c r="D1994" s="287" t="s">
        <v>1473</v>
      </c>
      <c r="E1994" s="656">
        <v>45</v>
      </c>
      <c r="F1994" s="381">
        <v>34.630000000000003</v>
      </c>
    </row>
    <row r="1995" spans="1:6" s="295" customFormat="1" x14ac:dyDescent="0.15">
      <c r="A1995" s="655" t="s">
        <v>1571</v>
      </c>
      <c r="B1995" s="591" t="s">
        <v>1640</v>
      </c>
      <c r="C1995" s="287" t="s">
        <v>1489</v>
      </c>
      <c r="D1995" s="287" t="s">
        <v>1490</v>
      </c>
      <c r="E1995" s="656">
        <v>171</v>
      </c>
      <c r="F1995" s="381">
        <v>47.57</v>
      </c>
    </row>
    <row r="1996" spans="1:6" s="295" customFormat="1" x14ac:dyDescent="0.15">
      <c r="A1996" s="655" t="s">
        <v>1572</v>
      </c>
      <c r="B1996" s="591" t="s">
        <v>1641</v>
      </c>
      <c r="C1996" s="287" t="s">
        <v>1271</v>
      </c>
      <c r="D1996" s="287" t="s">
        <v>1272</v>
      </c>
      <c r="E1996" s="656">
        <v>4678</v>
      </c>
      <c r="F1996" s="381">
        <v>716.87</v>
      </c>
    </row>
    <row r="1997" spans="1:6" s="295" customFormat="1" x14ac:dyDescent="0.15">
      <c r="A1997" s="655" t="s">
        <v>1573</v>
      </c>
      <c r="B1997" s="591"/>
      <c r="C1997" s="287" t="s">
        <v>1461</v>
      </c>
      <c r="D1997" s="287" t="s">
        <v>1462</v>
      </c>
      <c r="E1997" s="656">
        <v>26</v>
      </c>
      <c r="F1997" s="381">
        <v>16.34</v>
      </c>
    </row>
    <row r="1998" spans="1:6" s="295" customFormat="1" x14ac:dyDescent="0.15">
      <c r="A1998" s="655" t="s">
        <v>1574</v>
      </c>
      <c r="B1998" s="591" t="s">
        <v>1642</v>
      </c>
      <c r="C1998" s="287" t="s">
        <v>1377</v>
      </c>
      <c r="D1998" s="287" t="s">
        <v>1378</v>
      </c>
      <c r="E1998" s="656">
        <v>2016</v>
      </c>
      <c r="F1998" s="381">
        <v>344.06</v>
      </c>
    </row>
    <row r="1999" spans="1:6" s="295" customFormat="1" x14ac:dyDescent="0.15">
      <c r="A1999" s="655" t="s">
        <v>1575</v>
      </c>
      <c r="B1999" s="591" t="s">
        <v>1685</v>
      </c>
      <c r="C1999" s="287" t="s">
        <v>1448</v>
      </c>
      <c r="D1999" s="287" t="s">
        <v>1449</v>
      </c>
      <c r="E1999" s="656">
        <v>283</v>
      </c>
      <c r="F1999" s="381">
        <v>53.79</v>
      </c>
    </row>
    <row r="2000" spans="1:6" s="295" customFormat="1" x14ac:dyDescent="0.15">
      <c r="A2000" s="655" t="s">
        <v>1604</v>
      </c>
      <c r="B2000" s="591"/>
      <c r="C2000" s="287" t="s">
        <v>1334</v>
      </c>
      <c r="D2000" s="287" t="s">
        <v>1462</v>
      </c>
      <c r="E2000" s="656">
        <f>91.3+103.5</f>
        <v>194.8</v>
      </c>
      <c r="F2000" s="381">
        <v>52.39</v>
      </c>
    </row>
    <row r="2001" spans="1:6" s="295" customFormat="1" x14ac:dyDescent="0.15">
      <c r="A2001" s="655" t="s">
        <v>1576</v>
      </c>
      <c r="B2001" s="591" t="s">
        <v>1644</v>
      </c>
      <c r="C2001" s="287" t="s">
        <v>1401</v>
      </c>
      <c r="D2001" s="287" t="s">
        <v>1316</v>
      </c>
      <c r="E2001" s="656">
        <v>310</v>
      </c>
      <c r="F2001" s="381">
        <v>61.86</v>
      </c>
    </row>
    <row r="2002" spans="1:6" s="295" customFormat="1" x14ac:dyDescent="0.15">
      <c r="A2002" s="655" t="s">
        <v>1605</v>
      </c>
      <c r="B2002" s="591"/>
      <c r="C2002" s="287" t="s">
        <v>1334</v>
      </c>
      <c r="D2002" s="287" t="s">
        <v>1462</v>
      </c>
      <c r="E2002" s="656">
        <f>333.3+377.8</f>
        <v>711.1</v>
      </c>
      <c r="F2002" s="381">
        <v>190.73000000000002</v>
      </c>
    </row>
    <row r="2003" spans="1:6" s="295" customFormat="1" x14ac:dyDescent="0.15">
      <c r="A2003" s="655" t="s">
        <v>1578</v>
      </c>
      <c r="B2003" s="591" t="s">
        <v>1646</v>
      </c>
      <c r="C2003" s="287" t="s">
        <v>1579</v>
      </c>
      <c r="D2003" s="287" t="s">
        <v>1497</v>
      </c>
      <c r="E2003" s="656">
        <v>0</v>
      </c>
      <c r="F2003" s="381">
        <v>0</v>
      </c>
    </row>
    <row r="2004" spans="1:6" s="295" customFormat="1" x14ac:dyDescent="0.15">
      <c r="A2004" s="655" t="s">
        <v>1580</v>
      </c>
      <c r="B2004" s="591" t="s">
        <v>1647</v>
      </c>
      <c r="C2004" s="287" t="s">
        <v>1451</v>
      </c>
      <c r="D2004" s="287" t="s">
        <v>1674</v>
      </c>
      <c r="E2004" s="656">
        <v>8448</v>
      </c>
      <c r="F2004" s="381">
        <v>2562.54</v>
      </c>
    </row>
    <row r="2005" spans="1:6" s="295" customFormat="1" x14ac:dyDescent="0.15">
      <c r="A2005" s="655" t="s">
        <v>1581</v>
      </c>
      <c r="B2005" s="591" t="s">
        <v>1648</v>
      </c>
      <c r="C2005" s="287" t="s">
        <v>1521</v>
      </c>
      <c r="D2005" s="287" t="s">
        <v>1229</v>
      </c>
      <c r="E2005" s="656">
        <v>3179</v>
      </c>
      <c r="F2005" s="381">
        <v>471.21</v>
      </c>
    </row>
    <row r="2006" spans="1:6" s="295" customFormat="1" x14ac:dyDescent="0.15">
      <c r="A2006" s="655" t="s">
        <v>1582</v>
      </c>
      <c r="B2006" s="591" t="s">
        <v>1649</v>
      </c>
      <c r="C2006" s="287" t="s">
        <v>1525</v>
      </c>
      <c r="D2006" s="287" t="s">
        <v>1526</v>
      </c>
      <c r="E2006" s="656">
        <v>15</v>
      </c>
      <c r="F2006" s="381">
        <v>8.5399999999999991</v>
      </c>
    </row>
    <row r="2007" spans="1:6" s="295" customFormat="1" ht="14" x14ac:dyDescent="0.15">
      <c r="A2007" s="655" t="s">
        <v>1583</v>
      </c>
      <c r="B2007" s="591" t="s">
        <v>1650</v>
      </c>
      <c r="C2007" s="287" t="s">
        <v>1584</v>
      </c>
      <c r="D2007" s="618" t="s">
        <v>1264</v>
      </c>
      <c r="E2007" s="656">
        <v>1520</v>
      </c>
      <c r="F2007" s="381">
        <v>346.55</v>
      </c>
    </row>
    <row r="2008" spans="1:6" s="295" customFormat="1" x14ac:dyDescent="0.15">
      <c r="A2008" s="655" t="s">
        <v>1666</v>
      </c>
      <c r="B2008" s="591" t="s">
        <v>1672</v>
      </c>
      <c r="C2008" s="287" t="s">
        <v>1667</v>
      </c>
      <c r="D2008" s="287" t="s">
        <v>1668</v>
      </c>
      <c r="E2008" s="656">
        <v>30528</v>
      </c>
      <c r="F2008" s="381">
        <v>6053.07</v>
      </c>
    </row>
    <row r="2009" spans="1:6" s="295" customFormat="1" x14ac:dyDescent="0.15">
      <c r="A2009" s="655" t="s">
        <v>1606</v>
      </c>
      <c r="B2009" s="591"/>
      <c r="C2009" s="287" t="s">
        <v>1334</v>
      </c>
      <c r="D2009" s="287" t="s">
        <v>1462</v>
      </c>
      <c r="E2009" s="656">
        <f>39.8+45.2</f>
        <v>85</v>
      </c>
      <c r="F2009" s="381">
        <v>14.03</v>
      </c>
    </row>
    <row r="2010" spans="1:6" s="275" customFormat="1" ht="14" thickBot="1" x14ac:dyDescent="0.2">
      <c r="A2010" s="655"/>
      <c r="B2010" s="591"/>
      <c r="C2010" s="291" t="s">
        <v>1699</v>
      </c>
      <c r="D2010" s="287"/>
      <c r="E2010" s="643">
        <f>SUM(E1985:E2009)</f>
        <v>99278.9</v>
      </c>
      <c r="F2010" s="658">
        <v>18037.91</v>
      </c>
    </row>
    <row r="2011" spans="1:6" s="275" customFormat="1" ht="14" thickTop="1" x14ac:dyDescent="0.15">
      <c r="A2011" s="660"/>
      <c r="B2011" s="661"/>
      <c r="C2011" s="359"/>
      <c r="D2011" s="359"/>
      <c r="E2011" s="662"/>
      <c r="F2011" s="375"/>
    </row>
    <row r="2012" spans="1:6" s="275" customFormat="1" x14ac:dyDescent="0.15">
      <c r="A2012" s="660"/>
      <c r="B2012" s="661"/>
      <c r="C2012" s="293" t="s">
        <v>1594</v>
      </c>
      <c r="D2012" s="359"/>
      <c r="E2012" s="662"/>
      <c r="F2012" s="375"/>
    </row>
    <row r="2013" spans="1:6" s="275" customFormat="1" x14ac:dyDescent="0.15">
      <c r="A2013" s="660"/>
      <c r="B2013" s="661"/>
      <c r="C2013" s="293" t="s">
        <v>1446</v>
      </c>
      <c r="D2013" s="359"/>
      <c r="E2013" s="662"/>
      <c r="F2013" s="375"/>
    </row>
    <row r="2014" spans="1:6" s="275" customFormat="1" x14ac:dyDescent="0.15">
      <c r="A2014" s="660"/>
      <c r="B2014" s="661"/>
      <c r="C2014" s="386">
        <v>41973</v>
      </c>
      <c r="D2014" s="359"/>
      <c r="E2014" s="662"/>
      <c r="F2014" s="375"/>
    </row>
    <row r="2015" spans="1:6" s="275" customFormat="1" x14ac:dyDescent="0.15">
      <c r="A2015" s="660"/>
      <c r="B2015" s="661"/>
      <c r="C2015" s="359"/>
      <c r="D2015" s="359"/>
      <c r="E2015" s="662"/>
      <c r="F2015" s="375"/>
    </row>
    <row r="2016" spans="1:6" s="275" customFormat="1" ht="14" thickBot="1" x14ac:dyDescent="0.2">
      <c r="A2016" s="663"/>
      <c r="B2016" s="664"/>
      <c r="C2016" s="665" t="s">
        <v>1191</v>
      </c>
      <c r="D2016" s="665"/>
      <c r="E2016" s="666">
        <f>SUM(E1983,E2010)</f>
        <v>219821.49999999997</v>
      </c>
      <c r="F2016" s="667">
        <v>35923.549999999996</v>
      </c>
    </row>
    <row r="2017" spans="1:6" s="275" customFormat="1" x14ac:dyDescent="0.15">
      <c r="A2017" s="617"/>
      <c r="B2017" s="617"/>
      <c r="E2017" s="276"/>
      <c r="F2017" s="278"/>
    </row>
    <row r="2018" spans="1:6" s="295" customFormat="1" x14ac:dyDescent="0.15">
      <c r="A2018" s="652" t="s">
        <v>1534</v>
      </c>
      <c r="B2018" s="653" t="s">
        <v>1614</v>
      </c>
      <c r="C2018" s="371" t="s">
        <v>1492</v>
      </c>
      <c r="D2018" s="371" t="s">
        <v>1239</v>
      </c>
      <c r="E2018" s="654">
        <v>9280</v>
      </c>
      <c r="F2018" s="391">
        <v>1411.19</v>
      </c>
    </row>
    <row r="2019" spans="1:6" s="295" customFormat="1" x14ac:dyDescent="0.15">
      <c r="A2019" s="655" t="s">
        <v>1535</v>
      </c>
      <c r="B2019" s="591" t="s">
        <v>1615</v>
      </c>
      <c r="C2019" s="287" t="s">
        <v>1507</v>
      </c>
      <c r="D2019" s="287" t="s">
        <v>1245</v>
      </c>
      <c r="E2019" s="656">
        <v>3560</v>
      </c>
      <c r="F2019" s="381">
        <v>617.25</v>
      </c>
    </row>
    <row r="2020" spans="1:6" s="295" customFormat="1" x14ac:dyDescent="0.15">
      <c r="A2020" s="655" t="s">
        <v>1670</v>
      </c>
      <c r="B2020" s="591" t="s">
        <v>1659</v>
      </c>
      <c r="C2020" s="287" t="s">
        <v>1279</v>
      </c>
      <c r="D2020" s="287" t="s">
        <v>1660</v>
      </c>
      <c r="E2020" s="656">
        <v>8480</v>
      </c>
      <c r="F2020" s="381">
        <v>1260.24</v>
      </c>
    </row>
    <row r="2021" spans="1:6" s="275" customFormat="1" x14ac:dyDescent="0.15">
      <c r="A2021" s="655" t="s">
        <v>1536</v>
      </c>
      <c r="B2021" s="591" t="s">
        <v>1616</v>
      </c>
      <c r="C2021" s="287" t="s">
        <v>1479</v>
      </c>
      <c r="D2021" s="287" t="s">
        <v>1231</v>
      </c>
      <c r="E2021" s="656">
        <v>5233</v>
      </c>
      <c r="F2021" s="381">
        <v>758.64</v>
      </c>
    </row>
    <row r="2022" spans="1:6" s="275" customFormat="1" x14ac:dyDescent="0.15">
      <c r="A2022" s="655" t="s">
        <v>1537</v>
      </c>
      <c r="B2022" s="591" t="s">
        <v>1617</v>
      </c>
      <c r="C2022" s="287" t="s">
        <v>1269</v>
      </c>
      <c r="D2022" s="287" t="s">
        <v>1270</v>
      </c>
      <c r="E2022" s="656">
        <v>4216</v>
      </c>
      <c r="F2022" s="381">
        <v>638.85</v>
      </c>
    </row>
    <row r="2023" spans="1:6" s="295" customFormat="1" x14ac:dyDescent="0.15">
      <c r="A2023" s="655" t="s">
        <v>1538</v>
      </c>
      <c r="B2023" s="591" t="s">
        <v>1618</v>
      </c>
      <c r="C2023" s="287" t="s">
        <v>1517</v>
      </c>
      <c r="D2023" s="287" t="s">
        <v>1518</v>
      </c>
      <c r="E2023" s="656">
        <v>4</v>
      </c>
      <c r="F2023" s="381">
        <v>30.41</v>
      </c>
    </row>
    <row r="2024" spans="1:6" s="295" customFormat="1" x14ac:dyDescent="0.15">
      <c r="A2024" s="655" t="s">
        <v>1540</v>
      </c>
      <c r="B2024" s="591" t="s">
        <v>1620</v>
      </c>
      <c r="C2024" s="287" t="s">
        <v>1257</v>
      </c>
      <c r="D2024" s="287" t="s">
        <v>1258</v>
      </c>
      <c r="E2024" s="656">
        <v>22080</v>
      </c>
      <c r="F2024" s="381">
        <v>3115.91</v>
      </c>
    </row>
    <row r="2025" spans="1:6" s="295" customFormat="1" x14ac:dyDescent="0.15">
      <c r="A2025" s="655" t="s">
        <v>1541</v>
      </c>
      <c r="B2025" s="591" t="s">
        <v>1621</v>
      </c>
      <c r="C2025" s="287" t="s">
        <v>1586</v>
      </c>
      <c r="D2025" s="287" t="s">
        <v>1500</v>
      </c>
      <c r="E2025" s="656">
        <v>3640</v>
      </c>
      <c r="F2025" s="381">
        <v>633.09</v>
      </c>
    </row>
    <row r="2026" spans="1:6" s="295" customFormat="1" x14ac:dyDescent="0.15">
      <c r="A2026" s="655" t="s">
        <v>1542</v>
      </c>
      <c r="B2026" s="591" t="s">
        <v>1622</v>
      </c>
      <c r="C2026" s="287" t="s">
        <v>1240</v>
      </c>
      <c r="D2026" s="287" t="s">
        <v>1467</v>
      </c>
      <c r="E2026" s="656">
        <v>4376</v>
      </c>
      <c r="F2026" s="381">
        <v>640.02</v>
      </c>
    </row>
    <row r="2027" spans="1:6" s="295" customFormat="1" x14ac:dyDescent="0.15">
      <c r="A2027" s="655" t="s">
        <v>1543</v>
      </c>
      <c r="B2027" s="591" t="s">
        <v>1623</v>
      </c>
      <c r="C2027" s="287" t="s">
        <v>1523</v>
      </c>
      <c r="D2027" s="287" t="s">
        <v>1266</v>
      </c>
      <c r="E2027" s="656">
        <v>752</v>
      </c>
      <c r="F2027" s="381">
        <v>176.01</v>
      </c>
    </row>
    <row r="2028" spans="1:6" s="295" customFormat="1" x14ac:dyDescent="0.15">
      <c r="A2028" s="655" t="s">
        <v>1544</v>
      </c>
      <c r="B2028" s="591" t="s">
        <v>1624</v>
      </c>
      <c r="C2028" s="287" t="s">
        <v>1234</v>
      </c>
      <c r="D2028" s="287" t="s">
        <v>1494</v>
      </c>
      <c r="E2028" s="656">
        <v>4992</v>
      </c>
      <c r="F2028" s="381">
        <v>810.22</v>
      </c>
    </row>
    <row r="2029" spans="1:6" s="295" customFormat="1" x14ac:dyDescent="0.15">
      <c r="A2029" s="655" t="s">
        <v>1601</v>
      </c>
      <c r="B2029" s="591"/>
      <c r="C2029" s="287" t="s">
        <v>1334</v>
      </c>
      <c r="D2029" s="287" t="s">
        <v>1462</v>
      </c>
      <c r="E2029" s="656">
        <f>1727.8+2259.7</f>
        <v>3987.5</v>
      </c>
      <c r="F2029" s="381">
        <v>711.75</v>
      </c>
    </row>
    <row r="2030" spans="1:6" s="295" customFormat="1" x14ac:dyDescent="0.15">
      <c r="A2030" s="655" t="s">
        <v>1545</v>
      </c>
      <c r="B2030" s="591"/>
      <c r="C2030" s="287" t="s">
        <v>1234</v>
      </c>
      <c r="D2030" s="287" t="s">
        <v>1494</v>
      </c>
      <c r="E2030" s="656">
        <v>91</v>
      </c>
      <c r="F2030" s="381">
        <v>19.77</v>
      </c>
    </row>
    <row r="2031" spans="1:6" s="295" customFormat="1" x14ac:dyDescent="0.15">
      <c r="A2031" s="655" t="s">
        <v>1602</v>
      </c>
      <c r="B2031" s="591"/>
      <c r="C2031" s="287" t="s">
        <v>1334</v>
      </c>
      <c r="D2031" s="287" t="s">
        <v>1462</v>
      </c>
      <c r="E2031" s="656">
        <f>96.7+126.5</f>
        <v>223.2</v>
      </c>
      <c r="F2031" s="381">
        <v>52.45</v>
      </c>
    </row>
    <row r="2032" spans="1:6" s="295" customFormat="1" x14ac:dyDescent="0.15">
      <c r="A2032" s="655" t="s">
        <v>1546</v>
      </c>
      <c r="B2032" s="591"/>
      <c r="C2032" s="287" t="s">
        <v>1586</v>
      </c>
      <c r="D2032" s="287" t="s">
        <v>1500</v>
      </c>
      <c r="E2032" s="656">
        <v>104.2</v>
      </c>
      <c r="F2032" s="381">
        <v>30.63</v>
      </c>
    </row>
    <row r="2033" spans="1:6" s="295" customFormat="1" x14ac:dyDescent="0.15">
      <c r="A2033" s="655" t="s">
        <v>1547</v>
      </c>
      <c r="B2033" s="591"/>
      <c r="C2033" s="287" t="s">
        <v>1286</v>
      </c>
      <c r="D2033" s="287" t="s">
        <v>1514</v>
      </c>
      <c r="E2033" s="656">
        <f>257.3+17.7</f>
        <v>275</v>
      </c>
      <c r="F2033" s="381">
        <v>62.309999999999995</v>
      </c>
    </row>
    <row r="2034" spans="1:6" s="295" customFormat="1" x14ac:dyDescent="0.15">
      <c r="A2034" s="655" t="s">
        <v>1549</v>
      </c>
      <c r="B2034" s="591" t="s">
        <v>1625</v>
      </c>
      <c r="C2034" s="287" t="s">
        <v>1459</v>
      </c>
      <c r="D2034" s="287" t="s">
        <v>1251</v>
      </c>
      <c r="E2034" s="656">
        <v>2323</v>
      </c>
      <c r="F2034" s="381">
        <v>360.33</v>
      </c>
    </row>
    <row r="2035" spans="1:6" s="295" customFormat="1" x14ac:dyDescent="0.15">
      <c r="A2035" s="655" t="s">
        <v>1603</v>
      </c>
      <c r="B2035" s="591"/>
      <c r="C2035" s="287" t="s">
        <v>1334</v>
      </c>
      <c r="D2035" s="287" t="s">
        <v>1462</v>
      </c>
      <c r="E2035" s="656">
        <f>723.1+945.7</f>
        <v>1668.8000000000002</v>
      </c>
      <c r="F2035" s="381">
        <v>314.39</v>
      </c>
    </row>
    <row r="2036" spans="1:6" s="295" customFormat="1" x14ac:dyDescent="0.15">
      <c r="A2036" s="655" t="s">
        <v>1597</v>
      </c>
      <c r="B2036" s="591" t="s">
        <v>1626</v>
      </c>
      <c r="C2036" s="287" t="s">
        <v>1454</v>
      </c>
      <c r="D2036" s="287" t="s">
        <v>1247</v>
      </c>
      <c r="E2036" s="656">
        <v>4120</v>
      </c>
      <c r="F2036" s="381">
        <v>644.24</v>
      </c>
    </row>
    <row r="2037" spans="1:6" s="295" customFormat="1" x14ac:dyDescent="0.15">
      <c r="A2037" s="655" t="s">
        <v>1677</v>
      </c>
      <c r="B2037" s="591" t="s">
        <v>1678</v>
      </c>
      <c r="C2037" s="287" t="s">
        <v>1313</v>
      </c>
      <c r="D2037" s="287" t="s">
        <v>1412</v>
      </c>
      <c r="E2037" s="656">
        <v>1760</v>
      </c>
      <c r="F2037" s="381">
        <v>302.45999999999998</v>
      </c>
    </row>
    <row r="2038" spans="1:6" s="295" customFormat="1" x14ac:dyDescent="0.15">
      <c r="A2038" s="655" t="s">
        <v>1551</v>
      </c>
      <c r="B2038" s="591" t="s">
        <v>1627</v>
      </c>
      <c r="C2038" s="287" t="s">
        <v>1235</v>
      </c>
      <c r="D2038" s="287" t="s">
        <v>1236</v>
      </c>
      <c r="E2038" s="656">
        <v>8134</v>
      </c>
      <c r="F2038" s="381">
        <v>1194.17</v>
      </c>
    </row>
    <row r="2039" spans="1:6" s="295" customFormat="1" x14ac:dyDescent="0.15">
      <c r="A2039" s="655" t="s">
        <v>1553</v>
      </c>
      <c r="B2039" s="591" t="s">
        <v>1628</v>
      </c>
      <c r="C2039" s="287" t="s">
        <v>1475</v>
      </c>
      <c r="D2039" s="287" t="s">
        <v>1387</v>
      </c>
      <c r="E2039" s="656">
        <v>950</v>
      </c>
      <c r="F2039" s="381">
        <v>169.9</v>
      </c>
    </row>
    <row r="2040" spans="1:6" s="295" customFormat="1" x14ac:dyDescent="0.15">
      <c r="A2040" s="655" t="s">
        <v>1554</v>
      </c>
      <c r="B2040" s="591" t="s">
        <v>1629</v>
      </c>
      <c r="C2040" s="287" t="s">
        <v>1399</v>
      </c>
      <c r="D2040" s="287" t="s">
        <v>1276</v>
      </c>
      <c r="E2040" s="656">
        <v>4760</v>
      </c>
      <c r="F2040" s="381">
        <v>763.44</v>
      </c>
    </row>
    <row r="2041" spans="1:6" s="295" customFormat="1" x14ac:dyDescent="0.15">
      <c r="A2041" s="655" t="s">
        <v>1598</v>
      </c>
      <c r="B2041" s="591"/>
      <c r="C2041" s="287" t="s">
        <v>1586</v>
      </c>
      <c r="D2041" s="287" t="s">
        <v>1500</v>
      </c>
      <c r="E2041" s="656">
        <v>52.1</v>
      </c>
      <c r="F2041" s="381">
        <v>18.05</v>
      </c>
    </row>
    <row r="2042" spans="1:6" s="295" customFormat="1" x14ac:dyDescent="0.15">
      <c r="A2042" s="655" t="s">
        <v>1662</v>
      </c>
      <c r="B2042" s="657">
        <v>892914652</v>
      </c>
      <c r="C2042" s="287" t="s">
        <v>1663</v>
      </c>
      <c r="D2042" s="287" t="s">
        <v>1664</v>
      </c>
      <c r="E2042" s="656">
        <v>9120</v>
      </c>
      <c r="F2042" s="381">
        <v>1432.93</v>
      </c>
    </row>
    <row r="2043" spans="1:6" s="275" customFormat="1" ht="14" thickBot="1" x14ac:dyDescent="0.2">
      <c r="A2043" s="655"/>
      <c r="B2043" s="591"/>
      <c r="C2043" s="291" t="s">
        <v>1700</v>
      </c>
      <c r="D2043" s="287"/>
      <c r="E2043" s="638">
        <f>SUM(E2018:E2042)</f>
        <v>104181.8</v>
      </c>
      <c r="F2043" s="658">
        <v>16168.649999999998</v>
      </c>
    </row>
    <row r="2044" spans="1:6" s="275" customFormat="1" ht="14" thickTop="1" x14ac:dyDescent="0.15">
      <c r="A2044" s="655"/>
      <c r="B2044" s="591"/>
      <c r="C2044" s="287"/>
      <c r="D2044" s="287"/>
      <c r="E2044" s="524"/>
      <c r="F2044" s="381"/>
    </row>
    <row r="2045" spans="1:6" s="295" customFormat="1" x14ac:dyDescent="0.15">
      <c r="A2045" s="655" t="s">
        <v>1556</v>
      </c>
      <c r="B2045" s="591" t="s">
        <v>1631</v>
      </c>
      <c r="C2045" s="287" t="s">
        <v>1248</v>
      </c>
      <c r="D2045" s="287" t="s">
        <v>1482</v>
      </c>
      <c r="E2045" s="656">
        <v>3595</v>
      </c>
      <c r="F2045" s="381">
        <v>575.03</v>
      </c>
    </row>
    <row r="2046" spans="1:6" s="295" customFormat="1" x14ac:dyDescent="0.15">
      <c r="A2046" s="655" t="s">
        <v>1558</v>
      </c>
      <c r="B2046" s="591" t="s">
        <v>1633</v>
      </c>
      <c r="C2046" s="287" t="s">
        <v>1469</v>
      </c>
      <c r="D2046" s="287" t="s">
        <v>1470</v>
      </c>
      <c r="E2046" s="656">
        <v>6080</v>
      </c>
      <c r="F2046" s="381">
        <v>944.93</v>
      </c>
    </row>
    <row r="2047" spans="1:6" s="295" customFormat="1" x14ac:dyDescent="0.15">
      <c r="A2047" s="655" t="s">
        <v>1559</v>
      </c>
      <c r="B2047" s="591" t="s">
        <v>1634</v>
      </c>
      <c r="C2047" s="287" t="s">
        <v>1502</v>
      </c>
      <c r="D2047" s="287" t="s">
        <v>1381</v>
      </c>
      <c r="E2047" s="656">
        <v>18528</v>
      </c>
      <c r="F2047" s="381">
        <v>3754.45</v>
      </c>
    </row>
    <row r="2048" spans="1:6" s="295" customFormat="1" x14ac:dyDescent="0.15">
      <c r="A2048" s="655" t="s">
        <v>1560</v>
      </c>
      <c r="B2048" s="591" t="s">
        <v>1635</v>
      </c>
      <c r="C2048" s="287" t="s">
        <v>1504</v>
      </c>
      <c r="D2048" s="287" t="s">
        <v>1505</v>
      </c>
      <c r="E2048" s="656">
        <v>1281</v>
      </c>
      <c r="F2048" s="381">
        <v>184.54</v>
      </c>
    </row>
    <row r="2049" spans="1:6" s="295" customFormat="1" x14ac:dyDescent="0.15">
      <c r="A2049" s="655" t="s">
        <v>1675</v>
      </c>
      <c r="B2049" s="591" t="s">
        <v>1676</v>
      </c>
      <c r="C2049" s="287" t="s">
        <v>1477</v>
      </c>
      <c r="D2049" s="287" t="s">
        <v>1289</v>
      </c>
      <c r="E2049" s="656">
        <v>10010</v>
      </c>
      <c r="F2049" s="381">
        <v>1516.73</v>
      </c>
    </row>
    <row r="2050" spans="1:6" s="295" customFormat="1" x14ac:dyDescent="0.15">
      <c r="A2050" s="655" t="s">
        <v>1563</v>
      </c>
      <c r="B2050" s="591"/>
      <c r="C2050" s="287" t="s">
        <v>1267</v>
      </c>
      <c r="D2050" s="287" t="s">
        <v>1268</v>
      </c>
      <c r="E2050" s="656">
        <v>91</v>
      </c>
      <c r="F2050" s="381">
        <v>16.25</v>
      </c>
    </row>
    <row r="2051" spans="1:6" s="295" customFormat="1" x14ac:dyDescent="0.15">
      <c r="A2051" s="655" t="s">
        <v>1564</v>
      </c>
      <c r="B2051" s="591" t="s">
        <v>1636</v>
      </c>
      <c r="C2051" s="287" t="s">
        <v>1485</v>
      </c>
      <c r="D2051" s="287" t="s">
        <v>1486</v>
      </c>
      <c r="E2051" s="656">
        <v>1640</v>
      </c>
      <c r="F2051" s="381">
        <v>274.87</v>
      </c>
    </row>
    <row r="2052" spans="1:6" s="295" customFormat="1" x14ac:dyDescent="0.15">
      <c r="A2052" s="655" t="s">
        <v>1565</v>
      </c>
      <c r="B2052" s="591" t="s">
        <v>1637</v>
      </c>
      <c r="C2052" s="287" t="s">
        <v>1267</v>
      </c>
      <c r="D2052" s="287" t="s">
        <v>1268</v>
      </c>
      <c r="E2052" s="656">
        <v>2350</v>
      </c>
      <c r="F2052" s="381">
        <v>420.19</v>
      </c>
    </row>
    <row r="2053" spans="1:6" s="295" customFormat="1" x14ac:dyDescent="0.15">
      <c r="A2053" s="655" t="s">
        <v>1569</v>
      </c>
      <c r="B2053" s="591" t="s">
        <v>1638</v>
      </c>
      <c r="C2053" s="287" t="s">
        <v>1464</v>
      </c>
      <c r="D2053" s="287" t="s">
        <v>1285</v>
      </c>
      <c r="E2053" s="656">
        <v>1035</v>
      </c>
      <c r="F2053" s="381">
        <v>197.45</v>
      </c>
    </row>
    <row r="2054" spans="1:6" s="295" customFormat="1" x14ac:dyDescent="0.15">
      <c r="A2054" s="655" t="s">
        <v>1570</v>
      </c>
      <c r="B2054" s="591" t="s">
        <v>1639</v>
      </c>
      <c r="C2054" s="287" t="s">
        <v>1472</v>
      </c>
      <c r="D2054" s="287" t="s">
        <v>1473</v>
      </c>
      <c r="E2054" s="656">
        <v>45</v>
      </c>
      <c r="F2054" s="381">
        <v>34.630000000000003</v>
      </c>
    </row>
    <row r="2055" spans="1:6" s="295" customFormat="1" x14ac:dyDescent="0.15">
      <c r="A2055" s="655" t="s">
        <v>1571</v>
      </c>
      <c r="B2055" s="591" t="s">
        <v>1640</v>
      </c>
      <c r="C2055" s="287" t="s">
        <v>1489</v>
      </c>
      <c r="D2055" s="287" t="s">
        <v>1490</v>
      </c>
      <c r="E2055" s="656">
        <v>119</v>
      </c>
      <c r="F2055" s="381">
        <v>42.24</v>
      </c>
    </row>
    <row r="2056" spans="1:6" s="295" customFormat="1" x14ac:dyDescent="0.15">
      <c r="A2056" s="655" t="s">
        <v>1572</v>
      </c>
      <c r="B2056" s="591" t="s">
        <v>1641</v>
      </c>
      <c r="C2056" s="287" t="s">
        <v>1271</v>
      </c>
      <c r="D2056" s="287" t="s">
        <v>1272</v>
      </c>
      <c r="E2056" s="656">
        <v>4126</v>
      </c>
      <c r="F2056" s="381">
        <v>637.22</v>
      </c>
    </row>
    <row r="2057" spans="1:6" s="295" customFormat="1" x14ac:dyDescent="0.15">
      <c r="A2057" s="655" t="s">
        <v>1573</v>
      </c>
      <c r="B2057" s="591"/>
      <c r="C2057" s="287" t="s">
        <v>1461</v>
      </c>
      <c r="D2057" s="287" t="s">
        <v>1462</v>
      </c>
      <c r="E2057" s="656">
        <v>26</v>
      </c>
      <c r="F2057" s="381">
        <v>16.34</v>
      </c>
    </row>
    <row r="2058" spans="1:6" s="295" customFormat="1" x14ac:dyDescent="0.15">
      <c r="A2058" s="655" t="s">
        <v>1574</v>
      </c>
      <c r="B2058" s="591" t="s">
        <v>1642</v>
      </c>
      <c r="C2058" s="287" t="s">
        <v>1377</v>
      </c>
      <c r="D2058" s="287" t="s">
        <v>1378</v>
      </c>
      <c r="E2058" s="656">
        <v>1671</v>
      </c>
      <c r="F2058" s="381">
        <v>278.08</v>
      </c>
    </row>
    <row r="2059" spans="1:6" s="295" customFormat="1" x14ac:dyDescent="0.15">
      <c r="A2059" s="655" t="s">
        <v>1575</v>
      </c>
      <c r="B2059" s="591" t="s">
        <v>1685</v>
      </c>
      <c r="C2059" s="287" t="s">
        <v>1448</v>
      </c>
      <c r="D2059" s="287" t="s">
        <v>1449</v>
      </c>
      <c r="E2059" s="656">
        <v>286</v>
      </c>
      <c r="F2059" s="381">
        <v>54.29</v>
      </c>
    </row>
    <row r="2060" spans="1:6" s="295" customFormat="1" x14ac:dyDescent="0.15">
      <c r="A2060" s="655" t="s">
        <v>1604</v>
      </c>
      <c r="B2060" s="591"/>
      <c r="C2060" s="287" t="s">
        <v>1334</v>
      </c>
      <c r="D2060" s="287" t="s">
        <v>1462</v>
      </c>
      <c r="E2060" s="656">
        <f>90.3+118.1</f>
        <v>208.39999999999998</v>
      </c>
      <c r="F2060" s="381">
        <v>56.1</v>
      </c>
    </row>
    <row r="2061" spans="1:6" s="295" customFormat="1" x14ac:dyDescent="0.15">
      <c r="A2061" s="655" t="s">
        <v>1576</v>
      </c>
      <c r="B2061" s="591" t="s">
        <v>1644</v>
      </c>
      <c r="C2061" s="287" t="s">
        <v>1401</v>
      </c>
      <c r="D2061" s="287" t="s">
        <v>1316</v>
      </c>
      <c r="E2061" s="656">
        <v>52</v>
      </c>
      <c r="F2061" s="381">
        <v>35.340000000000003</v>
      </c>
    </row>
    <row r="2062" spans="1:6" s="295" customFormat="1" x14ac:dyDescent="0.15">
      <c r="A2062" s="655" t="s">
        <v>1605</v>
      </c>
      <c r="B2062" s="591"/>
      <c r="C2062" s="287" t="s">
        <v>1334</v>
      </c>
      <c r="D2062" s="287" t="s">
        <v>1462</v>
      </c>
      <c r="E2062" s="656">
        <f>329.7+431.3</f>
        <v>761</v>
      </c>
      <c r="F2062" s="381">
        <v>204.2</v>
      </c>
    </row>
    <row r="2063" spans="1:6" s="295" customFormat="1" x14ac:dyDescent="0.15">
      <c r="A2063" s="655" t="s">
        <v>1578</v>
      </c>
      <c r="B2063" s="591" t="s">
        <v>1646</v>
      </c>
      <c r="C2063" s="287" t="s">
        <v>1579</v>
      </c>
      <c r="D2063" s="287" t="s">
        <v>1497</v>
      </c>
      <c r="E2063" s="656">
        <v>3</v>
      </c>
      <c r="F2063" s="381">
        <v>30.32</v>
      </c>
    </row>
    <row r="2064" spans="1:6" s="295" customFormat="1" x14ac:dyDescent="0.15">
      <c r="A2064" s="655" t="s">
        <v>1580</v>
      </c>
      <c r="B2064" s="591" t="s">
        <v>1647</v>
      </c>
      <c r="C2064" s="287" t="s">
        <v>1451</v>
      </c>
      <c r="D2064" s="287" t="s">
        <v>1674</v>
      </c>
      <c r="E2064" s="656">
        <v>3264</v>
      </c>
      <c r="F2064" s="381">
        <v>1999.3</v>
      </c>
    </row>
    <row r="2065" spans="1:6" s="295" customFormat="1" x14ac:dyDescent="0.15">
      <c r="A2065" s="655" t="s">
        <v>1581</v>
      </c>
      <c r="B2065" s="591" t="s">
        <v>1648</v>
      </c>
      <c r="C2065" s="287" t="s">
        <v>1521</v>
      </c>
      <c r="D2065" s="287" t="s">
        <v>1229</v>
      </c>
      <c r="E2065" s="656">
        <v>3042</v>
      </c>
      <c r="F2065" s="381">
        <v>472.38</v>
      </c>
    </row>
    <row r="2066" spans="1:6" s="295" customFormat="1" x14ac:dyDescent="0.15">
      <c r="A2066" s="655" t="s">
        <v>1582</v>
      </c>
      <c r="B2066" s="591" t="s">
        <v>1649</v>
      </c>
      <c r="C2066" s="287" t="s">
        <v>1525</v>
      </c>
      <c r="D2066" s="287" t="s">
        <v>1526</v>
      </c>
      <c r="E2066" s="656">
        <v>14</v>
      </c>
      <c r="F2066" s="381">
        <v>8.3699999999999992</v>
      </c>
    </row>
    <row r="2067" spans="1:6" s="295" customFormat="1" ht="14" x14ac:dyDescent="0.15">
      <c r="A2067" s="655" t="s">
        <v>1583</v>
      </c>
      <c r="B2067" s="591" t="s">
        <v>1650</v>
      </c>
      <c r="C2067" s="287" t="s">
        <v>1584</v>
      </c>
      <c r="D2067" s="618" t="s">
        <v>1264</v>
      </c>
      <c r="E2067" s="656">
        <v>1320</v>
      </c>
      <c r="F2067" s="381">
        <v>310.70999999999998</v>
      </c>
    </row>
    <row r="2068" spans="1:6" s="295" customFormat="1" x14ac:dyDescent="0.15">
      <c r="A2068" s="655" t="s">
        <v>1666</v>
      </c>
      <c r="B2068" s="591" t="s">
        <v>1672</v>
      </c>
      <c r="C2068" s="287" t="s">
        <v>1667</v>
      </c>
      <c r="D2068" s="287" t="s">
        <v>1668</v>
      </c>
      <c r="E2068" s="656">
        <v>19584</v>
      </c>
      <c r="F2068" s="381">
        <v>2767.76</v>
      </c>
    </row>
    <row r="2069" spans="1:6" s="295" customFormat="1" x14ac:dyDescent="0.15">
      <c r="A2069" s="655" t="s">
        <v>1606</v>
      </c>
      <c r="B2069" s="591"/>
      <c r="C2069" s="287" t="s">
        <v>1334</v>
      </c>
      <c r="D2069" s="287" t="s">
        <v>1462</v>
      </c>
      <c r="E2069" s="656">
        <f>39.4+51.6</f>
        <v>91</v>
      </c>
      <c r="F2069" s="381">
        <v>15.690000000000001</v>
      </c>
    </row>
    <row r="2070" spans="1:6" s="275" customFormat="1" ht="14" thickBot="1" x14ac:dyDescent="0.2">
      <c r="A2070" s="655"/>
      <c r="B2070" s="591"/>
      <c r="C2070" s="291" t="s">
        <v>1701</v>
      </c>
      <c r="D2070" s="287"/>
      <c r="E2070" s="643">
        <f>SUM(E2045:E2069)</f>
        <v>79222.399999999994</v>
      </c>
      <c r="F2070" s="658">
        <v>14847.410000000002</v>
      </c>
    </row>
    <row r="2071" spans="1:6" s="275" customFormat="1" ht="14" thickTop="1" x14ac:dyDescent="0.15">
      <c r="A2071" s="660"/>
      <c r="B2071" s="661"/>
      <c r="C2071" s="359"/>
      <c r="D2071" s="359"/>
      <c r="E2071" s="662"/>
      <c r="F2071" s="375"/>
    </row>
    <row r="2072" spans="1:6" s="275" customFormat="1" x14ac:dyDescent="0.15">
      <c r="A2072" s="660"/>
      <c r="B2072" s="661"/>
      <c r="C2072" s="293" t="s">
        <v>1594</v>
      </c>
      <c r="D2072" s="359"/>
      <c r="E2072" s="662"/>
      <c r="F2072" s="375"/>
    </row>
    <row r="2073" spans="1:6" s="275" customFormat="1" x14ac:dyDescent="0.15">
      <c r="A2073" s="660"/>
      <c r="B2073" s="661"/>
      <c r="C2073" s="293" t="s">
        <v>1446</v>
      </c>
      <c r="D2073" s="359"/>
      <c r="E2073" s="662"/>
      <c r="F2073" s="375"/>
    </row>
    <row r="2074" spans="1:6" s="275" customFormat="1" x14ac:dyDescent="0.15">
      <c r="A2074" s="660"/>
      <c r="B2074" s="661"/>
      <c r="C2074" s="386">
        <v>42004</v>
      </c>
      <c r="D2074" s="359"/>
      <c r="E2074" s="662"/>
      <c r="F2074" s="375"/>
    </row>
    <row r="2075" spans="1:6" s="275" customFormat="1" x14ac:dyDescent="0.15">
      <c r="A2075" s="660"/>
      <c r="B2075" s="661"/>
      <c r="C2075" s="359"/>
      <c r="D2075" s="359"/>
      <c r="E2075" s="662"/>
      <c r="F2075" s="375"/>
    </row>
    <row r="2076" spans="1:6" s="275" customFormat="1" ht="14" thickBot="1" x14ac:dyDescent="0.2">
      <c r="A2076" s="663"/>
      <c r="B2076" s="664"/>
      <c r="C2076" s="665" t="s">
        <v>1192</v>
      </c>
      <c r="D2076" s="665"/>
      <c r="E2076" s="666">
        <f>SUM(E2043,E2070)</f>
        <v>183404.2</v>
      </c>
      <c r="F2076" s="667">
        <v>31016.06</v>
      </c>
    </row>
    <row r="2077" spans="1:6" s="275" customFormat="1" x14ac:dyDescent="0.15">
      <c r="A2077" s="617"/>
      <c r="B2077" s="617"/>
      <c r="E2077" s="276"/>
      <c r="F2077" s="278"/>
    </row>
    <row r="2078" spans="1:6" s="295" customFormat="1" x14ac:dyDescent="0.15">
      <c r="A2078" s="652" t="s">
        <v>1534</v>
      </c>
      <c r="B2078" s="653" t="s">
        <v>1614</v>
      </c>
      <c r="C2078" s="371" t="s">
        <v>1492</v>
      </c>
      <c r="D2078" s="371" t="s">
        <v>1239</v>
      </c>
      <c r="E2078" s="654">
        <v>8400</v>
      </c>
      <c r="F2078" s="391">
        <v>1861.0740000000001</v>
      </c>
    </row>
    <row r="2079" spans="1:6" s="295" customFormat="1" x14ac:dyDescent="0.15">
      <c r="A2079" s="655" t="s">
        <v>1535</v>
      </c>
      <c r="B2079" s="591" t="s">
        <v>1615</v>
      </c>
      <c r="C2079" s="287" t="s">
        <v>1507</v>
      </c>
      <c r="D2079" s="287" t="s">
        <v>1245</v>
      </c>
      <c r="E2079" s="656">
        <v>3160</v>
      </c>
      <c r="F2079" s="381">
        <v>747.61</v>
      </c>
    </row>
    <row r="2080" spans="1:6" s="295" customFormat="1" x14ac:dyDescent="0.15">
      <c r="A2080" s="655" t="s">
        <v>1670</v>
      </c>
      <c r="B2080" s="591" t="s">
        <v>1659</v>
      </c>
      <c r="C2080" s="287" t="s">
        <v>1279</v>
      </c>
      <c r="D2080" s="287" t="s">
        <v>1660</v>
      </c>
      <c r="E2080" s="656">
        <v>7360</v>
      </c>
      <c r="F2080" s="381">
        <v>1538.83</v>
      </c>
    </row>
    <row r="2081" spans="1:6" s="275" customFormat="1" x14ac:dyDescent="0.15">
      <c r="A2081" s="655" t="s">
        <v>1536</v>
      </c>
      <c r="B2081" s="591" t="s">
        <v>1616</v>
      </c>
      <c r="C2081" s="287" t="s">
        <v>1479</v>
      </c>
      <c r="D2081" s="287" t="s">
        <v>1231</v>
      </c>
      <c r="E2081" s="656">
        <v>4864</v>
      </c>
      <c r="F2081" s="381">
        <v>1031.1600000000001</v>
      </c>
    </row>
    <row r="2082" spans="1:6" s="275" customFormat="1" x14ac:dyDescent="0.15">
      <c r="A2082" s="655" t="s">
        <v>1537</v>
      </c>
      <c r="B2082" s="591" t="s">
        <v>1617</v>
      </c>
      <c r="C2082" s="287" t="s">
        <v>1269</v>
      </c>
      <c r="D2082" s="287" t="s">
        <v>1270</v>
      </c>
      <c r="E2082" s="656">
        <v>4510</v>
      </c>
      <c r="F2082" s="381">
        <v>950.96</v>
      </c>
    </row>
    <row r="2083" spans="1:6" s="295" customFormat="1" x14ac:dyDescent="0.15">
      <c r="A2083" s="655" t="s">
        <v>1538</v>
      </c>
      <c r="B2083" s="591" t="s">
        <v>1618</v>
      </c>
      <c r="C2083" s="287" t="s">
        <v>1517</v>
      </c>
      <c r="D2083" s="287" t="s">
        <v>1518</v>
      </c>
      <c r="E2083" s="656">
        <v>4</v>
      </c>
      <c r="F2083" s="381">
        <v>30.67</v>
      </c>
    </row>
    <row r="2084" spans="1:6" s="295" customFormat="1" x14ac:dyDescent="0.15">
      <c r="A2084" s="655" t="s">
        <v>1540</v>
      </c>
      <c r="B2084" s="591" t="s">
        <v>1620</v>
      </c>
      <c r="C2084" s="287" t="s">
        <v>1257</v>
      </c>
      <c r="D2084" s="287" t="s">
        <v>1258</v>
      </c>
      <c r="E2084" s="656">
        <v>21920</v>
      </c>
      <c r="F2084" s="381">
        <v>4423.3100000000004</v>
      </c>
    </row>
    <row r="2085" spans="1:6" s="295" customFormat="1" x14ac:dyDescent="0.15">
      <c r="A2085" s="655" t="s">
        <v>1541</v>
      </c>
      <c r="B2085" s="591" t="s">
        <v>1621</v>
      </c>
      <c r="C2085" s="287" t="s">
        <v>1586</v>
      </c>
      <c r="D2085" s="287" t="s">
        <v>1500</v>
      </c>
      <c r="E2085" s="656">
        <v>3360</v>
      </c>
      <c r="F2085" s="381">
        <v>759.59</v>
      </c>
    </row>
    <row r="2086" spans="1:6" s="295" customFormat="1" x14ac:dyDescent="0.15">
      <c r="A2086" s="655" t="s">
        <v>1542</v>
      </c>
      <c r="B2086" s="591" t="s">
        <v>1622</v>
      </c>
      <c r="C2086" s="287" t="s">
        <v>1240</v>
      </c>
      <c r="D2086" s="287" t="s">
        <v>1467</v>
      </c>
      <c r="E2086" s="656">
        <v>3940</v>
      </c>
      <c r="F2086" s="381">
        <v>827.67</v>
      </c>
    </row>
    <row r="2087" spans="1:6" s="295" customFormat="1" x14ac:dyDescent="0.15">
      <c r="A2087" s="655" t="s">
        <v>1543</v>
      </c>
      <c r="B2087" s="591" t="s">
        <v>1623</v>
      </c>
      <c r="C2087" s="287" t="s">
        <v>1523</v>
      </c>
      <c r="D2087" s="287" t="s">
        <v>1266</v>
      </c>
      <c r="E2087" s="656">
        <v>789</v>
      </c>
      <c r="F2087" s="381">
        <v>225.22</v>
      </c>
    </row>
    <row r="2088" spans="1:6" s="295" customFormat="1" x14ac:dyDescent="0.15">
      <c r="A2088" s="655" t="s">
        <v>1544</v>
      </c>
      <c r="B2088" s="591" t="s">
        <v>1624</v>
      </c>
      <c r="C2088" s="287" t="s">
        <v>1234</v>
      </c>
      <c r="D2088" s="287" t="s">
        <v>1494</v>
      </c>
      <c r="E2088" s="656">
        <v>4765</v>
      </c>
      <c r="F2088" s="381">
        <v>1064.4100000000001</v>
      </c>
    </row>
    <row r="2089" spans="1:6" s="295" customFormat="1" x14ac:dyDescent="0.15">
      <c r="A2089" s="655" t="s">
        <v>1601</v>
      </c>
      <c r="B2089" s="591"/>
      <c r="C2089" s="287" t="s">
        <v>1334</v>
      </c>
      <c r="D2089" s="287" t="s">
        <v>1462</v>
      </c>
      <c r="E2089" s="656">
        <f>1608.6+2297.7</f>
        <v>3906.2999999999997</v>
      </c>
      <c r="F2089" s="381">
        <v>992.07999999999993</v>
      </c>
    </row>
    <row r="2090" spans="1:6" s="295" customFormat="1" x14ac:dyDescent="0.15">
      <c r="A2090" s="655" t="s">
        <v>1545</v>
      </c>
      <c r="B2090" s="591"/>
      <c r="C2090" s="287" t="s">
        <v>1234</v>
      </c>
      <c r="D2090" s="287" t="s">
        <v>1494</v>
      </c>
      <c r="E2090" s="656">
        <v>89.2</v>
      </c>
      <c r="F2090" s="381">
        <v>29.82</v>
      </c>
    </row>
    <row r="2091" spans="1:6" s="295" customFormat="1" x14ac:dyDescent="0.15">
      <c r="A2091" s="655" t="s">
        <v>1602</v>
      </c>
      <c r="B2091" s="591"/>
      <c r="C2091" s="287" t="s">
        <v>1334</v>
      </c>
      <c r="D2091" s="287" t="s">
        <v>1462</v>
      </c>
      <c r="E2091" s="656">
        <f>89.9+128.5</f>
        <v>218.4</v>
      </c>
      <c r="F2091" s="381">
        <v>68.08</v>
      </c>
    </row>
    <row r="2092" spans="1:6" s="295" customFormat="1" x14ac:dyDescent="0.15">
      <c r="A2092" s="655" t="s">
        <v>1546</v>
      </c>
      <c r="B2092" s="591"/>
      <c r="C2092" s="287" t="s">
        <v>1586</v>
      </c>
      <c r="D2092" s="287" t="s">
        <v>1500</v>
      </c>
      <c r="E2092" s="656">
        <v>102.2</v>
      </c>
      <c r="F2092" s="381">
        <v>42.21</v>
      </c>
    </row>
    <row r="2093" spans="1:6" s="295" customFormat="1" x14ac:dyDescent="0.15">
      <c r="A2093" s="655" t="s">
        <v>1547</v>
      </c>
      <c r="B2093" s="591"/>
      <c r="C2093" s="287" t="s">
        <v>1286</v>
      </c>
      <c r="D2093" s="287" t="s">
        <v>1514</v>
      </c>
      <c r="E2093" s="656">
        <v>0</v>
      </c>
      <c r="F2093" s="381">
        <v>0</v>
      </c>
    </row>
    <row r="2094" spans="1:6" s="295" customFormat="1" x14ac:dyDescent="0.15">
      <c r="A2094" s="655" t="s">
        <v>1549</v>
      </c>
      <c r="B2094" s="591" t="s">
        <v>1625</v>
      </c>
      <c r="C2094" s="287" t="s">
        <v>1459</v>
      </c>
      <c r="D2094" s="287" t="s">
        <v>1251</v>
      </c>
      <c r="E2094" s="656">
        <v>2457</v>
      </c>
      <c r="F2094" s="381">
        <v>538.28</v>
      </c>
    </row>
    <row r="2095" spans="1:6" s="295" customFormat="1" x14ac:dyDescent="0.15">
      <c r="A2095" s="655" t="s">
        <v>1603</v>
      </c>
      <c r="B2095" s="591"/>
      <c r="C2095" s="287" t="s">
        <v>1334</v>
      </c>
      <c r="D2095" s="287" t="s">
        <v>1462</v>
      </c>
      <c r="E2095" s="656">
        <f>673.4+961.8</f>
        <v>1635.1999999999998</v>
      </c>
      <c r="F2095" s="381">
        <v>431.82</v>
      </c>
    </row>
    <row r="2096" spans="1:6" s="295" customFormat="1" x14ac:dyDescent="0.15">
      <c r="A2096" s="655" t="s">
        <v>1597</v>
      </c>
      <c r="B2096" s="591" t="s">
        <v>1626</v>
      </c>
      <c r="C2096" s="287" t="s">
        <v>1454</v>
      </c>
      <c r="D2096" s="287" t="s">
        <v>1247</v>
      </c>
      <c r="E2096" s="656">
        <v>3800</v>
      </c>
      <c r="F2096" s="381">
        <v>825.68</v>
      </c>
    </row>
    <row r="2097" spans="1:6" s="295" customFormat="1" x14ac:dyDescent="0.15">
      <c r="A2097" s="655" t="s">
        <v>1677</v>
      </c>
      <c r="B2097" s="591" t="s">
        <v>1678</v>
      </c>
      <c r="C2097" s="287" t="s">
        <v>1313</v>
      </c>
      <c r="D2097" s="287" t="s">
        <v>1412</v>
      </c>
      <c r="E2097" s="656">
        <v>1862</v>
      </c>
      <c r="F2097" s="381">
        <v>417.98</v>
      </c>
    </row>
    <row r="2098" spans="1:6" s="295" customFormat="1" x14ac:dyDescent="0.15">
      <c r="A2098" s="655" t="s">
        <v>1551</v>
      </c>
      <c r="B2098" s="591" t="s">
        <v>1627</v>
      </c>
      <c r="C2098" s="287" t="s">
        <v>1235</v>
      </c>
      <c r="D2098" s="287" t="s">
        <v>1236</v>
      </c>
      <c r="E2098" s="656">
        <v>8050</v>
      </c>
      <c r="F2098" s="381">
        <v>1703.38</v>
      </c>
    </row>
    <row r="2099" spans="1:6" s="295" customFormat="1" x14ac:dyDescent="0.15">
      <c r="A2099" s="655" t="s">
        <v>1553</v>
      </c>
      <c r="B2099" s="591" t="s">
        <v>1628</v>
      </c>
      <c r="C2099" s="287" t="s">
        <v>1475</v>
      </c>
      <c r="D2099" s="287" t="s">
        <v>1387</v>
      </c>
      <c r="E2099" s="656">
        <v>755</v>
      </c>
      <c r="F2099" s="381">
        <v>180.34</v>
      </c>
    </row>
    <row r="2100" spans="1:6" s="295" customFormat="1" x14ac:dyDescent="0.15">
      <c r="A2100" s="655" t="s">
        <v>1554</v>
      </c>
      <c r="B2100" s="591" t="s">
        <v>1629</v>
      </c>
      <c r="C2100" s="287" t="s">
        <v>1399</v>
      </c>
      <c r="D2100" s="287" t="s">
        <v>1276</v>
      </c>
      <c r="E2100" s="656">
        <v>4680</v>
      </c>
      <c r="F2100" s="381">
        <v>1014.74</v>
      </c>
    </row>
    <row r="2101" spans="1:6" s="295" customFormat="1" x14ac:dyDescent="0.15">
      <c r="A2101" s="655" t="s">
        <v>1598</v>
      </c>
      <c r="B2101" s="591"/>
      <c r="C2101" s="287" t="s">
        <v>1586</v>
      </c>
      <c r="D2101" s="287" t="s">
        <v>1500</v>
      </c>
      <c r="E2101" s="656">
        <v>51.1</v>
      </c>
      <c r="F2101" s="381">
        <v>24.2</v>
      </c>
    </row>
    <row r="2102" spans="1:6" s="295" customFormat="1" x14ac:dyDescent="0.15">
      <c r="A2102" s="655" t="s">
        <v>1662</v>
      </c>
      <c r="B2102" s="657">
        <v>892914652</v>
      </c>
      <c r="C2102" s="287" t="s">
        <v>1663</v>
      </c>
      <c r="D2102" s="287" t="s">
        <v>1664</v>
      </c>
      <c r="E2102" s="656">
        <v>9200</v>
      </c>
      <c r="F2102" s="381">
        <v>2072.65</v>
      </c>
    </row>
    <row r="2103" spans="1:6" s="275" customFormat="1" ht="14" thickBot="1" x14ac:dyDescent="0.2">
      <c r="A2103" s="655"/>
      <c r="B2103" s="591"/>
      <c r="C2103" s="291" t="s">
        <v>1702</v>
      </c>
      <c r="D2103" s="287"/>
      <c r="E2103" s="638">
        <f>SUM(E2078:E2102)</f>
        <v>99878.399999999994</v>
      </c>
      <c r="F2103" s="658">
        <v>21801.764000000003</v>
      </c>
    </row>
    <row r="2104" spans="1:6" s="275" customFormat="1" ht="14" thickTop="1" x14ac:dyDescent="0.15">
      <c r="A2104" s="655"/>
      <c r="B2104" s="591"/>
      <c r="C2104" s="287"/>
      <c r="D2104" s="287"/>
      <c r="E2104" s="524"/>
      <c r="F2104" s="381"/>
    </row>
    <row r="2105" spans="1:6" s="295" customFormat="1" x14ac:dyDescent="0.15">
      <c r="A2105" s="655" t="s">
        <v>1556</v>
      </c>
      <c r="B2105" s="591" t="s">
        <v>1631</v>
      </c>
      <c r="C2105" s="287" t="s">
        <v>1248</v>
      </c>
      <c r="D2105" s="287" t="s">
        <v>1482</v>
      </c>
      <c r="E2105" s="656">
        <v>3393</v>
      </c>
      <c r="F2105" s="381">
        <v>743.77</v>
      </c>
    </row>
    <row r="2106" spans="1:6" s="295" customFormat="1" x14ac:dyDescent="0.15">
      <c r="A2106" s="655" t="s">
        <v>1558</v>
      </c>
      <c r="B2106" s="591" t="s">
        <v>1633</v>
      </c>
      <c r="C2106" s="287" t="s">
        <v>1469</v>
      </c>
      <c r="D2106" s="287" t="s">
        <v>1470</v>
      </c>
      <c r="E2106" s="656">
        <v>6160</v>
      </c>
      <c r="F2106" s="381">
        <v>1388.88</v>
      </c>
    </row>
    <row r="2107" spans="1:6" s="295" customFormat="1" x14ac:dyDescent="0.15">
      <c r="A2107" s="655" t="s">
        <v>1559</v>
      </c>
      <c r="B2107" s="591" t="s">
        <v>1634</v>
      </c>
      <c r="C2107" s="287" t="s">
        <v>1502</v>
      </c>
      <c r="D2107" s="287" t="s">
        <v>1381</v>
      </c>
      <c r="E2107" s="656">
        <v>17280</v>
      </c>
      <c r="F2107" s="381">
        <v>5311.96</v>
      </c>
    </row>
    <row r="2108" spans="1:6" s="295" customFormat="1" x14ac:dyDescent="0.15">
      <c r="A2108" s="655" t="s">
        <v>1560</v>
      </c>
      <c r="B2108" s="591" t="s">
        <v>1635</v>
      </c>
      <c r="C2108" s="287" t="s">
        <v>1504</v>
      </c>
      <c r="D2108" s="287" t="s">
        <v>1505</v>
      </c>
      <c r="E2108" s="656">
        <v>1342</v>
      </c>
      <c r="F2108" s="381">
        <v>281.70999999999998</v>
      </c>
    </row>
    <row r="2109" spans="1:6" s="295" customFormat="1" x14ac:dyDescent="0.15">
      <c r="A2109" s="655" t="s">
        <v>1675</v>
      </c>
      <c r="B2109" s="591" t="s">
        <v>1676</v>
      </c>
      <c r="C2109" s="287" t="s">
        <v>1477</v>
      </c>
      <c r="D2109" s="287" t="s">
        <v>1289</v>
      </c>
      <c r="E2109" s="656">
        <v>9420</v>
      </c>
      <c r="F2109" s="381">
        <v>2045.02</v>
      </c>
    </row>
    <row r="2110" spans="1:6" s="295" customFormat="1" x14ac:dyDescent="0.15">
      <c r="A2110" s="655" t="s">
        <v>1563</v>
      </c>
      <c r="B2110" s="591"/>
      <c r="C2110" s="287" t="s">
        <v>1267</v>
      </c>
      <c r="D2110" s="287" t="s">
        <v>1268</v>
      </c>
      <c r="E2110" s="656">
        <v>89.2</v>
      </c>
      <c r="F2110" s="381">
        <v>26.3</v>
      </c>
    </row>
    <row r="2111" spans="1:6" s="295" customFormat="1" x14ac:dyDescent="0.15">
      <c r="A2111" s="655" t="s">
        <v>1564</v>
      </c>
      <c r="B2111" s="591" t="s">
        <v>1636</v>
      </c>
      <c r="C2111" s="287" t="s">
        <v>1485</v>
      </c>
      <c r="D2111" s="287" t="s">
        <v>1486</v>
      </c>
      <c r="E2111" s="656">
        <v>1720</v>
      </c>
      <c r="F2111" s="381">
        <v>380.14</v>
      </c>
    </row>
    <row r="2112" spans="1:6" s="295" customFormat="1" x14ac:dyDescent="0.15">
      <c r="A2112" s="655" t="s">
        <v>1565</v>
      </c>
      <c r="B2112" s="591" t="s">
        <v>1637</v>
      </c>
      <c r="C2112" s="287" t="s">
        <v>1267</v>
      </c>
      <c r="D2112" s="287" t="s">
        <v>1268</v>
      </c>
      <c r="E2112" s="656">
        <v>2402</v>
      </c>
      <c r="F2112" s="381">
        <v>573.75</v>
      </c>
    </row>
    <row r="2113" spans="1:6" s="295" customFormat="1" x14ac:dyDescent="0.15">
      <c r="A2113" s="655" t="s">
        <v>1569</v>
      </c>
      <c r="B2113" s="591" t="s">
        <v>1638</v>
      </c>
      <c r="C2113" s="287" t="s">
        <v>1464</v>
      </c>
      <c r="D2113" s="287" t="s">
        <v>1285</v>
      </c>
      <c r="E2113" s="656">
        <v>820</v>
      </c>
      <c r="F2113" s="381">
        <v>223.28</v>
      </c>
    </row>
    <row r="2114" spans="1:6" s="295" customFormat="1" x14ac:dyDescent="0.15">
      <c r="A2114" s="655" t="s">
        <v>1570</v>
      </c>
      <c r="B2114" s="591" t="s">
        <v>1639</v>
      </c>
      <c r="C2114" s="287" t="s">
        <v>1472</v>
      </c>
      <c r="D2114" s="287" t="s">
        <v>1473</v>
      </c>
      <c r="E2114" s="656">
        <v>39</v>
      </c>
      <c r="F2114" s="381">
        <v>36.49</v>
      </c>
    </row>
    <row r="2115" spans="1:6" s="295" customFormat="1" x14ac:dyDescent="0.15">
      <c r="A2115" s="655" t="s">
        <v>1571</v>
      </c>
      <c r="B2115" s="591" t="s">
        <v>1640</v>
      </c>
      <c r="C2115" s="287" t="s">
        <v>1489</v>
      </c>
      <c r="D2115" s="287" t="s">
        <v>1490</v>
      </c>
      <c r="E2115" s="656">
        <v>120</v>
      </c>
      <c r="F2115" s="381">
        <v>49.96</v>
      </c>
    </row>
    <row r="2116" spans="1:6" s="295" customFormat="1" x14ac:dyDescent="0.15">
      <c r="A2116" s="655" t="s">
        <v>1572</v>
      </c>
      <c r="B2116" s="591" t="s">
        <v>1641</v>
      </c>
      <c r="C2116" s="287" t="s">
        <v>1271</v>
      </c>
      <c r="D2116" s="287" t="s">
        <v>1272</v>
      </c>
      <c r="E2116" s="656">
        <v>3968</v>
      </c>
      <c r="F2116" s="381">
        <v>853.64</v>
      </c>
    </row>
    <row r="2117" spans="1:6" s="295" customFormat="1" x14ac:dyDescent="0.15">
      <c r="A2117" s="655" t="s">
        <v>1573</v>
      </c>
      <c r="B2117" s="591"/>
      <c r="C2117" s="287" t="s">
        <v>1461</v>
      </c>
      <c r="D2117" s="287" t="s">
        <v>1703</v>
      </c>
      <c r="E2117" s="656">
        <v>26</v>
      </c>
      <c r="F2117" s="381">
        <v>17.170000000000002</v>
      </c>
    </row>
    <row r="2118" spans="1:6" s="295" customFormat="1" x14ac:dyDescent="0.15">
      <c r="A2118" s="655" t="s">
        <v>1574</v>
      </c>
      <c r="B2118" s="591" t="s">
        <v>1642</v>
      </c>
      <c r="C2118" s="287" t="s">
        <v>1377</v>
      </c>
      <c r="D2118" s="287" t="s">
        <v>1378</v>
      </c>
      <c r="E2118" s="656">
        <v>1585</v>
      </c>
      <c r="F2118" s="381">
        <v>350.57</v>
      </c>
    </row>
    <row r="2119" spans="1:6" s="295" customFormat="1" x14ac:dyDescent="0.15">
      <c r="A2119" s="655" t="s">
        <v>1575</v>
      </c>
      <c r="B2119" s="591" t="s">
        <v>1685</v>
      </c>
      <c r="C2119" s="287" t="s">
        <v>1448</v>
      </c>
      <c r="D2119" s="287" t="s">
        <v>1449</v>
      </c>
      <c r="E2119" s="656">
        <v>295</v>
      </c>
      <c r="F2119" s="381">
        <v>73.52</v>
      </c>
    </row>
    <row r="2120" spans="1:6" s="295" customFormat="1" x14ac:dyDescent="0.15">
      <c r="A2120" s="655" t="s">
        <v>1604</v>
      </c>
      <c r="B2120" s="591"/>
      <c r="C2120" s="287" t="s">
        <v>1334</v>
      </c>
      <c r="D2120" s="287" t="s">
        <v>1462</v>
      </c>
      <c r="E2120" s="656">
        <f>84.2+120.2</f>
        <v>204.4</v>
      </c>
      <c r="F2120" s="381">
        <v>70.77000000000001</v>
      </c>
    </row>
    <row r="2121" spans="1:6" s="295" customFormat="1" x14ac:dyDescent="0.15">
      <c r="A2121" s="655" t="s">
        <v>1576</v>
      </c>
      <c r="B2121" s="591" t="s">
        <v>1644</v>
      </c>
      <c r="C2121" s="287" t="s">
        <v>1401</v>
      </c>
      <c r="D2121" s="287" t="s">
        <v>1316</v>
      </c>
      <c r="E2121" s="656">
        <v>151</v>
      </c>
      <c r="F2121" s="381">
        <v>55.13</v>
      </c>
    </row>
    <row r="2122" spans="1:6" s="295" customFormat="1" x14ac:dyDescent="0.15">
      <c r="A2122" s="655" t="s">
        <v>1605</v>
      </c>
      <c r="B2122" s="591"/>
      <c r="C2122" s="287" t="s">
        <v>1334</v>
      </c>
      <c r="D2122" s="287" t="s">
        <v>1462</v>
      </c>
      <c r="E2122" s="656">
        <f>306.8+438.2</f>
        <v>745</v>
      </c>
      <c r="F2122" s="381">
        <v>257.63</v>
      </c>
    </row>
    <row r="2123" spans="1:6" s="295" customFormat="1" x14ac:dyDescent="0.15">
      <c r="A2123" s="655" t="s">
        <v>1578</v>
      </c>
      <c r="B2123" s="591" t="s">
        <v>1646</v>
      </c>
      <c r="C2123" s="287" t="s">
        <v>1579</v>
      </c>
      <c r="D2123" s="287" t="s">
        <v>1497</v>
      </c>
      <c r="E2123" s="656">
        <v>0</v>
      </c>
      <c r="F2123" s="381">
        <v>30.01</v>
      </c>
    </row>
    <row r="2124" spans="1:6" s="295" customFormat="1" x14ac:dyDescent="0.15">
      <c r="A2124" s="655" t="s">
        <v>1580</v>
      </c>
      <c r="B2124" s="591" t="s">
        <v>1647</v>
      </c>
      <c r="C2124" s="287" t="s">
        <v>1451</v>
      </c>
      <c r="D2124" s="287" t="s">
        <v>1674</v>
      </c>
      <c r="E2124" s="656">
        <v>576</v>
      </c>
      <c r="F2124" s="381">
        <v>125.87</v>
      </c>
    </row>
    <row r="2125" spans="1:6" s="295" customFormat="1" x14ac:dyDescent="0.15">
      <c r="A2125" s="655" t="s">
        <v>1581</v>
      </c>
      <c r="B2125" s="591" t="s">
        <v>1648</v>
      </c>
      <c r="C2125" s="287" t="s">
        <v>1521</v>
      </c>
      <c r="D2125" s="287" t="s">
        <v>1229</v>
      </c>
      <c r="E2125" s="656">
        <v>3336</v>
      </c>
      <c r="F2125" s="381">
        <v>684.55</v>
      </c>
    </row>
    <row r="2126" spans="1:6" s="295" customFormat="1" x14ac:dyDescent="0.15">
      <c r="A2126" s="655" t="s">
        <v>1582</v>
      </c>
      <c r="B2126" s="591" t="s">
        <v>1649</v>
      </c>
      <c r="C2126" s="287" t="s">
        <v>1525</v>
      </c>
      <c r="D2126" s="287" t="s">
        <v>1526</v>
      </c>
      <c r="E2126" s="656">
        <v>10</v>
      </c>
      <c r="F2126" s="381">
        <v>8.3000000000000007</v>
      </c>
    </row>
    <row r="2127" spans="1:6" s="295" customFormat="1" ht="14" x14ac:dyDescent="0.15">
      <c r="A2127" s="655" t="s">
        <v>1583</v>
      </c>
      <c r="B2127" s="591" t="s">
        <v>1650</v>
      </c>
      <c r="C2127" s="287" t="s">
        <v>1584</v>
      </c>
      <c r="D2127" s="618" t="s">
        <v>1264</v>
      </c>
      <c r="E2127" s="656">
        <v>1200</v>
      </c>
      <c r="F2127" s="381">
        <v>286.52999999999997</v>
      </c>
    </row>
    <row r="2128" spans="1:6" s="295" customFormat="1" x14ac:dyDescent="0.15">
      <c r="A2128" s="655" t="s">
        <v>1666</v>
      </c>
      <c r="B2128" s="591" t="s">
        <v>1672</v>
      </c>
      <c r="C2128" s="287" t="s">
        <v>1667</v>
      </c>
      <c r="D2128" s="287" t="s">
        <v>1668</v>
      </c>
      <c r="E2128" s="656">
        <v>20544</v>
      </c>
      <c r="F2128" s="381">
        <v>5075.3599999999997</v>
      </c>
    </row>
    <row r="2129" spans="1:8" s="295" customFormat="1" x14ac:dyDescent="0.15">
      <c r="A2129" s="655" t="s">
        <v>1606</v>
      </c>
      <c r="B2129" s="591"/>
      <c r="C2129" s="287" t="s">
        <v>1334</v>
      </c>
      <c r="D2129" s="287" t="s">
        <v>1462</v>
      </c>
      <c r="E2129" s="656">
        <f>36.7+52.5</f>
        <v>89.2</v>
      </c>
      <c r="F2129" s="381">
        <v>22.060000000000002</v>
      </c>
    </row>
    <row r="2130" spans="1:8" s="275" customFormat="1" ht="14" thickBot="1" x14ac:dyDescent="0.2">
      <c r="A2130" s="655"/>
      <c r="B2130" s="591"/>
      <c r="C2130" s="291" t="s">
        <v>1704</v>
      </c>
      <c r="D2130" s="287"/>
      <c r="E2130" s="643">
        <f>SUM(E2105:E2129)</f>
        <v>75514.8</v>
      </c>
      <c r="F2130" s="658">
        <v>18972.369999999995</v>
      </c>
    </row>
    <row r="2131" spans="1:8" s="275" customFormat="1" ht="14" thickTop="1" x14ac:dyDescent="0.15">
      <c r="A2131" s="660"/>
      <c r="B2131" s="661"/>
      <c r="C2131" s="359"/>
      <c r="D2131" s="359"/>
      <c r="E2131" s="662"/>
      <c r="F2131" s="375"/>
    </row>
    <row r="2132" spans="1:8" s="275" customFormat="1" x14ac:dyDescent="0.15">
      <c r="A2132" s="660"/>
      <c r="B2132" s="661"/>
      <c r="C2132" s="293" t="s">
        <v>1594</v>
      </c>
      <c r="D2132" s="359"/>
      <c r="E2132" s="662"/>
      <c r="F2132" s="375"/>
    </row>
    <row r="2133" spans="1:8" s="275" customFormat="1" x14ac:dyDescent="0.15">
      <c r="A2133" s="660"/>
      <c r="B2133" s="661"/>
      <c r="C2133" s="293" t="s">
        <v>1446</v>
      </c>
      <c r="D2133" s="359"/>
      <c r="E2133" s="662"/>
      <c r="F2133" s="375"/>
    </row>
    <row r="2134" spans="1:8" s="275" customFormat="1" x14ac:dyDescent="0.15">
      <c r="A2134" s="660"/>
      <c r="B2134" s="661"/>
      <c r="C2134" s="386">
        <v>42035</v>
      </c>
      <c r="D2134" s="359"/>
      <c r="E2134" s="662"/>
      <c r="F2134" s="375"/>
    </row>
    <row r="2135" spans="1:8" s="275" customFormat="1" x14ac:dyDescent="0.15">
      <c r="A2135" s="660"/>
      <c r="B2135" s="661"/>
      <c r="C2135" s="359"/>
      <c r="D2135" s="359"/>
      <c r="E2135" s="662"/>
      <c r="F2135" s="375"/>
    </row>
    <row r="2136" spans="1:8" s="275" customFormat="1" ht="14" thickBot="1" x14ac:dyDescent="0.2">
      <c r="A2136" s="663"/>
      <c r="B2136" s="664"/>
      <c r="C2136" s="665" t="s">
        <v>1193</v>
      </c>
      <c r="D2136" s="665"/>
      <c r="E2136" s="666">
        <f>SUM(E2103,E2130)</f>
        <v>175393.2</v>
      </c>
      <c r="F2136" s="667">
        <v>40774.133999999991</v>
      </c>
      <c r="H2136" s="668"/>
    </row>
    <row r="2137" spans="1:8" s="275" customFormat="1" x14ac:dyDescent="0.15">
      <c r="A2137" s="617"/>
      <c r="B2137" s="617"/>
      <c r="E2137" s="276"/>
      <c r="F2137" s="278"/>
    </row>
    <row r="2138" spans="1:8" s="295" customFormat="1" x14ac:dyDescent="0.15">
      <c r="A2138" s="652" t="s">
        <v>1534</v>
      </c>
      <c r="B2138" s="653" t="s">
        <v>1614</v>
      </c>
      <c r="C2138" s="371" t="s">
        <v>1492</v>
      </c>
      <c r="D2138" s="371" t="s">
        <v>1239</v>
      </c>
      <c r="E2138" s="654">
        <v>12480</v>
      </c>
      <c r="F2138" s="391">
        <v>2538.02</v>
      </c>
    </row>
    <row r="2139" spans="1:8" s="295" customFormat="1" x14ac:dyDescent="0.15">
      <c r="A2139" s="655" t="s">
        <v>1535</v>
      </c>
      <c r="B2139" s="591" t="s">
        <v>1615</v>
      </c>
      <c r="C2139" s="287" t="s">
        <v>1507</v>
      </c>
      <c r="D2139" s="287" t="s">
        <v>1245</v>
      </c>
      <c r="E2139" s="656">
        <v>4360</v>
      </c>
      <c r="F2139" s="381">
        <v>980.01</v>
      </c>
    </row>
    <row r="2140" spans="1:8" s="295" customFormat="1" x14ac:dyDescent="0.15">
      <c r="A2140" s="655" t="s">
        <v>1670</v>
      </c>
      <c r="B2140" s="591" t="s">
        <v>1659</v>
      </c>
      <c r="C2140" s="287" t="s">
        <v>1279</v>
      </c>
      <c r="D2140" s="287" t="s">
        <v>1660</v>
      </c>
      <c r="E2140" s="656">
        <v>10240</v>
      </c>
      <c r="F2140" s="381">
        <v>2077.86</v>
      </c>
    </row>
    <row r="2141" spans="1:8" s="275" customFormat="1" x14ac:dyDescent="0.15">
      <c r="A2141" s="655" t="s">
        <v>1536</v>
      </c>
      <c r="B2141" s="591" t="s">
        <v>1616</v>
      </c>
      <c r="C2141" s="287" t="s">
        <v>1479</v>
      </c>
      <c r="D2141" s="287" t="s">
        <v>1231</v>
      </c>
      <c r="E2141" s="656">
        <v>6120</v>
      </c>
      <c r="F2141" s="381">
        <v>1253.27</v>
      </c>
    </row>
    <row r="2142" spans="1:8" s="275" customFormat="1" x14ac:dyDescent="0.15">
      <c r="A2142" s="655" t="s">
        <v>1537</v>
      </c>
      <c r="B2142" s="591" t="s">
        <v>1617</v>
      </c>
      <c r="C2142" s="287" t="s">
        <v>1269</v>
      </c>
      <c r="D2142" s="287" t="s">
        <v>1270</v>
      </c>
      <c r="E2142" s="656">
        <v>5756</v>
      </c>
      <c r="F2142" s="381">
        <v>1178.17</v>
      </c>
    </row>
    <row r="2143" spans="1:8" s="295" customFormat="1" x14ac:dyDescent="0.15">
      <c r="A2143" s="655" t="s">
        <v>1538</v>
      </c>
      <c r="B2143" s="591" t="s">
        <v>1618</v>
      </c>
      <c r="C2143" s="287" t="s">
        <v>1517</v>
      </c>
      <c r="D2143" s="287" t="s">
        <v>1518</v>
      </c>
      <c r="E2143" s="656">
        <v>4</v>
      </c>
      <c r="F2143" s="381">
        <v>30.67</v>
      </c>
    </row>
    <row r="2144" spans="1:8" s="295" customFormat="1" x14ac:dyDescent="0.15">
      <c r="A2144" s="655" t="s">
        <v>1540</v>
      </c>
      <c r="B2144" s="591" t="s">
        <v>1620</v>
      </c>
      <c r="C2144" s="287" t="s">
        <v>1257</v>
      </c>
      <c r="D2144" s="287" t="s">
        <v>1258</v>
      </c>
      <c r="E2144" s="656">
        <v>28720</v>
      </c>
      <c r="F2144" s="381">
        <v>5668.28</v>
      </c>
    </row>
    <row r="2145" spans="1:6" s="295" customFormat="1" x14ac:dyDescent="0.15">
      <c r="A2145" s="655" t="s">
        <v>1541</v>
      </c>
      <c r="B2145" s="591" t="s">
        <v>1621</v>
      </c>
      <c r="C2145" s="287" t="s">
        <v>1586</v>
      </c>
      <c r="D2145" s="287" t="s">
        <v>1500</v>
      </c>
      <c r="E2145" s="656">
        <v>4960</v>
      </c>
      <c r="F2145" s="381">
        <v>1087.55</v>
      </c>
    </row>
    <row r="2146" spans="1:6" s="295" customFormat="1" x14ac:dyDescent="0.15">
      <c r="A2146" s="655" t="s">
        <v>1542</v>
      </c>
      <c r="B2146" s="591" t="s">
        <v>1622</v>
      </c>
      <c r="C2146" s="287" t="s">
        <v>1240</v>
      </c>
      <c r="D2146" s="287" t="s">
        <v>1467</v>
      </c>
      <c r="E2146" s="656">
        <v>5205</v>
      </c>
      <c r="F2146" s="381">
        <v>1057.47</v>
      </c>
    </row>
    <row r="2147" spans="1:6" s="295" customFormat="1" x14ac:dyDescent="0.15">
      <c r="A2147" s="655" t="s">
        <v>1543</v>
      </c>
      <c r="B2147" s="591" t="s">
        <v>1623</v>
      </c>
      <c r="C2147" s="287" t="s">
        <v>1523</v>
      </c>
      <c r="D2147" s="287" t="s">
        <v>1266</v>
      </c>
      <c r="E2147" s="656">
        <v>828</v>
      </c>
      <c r="F2147" s="381">
        <v>239.64</v>
      </c>
    </row>
    <row r="2148" spans="1:6" s="295" customFormat="1" x14ac:dyDescent="0.15">
      <c r="A2148" s="655" t="s">
        <v>1544</v>
      </c>
      <c r="B2148" s="591" t="s">
        <v>1624</v>
      </c>
      <c r="C2148" s="287" t="s">
        <v>1234</v>
      </c>
      <c r="D2148" s="287" t="s">
        <v>1494</v>
      </c>
      <c r="E2148" s="656">
        <v>6303</v>
      </c>
      <c r="F2148" s="381">
        <v>1362.06</v>
      </c>
    </row>
    <row r="2149" spans="1:6" s="295" customFormat="1" x14ac:dyDescent="0.15">
      <c r="A2149" s="655" t="s">
        <v>1601</v>
      </c>
      <c r="B2149" s="591"/>
      <c r="C2149" s="287" t="s">
        <v>1334</v>
      </c>
      <c r="D2149" s="287" t="s">
        <v>1462</v>
      </c>
      <c r="E2149" s="656">
        <f>1249.6+2044.8</f>
        <v>3294.3999999999996</v>
      </c>
      <c r="F2149" s="381">
        <v>1033.77</v>
      </c>
    </row>
    <row r="2150" spans="1:6" s="295" customFormat="1" x14ac:dyDescent="0.15">
      <c r="A2150" s="655" t="s">
        <v>1545</v>
      </c>
      <c r="B2150" s="591"/>
      <c r="C2150" s="287" t="s">
        <v>1234</v>
      </c>
      <c r="D2150" s="287" t="s">
        <v>1494</v>
      </c>
      <c r="E2150" s="656">
        <f>4.7+65.8+4.7</f>
        <v>75.2</v>
      </c>
      <c r="F2150" s="381">
        <v>25.959999999999997</v>
      </c>
    </row>
    <row r="2151" spans="1:6" s="295" customFormat="1" x14ac:dyDescent="0.15">
      <c r="A2151" s="655" t="s">
        <v>1602</v>
      </c>
      <c r="B2151" s="591"/>
      <c r="C2151" s="287" t="s">
        <v>1334</v>
      </c>
      <c r="D2151" s="287" t="s">
        <v>1462</v>
      </c>
      <c r="E2151" s="656">
        <f>69.9+114.3</f>
        <v>184.2</v>
      </c>
      <c r="F2151" s="381">
        <v>70.41</v>
      </c>
    </row>
    <row r="2152" spans="1:6" s="295" customFormat="1" x14ac:dyDescent="0.15">
      <c r="A2152" s="655" t="s">
        <v>1546</v>
      </c>
      <c r="B2152" s="591"/>
      <c r="C2152" s="287" t="s">
        <v>1586</v>
      </c>
      <c r="D2152" s="287" t="s">
        <v>1500</v>
      </c>
      <c r="E2152" s="656">
        <f>5.4+75.3+5.4</f>
        <v>86.100000000000009</v>
      </c>
      <c r="F2152" s="381">
        <v>37.28</v>
      </c>
    </row>
    <row r="2153" spans="1:6" s="295" customFormat="1" x14ac:dyDescent="0.15">
      <c r="A2153" s="655" t="s">
        <v>1547</v>
      </c>
      <c r="B2153" s="591"/>
      <c r="C2153" s="287" t="s">
        <v>1286</v>
      </c>
      <c r="D2153" s="287" t="s">
        <v>1514</v>
      </c>
      <c r="E2153" s="659">
        <v>0</v>
      </c>
      <c r="F2153" s="381">
        <v>0</v>
      </c>
    </row>
    <row r="2154" spans="1:6" s="295" customFormat="1" x14ac:dyDescent="0.15">
      <c r="A2154" s="655" t="s">
        <v>1549</v>
      </c>
      <c r="B2154" s="591" t="s">
        <v>1625</v>
      </c>
      <c r="C2154" s="287" t="s">
        <v>1459</v>
      </c>
      <c r="D2154" s="287" t="s">
        <v>1251</v>
      </c>
      <c r="E2154" s="656">
        <v>2957</v>
      </c>
      <c r="F2154" s="381">
        <v>631.48</v>
      </c>
    </row>
    <row r="2155" spans="1:6" s="295" customFormat="1" x14ac:dyDescent="0.15">
      <c r="A2155" s="655" t="s">
        <v>1603</v>
      </c>
      <c r="B2155" s="591"/>
      <c r="C2155" s="287" t="s">
        <v>1334</v>
      </c>
      <c r="D2155" s="287" t="s">
        <v>1462</v>
      </c>
      <c r="E2155" s="656">
        <f>522.8+855.6</f>
        <v>1378.4</v>
      </c>
      <c r="F2155" s="381">
        <v>449.14</v>
      </c>
    </row>
    <row r="2156" spans="1:6" s="295" customFormat="1" x14ac:dyDescent="0.15">
      <c r="A2156" s="655" t="s">
        <v>1597</v>
      </c>
      <c r="B2156" s="591" t="s">
        <v>1626</v>
      </c>
      <c r="C2156" s="287" t="s">
        <v>1454</v>
      </c>
      <c r="D2156" s="287" t="s">
        <v>1247</v>
      </c>
      <c r="E2156" s="656">
        <v>4680</v>
      </c>
      <c r="F2156" s="381">
        <v>983.82</v>
      </c>
    </row>
    <row r="2157" spans="1:6" s="295" customFormat="1" x14ac:dyDescent="0.15">
      <c r="A2157" s="655" t="s">
        <v>1677</v>
      </c>
      <c r="B2157" s="591" t="s">
        <v>1678</v>
      </c>
      <c r="C2157" s="287" t="s">
        <v>1313</v>
      </c>
      <c r="D2157" s="287" t="s">
        <v>1412</v>
      </c>
      <c r="E2157" s="656">
        <v>2107</v>
      </c>
      <c r="F2157" s="381">
        <v>460.82</v>
      </c>
    </row>
    <row r="2158" spans="1:6" s="295" customFormat="1" x14ac:dyDescent="0.15">
      <c r="A2158" s="655" t="s">
        <v>1551</v>
      </c>
      <c r="B2158" s="591" t="s">
        <v>1627</v>
      </c>
      <c r="C2158" s="287" t="s">
        <v>1235</v>
      </c>
      <c r="D2158" s="287" t="s">
        <v>1236</v>
      </c>
      <c r="E2158" s="656">
        <v>10268</v>
      </c>
      <c r="F2158" s="381">
        <v>2075.4299999999998</v>
      </c>
    </row>
    <row r="2159" spans="1:6" s="295" customFormat="1" x14ac:dyDescent="0.15">
      <c r="A2159" s="655" t="s">
        <v>1553</v>
      </c>
      <c r="B2159" s="591" t="s">
        <v>1628</v>
      </c>
      <c r="C2159" s="287" t="s">
        <v>1475</v>
      </c>
      <c r="D2159" s="287" t="s">
        <v>1387</v>
      </c>
      <c r="E2159" s="656">
        <v>1076</v>
      </c>
      <c r="F2159" s="381">
        <v>258.35000000000002</v>
      </c>
    </row>
    <row r="2160" spans="1:6" s="295" customFormat="1" x14ac:dyDescent="0.15">
      <c r="A2160" s="655" t="s">
        <v>1554</v>
      </c>
      <c r="B2160" s="591" t="s">
        <v>1629</v>
      </c>
      <c r="C2160" s="287" t="s">
        <v>1399</v>
      </c>
      <c r="D2160" s="287" t="s">
        <v>1276</v>
      </c>
      <c r="E2160" s="656">
        <v>5840</v>
      </c>
      <c r="F2160" s="381">
        <v>1241.95</v>
      </c>
    </row>
    <row r="2161" spans="1:6" s="295" customFormat="1" x14ac:dyDescent="0.15">
      <c r="A2161" s="655" t="s">
        <v>1598</v>
      </c>
      <c r="B2161" s="591"/>
      <c r="C2161" s="287" t="s">
        <v>1586</v>
      </c>
      <c r="D2161" s="287" t="s">
        <v>1500</v>
      </c>
      <c r="E2161" s="656">
        <f>2.7+37.6+2.7</f>
        <v>43.000000000000007</v>
      </c>
      <c r="F2161" s="381">
        <v>21.700000000000003</v>
      </c>
    </row>
    <row r="2162" spans="1:6" s="295" customFormat="1" x14ac:dyDescent="0.15">
      <c r="A2162" s="655" t="s">
        <v>1662</v>
      </c>
      <c r="B2162" s="657">
        <v>892914652</v>
      </c>
      <c r="C2162" s="287" t="s">
        <v>1663</v>
      </c>
      <c r="D2162" s="287" t="s">
        <v>1664</v>
      </c>
      <c r="E2162" s="656">
        <v>10160</v>
      </c>
      <c r="F2162" s="381">
        <v>2259.83</v>
      </c>
    </row>
    <row r="2163" spans="1:6" s="275" customFormat="1" ht="14" thickBot="1" x14ac:dyDescent="0.2">
      <c r="A2163" s="655"/>
      <c r="B2163" s="591"/>
      <c r="C2163" s="291" t="s">
        <v>1705</v>
      </c>
      <c r="D2163" s="287"/>
      <c r="E2163" s="638">
        <f>SUM(E2138:E2162)</f>
        <v>127125.29999999999</v>
      </c>
      <c r="F2163" s="658">
        <v>27022.939999999995</v>
      </c>
    </row>
    <row r="2164" spans="1:6" s="275" customFormat="1" ht="14" thickTop="1" x14ac:dyDescent="0.15">
      <c r="A2164" s="655"/>
      <c r="B2164" s="591"/>
      <c r="C2164" s="287"/>
      <c r="D2164" s="287"/>
      <c r="E2164" s="524"/>
      <c r="F2164" s="381"/>
    </row>
    <row r="2165" spans="1:6" s="295" customFormat="1" x14ac:dyDescent="0.15">
      <c r="A2165" s="655" t="s">
        <v>1556</v>
      </c>
      <c r="B2165" s="591" t="s">
        <v>1631</v>
      </c>
      <c r="C2165" s="287" t="s">
        <v>1248</v>
      </c>
      <c r="D2165" s="287" t="s">
        <v>1482</v>
      </c>
      <c r="E2165" s="656">
        <v>3967</v>
      </c>
      <c r="F2165" s="381">
        <v>850.28</v>
      </c>
    </row>
    <row r="2166" spans="1:6" s="295" customFormat="1" x14ac:dyDescent="0.15">
      <c r="A2166" s="655" t="s">
        <v>1558</v>
      </c>
      <c r="B2166" s="591" t="s">
        <v>1633</v>
      </c>
      <c r="C2166" s="287" t="s">
        <v>1469</v>
      </c>
      <c r="D2166" s="287" t="s">
        <v>1470</v>
      </c>
      <c r="E2166" s="656">
        <v>7360</v>
      </c>
      <c r="F2166" s="381">
        <v>1610.03</v>
      </c>
    </row>
    <row r="2167" spans="1:6" s="295" customFormat="1" x14ac:dyDescent="0.15">
      <c r="A2167" s="655" t="s">
        <v>1559</v>
      </c>
      <c r="B2167" s="591" t="s">
        <v>1634</v>
      </c>
      <c r="C2167" s="287" t="s">
        <v>1502</v>
      </c>
      <c r="D2167" s="287" t="s">
        <v>1381</v>
      </c>
      <c r="E2167" s="656">
        <v>19104</v>
      </c>
      <c r="F2167" s="381">
        <v>5580.08</v>
      </c>
    </row>
    <row r="2168" spans="1:6" s="295" customFormat="1" x14ac:dyDescent="0.15">
      <c r="A2168" s="655" t="s">
        <v>1560</v>
      </c>
      <c r="B2168" s="591" t="s">
        <v>1635</v>
      </c>
      <c r="C2168" s="287" t="s">
        <v>1504</v>
      </c>
      <c r="D2168" s="287" t="s">
        <v>1505</v>
      </c>
      <c r="E2168" s="656">
        <v>1480</v>
      </c>
      <c r="F2168" s="381">
        <v>299.02</v>
      </c>
    </row>
    <row r="2169" spans="1:6" s="295" customFormat="1" x14ac:dyDescent="0.15">
      <c r="A2169" s="655" t="s">
        <v>1675</v>
      </c>
      <c r="B2169" s="591" t="s">
        <v>1676</v>
      </c>
      <c r="C2169" s="287" t="s">
        <v>1477</v>
      </c>
      <c r="D2169" s="287" t="s">
        <v>1289</v>
      </c>
      <c r="E2169" s="656">
        <v>11590</v>
      </c>
      <c r="F2169" s="381">
        <v>2431.7199999999998</v>
      </c>
    </row>
    <row r="2170" spans="1:6" s="295" customFormat="1" x14ac:dyDescent="0.15">
      <c r="A2170" s="655" t="s">
        <v>1563</v>
      </c>
      <c r="B2170" s="591"/>
      <c r="C2170" s="287" t="s">
        <v>1267</v>
      </c>
      <c r="D2170" s="287" t="s">
        <v>1268</v>
      </c>
      <c r="E2170" s="656">
        <f>4.7+65.8+4.7</f>
        <v>75.2</v>
      </c>
      <c r="F2170" s="381">
        <v>22.67</v>
      </c>
    </row>
    <row r="2171" spans="1:6" s="295" customFormat="1" x14ac:dyDescent="0.15">
      <c r="A2171" s="655" t="s">
        <v>1564</v>
      </c>
      <c r="B2171" s="591" t="s">
        <v>1636</v>
      </c>
      <c r="C2171" s="287" t="s">
        <v>1485</v>
      </c>
      <c r="D2171" s="287" t="s">
        <v>1486</v>
      </c>
      <c r="E2171" s="656">
        <v>2080</v>
      </c>
      <c r="F2171" s="381">
        <v>442.08</v>
      </c>
    </row>
    <row r="2172" spans="1:6" s="295" customFormat="1" x14ac:dyDescent="0.15">
      <c r="A2172" s="655" t="s">
        <v>1565</v>
      </c>
      <c r="B2172" s="591" t="s">
        <v>1637</v>
      </c>
      <c r="C2172" s="287" t="s">
        <v>1267</v>
      </c>
      <c r="D2172" s="287" t="s">
        <v>1268</v>
      </c>
      <c r="E2172" s="656">
        <v>2598</v>
      </c>
      <c r="F2172" s="381">
        <v>623.78</v>
      </c>
    </row>
    <row r="2173" spans="1:6" s="295" customFormat="1" x14ac:dyDescent="0.15">
      <c r="A2173" s="655" t="s">
        <v>1569</v>
      </c>
      <c r="B2173" s="591" t="s">
        <v>1638</v>
      </c>
      <c r="C2173" s="287" t="s">
        <v>1464</v>
      </c>
      <c r="D2173" s="287" t="s">
        <v>1285</v>
      </c>
      <c r="E2173" s="656">
        <v>924</v>
      </c>
      <c r="F2173" s="381">
        <v>241.49</v>
      </c>
    </row>
    <row r="2174" spans="1:6" s="295" customFormat="1" x14ac:dyDescent="0.15">
      <c r="A2174" s="655" t="s">
        <v>1570</v>
      </c>
      <c r="B2174" s="591" t="s">
        <v>1639</v>
      </c>
      <c r="C2174" s="287" t="s">
        <v>1472</v>
      </c>
      <c r="D2174" s="287" t="s">
        <v>1473</v>
      </c>
      <c r="E2174" s="656">
        <v>54</v>
      </c>
      <c r="F2174" s="381">
        <v>39.03</v>
      </c>
    </row>
    <row r="2175" spans="1:6" s="295" customFormat="1" x14ac:dyDescent="0.15">
      <c r="A2175" s="655" t="s">
        <v>1571</v>
      </c>
      <c r="B2175" s="591" t="s">
        <v>1640</v>
      </c>
      <c r="C2175" s="287" t="s">
        <v>1489</v>
      </c>
      <c r="D2175" s="287" t="s">
        <v>1490</v>
      </c>
      <c r="E2175" s="656">
        <v>128</v>
      </c>
      <c r="F2175" s="381">
        <v>51.43</v>
      </c>
    </row>
    <row r="2176" spans="1:6" s="295" customFormat="1" x14ac:dyDescent="0.15">
      <c r="A2176" s="655" t="s">
        <v>1572</v>
      </c>
      <c r="B2176" s="591" t="s">
        <v>1641</v>
      </c>
      <c r="C2176" s="287" t="s">
        <v>1271</v>
      </c>
      <c r="D2176" s="287" t="s">
        <v>1272</v>
      </c>
      <c r="E2176" s="656">
        <v>4996</v>
      </c>
      <c r="F2176" s="381">
        <v>1036.72</v>
      </c>
    </row>
    <row r="2177" spans="1:6" s="295" customFormat="1" x14ac:dyDescent="0.15">
      <c r="A2177" s="655" t="s">
        <v>1573</v>
      </c>
      <c r="B2177" s="591"/>
      <c r="C2177" s="287" t="s">
        <v>1461</v>
      </c>
      <c r="D2177" s="287" t="s">
        <v>1703</v>
      </c>
      <c r="E2177" s="656">
        <f>0.4+12.6</f>
        <v>13</v>
      </c>
      <c r="F2177" s="381">
        <v>17.169999999999998</v>
      </c>
    </row>
    <row r="2178" spans="1:6" s="295" customFormat="1" x14ac:dyDescent="0.15">
      <c r="A2178" s="655" t="s">
        <v>1574</v>
      </c>
      <c r="B2178" s="591" t="s">
        <v>1642</v>
      </c>
      <c r="C2178" s="287" t="s">
        <v>1377</v>
      </c>
      <c r="D2178" s="287" t="s">
        <v>1378</v>
      </c>
      <c r="E2178" s="656">
        <v>1658</v>
      </c>
      <c r="F2178" s="381">
        <v>371.48</v>
      </c>
    </row>
    <row r="2179" spans="1:6" s="295" customFormat="1" x14ac:dyDescent="0.15">
      <c r="A2179" s="655" t="s">
        <v>1575</v>
      </c>
      <c r="B2179" s="591" t="s">
        <v>1685</v>
      </c>
      <c r="C2179" s="287" t="s">
        <v>1448</v>
      </c>
      <c r="D2179" s="287" t="s">
        <v>1449</v>
      </c>
      <c r="E2179" s="656">
        <v>242</v>
      </c>
      <c r="F2179" s="381">
        <v>61.68</v>
      </c>
    </row>
    <row r="2180" spans="1:6" s="295" customFormat="1" x14ac:dyDescent="0.15">
      <c r="A2180" s="655" t="s">
        <v>1604</v>
      </c>
      <c r="B2180" s="591"/>
      <c r="C2180" s="287" t="s">
        <v>1334</v>
      </c>
      <c r="D2180" s="287" t="s">
        <v>1462</v>
      </c>
      <c r="E2180" s="656">
        <f>65.2+106.8</f>
        <v>172</v>
      </c>
      <c r="F2180" s="381">
        <v>72.88</v>
      </c>
    </row>
    <row r="2181" spans="1:6" s="295" customFormat="1" x14ac:dyDescent="0.15">
      <c r="A2181" s="655" t="s">
        <v>1576</v>
      </c>
      <c r="B2181" s="591" t="s">
        <v>1644</v>
      </c>
      <c r="C2181" s="287" t="s">
        <v>1401</v>
      </c>
      <c r="D2181" s="287" t="s">
        <v>1316</v>
      </c>
      <c r="E2181" s="656">
        <v>230</v>
      </c>
      <c r="F2181" s="381">
        <v>68.489999999999995</v>
      </c>
    </row>
    <row r="2182" spans="1:6" s="295" customFormat="1" x14ac:dyDescent="0.15">
      <c r="A2182" s="655" t="s">
        <v>1605</v>
      </c>
      <c r="B2182" s="591"/>
      <c r="C2182" s="287" t="s">
        <v>1334</v>
      </c>
      <c r="D2182" s="287" t="s">
        <v>1462</v>
      </c>
      <c r="E2182" s="656">
        <f>238.2+389.8</f>
        <v>628</v>
      </c>
      <c r="F2182" s="381">
        <v>265.51</v>
      </c>
    </row>
    <row r="2183" spans="1:6" s="295" customFormat="1" x14ac:dyDescent="0.15">
      <c r="A2183" s="655" t="s">
        <v>1578</v>
      </c>
      <c r="B2183" s="591" t="s">
        <v>1646</v>
      </c>
      <c r="C2183" s="287" t="s">
        <v>1579</v>
      </c>
      <c r="D2183" s="287" t="s">
        <v>1497</v>
      </c>
      <c r="E2183" s="656">
        <v>0</v>
      </c>
      <c r="F2183" s="381">
        <v>60</v>
      </c>
    </row>
    <row r="2184" spans="1:6" s="295" customFormat="1" x14ac:dyDescent="0.15">
      <c r="A2184" s="655" t="s">
        <v>1580</v>
      </c>
      <c r="B2184" s="591" t="s">
        <v>1647</v>
      </c>
      <c r="C2184" s="287" t="s">
        <v>1451</v>
      </c>
      <c r="D2184" s="287" t="s">
        <v>1674</v>
      </c>
      <c r="E2184" s="656">
        <v>4416</v>
      </c>
      <c r="F2184" s="381">
        <v>2289.59</v>
      </c>
    </row>
    <row r="2185" spans="1:6" s="295" customFormat="1" x14ac:dyDescent="0.15">
      <c r="A2185" s="655" t="s">
        <v>1581</v>
      </c>
      <c r="B2185" s="591" t="s">
        <v>1648</v>
      </c>
      <c r="C2185" s="287" t="s">
        <v>1521</v>
      </c>
      <c r="D2185" s="287" t="s">
        <v>1229</v>
      </c>
      <c r="E2185" s="656">
        <v>3995</v>
      </c>
      <c r="F2185" s="381">
        <v>833.66</v>
      </c>
    </row>
    <row r="2186" spans="1:6" s="295" customFormat="1" x14ac:dyDescent="0.15">
      <c r="A2186" s="655" t="s">
        <v>1582</v>
      </c>
      <c r="B2186" s="591" t="s">
        <v>1649</v>
      </c>
      <c r="C2186" s="287" t="s">
        <v>1525</v>
      </c>
      <c r="D2186" s="287" t="s">
        <v>1526</v>
      </c>
      <c r="E2186" s="656">
        <v>10</v>
      </c>
      <c r="F2186" s="381">
        <v>8.31</v>
      </c>
    </row>
    <row r="2187" spans="1:6" s="295" customFormat="1" ht="14" x14ac:dyDescent="0.15">
      <c r="A2187" s="655" t="s">
        <v>1583</v>
      </c>
      <c r="B2187" s="591" t="s">
        <v>1650</v>
      </c>
      <c r="C2187" s="287" t="s">
        <v>1584</v>
      </c>
      <c r="D2187" s="618" t="s">
        <v>1264</v>
      </c>
      <c r="E2187" s="656">
        <v>1480</v>
      </c>
      <c r="F2187" s="381">
        <v>426.91</v>
      </c>
    </row>
    <row r="2188" spans="1:6" s="295" customFormat="1" x14ac:dyDescent="0.15">
      <c r="A2188" s="655" t="s">
        <v>1666</v>
      </c>
      <c r="B2188" s="591" t="s">
        <v>1672</v>
      </c>
      <c r="C2188" s="287" t="s">
        <v>1667</v>
      </c>
      <c r="D2188" s="287" t="s">
        <v>1668</v>
      </c>
      <c r="E2188" s="656">
        <v>27456</v>
      </c>
      <c r="F2188" s="381">
        <v>6607.73</v>
      </c>
    </row>
    <row r="2189" spans="1:6" s="295" customFormat="1" x14ac:dyDescent="0.15">
      <c r="A2189" s="655" t="s">
        <v>1606</v>
      </c>
      <c r="B2189" s="591"/>
      <c r="C2189" s="287" t="s">
        <v>1334</v>
      </c>
      <c r="D2189" s="287" t="s">
        <v>1462</v>
      </c>
      <c r="E2189" s="656">
        <f>28.5+46.7</f>
        <v>75.2</v>
      </c>
      <c r="F2189" s="381">
        <v>23.02</v>
      </c>
    </row>
    <row r="2190" spans="1:6" s="275" customFormat="1" ht="14" thickBot="1" x14ac:dyDescent="0.2">
      <c r="A2190" s="655"/>
      <c r="B2190" s="591"/>
      <c r="C2190" s="291" t="s">
        <v>1706</v>
      </c>
      <c r="D2190" s="287"/>
      <c r="E2190" s="643">
        <f>SUM(E2165:E2189)</f>
        <v>94731.4</v>
      </c>
      <c r="F2190" s="658">
        <v>24334.760000000002</v>
      </c>
    </row>
    <row r="2191" spans="1:6" s="275" customFormat="1" ht="14" thickTop="1" x14ac:dyDescent="0.15">
      <c r="A2191" s="660"/>
      <c r="B2191" s="661"/>
      <c r="C2191" s="359"/>
      <c r="D2191" s="359"/>
      <c r="E2191" s="662"/>
      <c r="F2191" s="375"/>
    </row>
    <row r="2192" spans="1:6" s="275" customFormat="1" x14ac:dyDescent="0.15">
      <c r="A2192" s="660"/>
      <c r="B2192" s="661"/>
      <c r="C2192" s="293" t="s">
        <v>1594</v>
      </c>
      <c r="D2192" s="359"/>
      <c r="E2192" s="662"/>
      <c r="F2192" s="375"/>
    </row>
    <row r="2193" spans="1:8" s="275" customFormat="1" x14ac:dyDescent="0.15">
      <c r="A2193" s="660"/>
      <c r="B2193" s="661"/>
      <c r="C2193" s="293" t="s">
        <v>1446</v>
      </c>
      <c r="D2193" s="359"/>
      <c r="E2193" s="662"/>
      <c r="F2193" s="375"/>
    </row>
    <row r="2194" spans="1:8" s="275" customFormat="1" x14ac:dyDescent="0.15">
      <c r="A2194" s="660"/>
      <c r="B2194" s="661"/>
      <c r="C2194" s="386">
        <v>42063</v>
      </c>
      <c r="D2194" s="359"/>
      <c r="E2194" s="662"/>
      <c r="F2194" s="375"/>
    </row>
    <row r="2195" spans="1:8" s="275" customFormat="1" x14ac:dyDescent="0.15">
      <c r="A2195" s="660"/>
      <c r="B2195" s="661"/>
      <c r="C2195" s="359"/>
      <c r="D2195" s="359"/>
      <c r="E2195" s="662"/>
      <c r="F2195" s="375"/>
    </row>
    <row r="2196" spans="1:8" s="275" customFormat="1" ht="14" thickBot="1" x14ac:dyDescent="0.2">
      <c r="A2196" s="663"/>
      <c r="B2196" s="664"/>
      <c r="C2196" s="665" t="s">
        <v>1194</v>
      </c>
      <c r="D2196" s="665"/>
      <c r="E2196" s="666">
        <f>SUM(E2163,E2190)</f>
        <v>221856.69999999998</v>
      </c>
      <c r="F2196" s="667">
        <v>51357.69999999999</v>
      </c>
      <c r="H2196" s="668"/>
    </row>
    <row r="2197" spans="1:8" s="275" customFormat="1" x14ac:dyDescent="0.15">
      <c r="A2197" s="617"/>
      <c r="B2197" s="617"/>
      <c r="E2197" s="276"/>
      <c r="F2197" s="278"/>
    </row>
    <row r="2198" spans="1:8" s="275" customFormat="1" x14ac:dyDescent="0.15">
      <c r="A2198" s="652" t="s">
        <v>1534</v>
      </c>
      <c r="B2198" s="653" t="s">
        <v>1614</v>
      </c>
      <c r="C2198" s="371" t="s">
        <v>1492</v>
      </c>
      <c r="D2198" s="371" t="s">
        <v>1239</v>
      </c>
      <c r="E2198" s="654">
        <v>9520</v>
      </c>
      <c r="F2198" s="391">
        <v>2057.4499999999998</v>
      </c>
    </row>
    <row r="2199" spans="1:8" s="275" customFormat="1" x14ac:dyDescent="0.15">
      <c r="A2199" s="655" t="s">
        <v>1535</v>
      </c>
      <c r="B2199" s="591" t="s">
        <v>1615</v>
      </c>
      <c r="C2199" s="287" t="s">
        <v>1507</v>
      </c>
      <c r="D2199" s="287" t="s">
        <v>1245</v>
      </c>
      <c r="E2199" s="656">
        <v>3400</v>
      </c>
      <c r="F2199" s="381">
        <v>819.54</v>
      </c>
    </row>
    <row r="2200" spans="1:8" s="275" customFormat="1" x14ac:dyDescent="0.15">
      <c r="A2200" s="655" t="s">
        <v>1670</v>
      </c>
      <c r="B2200" s="591" t="s">
        <v>1659</v>
      </c>
      <c r="C2200" s="287" t="s">
        <v>1279</v>
      </c>
      <c r="D2200" s="287" t="s">
        <v>1660</v>
      </c>
      <c r="E2200" s="656">
        <v>8160</v>
      </c>
      <c r="F2200" s="381">
        <v>1708.91</v>
      </c>
    </row>
    <row r="2201" spans="1:8" s="275" customFormat="1" x14ac:dyDescent="0.15">
      <c r="A2201" s="655" t="s">
        <v>1536</v>
      </c>
      <c r="B2201" s="591" t="s">
        <v>1616</v>
      </c>
      <c r="C2201" s="287" t="s">
        <v>1479</v>
      </c>
      <c r="D2201" s="287" t="s">
        <v>1231</v>
      </c>
      <c r="E2201" s="656">
        <v>4853</v>
      </c>
      <c r="F2201" s="381">
        <v>1020.23</v>
      </c>
    </row>
    <row r="2202" spans="1:8" s="275" customFormat="1" x14ac:dyDescent="0.15">
      <c r="A2202" s="655" t="s">
        <v>1537</v>
      </c>
      <c r="B2202" s="591" t="s">
        <v>1617</v>
      </c>
      <c r="C2202" s="287" t="s">
        <v>1269</v>
      </c>
      <c r="D2202" s="287" t="s">
        <v>1270</v>
      </c>
      <c r="E2202" s="656">
        <v>4442</v>
      </c>
      <c r="F2202" s="381">
        <v>930.08</v>
      </c>
    </row>
    <row r="2203" spans="1:8" s="275" customFormat="1" x14ac:dyDescent="0.15">
      <c r="A2203" s="655" t="s">
        <v>1538</v>
      </c>
      <c r="B2203" s="591" t="s">
        <v>1618</v>
      </c>
      <c r="C2203" s="287" t="s">
        <v>1517</v>
      </c>
      <c r="D2203" s="287" t="s">
        <v>1518</v>
      </c>
      <c r="E2203" s="656">
        <v>4</v>
      </c>
      <c r="F2203" s="381">
        <v>30.67</v>
      </c>
    </row>
    <row r="2204" spans="1:8" s="275" customFormat="1" x14ac:dyDescent="0.15">
      <c r="A2204" s="655" t="s">
        <v>1540</v>
      </c>
      <c r="B2204" s="591" t="s">
        <v>1620</v>
      </c>
      <c r="C2204" s="287" t="s">
        <v>1257</v>
      </c>
      <c r="D2204" s="287" t="s">
        <v>1258</v>
      </c>
      <c r="E2204" s="656">
        <v>21600</v>
      </c>
      <c r="F2204" s="381">
        <v>4421.17</v>
      </c>
    </row>
    <row r="2205" spans="1:8" s="275" customFormat="1" x14ac:dyDescent="0.15">
      <c r="A2205" s="655" t="s">
        <v>1541</v>
      </c>
      <c r="B2205" s="591" t="s">
        <v>1621</v>
      </c>
      <c r="C2205" s="287" t="s">
        <v>1586</v>
      </c>
      <c r="D2205" s="287" t="s">
        <v>1500</v>
      </c>
      <c r="E2205" s="656">
        <v>3760</v>
      </c>
      <c r="F2205" s="381">
        <v>815.88</v>
      </c>
    </row>
    <row r="2206" spans="1:8" s="275" customFormat="1" x14ac:dyDescent="0.15">
      <c r="A2206" s="655" t="s">
        <v>1542</v>
      </c>
      <c r="B2206" s="591" t="s">
        <v>1622</v>
      </c>
      <c r="C2206" s="287" t="s">
        <v>1240</v>
      </c>
      <c r="D2206" s="287" t="s">
        <v>1467</v>
      </c>
      <c r="E2206" s="656">
        <v>3922</v>
      </c>
      <c r="F2206" s="381">
        <v>828.81</v>
      </c>
    </row>
    <row r="2207" spans="1:8" s="275" customFormat="1" x14ac:dyDescent="0.15">
      <c r="A2207" s="655" t="s">
        <v>1543</v>
      </c>
      <c r="B2207" s="591" t="s">
        <v>1623</v>
      </c>
      <c r="C2207" s="287" t="s">
        <v>1523</v>
      </c>
      <c r="D2207" s="287" t="s">
        <v>1266</v>
      </c>
      <c r="E2207" s="656">
        <v>617</v>
      </c>
      <c r="F2207" s="381">
        <v>204.36</v>
      </c>
    </row>
    <row r="2208" spans="1:8" s="275" customFormat="1" x14ac:dyDescent="0.15">
      <c r="A2208" s="655" t="s">
        <v>1544</v>
      </c>
      <c r="B2208" s="591" t="s">
        <v>1624</v>
      </c>
      <c r="C2208" s="287" t="s">
        <v>1234</v>
      </c>
      <c r="D2208" s="287" t="s">
        <v>1494</v>
      </c>
      <c r="E2208" s="656">
        <v>5061</v>
      </c>
      <c r="F2208" s="381">
        <v>1126.0899999999999</v>
      </c>
    </row>
    <row r="2209" spans="1:6" s="275" customFormat="1" x14ac:dyDescent="0.15">
      <c r="A2209" s="655" t="s">
        <v>1601</v>
      </c>
      <c r="B2209" s="591"/>
      <c r="C2209" s="287" t="s">
        <v>1334</v>
      </c>
      <c r="D2209" s="287" t="s">
        <v>1462</v>
      </c>
      <c r="E2209" s="656">
        <f>1172.3+2110.5</f>
        <v>3282.8</v>
      </c>
      <c r="F2209" s="381">
        <v>881.72</v>
      </c>
    </row>
    <row r="2210" spans="1:6" s="275" customFormat="1" x14ac:dyDescent="0.15">
      <c r="A2210" s="655" t="s">
        <v>1545</v>
      </c>
      <c r="B2210" s="591"/>
      <c r="C2210" s="287" t="s">
        <v>1234</v>
      </c>
      <c r="D2210" s="287" t="s">
        <v>1494</v>
      </c>
      <c r="E2210" s="656">
        <f>4.7+65.8+4.7</f>
        <v>75.2</v>
      </c>
      <c r="F2210" s="381">
        <v>21.22</v>
      </c>
    </row>
    <row r="2211" spans="1:6" s="275" customFormat="1" x14ac:dyDescent="0.15">
      <c r="A2211" s="655" t="s">
        <v>1602</v>
      </c>
      <c r="B2211" s="591"/>
      <c r="C2211" s="287" t="s">
        <v>1334</v>
      </c>
      <c r="D2211" s="287" t="s">
        <v>1462</v>
      </c>
      <c r="E2211" s="656">
        <f>65.6+118</f>
        <v>183.6</v>
      </c>
      <c r="F2211" s="381">
        <v>61.94</v>
      </c>
    </row>
    <row r="2212" spans="1:6" s="275" customFormat="1" x14ac:dyDescent="0.15">
      <c r="A2212" s="655" t="s">
        <v>1546</v>
      </c>
      <c r="B2212" s="591"/>
      <c r="C2212" s="287" t="s">
        <v>1586</v>
      </c>
      <c r="D2212" s="287" t="s">
        <v>1500</v>
      </c>
      <c r="E2212" s="656">
        <v>85.8</v>
      </c>
      <c r="F2212" s="381">
        <v>32.31</v>
      </c>
    </row>
    <row r="2213" spans="1:6" s="275" customFormat="1" x14ac:dyDescent="0.15">
      <c r="A2213" s="655" t="s">
        <v>1547</v>
      </c>
      <c r="B2213" s="591"/>
      <c r="C2213" s="287" t="s">
        <v>1286</v>
      </c>
      <c r="D2213" s="287" t="s">
        <v>1514</v>
      </c>
      <c r="E2213" s="659">
        <v>0</v>
      </c>
      <c r="F2213" s="381">
        <v>0</v>
      </c>
    </row>
    <row r="2214" spans="1:6" s="275" customFormat="1" x14ac:dyDescent="0.15">
      <c r="A2214" s="655" t="s">
        <v>1549</v>
      </c>
      <c r="B2214" s="591" t="s">
        <v>1625</v>
      </c>
      <c r="C2214" s="287" t="s">
        <v>1459</v>
      </c>
      <c r="D2214" s="287" t="s">
        <v>1251</v>
      </c>
      <c r="E2214" s="656">
        <v>2165</v>
      </c>
      <c r="F2214" s="381">
        <v>477.75</v>
      </c>
    </row>
    <row r="2215" spans="1:6" s="275" customFormat="1" x14ac:dyDescent="0.15">
      <c r="A2215" s="655" t="s">
        <v>1603</v>
      </c>
      <c r="B2215" s="591"/>
      <c r="C2215" s="287" t="s">
        <v>1334</v>
      </c>
      <c r="D2215" s="287" t="s">
        <v>1462</v>
      </c>
      <c r="E2215" s="656">
        <f>490.8+883.6</f>
        <v>1374.4</v>
      </c>
      <c r="F2215" s="381">
        <v>385.63</v>
      </c>
    </row>
    <row r="2216" spans="1:6" s="275" customFormat="1" x14ac:dyDescent="0.15">
      <c r="A2216" s="655" t="s">
        <v>1597</v>
      </c>
      <c r="B2216" s="591" t="s">
        <v>1626</v>
      </c>
      <c r="C2216" s="287" t="s">
        <v>1454</v>
      </c>
      <c r="D2216" s="287" t="s">
        <v>1247</v>
      </c>
      <c r="E2216" s="656">
        <v>4200</v>
      </c>
      <c r="F2216" s="381">
        <v>896.69</v>
      </c>
    </row>
    <row r="2217" spans="1:6" s="275" customFormat="1" x14ac:dyDescent="0.15">
      <c r="A2217" s="655" t="s">
        <v>1677</v>
      </c>
      <c r="B2217" s="591" t="s">
        <v>1678</v>
      </c>
      <c r="C2217" s="287" t="s">
        <v>1313</v>
      </c>
      <c r="D2217" s="287" t="s">
        <v>1412</v>
      </c>
      <c r="E2217" s="656">
        <v>1537</v>
      </c>
      <c r="F2217" s="381">
        <v>351.3</v>
      </c>
    </row>
    <row r="2218" spans="1:6" s="275" customFormat="1" x14ac:dyDescent="0.15">
      <c r="A2218" s="655" t="s">
        <v>1551</v>
      </c>
      <c r="B2218" s="591" t="s">
        <v>1627</v>
      </c>
      <c r="C2218" s="287" t="s">
        <v>1235</v>
      </c>
      <c r="D2218" s="287" t="s">
        <v>1236</v>
      </c>
      <c r="E2218" s="656">
        <v>8003</v>
      </c>
      <c r="F2218" s="381">
        <v>1668.44</v>
      </c>
    </row>
    <row r="2219" spans="1:6" s="275" customFormat="1" x14ac:dyDescent="0.15">
      <c r="A2219" s="655" t="s">
        <v>1553</v>
      </c>
      <c r="B2219" s="591" t="s">
        <v>1628</v>
      </c>
      <c r="C2219" s="287" t="s">
        <v>1475</v>
      </c>
      <c r="D2219" s="287" t="s">
        <v>1387</v>
      </c>
      <c r="E2219" s="656">
        <v>778</v>
      </c>
      <c r="F2219" s="381">
        <v>186.87</v>
      </c>
    </row>
    <row r="2220" spans="1:6" s="275" customFormat="1" x14ac:dyDescent="0.15">
      <c r="A2220" s="655" t="s">
        <v>1554</v>
      </c>
      <c r="B2220" s="591" t="s">
        <v>1629</v>
      </c>
      <c r="C2220" s="287" t="s">
        <v>1399</v>
      </c>
      <c r="D2220" s="287" t="s">
        <v>1276</v>
      </c>
      <c r="E2220" s="656">
        <v>4320</v>
      </c>
      <c r="F2220" s="381">
        <v>973.62</v>
      </c>
    </row>
    <row r="2221" spans="1:6" s="275" customFormat="1" x14ac:dyDescent="0.15">
      <c r="A2221" s="655" t="s">
        <v>1598</v>
      </c>
      <c r="B2221" s="591"/>
      <c r="C2221" s="287" t="s">
        <v>1586</v>
      </c>
      <c r="D2221" s="287" t="s">
        <v>1500</v>
      </c>
      <c r="E2221" s="656">
        <v>42.9</v>
      </c>
      <c r="F2221" s="381">
        <v>18.920000000000002</v>
      </c>
    </row>
    <row r="2222" spans="1:6" s="275" customFormat="1" x14ac:dyDescent="0.15">
      <c r="A2222" s="655" t="s">
        <v>1662</v>
      </c>
      <c r="B2222" s="657">
        <v>892914652</v>
      </c>
      <c r="C2222" s="287" t="s">
        <v>1663</v>
      </c>
      <c r="D2222" s="287" t="s">
        <v>1664</v>
      </c>
      <c r="E2222" s="656">
        <v>9120</v>
      </c>
      <c r="F2222" s="381">
        <v>2076.27</v>
      </c>
    </row>
    <row r="2223" spans="1:6" s="275" customFormat="1" ht="14" thickBot="1" x14ac:dyDescent="0.2">
      <c r="A2223" s="655"/>
      <c r="B2223" s="591"/>
      <c r="C2223" s="291" t="s">
        <v>1707</v>
      </c>
      <c r="D2223" s="287"/>
      <c r="E2223" s="638">
        <f>SUM(E2198:E2222)</f>
        <v>100506.7</v>
      </c>
      <c r="F2223" s="658">
        <v>21995.869999999995</v>
      </c>
    </row>
    <row r="2224" spans="1:6" s="275" customFormat="1" ht="14" thickTop="1" x14ac:dyDescent="0.15">
      <c r="A2224" s="655"/>
      <c r="B2224" s="591"/>
      <c r="C2224" s="287"/>
      <c r="D2224" s="287"/>
      <c r="E2224" s="524"/>
      <c r="F2224" s="381"/>
    </row>
    <row r="2225" spans="1:6" s="275" customFormat="1" x14ac:dyDescent="0.15">
      <c r="A2225" s="655" t="s">
        <v>1556</v>
      </c>
      <c r="B2225" s="591" t="s">
        <v>1631</v>
      </c>
      <c r="C2225" s="287" t="s">
        <v>1248</v>
      </c>
      <c r="D2225" s="287" t="s">
        <v>1482</v>
      </c>
      <c r="E2225" s="656">
        <v>3576</v>
      </c>
      <c r="F2225" s="381">
        <v>785.1</v>
      </c>
    </row>
    <row r="2226" spans="1:6" s="275" customFormat="1" x14ac:dyDescent="0.15">
      <c r="A2226" s="655" t="s">
        <v>1558</v>
      </c>
      <c r="B2226" s="591" t="s">
        <v>1633</v>
      </c>
      <c r="C2226" s="287" t="s">
        <v>1469</v>
      </c>
      <c r="D2226" s="287" t="s">
        <v>1470</v>
      </c>
      <c r="E2226" s="656">
        <v>5760</v>
      </c>
      <c r="F2226" s="381">
        <v>1328.39</v>
      </c>
    </row>
    <row r="2227" spans="1:6" s="275" customFormat="1" x14ac:dyDescent="0.15">
      <c r="A2227" s="655" t="s">
        <v>1559</v>
      </c>
      <c r="B2227" s="591" t="s">
        <v>1634</v>
      </c>
      <c r="C2227" s="287" t="s">
        <v>1502</v>
      </c>
      <c r="D2227" s="287" t="s">
        <v>1381</v>
      </c>
      <c r="E2227" s="656">
        <v>15936</v>
      </c>
      <c r="F2227" s="381">
        <v>3514.1</v>
      </c>
    </row>
    <row r="2228" spans="1:6" s="275" customFormat="1" x14ac:dyDescent="0.15">
      <c r="A2228" s="655" t="s">
        <v>1560</v>
      </c>
      <c r="B2228" s="591" t="s">
        <v>1635</v>
      </c>
      <c r="C2228" s="287" t="s">
        <v>1504</v>
      </c>
      <c r="D2228" s="287" t="s">
        <v>1505</v>
      </c>
      <c r="E2228" s="656">
        <v>1337</v>
      </c>
      <c r="F2228" s="381">
        <v>282.3</v>
      </c>
    </row>
    <row r="2229" spans="1:6" s="275" customFormat="1" x14ac:dyDescent="0.15">
      <c r="A2229" s="655" t="s">
        <v>1675</v>
      </c>
      <c r="B2229" s="591" t="s">
        <v>1676</v>
      </c>
      <c r="C2229" s="287" t="s">
        <v>1477</v>
      </c>
      <c r="D2229" s="287" t="s">
        <v>1289</v>
      </c>
      <c r="E2229" s="656">
        <v>11190</v>
      </c>
      <c r="F2229" s="381">
        <v>2365.5</v>
      </c>
    </row>
    <row r="2230" spans="1:6" s="275" customFormat="1" x14ac:dyDescent="0.15">
      <c r="A2230" s="655" t="s">
        <v>1563</v>
      </c>
      <c r="B2230" s="591"/>
      <c r="C2230" s="287" t="s">
        <v>1267</v>
      </c>
      <c r="D2230" s="287" t="s">
        <v>1268</v>
      </c>
      <c r="E2230" s="656">
        <f>4.7+65.8+4.7</f>
        <v>75.2</v>
      </c>
      <c r="F2230" s="381">
        <v>17.7</v>
      </c>
    </row>
    <row r="2231" spans="1:6" s="275" customFormat="1" x14ac:dyDescent="0.15">
      <c r="A2231" s="655" t="s">
        <v>1564</v>
      </c>
      <c r="B2231" s="591" t="s">
        <v>1636</v>
      </c>
      <c r="C2231" s="287" t="s">
        <v>1485</v>
      </c>
      <c r="D2231" s="287" t="s">
        <v>1486</v>
      </c>
      <c r="E2231" s="656">
        <v>1600</v>
      </c>
      <c r="F2231" s="381">
        <v>361.87</v>
      </c>
    </row>
    <row r="2232" spans="1:6" s="275" customFormat="1" x14ac:dyDescent="0.15">
      <c r="A2232" s="655" t="s">
        <v>1565</v>
      </c>
      <c r="B2232" s="591" t="s">
        <v>1637</v>
      </c>
      <c r="C2232" s="287" t="s">
        <v>1267</v>
      </c>
      <c r="D2232" s="287" t="s">
        <v>1268</v>
      </c>
      <c r="E2232" s="656">
        <v>1954</v>
      </c>
      <c r="F2232" s="381">
        <v>469.35</v>
      </c>
    </row>
    <row r="2233" spans="1:6" s="275" customFormat="1" x14ac:dyDescent="0.15">
      <c r="A2233" s="655" t="s">
        <v>1569</v>
      </c>
      <c r="B2233" s="591" t="s">
        <v>1638</v>
      </c>
      <c r="C2233" s="287" t="s">
        <v>1464</v>
      </c>
      <c r="D2233" s="287" t="s">
        <v>1285</v>
      </c>
      <c r="E2233" s="656">
        <v>741</v>
      </c>
      <c r="F2233" s="381">
        <v>210.92</v>
      </c>
    </row>
    <row r="2234" spans="1:6" s="275" customFormat="1" x14ac:dyDescent="0.15">
      <c r="A2234" s="655" t="s">
        <v>1570</v>
      </c>
      <c r="B2234" s="591" t="s">
        <v>1639</v>
      </c>
      <c r="C2234" s="287" t="s">
        <v>1472</v>
      </c>
      <c r="D2234" s="287" t="s">
        <v>1473</v>
      </c>
      <c r="E2234" s="656">
        <v>29</v>
      </c>
      <c r="F2234" s="381">
        <v>34.85</v>
      </c>
    </row>
    <row r="2235" spans="1:6" s="275" customFormat="1" x14ac:dyDescent="0.15">
      <c r="A2235" s="655" t="s">
        <v>1571</v>
      </c>
      <c r="B2235" s="591" t="s">
        <v>1640</v>
      </c>
      <c r="C2235" s="287" t="s">
        <v>1489</v>
      </c>
      <c r="D2235" s="287" t="s">
        <v>1490</v>
      </c>
      <c r="E2235" s="656">
        <v>101</v>
      </c>
      <c r="F2235" s="381">
        <v>46.91</v>
      </c>
    </row>
    <row r="2236" spans="1:6" s="275" customFormat="1" x14ac:dyDescent="0.15">
      <c r="A2236" s="655" t="s">
        <v>1572</v>
      </c>
      <c r="B2236" s="591" t="s">
        <v>1641</v>
      </c>
      <c r="C2236" s="287" t="s">
        <v>1271</v>
      </c>
      <c r="D2236" s="287" t="s">
        <v>1272</v>
      </c>
      <c r="E2236" s="656">
        <v>4017</v>
      </c>
      <c r="F2236" s="381">
        <v>851.8</v>
      </c>
    </row>
    <row r="2237" spans="1:6" s="275" customFormat="1" x14ac:dyDescent="0.15">
      <c r="A2237" s="655" t="s">
        <v>1573</v>
      </c>
      <c r="B2237" s="591"/>
      <c r="C2237" s="287" t="s">
        <v>1461</v>
      </c>
      <c r="D2237" s="287" t="s">
        <v>1703</v>
      </c>
      <c r="E2237" s="656">
        <v>26</v>
      </c>
      <c r="F2237" s="381">
        <v>17.18</v>
      </c>
    </row>
    <row r="2238" spans="1:6" s="275" customFormat="1" x14ac:dyDescent="0.15">
      <c r="A2238" s="655" t="s">
        <v>1574</v>
      </c>
      <c r="B2238" s="591" t="s">
        <v>1642</v>
      </c>
      <c r="C2238" s="287" t="s">
        <v>1377</v>
      </c>
      <c r="D2238" s="287" t="s">
        <v>1378</v>
      </c>
      <c r="E2238" s="656">
        <v>1423</v>
      </c>
      <c r="F2238" s="381">
        <v>325.08999999999997</v>
      </c>
    </row>
    <row r="2239" spans="1:6" s="275" customFormat="1" x14ac:dyDescent="0.15">
      <c r="A2239" s="655" t="s">
        <v>1575</v>
      </c>
      <c r="B2239" s="591" t="s">
        <v>1685</v>
      </c>
      <c r="C2239" s="287" t="s">
        <v>1448</v>
      </c>
      <c r="D2239" s="287" t="s">
        <v>1449</v>
      </c>
      <c r="E2239" s="656">
        <v>137</v>
      </c>
      <c r="F2239" s="381">
        <v>37.53</v>
      </c>
    </row>
    <row r="2240" spans="1:6" s="275" customFormat="1" x14ac:dyDescent="0.15">
      <c r="A2240" s="655" t="s">
        <v>1604</v>
      </c>
      <c r="B2240" s="591"/>
      <c r="C2240" s="287" t="s">
        <v>1334</v>
      </c>
      <c r="D2240" s="287" t="s">
        <v>1462</v>
      </c>
      <c r="E2240" s="656">
        <f>61.3+110.3</f>
        <v>171.6</v>
      </c>
      <c r="F2240" s="381">
        <v>64.98</v>
      </c>
    </row>
    <row r="2241" spans="1:6" s="275" customFormat="1" x14ac:dyDescent="0.15">
      <c r="A2241" s="655" t="s">
        <v>1576</v>
      </c>
      <c r="B2241" s="591" t="s">
        <v>1644</v>
      </c>
      <c r="C2241" s="287" t="s">
        <v>1401</v>
      </c>
      <c r="D2241" s="287" t="s">
        <v>1316</v>
      </c>
      <c r="E2241" s="656">
        <v>115</v>
      </c>
      <c r="F2241" s="381">
        <v>49.26</v>
      </c>
    </row>
    <row r="2242" spans="1:6" s="275" customFormat="1" x14ac:dyDescent="0.15">
      <c r="A2242" s="655" t="s">
        <v>1605</v>
      </c>
      <c r="B2242" s="591"/>
      <c r="C2242" s="287" t="s">
        <v>1334</v>
      </c>
      <c r="D2242" s="287" t="s">
        <v>1462</v>
      </c>
      <c r="E2242" s="656">
        <f>223.5+402.5</f>
        <v>626</v>
      </c>
      <c r="F2242" s="381">
        <v>236.57</v>
      </c>
    </row>
    <row r="2243" spans="1:6" s="275" customFormat="1" x14ac:dyDescent="0.15">
      <c r="A2243" s="655" t="s">
        <v>1578</v>
      </c>
      <c r="B2243" s="591" t="s">
        <v>1646</v>
      </c>
      <c r="C2243" s="287" t="s">
        <v>1579</v>
      </c>
      <c r="D2243" s="287" t="s">
        <v>1497</v>
      </c>
      <c r="E2243" s="659">
        <v>0</v>
      </c>
      <c r="F2243" s="381">
        <v>0</v>
      </c>
    </row>
    <row r="2244" spans="1:6" s="275" customFormat="1" x14ac:dyDescent="0.15">
      <c r="A2244" s="655" t="s">
        <v>1580</v>
      </c>
      <c r="B2244" s="591" t="s">
        <v>1647</v>
      </c>
      <c r="C2244" s="287" t="s">
        <v>1451</v>
      </c>
      <c r="D2244" s="287" t="s">
        <v>1674</v>
      </c>
      <c r="E2244" s="656">
        <v>6144</v>
      </c>
      <c r="F2244" s="381">
        <v>2607.65</v>
      </c>
    </row>
    <row r="2245" spans="1:6" s="275" customFormat="1" x14ac:dyDescent="0.15">
      <c r="A2245" s="655" t="s">
        <v>1581</v>
      </c>
      <c r="B2245" s="591" t="s">
        <v>1648</v>
      </c>
      <c r="C2245" s="287" t="s">
        <v>1521</v>
      </c>
      <c r="D2245" s="287" t="s">
        <v>1229</v>
      </c>
      <c r="E2245" s="656">
        <v>2952</v>
      </c>
      <c r="F2245" s="381">
        <v>652.16</v>
      </c>
    </row>
    <row r="2246" spans="1:6" s="275" customFormat="1" x14ac:dyDescent="0.15">
      <c r="A2246" s="655" t="s">
        <v>1582</v>
      </c>
      <c r="B2246" s="591" t="s">
        <v>1649</v>
      </c>
      <c r="C2246" s="287" t="s">
        <v>1525</v>
      </c>
      <c r="D2246" s="287" t="s">
        <v>1526</v>
      </c>
      <c r="E2246" s="656">
        <v>27</v>
      </c>
      <c r="F2246" s="381">
        <v>12.21</v>
      </c>
    </row>
    <row r="2247" spans="1:6" s="275" customFormat="1" ht="14" x14ac:dyDescent="0.15">
      <c r="A2247" s="655" t="s">
        <v>1583</v>
      </c>
      <c r="B2247" s="591" t="s">
        <v>1650</v>
      </c>
      <c r="C2247" s="287" t="s">
        <v>1584</v>
      </c>
      <c r="D2247" s="618" t="s">
        <v>1264</v>
      </c>
      <c r="E2247" s="656">
        <v>1160</v>
      </c>
      <c r="F2247" s="381">
        <v>288.16000000000003</v>
      </c>
    </row>
    <row r="2248" spans="1:6" s="275" customFormat="1" x14ac:dyDescent="0.15">
      <c r="A2248" s="655" t="s">
        <v>1666</v>
      </c>
      <c r="B2248" s="591" t="s">
        <v>1672</v>
      </c>
      <c r="C2248" s="287" t="s">
        <v>1667</v>
      </c>
      <c r="D2248" s="287" t="s">
        <v>1668</v>
      </c>
      <c r="E2248" s="656">
        <v>28416</v>
      </c>
      <c r="F2248" s="381">
        <v>7622.87</v>
      </c>
    </row>
    <row r="2249" spans="1:6" s="275" customFormat="1" x14ac:dyDescent="0.15">
      <c r="A2249" s="655" t="s">
        <v>1606</v>
      </c>
      <c r="B2249" s="591"/>
      <c r="C2249" s="287" t="s">
        <v>1334</v>
      </c>
      <c r="D2249" s="287" t="s">
        <v>1462</v>
      </c>
      <c r="E2249" s="656">
        <f>26.8+48.2</f>
        <v>75</v>
      </c>
      <c r="F2249" s="381">
        <v>19.560000000000002</v>
      </c>
    </row>
    <row r="2250" spans="1:6" s="275" customFormat="1" ht="14" thickBot="1" x14ac:dyDescent="0.2">
      <c r="A2250" s="655"/>
      <c r="B2250" s="591"/>
      <c r="C2250" s="291" t="s">
        <v>1708</v>
      </c>
      <c r="D2250" s="287"/>
      <c r="E2250" s="643">
        <f>SUM(E2225:E2249)</f>
        <v>87588.799999999988</v>
      </c>
      <c r="F2250" s="658">
        <v>22202.01</v>
      </c>
    </row>
    <row r="2251" spans="1:6" s="275" customFormat="1" ht="14" thickTop="1" x14ac:dyDescent="0.15">
      <c r="A2251" s="660"/>
      <c r="B2251" s="661"/>
      <c r="C2251" s="359"/>
      <c r="D2251" s="359"/>
      <c r="E2251" s="662"/>
      <c r="F2251" s="375"/>
    </row>
    <row r="2252" spans="1:6" s="275" customFormat="1" x14ac:dyDescent="0.15">
      <c r="A2252" s="660"/>
      <c r="B2252" s="661"/>
      <c r="C2252" s="293" t="s">
        <v>1594</v>
      </c>
      <c r="D2252" s="359"/>
      <c r="E2252" s="662"/>
      <c r="F2252" s="375"/>
    </row>
    <row r="2253" spans="1:6" s="275" customFormat="1" x14ac:dyDescent="0.15">
      <c r="A2253" s="660"/>
      <c r="B2253" s="661"/>
      <c r="C2253" s="293" t="s">
        <v>1446</v>
      </c>
      <c r="D2253" s="359"/>
      <c r="E2253" s="662"/>
      <c r="F2253" s="375"/>
    </row>
    <row r="2254" spans="1:6" s="275" customFormat="1" x14ac:dyDescent="0.15">
      <c r="A2254" s="660"/>
      <c r="B2254" s="661"/>
      <c r="C2254" s="386">
        <v>42094</v>
      </c>
      <c r="D2254" s="359"/>
      <c r="E2254" s="662"/>
      <c r="F2254" s="375"/>
    </row>
    <row r="2255" spans="1:6" s="275" customFormat="1" x14ac:dyDescent="0.15">
      <c r="A2255" s="660"/>
      <c r="B2255" s="661"/>
      <c r="C2255" s="359"/>
      <c r="D2255" s="359"/>
      <c r="E2255" s="662"/>
      <c r="F2255" s="375"/>
    </row>
    <row r="2256" spans="1:6" s="275" customFormat="1" ht="14" thickBot="1" x14ac:dyDescent="0.2">
      <c r="A2256" s="663"/>
      <c r="B2256" s="664"/>
      <c r="C2256" s="665" t="s">
        <v>1195</v>
      </c>
      <c r="D2256" s="665"/>
      <c r="E2256" s="666">
        <f>SUM(E2223,E2250)</f>
        <v>188095.5</v>
      </c>
      <c r="F2256" s="667">
        <v>44197.87999999999</v>
      </c>
    </row>
    <row r="2257" spans="1:6" s="275" customFormat="1" x14ac:dyDescent="0.15">
      <c r="A2257" s="617"/>
      <c r="B2257" s="617"/>
      <c r="E2257" s="276"/>
      <c r="F2257" s="278"/>
    </row>
    <row r="2258" spans="1:6" s="275" customFormat="1" x14ac:dyDescent="0.15">
      <c r="A2258" s="652" t="s">
        <v>1534</v>
      </c>
      <c r="B2258" s="653" t="s">
        <v>1614</v>
      </c>
      <c r="C2258" s="371" t="s">
        <v>1492</v>
      </c>
      <c r="D2258" s="371" t="s">
        <v>1239</v>
      </c>
      <c r="E2258" s="654">
        <v>11200</v>
      </c>
      <c r="F2258" s="391">
        <v>2331.65</v>
      </c>
    </row>
    <row r="2259" spans="1:6" s="275" customFormat="1" x14ac:dyDescent="0.15">
      <c r="A2259" s="655" t="s">
        <v>1535</v>
      </c>
      <c r="B2259" s="591" t="s">
        <v>1615</v>
      </c>
      <c r="C2259" s="287" t="s">
        <v>1507</v>
      </c>
      <c r="D2259" s="287" t="s">
        <v>1245</v>
      </c>
      <c r="E2259" s="656">
        <v>3760</v>
      </c>
      <c r="F2259" s="381">
        <v>865.62</v>
      </c>
    </row>
    <row r="2260" spans="1:6" s="275" customFormat="1" x14ac:dyDescent="0.15">
      <c r="A2260" s="655" t="s">
        <v>1670</v>
      </c>
      <c r="B2260" s="591" t="s">
        <v>1659</v>
      </c>
      <c r="C2260" s="287" t="s">
        <v>1279</v>
      </c>
      <c r="D2260" s="287" t="s">
        <v>1660</v>
      </c>
      <c r="E2260" s="656">
        <v>8640</v>
      </c>
      <c r="F2260" s="381">
        <v>1775.09</v>
      </c>
    </row>
    <row r="2261" spans="1:6" s="275" customFormat="1" x14ac:dyDescent="0.15">
      <c r="A2261" s="655" t="s">
        <v>1536</v>
      </c>
      <c r="B2261" s="591" t="s">
        <v>1616</v>
      </c>
      <c r="C2261" s="287" t="s">
        <v>1479</v>
      </c>
      <c r="D2261" s="287" t="s">
        <v>1231</v>
      </c>
      <c r="E2261" s="656">
        <v>5525</v>
      </c>
      <c r="F2261" s="381">
        <v>1125.6199999999999</v>
      </c>
    </row>
    <row r="2262" spans="1:6" s="275" customFormat="1" x14ac:dyDescent="0.15">
      <c r="A2262" s="655" t="s">
        <v>1537</v>
      </c>
      <c r="B2262" s="591" t="s">
        <v>1617</v>
      </c>
      <c r="C2262" s="287" t="s">
        <v>1269</v>
      </c>
      <c r="D2262" s="287" t="s">
        <v>1270</v>
      </c>
      <c r="E2262" s="656">
        <v>4141</v>
      </c>
      <c r="F2262" s="381">
        <v>872.57</v>
      </c>
    </row>
    <row r="2263" spans="1:6" s="275" customFormat="1" x14ac:dyDescent="0.15">
      <c r="A2263" s="655" t="s">
        <v>1538</v>
      </c>
      <c r="B2263" s="591" t="s">
        <v>1618</v>
      </c>
      <c r="C2263" s="287" t="s">
        <v>1517</v>
      </c>
      <c r="D2263" s="287" t="s">
        <v>1518</v>
      </c>
      <c r="E2263" s="656">
        <v>4</v>
      </c>
      <c r="F2263" s="381">
        <v>30.67</v>
      </c>
    </row>
    <row r="2264" spans="1:6" s="275" customFormat="1" x14ac:dyDescent="0.15">
      <c r="A2264" s="655" t="s">
        <v>1540</v>
      </c>
      <c r="B2264" s="591" t="s">
        <v>1620</v>
      </c>
      <c r="C2264" s="287" t="s">
        <v>1257</v>
      </c>
      <c r="D2264" s="287" t="s">
        <v>1258</v>
      </c>
      <c r="E2264" s="656">
        <v>23840</v>
      </c>
      <c r="F2264" s="381">
        <v>4803.34</v>
      </c>
    </row>
    <row r="2265" spans="1:6" s="275" customFormat="1" x14ac:dyDescent="0.15">
      <c r="A2265" s="655" t="s">
        <v>1541</v>
      </c>
      <c r="B2265" s="591" t="s">
        <v>1621</v>
      </c>
      <c r="C2265" s="287" t="s">
        <v>1586</v>
      </c>
      <c r="D2265" s="287" t="s">
        <v>1500</v>
      </c>
      <c r="E2265" s="656">
        <v>4280</v>
      </c>
      <c r="F2265" s="381">
        <v>931.37</v>
      </c>
    </row>
    <row r="2266" spans="1:6" s="275" customFormat="1" x14ac:dyDescent="0.15">
      <c r="A2266" s="655" t="s">
        <v>1542</v>
      </c>
      <c r="B2266" s="591" t="s">
        <v>1622</v>
      </c>
      <c r="C2266" s="287" t="s">
        <v>1240</v>
      </c>
      <c r="D2266" s="287" t="s">
        <v>1467</v>
      </c>
      <c r="E2266" s="656">
        <v>4222</v>
      </c>
      <c r="F2266" s="381">
        <v>879.05</v>
      </c>
    </row>
    <row r="2267" spans="1:6" s="275" customFormat="1" x14ac:dyDescent="0.15">
      <c r="A2267" s="655" t="s">
        <v>1543</v>
      </c>
      <c r="B2267" s="591" t="s">
        <v>1623</v>
      </c>
      <c r="C2267" s="287" t="s">
        <v>1523</v>
      </c>
      <c r="D2267" s="287" t="s">
        <v>1266</v>
      </c>
      <c r="E2267" s="656">
        <v>655</v>
      </c>
      <c r="F2267" s="381">
        <v>196.52</v>
      </c>
    </row>
    <row r="2268" spans="1:6" s="275" customFormat="1" x14ac:dyDescent="0.15">
      <c r="A2268" s="655" t="s">
        <v>1544</v>
      </c>
      <c r="B2268" s="591" t="s">
        <v>1624</v>
      </c>
      <c r="C2268" s="287" t="s">
        <v>1234</v>
      </c>
      <c r="D2268" s="287" t="s">
        <v>1494</v>
      </c>
      <c r="E2268" s="656">
        <v>5283</v>
      </c>
      <c r="F2268" s="381">
        <v>1184.58</v>
      </c>
    </row>
    <row r="2269" spans="1:6" s="275" customFormat="1" x14ac:dyDescent="0.15">
      <c r="A2269" s="655" t="s">
        <v>1601</v>
      </c>
      <c r="B2269" s="591"/>
      <c r="C2269" s="287" t="s">
        <v>1334</v>
      </c>
      <c r="D2269" s="287" t="s">
        <v>1462</v>
      </c>
      <c r="E2269" s="656">
        <f>1212.6+1585.9</f>
        <v>2798.5</v>
      </c>
      <c r="F2269" s="381">
        <v>667.37</v>
      </c>
    </row>
    <row r="2270" spans="1:6" s="275" customFormat="1" x14ac:dyDescent="0.15">
      <c r="A2270" s="655" t="s">
        <v>1545</v>
      </c>
      <c r="B2270" s="591"/>
      <c r="C2270" s="287" t="s">
        <v>1234</v>
      </c>
      <c r="D2270" s="287" t="s">
        <v>1494</v>
      </c>
      <c r="E2270" s="656">
        <f>2.1+61.7</f>
        <v>63.800000000000004</v>
      </c>
      <c r="F2270" s="381">
        <v>17.130000000000003</v>
      </c>
    </row>
    <row r="2271" spans="1:6" s="275" customFormat="1" x14ac:dyDescent="0.15">
      <c r="A2271" s="655" t="s">
        <v>1602</v>
      </c>
      <c r="B2271" s="591"/>
      <c r="C2271" s="287" t="s">
        <v>1334</v>
      </c>
      <c r="D2271" s="287" t="s">
        <v>1462</v>
      </c>
      <c r="E2271" s="656">
        <f>67.9+88.7</f>
        <v>156.60000000000002</v>
      </c>
      <c r="F2271" s="381">
        <v>49.94</v>
      </c>
    </row>
    <row r="2272" spans="1:6" s="275" customFormat="1" x14ac:dyDescent="0.15">
      <c r="A2272" s="655" t="s">
        <v>1546</v>
      </c>
      <c r="B2272" s="591"/>
      <c r="C2272" s="287" t="s">
        <v>1586</v>
      </c>
      <c r="D2272" s="287" t="s">
        <v>1500</v>
      </c>
      <c r="E2272" s="656">
        <f>2.4+70.8</f>
        <v>73.2</v>
      </c>
      <c r="F2272" s="381">
        <v>27.46</v>
      </c>
    </row>
    <row r="2273" spans="1:6" s="275" customFormat="1" x14ac:dyDescent="0.15">
      <c r="A2273" s="655" t="s">
        <v>1547</v>
      </c>
      <c r="B2273" s="591"/>
      <c r="C2273" s="287" t="s">
        <v>1286</v>
      </c>
      <c r="D2273" s="287" t="s">
        <v>1514</v>
      </c>
      <c r="E2273" s="659">
        <v>0</v>
      </c>
      <c r="F2273" s="381">
        <v>0</v>
      </c>
    </row>
    <row r="2274" spans="1:6" s="275" customFormat="1" x14ac:dyDescent="0.15">
      <c r="A2274" s="655" t="s">
        <v>1549</v>
      </c>
      <c r="B2274" s="591" t="s">
        <v>1625</v>
      </c>
      <c r="C2274" s="287" t="s">
        <v>1459</v>
      </c>
      <c r="D2274" s="287" t="s">
        <v>1251</v>
      </c>
      <c r="E2274" s="656">
        <v>1650</v>
      </c>
      <c r="F2274" s="381">
        <v>384.44</v>
      </c>
    </row>
    <row r="2275" spans="1:6" s="275" customFormat="1" x14ac:dyDescent="0.15">
      <c r="A2275" s="655" t="s">
        <v>1603</v>
      </c>
      <c r="B2275" s="591"/>
      <c r="C2275" s="287" t="s">
        <v>1334</v>
      </c>
      <c r="D2275" s="287" t="s">
        <v>1462</v>
      </c>
      <c r="E2275" s="656">
        <f>507.1+663.3</f>
        <v>1170.4000000000001</v>
      </c>
      <c r="F2275" s="381">
        <v>295.71000000000004</v>
      </c>
    </row>
    <row r="2276" spans="1:6" s="275" customFormat="1" x14ac:dyDescent="0.15">
      <c r="A2276" s="655" t="s">
        <v>1597</v>
      </c>
      <c r="B2276" s="591" t="s">
        <v>1626</v>
      </c>
      <c r="C2276" s="287" t="s">
        <v>1454</v>
      </c>
      <c r="D2276" s="287" t="s">
        <v>1247</v>
      </c>
      <c r="E2276" s="656">
        <v>4480</v>
      </c>
      <c r="F2276" s="381">
        <v>957.75</v>
      </c>
    </row>
    <row r="2277" spans="1:6" s="275" customFormat="1" x14ac:dyDescent="0.15">
      <c r="A2277" s="655" t="s">
        <v>1677</v>
      </c>
      <c r="B2277" s="591" t="s">
        <v>1678</v>
      </c>
      <c r="C2277" s="287" t="s">
        <v>1313</v>
      </c>
      <c r="D2277" s="287" t="s">
        <v>1412</v>
      </c>
      <c r="E2277" s="656">
        <v>1285</v>
      </c>
      <c r="F2277" s="381">
        <v>309.11</v>
      </c>
    </row>
    <row r="2278" spans="1:6" s="275" customFormat="1" x14ac:dyDescent="0.15">
      <c r="A2278" s="655" t="s">
        <v>1551</v>
      </c>
      <c r="B2278" s="591" t="s">
        <v>1627</v>
      </c>
      <c r="C2278" s="287" t="s">
        <v>1235</v>
      </c>
      <c r="D2278" s="287" t="s">
        <v>1236</v>
      </c>
      <c r="E2278" s="656">
        <v>8782</v>
      </c>
      <c r="F2278" s="381">
        <v>1791.77</v>
      </c>
    </row>
    <row r="2279" spans="1:6" s="275" customFormat="1" x14ac:dyDescent="0.15">
      <c r="A2279" s="655" t="s">
        <v>1553</v>
      </c>
      <c r="B2279" s="591" t="s">
        <v>1628</v>
      </c>
      <c r="C2279" s="287" t="s">
        <v>1475</v>
      </c>
      <c r="D2279" s="287" t="s">
        <v>1387</v>
      </c>
      <c r="E2279" s="656">
        <v>836</v>
      </c>
      <c r="F2279" s="381">
        <v>200.81</v>
      </c>
    </row>
    <row r="2280" spans="1:6" s="275" customFormat="1" x14ac:dyDescent="0.15">
      <c r="A2280" s="655" t="s">
        <v>1554</v>
      </c>
      <c r="B2280" s="591" t="s">
        <v>1629</v>
      </c>
      <c r="C2280" s="287" t="s">
        <v>1399</v>
      </c>
      <c r="D2280" s="287" t="s">
        <v>1276</v>
      </c>
      <c r="E2280" s="656">
        <v>4600</v>
      </c>
      <c r="F2280" s="381">
        <v>1020.5</v>
      </c>
    </row>
    <row r="2281" spans="1:6" s="275" customFormat="1" x14ac:dyDescent="0.15">
      <c r="A2281" s="655" t="s">
        <v>1598</v>
      </c>
      <c r="B2281" s="591"/>
      <c r="C2281" s="287" t="s">
        <v>1586</v>
      </c>
      <c r="D2281" s="287" t="s">
        <v>1500</v>
      </c>
      <c r="E2281" s="656">
        <f>1.2+35.4</f>
        <v>36.6</v>
      </c>
      <c r="F2281" s="381">
        <v>16.43</v>
      </c>
    </row>
    <row r="2282" spans="1:6" s="275" customFormat="1" x14ac:dyDescent="0.15">
      <c r="A2282" s="655" t="s">
        <v>1662</v>
      </c>
      <c r="B2282" s="657">
        <v>892914652</v>
      </c>
      <c r="C2282" s="287" t="s">
        <v>1663</v>
      </c>
      <c r="D2282" s="287" t="s">
        <v>1664</v>
      </c>
      <c r="E2282" s="656">
        <v>9920</v>
      </c>
      <c r="F2282" s="381">
        <v>2338.81</v>
      </c>
    </row>
    <row r="2283" spans="1:6" s="275" customFormat="1" ht="14" thickBot="1" x14ac:dyDescent="0.2">
      <c r="A2283" s="655"/>
      <c r="B2283" s="591"/>
      <c r="C2283" s="291" t="s">
        <v>1709</v>
      </c>
      <c r="D2283" s="287"/>
      <c r="E2283" s="638">
        <f>SUM(E2258:E2282)</f>
        <v>107402.1</v>
      </c>
      <c r="F2283" s="658">
        <v>23073.309999999998</v>
      </c>
    </row>
    <row r="2284" spans="1:6" s="275" customFormat="1" ht="14" thickTop="1" x14ac:dyDescent="0.15">
      <c r="A2284" s="655"/>
      <c r="B2284" s="591"/>
      <c r="C2284" s="287"/>
      <c r="D2284" s="287"/>
      <c r="E2284" s="524"/>
      <c r="F2284" s="381"/>
    </row>
    <row r="2285" spans="1:6" s="275" customFormat="1" x14ac:dyDescent="0.15">
      <c r="A2285" s="655" t="s">
        <v>1556</v>
      </c>
      <c r="B2285" s="591" t="s">
        <v>1631</v>
      </c>
      <c r="C2285" s="287" t="s">
        <v>1248</v>
      </c>
      <c r="D2285" s="287" t="s">
        <v>1482</v>
      </c>
      <c r="E2285" s="656">
        <v>3741</v>
      </c>
      <c r="F2285" s="381">
        <v>826.92</v>
      </c>
    </row>
    <row r="2286" spans="1:6" s="275" customFormat="1" x14ac:dyDescent="0.15">
      <c r="A2286" s="655" t="s">
        <v>1558</v>
      </c>
      <c r="B2286" s="591" t="s">
        <v>1633</v>
      </c>
      <c r="C2286" s="287" t="s">
        <v>1469</v>
      </c>
      <c r="D2286" s="287" t="s">
        <v>1470</v>
      </c>
      <c r="E2286" s="656">
        <v>5280</v>
      </c>
      <c r="F2286" s="381">
        <v>1141.44</v>
      </c>
    </row>
    <row r="2287" spans="1:6" s="275" customFormat="1" x14ac:dyDescent="0.15">
      <c r="A2287" s="655" t="s">
        <v>1559</v>
      </c>
      <c r="B2287" s="591" t="s">
        <v>1634</v>
      </c>
      <c r="C2287" s="287" t="s">
        <v>1502</v>
      </c>
      <c r="D2287" s="287" t="s">
        <v>1381</v>
      </c>
      <c r="E2287" s="656">
        <v>14112</v>
      </c>
      <c r="F2287" s="381">
        <v>1955.85</v>
      </c>
    </row>
    <row r="2288" spans="1:6" s="275" customFormat="1" x14ac:dyDescent="0.15">
      <c r="A2288" s="655" t="s">
        <v>1560</v>
      </c>
      <c r="B2288" s="591" t="s">
        <v>1635</v>
      </c>
      <c r="C2288" s="287" t="s">
        <v>1504</v>
      </c>
      <c r="D2288" s="287" t="s">
        <v>1505</v>
      </c>
      <c r="E2288" s="656">
        <v>1613</v>
      </c>
      <c r="F2288" s="381">
        <v>335.61</v>
      </c>
    </row>
    <row r="2289" spans="1:6" s="275" customFormat="1" x14ac:dyDescent="0.15">
      <c r="A2289" s="655" t="s">
        <v>1675</v>
      </c>
      <c r="B2289" s="591" t="s">
        <v>1676</v>
      </c>
      <c r="C2289" s="287" t="s">
        <v>1477</v>
      </c>
      <c r="D2289" s="287" t="s">
        <v>1289</v>
      </c>
      <c r="E2289" s="656">
        <v>11450</v>
      </c>
      <c r="F2289" s="381">
        <v>2401.91</v>
      </c>
    </row>
    <row r="2290" spans="1:6" s="275" customFormat="1" x14ac:dyDescent="0.15">
      <c r="A2290" s="655" t="s">
        <v>1563</v>
      </c>
      <c r="B2290" s="591"/>
      <c r="C2290" s="287" t="s">
        <v>1267</v>
      </c>
      <c r="D2290" s="287" t="s">
        <v>1268</v>
      </c>
      <c r="E2290" s="656">
        <f>2.1+61.7</f>
        <v>63.800000000000004</v>
      </c>
      <c r="F2290" s="381">
        <v>13.73</v>
      </c>
    </row>
    <row r="2291" spans="1:6" s="275" customFormat="1" x14ac:dyDescent="0.15">
      <c r="A2291" s="655" t="s">
        <v>1564</v>
      </c>
      <c r="B2291" s="591" t="s">
        <v>1636</v>
      </c>
      <c r="C2291" s="287" t="s">
        <v>1485</v>
      </c>
      <c r="D2291" s="287" t="s">
        <v>1486</v>
      </c>
      <c r="E2291" s="656">
        <v>1520</v>
      </c>
      <c r="F2291" s="381">
        <v>341.36</v>
      </c>
    </row>
    <row r="2292" spans="1:6" s="275" customFormat="1" x14ac:dyDescent="0.15">
      <c r="A2292" s="655" t="s">
        <v>1565</v>
      </c>
      <c r="B2292" s="591" t="s">
        <v>1637</v>
      </c>
      <c r="C2292" s="287" t="s">
        <v>1267</v>
      </c>
      <c r="D2292" s="287" t="s">
        <v>1268</v>
      </c>
      <c r="E2292" s="656">
        <v>2111</v>
      </c>
      <c r="F2292" s="381">
        <v>507.06</v>
      </c>
    </row>
    <row r="2293" spans="1:6" s="275" customFormat="1" x14ac:dyDescent="0.15">
      <c r="A2293" s="655" t="s">
        <v>1569</v>
      </c>
      <c r="B2293" s="591" t="s">
        <v>1638</v>
      </c>
      <c r="C2293" s="287" t="s">
        <v>1464</v>
      </c>
      <c r="D2293" s="287" t="s">
        <v>1285</v>
      </c>
      <c r="E2293" s="656">
        <v>919</v>
      </c>
      <c r="F2293" s="381">
        <v>254.94</v>
      </c>
    </row>
    <row r="2294" spans="1:6" s="275" customFormat="1" x14ac:dyDescent="0.15">
      <c r="A2294" s="655" t="s">
        <v>1570</v>
      </c>
      <c r="B2294" s="591" t="s">
        <v>1639</v>
      </c>
      <c r="C2294" s="287" t="s">
        <v>1472</v>
      </c>
      <c r="D2294" s="287" t="s">
        <v>1473</v>
      </c>
      <c r="E2294" s="656">
        <v>52</v>
      </c>
      <c r="F2294" s="381">
        <v>38.700000000000003</v>
      </c>
    </row>
    <row r="2295" spans="1:6" s="275" customFormat="1" x14ac:dyDescent="0.15">
      <c r="A2295" s="655" t="s">
        <v>1571</v>
      </c>
      <c r="B2295" s="591" t="s">
        <v>1640</v>
      </c>
      <c r="C2295" s="287" t="s">
        <v>1489</v>
      </c>
      <c r="D2295" s="287" t="s">
        <v>1490</v>
      </c>
      <c r="E2295" s="656">
        <v>104</v>
      </c>
      <c r="F2295" s="381">
        <v>47.43</v>
      </c>
    </row>
    <row r="2296" spans="1:6" s="275" customFormat="1" x14ac:dyDescent="0.15">
      <c r="A2296" s="655" t="s">
        <v>1572</v>
      </c>
      <c r="B2296" s="591" t="s">
        <v>1641</v>
      </c>
      <c r="C2296" s="287" t="s">
        <v>1271</v>
      </c>
      <c r="D2296" s="287" t="s">
        <v>1272</v>
      </c>
      <c r="E2296" s="656">
        <v>4544</v>
      </c>
      <c r="F2296" s="381">
        <v>961.36</v>
      </c>
    </row>
    <row r="2297" spans="1:6" s="275" customFormat="1" x14ac:dyDescent="0.15">
      <c r="A2297" s="655" t="s">
        <v>1573</v>
      </c>
      <c r="B2297" s="591"/>
      <c r="C2297" s="287" t="s">
        <v>1461</v>
      </c>
      <c r="D2297" s="287" t="s">
        <v>1703</v>
      </c>
      <c r="E2297" s="656">
        <v>26</v>
      </c>
      <c r="F2297" s="381">
        <v>17.18</v>
      </c>
    </row>
    <row r="2298" spans="1:6" s="275" customFormat="1" x14ac:dyDescent="0.15">
      <c r="A2298" s="655" t="s">
        <v>1574</v>
      </c>
      <c r="B2298" s="591" t="s">
        <v>1642</v>
      </c>
      <c r="C2298" s="287" t="s">
        <v>1377</v>
      </c>
      <c r="D2298" s="287" t="s">
        <v>1378</v>
      </c>
      <c r="E2298" s="656">
        <v>1608</v>
      </c>
      <c r="F2298" s="381">
        <v>348.96</v>
      </c>
    </row>
    <row r="2299" spans="1:6" s="275" customFormat="1" x14ac:dyDescent="0.15">
      <c r="A2299" s="655" t="s">
        <v>1575</v>
      </c>
      <c r="B2299" s="591" t="s">
        <v>1685</v>
      </c>
      <c r="C2299" s="287" t="s">
        <v>1448</v>
      </c>
      <c r="D2299" s="287" t="s">
        <v>1449</v>
      </c>
      <c r="E2299" s="656">
        <v>93</v>
      </c>
      <c r="F2299" s="381">
        <v>27.4</v>
      </c>
    </row>
    <row r="2300" spans="1:6" s="275" customFormat="1" x14ac:dyDescent="0.15">
      <c r="A2300" s="655" t="s">
        <v>1604</v>
      </c>
      <c r="B2300" s="591"/>
      <c r="C2300" s="287" t="s">
        <v>1334</v>
      </c>
      <c r="D2300" s="287" t="s">
        <v>1462</v>
      </c>
      <c r="E2300" s="656">
        <f>63.4+83</f>
        <v>146.4</v>
      </c>
      <c r="F2300" s="381">
        <v>53.769999999999996</v>
      </c>
    </row>
    <row r="2301" spans="1:6" s="275" customFormat="1" x14ac:dyDescent="0.15">
      <c r="A2301" s="655" t="s">
        <v>1576</v>
      </c>
      <c r="B2301" s="591" t="s">
        <v>1644</v>
      </c>
      <c r="C2301" s="287" t="s">
        <v>1401</v>
      </c>
      <c r="D2301" s="287" t="s">
        <v>1316</v>
      </c>
      <c r="E2301" s="656">
        <v>48</v>
      </c>
      <c r="F2301" s="381">
        <v>38.049999999999997</v>
      </c>
    </row>
    <row r="2302" spans="1:6" s="275" customFormat="1" x14ac:dyDescent="0.15">
      <c r="A2302" s="655" t="s">
        <v>1605</v>
      </c>
      <c r="B2302" s="591"/>
      <c r="C2302" s="287" t="s">
        <v>1334</v>
      </c>
      <c r="D2302" s="287" t="s">
        <v>1462</v>
      </c>
      <c r="E2302" s="656">
        <f>231.4+302.6</f>
        <v>534</v>
      </c>
      <c r="F2302" s="381">
        <v>195.75</v>
      </c>
    </row>
    <row r="2303" spans="1:6" s="275" customFormat="1" x14ac:dyDescent="0.15">
      <c r="A2303" s="655" t="s">
        <v>1578</v>
      </c>
      <c r="B2303" s="591" t="s">
        <v>1646</v>
      </c>
      <c r="C2303" s="287" t="s">
        <v>1579</v>
      </c>
      <c r="D2303" s="287" t="s">
        <v>1497</v>
      </c>
      <c r="E2303" s="656">
        <f>13+48</f>
        <v>61</v>
      </c>
      <c r="F2303" s="381">
        <v>70.22999999999999</v>
      </c>
    </row>
    <row r="2304" spans="1:6" s="275" customFormat="1" x14ac:dyDescent="0.15">
      <c r="A2304" s="655" t="s">
        <v>1580</v>
      </c>
      <c r="B2304" s="591" t="s">
        <v>1647</v>
      </c>
      <c r="C2304" s="287" t="s">
        <v>1451</v>
      </c>
      <c r="D2304" s="287" t="s">
        <v>1674</v>
      </c>
      <c r="E2304" s="656">
        <v>6912</v>
      </c>
      <c r="F2304" s="381">
        <v>2729.14</v>
      </c>
    </row>
    <row r="2305" spans="1:6" s="275" customFormat="1" x14ac:dyDescent="0.15">
      <c r="A2305" s="655" t="s">
        <v>1581</v>
      </c>
      <c r="B2305" s="591" t="s">
        <v>1648</v>
      </c>
      <c r="C2305" s="287" t="s">
        <v>1521</v>
      </c>
      <c r="D2305" s="287" t="s">
        <v>1229</v>
      </c>
      <c r="E2305" s="656">
        <v>2827</v>
      </c>
      <c r="F2305" s="381">
        <v>631.24</v>
      </c>
    </row>
    <row r="2306" spans="1:6" s="275" customFormat="1" x14ac:dyDescent="0.15">
      <c r="A2306" s="655" t="s">
        <v>1582</v>
      </c>
      <c r="B2306" s="591" t="s">
        <v>1649</v>
      </c>
      <c r="C2306" s="287" t="s">
        <v>1525</v>
      </c>
      <c r="D2306" s="287" t="s">
        <v>1526</v>
      </c>
      <c r="E2306" s="656">
        <v>43</v>
      </c>
      <c r="F2306" s="381">
        <v>15.91</v>
      </c>
    </row>
    <row r="2307" spans="1:6" s="275" customFormat="1" ht="14" x14ac:dyDescent="0.15">
      <c r="A2307" s="655" t="s">
        <v>1583</v>
      </c>
      <c r="B2307" s="591" t="s">
        <v>1650</v>
      </c>
      <c r="C2307" s="287" t="s">
        <v>1584</v>
      </c>
      <c r="D2307" s="618" t="s">
        <v>1264</v>
      </c>
      <c r="E2307" s="656">
        <v>1560</v>
      </c>
      <c r="F2307" s="381">
        <v>433.3</v>
      </c>
    </row>
    <row r="2308" spans="1:6" s="275" customFormat="1" x14ac:dyDescent="0.15">
      <c r="A2308" s="655" t="s">
        <v>1666</v>
      </c>
      <c r="B2308" s="591" t="s">
        <v>1672</v>
      </c>
      <c r="C2308" s="287" t="s">
        <v>1667</v>
      </c>
      <c r="D2308" s="287" t="s">
        <v>1668</v>
      </c>
      <c r="E2308" s="656">
        <v>24768</v>
      </c>
      <c r="F2308" s="381">
        <v>6877.06</v>
      </c>
    </row>
    <row r="2309" spans="1:6" s="275" customFormat="1" x14ac:dyDescent="0.15">
      <c r="A2309" s="655" t="s">
        <v>1606</v>
      </c>
      <c r="B2309" s="591"/>
      <c r="C2309" s="287" t="s">
        <v>1334</v>
      </c>
      <c r="D2309" s="287" t="s">
        <v>1462</v>
      </c>
      <c r="E2309" s="656">
        <f>27.6+36.2</f>
        <v>63.800000000000004</v>
      </c>
      <c r="F2309" s="381">
        <v>14.66</v>
      </c>
    </row>
    <row r="2310" spans="1:6" s="275" customFormat="1" ht="14" thickBot="1" x14ac:dyDescent="0.2">
      <c r="A2310" s="655"/>
      <c r="B2310" s="591"/>
      <c r="C2310" s="291" t="s">
        <v>1710</v>
      </c>
      <c r="D2310" s="287"/>
      <c r="E2310" s="643">
        <f>SUM(E2285:E2309)</f>
        <v>84200.000000000015</v>
      </c>
      <c r="F2310" s="658">
        <v>20278.959999999995</v>
      </c>
    </row>
    <row r="2311" spans="1:6" s="275" customFormat="1" ht="14" thickTop="1" x14ac:dyDescent="0.15">
      <c r="A2311" s="660"/>
      <c r="B2311" s="661"/>
      <c r="C2311" s="359"/>
      <c r="D2311" s="359"/>
      <c r="E2311" s="662"/>
      <c r="F2311" s="375"/>
    </row>
    <row r="2312" spans="1:6" s="275" customFormat="1" x14ac:dyDescent="0.15">
      <c r="A2312" s="660"/>
      <c r="B2312" s="661"/>
      <c r="C2312" s="293" t="s">
        <v>1594</v>
      </c>
      <c r="D2312" s="359"/>
      <c r="E2312" s="662"/>
      <c r="F2312" s="375"/>
    </row>
    <row r="2313" spans="1:6" s="275" customFormat="1" x14ac:dyDescent="0.15">
      <c r="A2313" s="660"/>
      <c r="B2313" s="661"/>
      <c r="C2313" s="293" t="s">
        <v>1446</v>
      </c>
      <c r="D2313" s="359"/>
      <c r="E2313" s="662"/>
      <c r="F2313" s="375"/>
    </row>
    <row r="2314" spans="1:6" s="275" customFormat="1" x14ac:dyDescent="0.15">
      <c r="A2314" s="660"/>
      <c r="B2314" s="661"/>
      <c r="C2314" s="386">
        <v>42124</v>
      </c>
      <c r="D2314" s="359"/>
      <c r="E2314" s="662"/>
      <c r="F2314" s="375"/>
    </row>
    <row r="2315" spans="1:6" s="275" customFormat="1" x14ac:dyDescent="0.15">
      <c r="A2315" s="660"/>
      <c r="B2315" s="661"/>
      <c r="C2315" s="359"/>
      <c r="D2315" s="359"/>
      <c r="E2315" s="662"/>
      <c r="F2315" s="375"/>
    </row>
    <row r="2316" spans="1:6" s="275" customFormat="1" ht="14" thickBot="1" x14ac:dyDescent="0.2">
      <c r="A2316" s="663"/>
      <c r="B2316" s="664"/>
      <c r="C2316" s="665" t="s">
        <v>1196</v>
      </c>
      <c r="D2316" s="665"/>
      <c r="E2316" s="666">
        <f>SUM(E2283,E2310)</f>
        <v>191602.10000000003</v>
      </c>
      <c r="F2316" s="667">
        <v>43352.27</v>
      </c>
    </row>
    <row r="2317" spans="1:6" s="275" customFormat="1" x14ac:dyDescent="0.15">
      <c r="A2317" s="617"/>
      <c r="B2317" s="617"/>
      <c r="E2317" s="276"/>
      <c r="F2317" s="278"/>
    </row>
    <row r="2318" spans="1:6" s="275" customFormat="1" x14ac:dyDescent="0.15">
      <c r="A2318" s="652" t="s">
        <v>1534</v>
      </c>
      <c r="B2318" s="653" t="s">
        <v>1614</v>
      </c>
      <c r="C2318" s="371" t="s">
        <v>1492</v>
      </c>
      <c r="D2318" s="371" t="s">
        <v>1239</v>
      </c>
      <c r="E2318" s="654">
        <v>9600</v>
      </c>
      <c r="F2318" s="391">
        <v>2028.22</v>
      </c>
    </row>
    <row r="2319" spans="1:6" s="275" customFormat="1" x14ac:dyDescent="0.15">
      <c r="A2319" s="655" t="s">
        <v>1535</v>
      </c>
      <c r="B2319" s="591" t="s">
        <v>1615</v>
      </c>
      <c r="C2319" s="287" t="s">
        <v>1507</v>
      </c>
      <c r="D2319" s="287" t="s">
        <v>1245</v>
      </c>
      <c r="E2319" s="656">
        <v>2920</v>
      </c>
      <c r="F2319" s="381">
        <v>717.87</v>
      </c>
    </row>
    <row r="2320" spans="1:6" s="275" customFormat="1" x14ac:dyDescent="0.15">
      <c r="A2320" s="655" t="s">
        <v>1670</v>
      </c>
      <c r="B2320" s="591" t="s">
        <v>1659</v>
      </c>
      <c r="C2320" s="287" t="s">
        <v>1279</v>
      </c>
      <c r="D2320" s="287" t="s">
        <v>1660</v>
      </c>
      <c r="E2320" s="656">
        <v>6720</v>
      </c>
      <c r="F2320" s="381">
        <v>1446.51</v>
      </c>
    </row>
    <row r="2321" spans="1:6" s="275" customFormat="1" x14ac:dyDescent="0.15">
      <c r="A2321" s="655" t="s">
        <v>1536</v>
      </c>
      <c r="B2321" s="591" t="s">
        <v>1616</v>
      </c>
      <c r="C2321" s="287" t="s">
        <v>1479</v>
      </c>
      <c r="D2321" s="287" t="s">
        <v>1231</v>
      </c>
      <c r="E2321" s="656">
        <v>4535</v>
      </c>
      <c r="F2321" s="381">
        <v>974.07</v>
      </c>
    </row>
    <row r="2322" spans="1:6" s="275" customFormat="1" x14ac:dyDescent="0.15">
      <c r="A2322" s="655" t="s">
        <v>1537</v>
      </c>
      <c r="B2322" s="591" t="s">
        <v>1617</v>
      </c>
      <c r="C2322" s="287" t="s">
        <v>1269</v>
      </c>
      <c r="D2322" s="287" t="s">
        <v>1270</v>
      </c>
      <c r="E2322" s="656">
        <v>2949</v>
      </c>
      <c r="F2322" s="381">
        <v>658.79</v>
      </c>
    </row>
    <row r="2323" spans="1:6" s="275" customFormat="1" x14ac:dyDescent="0.15">
      <c r="A2323" s="655" t="s">
        <v>1538</v>
      </c>
      <c r="B2323" s="591" t="s">
        <v>1618</v>
      </c>
      <c r="C2323" s="287" t="s">
        <v>1517</v>
      </c>
      <c r="D2323" s="287" t="s">
        <v>1518</v>
      </c>
      <c r="E2323" s="656">
        <v>4</v>
      </c>
      <c r="F2323" s="381">
        <v>30.67</v>
      </c>
    </row>
    <row r="2324" spans="1:6" s="275" customFormat="1" x14ac:dyDescent="0.15">
      <c r="A2324" s="655" t="s">
        <v>1540</v>
      </c>
      <c r="B2324" s="591" t="s">
        <v>1620</v>
      </c>
      <c r="C2324" s="287" t="s">
        <v>1257</v>
      </c>
      <c r="D2324" s="287" t="s">
        <v>1258</v>
      </c>
      <c r="E2324" s="656">
        <v>19840</v>
      </c>
      <c r="F2324" s="381">
        <v>4069.64</v>
      </c>
    </row>
    <row r="2325" spans="1:6" s="275" customFormat="1" x14ac:dyDescent="0.15">
      <c r="A2325" s="655" t="s">
        <v>1541</v>
      </c>
      <c r="B2325" s="591" t="s">
        <v>1621</v>
      </c>
      <c r="C2325" s="287" t="s">
        <v>1586</v>
      </c>
      <c r="D2325" s="287" t="s">
        <v>1500</v>
      </c>
      <c r="E2325" s="656">
        <v>3760</v>
      </c>
      <c r="F2325" s="381">
        <v>858.51</v>
      </c>
    </row>
    <row r="2326" spans="1:6" s="275" customFormat="1" x14ac:dyDescent="0.15">
      <c r="A2326" s="655" t="s">
        <v>1542</v>
      </c>
      <c r="B2326" s="591" t="s">
        <v>1622</v>
      </c>
      <c r="C2326" s="287" t="s">
        <v>1240</v>
      </c>
      <c r="D2326" s="287" t="s">
        <v>1467</v>
      </c>
      <c r="E2326" s="656">
        <v>3675</v>
      </c>
      <c r="F2326" s="381">
        <v>780.35</v>
      </c>
    </row>
    <row r="2327" spans="1:6" s="275" customFormat="1" x14ac:dyDescent="0.15">
      <c r="A2327" s="655" t="s">
        <v>1543</v>
      </c>
      <c r="B2327" s="591" t="s">
        <v>1623</v>
      </c>
      <c r="C2327" s="287" t="s">
        <v>1523</v>
      </c>
      <c r="D2327" s="287" t="s">
        <v>1266</v>
      </c>
      <c r="E2327" s="656">
        <v>559</v>
      </c>
      <c r="F2327" s="381">
        <v>159.13</v>
      </c>
    </row>
    <row r="2328" spans="1:6" s="275" customFormat="1" x14ac:dyDescent="0.15">
      <c r="A2328" s="655" t="s">
        <v>1544</v>
      </c>
      <c r="B2328" s="591" t="s">
        <v>1624</v>
      </c>
      <c r="C2328" s="287" t="s">
        <v>1234</v>
      </c>
      <c r="D2328" s="287" t="s">
        <v>1494</v>
      </c>
      <c r="E2328" s="656">
        <v>4022</v>
      </c>
      <c r="F2328" s="381">
        <v>937.92</v>
      </c>
    </row>
    <row r="2329" spans="1:6" s="275" customFormat="1" x14ac:dyDescent="0.15">
      <c r="A2329" s="655" t="s">
        <v>1601</v>
      </c>
      <c r="B2329" s="591"/>
      <c r="C2329" s="287" t="s">
        <v>1334</v>
      </c>
      <c r="D2329" s="287" t="s">
        <v>1462</v>
      </c>
      <c r="E2329" s="656">
        <f>1060.6+1468.2</f>
        <v>2528.8000000000002</v>
      </c>
      <c r="F2329" s="381">
        <v>568.08000000000004</v>
      </c>
    </row>
    <row r="2330" spans="1:6" s="275" customFormat="1" x14ac:dyDescent="0.15">
      <c r="A2330" s="655" t="s">
        <v>1545</v>
      </c>
      <c r="B2330" s="591"/>
      <c r="C2330" s="287" t="s">
        <v>1234</v>
      </c>
      <c r="D2330" s="287" t="s">
        <v>1494</v>
      </c>
      <c r="E2330" s="656">
        <v>57.7</v>
      </c>
      <c r="F2330" s="381">
        <v>15.5</v>
      </c>
    </row>
    <row r="2331" spans="1:6" s="275" customFormat="1" x14ac:dyDescent="0.15">
      <c r="A2331" s="655" t="s">
        <v>1602</v>
      </c>
      <c r="B2331" s="591"/>
      <c r="C2331" s="287" t="s">
        <v>1334</v>
      </c>
      <c r="D2331" s="287" t="s">
        <v>1462</v>
      </c>
      <c r="E2331" s="656">
        <f>59.1+81.9</f>
        <v>141</v>
      </c>
      <c r="F2331" s="381">
        <v>44.31</v>
      </c>
    </row>
    <row r="2332" spans="1:6" s="275" customFormat="1" x14ac:dyDescent="0.15">
      <c r="A2332" s="655" t="s">
        <v>1546</v>
      </c>
      <c r="B2332" s="591"/>
      <c r="C2332" s="287" t="s">
        <v>1586</v>
      </c>
      <c r="D2332" s="287" t="s">
        <v>1500</v>
      </c>
      <c r="E2332" s="656">
        <v>66</v>
      </c>
      <c r="F2332" s="381">
        <v>25.79</v>
      </c>
    </row>
    <row r="2333" spans="1:6" s="275" customFormat="1" x14ac:dyDescent="0.15">
      <c r="A2333" s="655" t="s">
        <v>1547</v>
      </c>
      <c r="B2333" s="591"/>
      <c r="C2333" s="287" t="s">
        <v>1286</v>
      </c>
      <c r="D2333" s="287" t="s">
        <v>1514</v>
      </c>
      <c r="E2333" s="659">
        <v>0</v>
      </c>
      <c r="F2333" s="381">
        <v>0</v>
      </c>
    </row>
    <row r="2334" spans="1:6" s="275" customFormat="1" x14ac:dyDescent="0.15">
      <c r="A2334" s="655" t="s">
        <v>1549</v>
      </c>
      <c r="B2334" s="591" t="s">
        <v>1625</v>
      </c>
      <c r="C2334" s="287" t="s">
        <v>1459</v>
      </c>
      <c r="D2334" s="287" t="s">
        <v>1251</v>
      </c>
      <c r="E2334" s="656">
        <v>977</v>
      </c>
      <c r="F2334" s="381">
        <v>243.34</v>
      </c>
    </row>
    <row r="2335" spans="1:6" s="275" customFormat="1" x14ac:dyDescent="0.15">
      <c r="A2335" s="655" t="s">
        <v>1603</v>
      </c>
      <c r="B2335" s="591"/>
      <c r="C2335" s="287" t="s">
        <v>1334</v>
      </c>
      <c r="D2335" s="287" t="s">
        <v>1462</v>
      </c>
      <c r="E2335" s="656">
        <f>443.6+614</f>
        <v>1057.5999999999999</v>
      </c>
      <c r="F2335" s="381">
        <v>254.2</v>
      </c>
    </row>
    <row r="2336" spans="1:6" s="275" customFormat="1" x14ac:dyDescent="0.15">
      <c r="A2336" s="655" t="s">
        <v>1597</v>
      </c>
      <c r="B2336" s="591" t="s">
        <v>1626</v>
      </c>
      <c r="C2336" s="287" t="s">
        <v>1454</v>
      </c>
      <c r="D2336" s="287" t="s">
        <v>1247</v>
      </c>
      <c r="E2336" s="656">
        <v>3320</v>
      </c>
      <c r="F2336" s="381">
        <v>735.13</v>
      </c>
    </row>
    <row r="2337" spans="1:6" s="275" customFormat="1" x14ac:dyDescent="0.15">
      <c r="A2337" s="655" t="s">
        <v>1677</v>
      </c>
      <c r="B2337" s="591" t="s">
        <v>1678</v>
      </c>
      <c r="C2337" s="287" t="s">
        <v>1313</v>
      </c>
      <c r="D2337" s="287" t="s">
        <v>1412</v>
      </c>
      <c r="E2337" s="656">
        <v>1126</v>
      </c>
      <c r="F2337" s="381">
        <v>310.89999999999998</v>
      </c>
    </row>
    <row r="2338" spans="1:6" s="275" customFormat="1" x14ac:dyDescent="0.15">
      <c r="A2338" s="655" t="s">
        <v>1551</v>
      </c>
      <c r="B2338" s="591" t="s">
        <v>1627</v>
      </c>
      <c r="C2338" s="287" t="s">
        <v>1235</v>
      </c>
      <c r="D2338" s="287" t="s">
        <v>1236</v>
      </c>
      <c r="E2338" s="656">
        <v>7210</v>
      </c>
      <c r="F2338" s="381">
        <v>1535.65</v>
      </c>
    </row>
    <row r="2339" spans="1:6" s="275" customFormat="1" x14ac:dyDescent="0.15">
      <c r="A2339" s="655" t="s">
        <v>1553</v>
      </c>
      <c r="B2339" s="591" t="s">
        <v>1628</v>
      </c>
      <c r="C2339" s="287" t="s">
        <v>1475</v>
      </c>
      <c r="D2339" s="287" t="s">
        <v>1387</v>
      </c>
      <c r="E2339" s="656">
        <v>804</v>
      </c>
      <c r="F2339" s="381">
        <v>193.09</v>
      </c>
    </row>
    <row r="2340" spans="1:6" s="275" customFormat="1" x14ac:dyDescent="0.15">
      <c r="A2340" s="655" t="s">
        <v>1554</v>
      </c>
      <c r="B2340" s="591" t="s">
        <v>1629</v>
      </c>
      <c r="C2340" s="287" t="s">
        <v>1399</v>
      </c>
      <c r="D2340" s="287" t="s">
        <v>1276</v>
      </c>
      <c r="E2340" s="656">
        <v>3840</v>
      </c>
      <c r="F2340" s="381">
        <v>886.14</v>
      </c>
    </row>
    <row r="2341" spans="1:6" s="275" customFormat="1" x14ac:dyDescent="0.15">
      <c r="A2341" s="655" t="s">
        <v>1598</v>
      </c>
      <c r="B2341" s="591"/>
      <c r="C2341" s="287" t="s">
        <v>1586</v>
      </c>
      <c r="D2341" s="287" t="s">
        <v>1500</v>
      </c>
      <c r="E2341" s="656">
        <v>33</v>
      </c>
      <c r="F2341" s="381">
        <v>15.47</v>
      </c>
    </row>
    <row r="2342" spans="1:6" s="275" customFormat="1" x14ac:dyDescent="0.15">
      <c r="A2342" s="655" t="s">
        <v>1662</v>
      </c>
      <c r="B2342" s="657">
        <v>892914652</v>
      </c>
      <c r="C2342" s="287" t="s">
        <v>1663</v>
      </c>
      <c r="D2342" s="287" t="s">
        <v>1664</v>
      </c>
      <c r="E2342" s="656">
        <v>11360</v>
      </c>
      <c r="F2342" s="381">
        <v>2639.25</v>
      </c>
    </row>
    <row r="2343" spans="1:6" s="275" customFormat="1" ht="14" thickBot="1" x14ac:dyDescent="0.2">
      <c r="A2343" s="655"/>
      <c r="B2343" s="591"/>
      <c r="C2343" s="291" t="s">
        <v>1653</v>
      </c>
      <c r="D2343" s="287"/>
      <c r="E2343" s="638">
        <f>SUM(E2318:E2342)</f>
        <v>91105.1</v>
      </c>
      <c r="F2343" s="658">
        <v>20128.53</v>
      </c>
    </row>
    <row r="2344" spans="1:6" s="275" customFormat="1" ht="14" thickTop="1" x14ac:dyDescent="0.15">
      <c r="A2344" s="655"/>
      <c r="B2344" s="591"/>
      <c r="C2344" s="287"/>
      <c r="D2344" s="287"/>
      <c r="E2344" s="524"/>
      <c r="F2344" s="381"/>
    </row>
    <row r="2345" spans="1:6" s="275" customFormat="1" x14ac:dyDescent="0.15">
      <c r="A2345" s="655" t="s">
        <v>1556</v>
      </c>
      <c r="B2345" s="591" t="s">
        <v>1631</v>
      </c>
      <c r="C2345" s="287" t="s">
        <v>1248</v>
      </c>
      <c r="D2345" s="287" t="s">
        <v>1482</v>
      </c>
      <c r="E2345" s="656">
        <v>3368</v>
      </c>
      <c r="F2345" s="381">
        <v>814.21</v>
      </c>
    </row>
    <row r="2346" spans="1:6" s="275" customFormat="1" x14ac:dyDescent="0.15">
      <c r="A2346" s="655" t="s">
        <v>1558</v>
      </c>
      <c r="B2346" s="591" t="s">
        <v>1633</v>
      </c>
      <c r="C2346" s="287" t="s">
        <v>1469</v>
      </c>
      <c r="D2346" s="287" t="s">
        <v>1470</v>
      </c>
      <c r="E2346" s="656">
        <v>5600</v>
      </c>
      <c r="F2346" s="381">
        <v>1280.3</v>
      </c>
    </row>
    <row r="2347" spans="1:6" s="275" customFormat="1" x14ac:dyDescent="0.15">
      <c r="A2347" s="655" t="s">
        <v>1559</v>
      </c>
      <c r="B2347" s="591" t="s">
        <v>1634</v>
      </c>
      <c r="C2347" s="287" t="s">
        <v>1502</v>
      </c>
      <c r="D2347" s="287" t="s">
        <v>1381</v>
      </c>
      <c r="E2347" s="656">
        <v>9408</v>
      </c>
      <c r="F2347" s="381">
        <v>1314.63</v>
      </c>
    </row>
    <row r="2348" spans="1:6" s="275" customFormat="1" x14ac:dyDescent="0.15">
      <c r="A2348" s="655" t="s">
        <v>1560</v>
      </c>
      <c r="B2348" s="591" t="s">
        <v>1635</v>
      </c>
      <c r="C2348" s="287" t="s">
        <v>1504</v>
      </c>
      <c r="D2348" s="287" t="s">
        <v>1505</v>
      </c>
      <c r="E2348" s="656">
        <v>1753</v>
      </c>
      <c r="F2348" s="381">
        <v>394.58</v>
      </c>
    </row>
    <row r="2349" spans="1:6" s="275" customFormat="1" x14ac:dyDescent="0.15">
      <c r="A2349" s="655" t="s">
        <v>1675</v>
      </c>
      <c r="B2349" s="591" t="s">
        <v>1676</v>
      </c>
      <c r="C2349" s="287" t="s">
        <v>1477</v>
      </c>
      <c r="D2349" s="287" t="s">
        <v>1289</v>
      </c>
      <c r="E2349" s="656">
        <v>11420</v>
      </c>
      <c r="F2349" s="381">
        <v>2595.83</v>
      </c>
    </row>
    <row r="2350" spans="1:6" s="275" customFormat="1" x14ac:dyDescent="0.15">
      <c r="A2350" s="655" t="s">
        <v>1563</v>
      </c>
      <c r="B2350" s="591"/>
      <c r="C2350" s="287" t="s">
        <v>1267</v>
      </c>
      <c r="D2350" s="287" t="s">
        <v>1268</v>
      </c>
      <c r="E2350" s="656">
        <v>57.7</v>
      </c>
      <c r="F2350" s="381">
        <v>11.98</v>
      </c>
    </row>
    <row r="2351" spans="1:6" s="275" customFormat="1" x14ac:dyDescent="0.15">
      <c r="A2351" s="655" t="s">
        <v>1564</v>
      </c>
      <c r="B2351" s="591" t="s">
        <v>1636</v>
      </c>
      <c r="C2351" s="287" t="s">
        <v>1485</v>
      </c>
      <c r="D2351" s="287" t="s">
        <v>1486</v>
      </c>
      <c r="E2351" s="656">
        <v>1480</v>
      </c>
      <c r="F2351" s="381">
        <v>405.69</v>
      </c>
    </row>
    <row r="2352" spans="1:6" s="275" customFormat="1" x14ac:dyDescent="0.15">
      <c r="A2352" s="655" t="s">
        <v>1565</v>
      </c>
      <c r="B2352" s="591" t="s">
        <v>1637</v>
      </c>
      <c r="C2352" s="287" t="s">
        <v>1267</v>
      </c>
      <c r="D2352" s="287" t="s">
        <v>1268</v>
      </c>
      <c r="E2352" s="656">
        <v>2477</v>
      </c>
      <c r="F2352" s="381">
        <v>594.96</v>
      </c>
    </row>
    <row r="2353" spans="1:6" s="275" customFormat="1" x14ac:dyDescent="0.15">
      <c r="A2353" s="655" t="s">
        <v>1569</v>
      </c>
      <c r="B2353" s="591" t="s">
        <v>1638</v>
      </c>
      <c r="C2353" s="287" t="s">
        <v>1464</v>
      </c>
      <c r="D2353" s="287" t="s">
        <v>1285</v>
      </c>
      <c r="E2353" s="656">
        <v>790</v>
      </c>
      <c r="F2353" s="381">
        <v>219.14</v>
      </c>
    </row>
    <row r="2354" spans="1:6" s="275" customFormat="1" x14ac:dyDescent="0.15">
      <c r="A2354" s="655" t="s">
        <v>1570</v>
      </c>
      <c r="B2354" s="591" t="s">
        <v>1639</v>
      </c>
      <c r="C2354" s="287" t="s">
        <v>1472</v>
      </c>
      <c r="D2354" s="287" t="s">
        <v>1473</v>
      </c>
      <c r="E2354" s="656">
        <v>97</v>
      </c>
      <c r="F2354" s="381">
        <v>46.24</v>
      </c>
    </row>
    <row r="2355" spans="1:6" s="275" customFormat="1" x14ac:dyDescent="0.15">
      <c r="A2355" s="655" t="s">
        <v>1571</v>
      </c>
      <c r="B2355" s="591" t="s">
        <v>1640</v>
      </c>
      <c r="C2355" s="287" t="s">
        <v>1489</v>
      </c>
      <c r="D2355" s="287" t="s">
        <v>1490</v>
      </c>
      <c r="E2355" s="656">
        <v>88</v>
      </c>
      <c r="F2355" s="381">
        <v>44.73</v>
      </c>
    </row>
    <row r="2356" spans="1:6" s="275" customFormat="1" x14ac:dyDescent="0.15">
      <c r="A2356" s="655" t="s">
        <v>1572</v>
      </c>
      <c r="B2356" s="591" t="s">
        <v>1641</v>
      </c>
      <c r="C2356" s="287" t="s">
        <v>1271</v>
      </c>
      <c r="D2356" s="287" t="s">
        <v>1272</v>
      </c>
      <c r="E2356" s="656">
        <v>4050</v>
      </c>
      <c r="F2356" s="381">
        <v>971.02</v>
      </c>
    </row>
    <row r="2357" spans="1:6" s="275" customFormat="1" x14ac:dyDescent="0.15">
      <c r="A2357" s="655" t="s">
        <v>1573</v>
      </c>
      <c r="B2357" s="591"/>
      <c r="C2357" s="287" t="s">
        <v>1461</v>
      </c>
      <c r="D2357" s="287" t="s">
        <v>1703</v>
      </c>
      <c r="E2357" s="656">
        <v>26</v>
      </c>
      <c r="F2357" s="381">
        <v>17.18</v>
      </c>
    </row>
    <row r="2358" spans="1:6" s="275" customFormat="1" x14ac:dyDescent="0.15">
      <c r="A2358" s="655" t="s">
        <v>1574</v>
      </c>
      <c r="B2358" s="591" t="s">
        <v>1642</v>
      </c>
      <c r="C2358" s="287" t="s">
        <v>1377</v>
      </c>
      <c r="D2358" s="287" t="s">
        <v>1378</v>
      </c>
      <c r="E2358" s="656">
        <v>1591</v>
      </c>
      <c r="F2358" s="381">
        <v>388.77</v>
      </c>
    </row>
    <row r="2359" spans="1:6" s="275" customFormat="1" x14ac:dyDescent="0.15">
      <c r="A2359" s="655" t="s">
        <v>1575</v>
      </c>
      <c r="B2359" s="591" t="s">
        <v>1685</v>
      </c>
      <c r="C2359" s="287" t="s">
        <v>1448</v>
      </c>
      <c r="D2359" s="287" t="s">
        <v>1449</v>
      </c>
      <c r="E2359" s="656">
        <v>77</v>
      </c>
      <c r="F2359" s="381">
        <v>23.71</v>
      </c>
    </row>
    <row r="2360" spans="1:6" s="275" customFormat="1" x14ac:dyDescent="0.15">
      <c r="A2360" s="655" t="s">
        <v>1604</v>
      </c>
      <c r="B2360" s="591"/>
      <c r="C2360" s="287" t="s">
        <v>1334</v>
      </c>
      <c r="D2360" s="287" t="s">
        <v>1462</v>
      </c>
      <c r="E2360" s="656">
        <f>55.4+76.6</f>
        <v>132</v>
      </c>
      <c r="F2360" s="381">
        <v>48.56</v>
      </c>
    </row>
    <row r="2361" spans="1:6" s="275" customFormat="1" x14ac:dyDescent="0.15">
      <c r="A2361" s="655" t="s">
        <v>1576</v>
      </c>
      <c r="B2361" s="591" t="s">
        <v>1644</v>
      </c>
      <c r="C2361" s="287" t="s">
        <v>1401</v>
      </c>
      <c r="D2361" s="287" t="s">
        <v>1316</v>
      </c>
      <c r="E2361" s="656">
        <v>26</v>
      </c>
      <c r="F2361" s="381">
        <v>34.35</v>
      </c>
    </row>
    <row r="2362" spans="1:6" s="275" customFormat="1" x14ac:dyDescent="0.15">
      <c r="A2362" s="655" t="s">
        <v>1605</v>
      </c>
      <c r="B2362" s="591"/>
      <c r="C2362" s="287" t="s">
        <v>1334</v>
      </c>
      <c r="D2362" s="287" t="s">
        <v>1462</v>
      </c>
      <c r="E2362" s="656">
        <f>202.8+280.8</f>
        <v>483.6</v>
      </c>
      <c r="F2362" s="381">
        <v>177.19</v>
      </c>
    </row>
    <row r="2363" spans="1:6" s="275" customFormat="1" x14ac:dyDescent="0.15">
      <c r="A2363" s="655" t="s">
        <v>1578</v>
      </c>
      <c r="B2363" s="591" t="s">
        <v>1646</v>
      </c>
      <c r="C2363" s="287" t="s">
        <v>1579</v>
      </c>
      <c r="D2363" s="287" t="s">
        <v>1497</v>
      </c>
      <c r="E2363" s="659">
        <v>0</v>
      </c>
      <c r="F2363" s="381">
        <v>0</v>
      </c>
    </row>
    <row r="2364" spans="1:6" s="275" customFormat="1" x14ac:dyDescent="0.15">
      <c r="A2364" s="655" t="s">
        <v>1580</v>
      </c>
      <c r="B2364" s="591" t="s">
        <v>1647</v>
      </c>
      <c r="C2364" s="287" t="s">
        <v>1451</v>
      </c>
      <c r="D2364" s="287" t="s">
        <v>1674</v>
      </c>
      <c r="E2364" s="656">
        <v>2688</v>
      </c>
      <c r="F2364" s="381">
        <v>2014.75</v>
      </c>
    </row>
    <row r="2365" spans="1:6" s="275" customFormat="1" x14ac:dyDescent="0.15">
      <c r="A2365" s="655" t="s">
        <v>1581</v>
      </c>
      <c r="B2365" s="591" t="s">
        <v>1648</v>
      </c>
      <c r="C2365" s="287" t="s">
        <v>1521</v>
      </c>
      <c r="D2365" s="287" t="s">
        <v>1229</v>
      </c>
      <c r="E2365" s="656">
        <v>2339</v>
      </c>
      <c r="F2365" s="381">
        <v>514</v>
      </c>
    </row>
    <row r="2366" spans="1:6" s="275" customFormat="1" x14ac:dyDescent="0.15">
      <c r="A2366" s="655" t="s">
        <v>1582</v>
      </c>
      <c r="B2366" s="591" t="s">
        <v>1649</v>
      </c>
      <c r="C2366" s="287" t="s">
        <v>1525</v>
      </c>
      <c r="D2366" s="287" t="s">
        <v>1526</v>
      </c>
      <c r="E2366" s="656">
        <v>36</v>
      </c>
      <c r="F2366" s="381">
        <v>14.29</v>
      </c>
    </row>
    <row r="2367" spans="1:6" s="275" customFormat="1" ht="14" x14ac:dyDescent="0.15">
      <c r="A2367" s="655" t="s">
        <v>1583</v>
      </c>
      <c r="B2367" s="591" t="s">
        <v>1650</v>
      </c>
      <c r="C2367" s="287" t="s">
        <v>1584</v>
      </c>
      <c r="D2367" s="618" t="s">
        <v>1264</v>
      </c>
      <c r="E2367" s="656">
        <v>1720</v>
      </c>
      <c r="F2367" s="381">
        <v>467.21</v>
      </c>
    </row>
    <row r="2368" spans="1:6" s="275" customFormat="1" x14ac:dyDescent="0.15">
      <c r="A2368" s="655" t="s">
        <v>1666</v>
      </c>
      <c r="B2368" s="591" t="s">
        <v>1672</v>
      </c>
      <c r="C2368" s="287" t="s">
        <v>1667</v>
      </c>
      <c r="D2368" s="287" t="s">
        <v>1668</v>
      </c>
      <c r="E2368" s="656">
        <v>12864</v>
      </c>
      <c r="F2368" s="381">
        <v>3043.66</v>
      </c>
    </row>
    <row r="2369" spans="1:6" s="275" customFormat="1" x14ac:dyDescent="0.15">
      <c r="A2369" s="655" t="s">
        <v>1606</v>
      </c>
      <c r="B2369" s="591"/>
      <c r="C2369" s="287" t="s">
        <v>1334</v>
      </c>
      <c r="D2369" s="287" t="s">
        <v>1462</v>
      </c>
      <c r="E2369" s="656">
        <f>24.2+33.5</f>
        <v>57.7</v>
      </c>
      <c r="F2369" s="381">
        <v>12.379999999999999</v>
      </c>
    </row>
    <row r="2370" spans="1:6" s="275" customFormat="1" ht="14" thickBot="1" x14ac:dyDescent="0.2">
      <c r="A2370" s="655"/>
      <c r="B2370" s="591"/>
      <c r="C2370" s="291" t="s">
        <v>1654</v>
      </c>
      <c r="D2370" s="287"/>
      <c r="E2370" s="643">
        <f>SUM(E2345:E2369)</f>
        <v>62628.999999999993</v>
      </c>
      <c r="F2370" s="658">
        <v>15449.359999999997</v>
      </c>
    </row>
    <row r="2371" spans="1:6" s="275" customFormat="1" ht="14" thickTop="1" x14ac:dyDescent="0.15">
      <c r="A2371" s="660"/>
      <c r="B2371" s="661"/>
      <c r="C2371" s="359"/>
      <c r="D2371" s="359"/>
      <c r="E2371" s="662"/>
      <c r="F2371" s="375"/>
    </row>
    <row r="2372" spans="1:6" s="275" customFormat="1" x14ac:dyDescent="0.15">
      <c r="A2372" s="660"/>
      <c r="B2372" s="661"/>
      <c r="C2372" s="293" t="s">
        <v>1594</v>
      </c>
      <c r="D2372" s="359"/>
      <c r="E2372" s="662"/>
      <c r="F2372" s="375"/>
    </row>
    <row r="2373" spans="1:6" s="275" customFormat="1" x14ac:dyDescent="0.15">
      <c r="A2373" s="660"/>
      <c r="B2373" s="661"/>
      <c r="C2373" s="293" t="s">
        <v>1446</v>
      </c>
      <c r="D2373" s="359"/>
      <c r="E2373" s="662"/>
      <c r="F2373" s="375"/>
    </row>
    <row r="2374" spans="1:6" s="275" customFormat="1" x14ac:dyDescent="0.15">
      <c r="A2374" s="660"/>
      <c r="B2374" s="661"/>
      <c r="C2374" s="386">
        <v>42155</v>
      </c>
      <c r="D2374" s="359"/>
      <c r="E2374" s="662"/>
      <c r="F2374" s="375"/>
    </row>
    <row r="2375" spans="1:6" s="275" customFormat="1" x14ac:dyDescent="0.15">
      <c r="A2375" s="660"/>
      <c r="B2375" s="661"/>
      <c r="C2375" s="359"/>
      <c r="D2375" s="359"/>
      <c r="E2375" s="662"/>
      <c r="F2375" s="375"/>
    </row>
    <row r="2376" spans="1:6" s="275" customFormat="1" ht="14" thickBot="1" x14ac:dyDescent="0.2">
      <c r="A2376" s="663"/>
      <c r="B2376" s="664"/>
      <c r="C2376" s="665" t="s">
        <v>1173</v>
      </c>
      <c r="D2376" s="665"/>
      <c r="E2376" s="666">
        <f>SUM(E2343,E2370)</f>
        <v>153734.1</v>
      </c>
      <c r="F2376" s="667">
        <v>35577.89</v>
      </c>
    </row>
    <row r="2377" spans="1:6" s="275" customFormat="1" x14ac:dyDescent="0.15">
      <c r="A2377" s="617"/>
      <c r="B2377" s="617"/>
      <c r="E2377" s="276"/>
      <c r="F2377" s="278"/>
    </row>
    <row r="2378" spans="1:6" s="275" customFormat="1" x14ac:dyDescent="0.15">
      <c r="A2378" s="652" t="s">
        <v>1534</v>
      </c>
      <c r="B2378" s="653" t="s">
        <v>1614</v>
      </c>
      <c r="C2378" s="371" t="s">
        <v>1492</v>
      </c>
      <c r="D2378" s="371" t="s">
        <v>1239</v>
      </c>
      <c r="E2378" s="654">
        <v>8640</v>
      </c>
      <c r="F2378" s="391">
        <v>1860.35</v>
      </c>
    </row>
    <row r="2379" spans="1:6" s="275" customFormat="1" x14ac:dyDescent="0.15">
      <c r="A2379" s="655" t="s">
        <v>1535</v>
      </c>
      <c r="B2379" s="591" t="s">
        <v>1615</v>
      </c>
      <c r="C2379" s="287" t="s">
        <v>1507</v>
      </c>
      <c r="D2379" s="287" t="s">
        <v>1245</v>
      </c>
      <c r="E2379" s="656">
        <v>2160</v>
      </c>
      <c r="F2379" s="381">
        <v>498.23</v>
      </c>
    </row>
    <row r="2380" spans="1:6" s="275" customFormat="1" x14ac:dyDescent="0.15">
      <c r="A2380" s="655" t="s">
        <v>1670</v>
      </c>
      <c r="B2380" s="591" t="s">
        <v>1659</v>
      </c>
      <c r="C2380" s="287" t="s">
        <v>1279</v>
      </c>
      <c r="D2380" s="287" t="s">
        <v>1660</v>
      </c>
      <c r="E2380" s="656">
        <v>6880</v>
      </c>
      <c r="F2380" s="381">
        <v>1473.3</v>
      </c>
    </row>
    <row r="2381" spans="1:6" s="275" customFormat="1" x14ac:dyDescent="0.15">
      <c r="A2381" s="655" t="s">
        <v>1536</v>
      </c>
      <c r="B2381" s="591" t="s">
        <v>1616</v>
      </c>
      <c r="C2381" s="287" t="s">
        <v>1479</v>
      </c>
      <c r="D2381" s="287" t="s">
        <v>1231</v>
      </c>
      <c r="E2381" s="656">
        <v>2965</v>
      </c>
      <c r="F2381" s="381">
        <v>647.24</v>
      </c>
    </row>
    <row r="2382" spans="1:6" s="275" customFormat="1" x14ac:dyDescent="0.15">
      <c r="A2382" s="655" t="s">
        <v>1537</v>
      </c>
      <c r="B2382" s="591" t="s">
        <v>1617</v>
      </c>
      <c r="C2382" s="287" t="s">
        <v>1269</v>
      </c>
      <c r="D2382" s="287" t="s">
        <v>1270</v>
      </c>
      <c r="E2382" s="656">
        <v>3746</v>
      </c>
      <c r="F2382" s="381">
        <v>799.34</v>
      </c>
    </row>
    <row r="2383" spans="1:6" s="275" customFormat="1" x14ac:dyDescent="0.15">
      <c r="A2383" s="655" t="s">
        <v>1538</v>
      </c>
      <c r="B2383" s="591" t="s">
        <v>1618</v>
      </c>
      <c r="C2383" s="287" t="s">
        <v>1517</v>
      </c>
      <c r="D2383" s="287" t="s">
        <v>1518</v>
      </c>
      <c r="E2383" s="656">
        <v>5</v>
      </c>
      <c r="F2383" s="381">
        <v>30.84</v>
      </c>
    </row>
    <row r="2384" spans="1:6" s="275" customFormat="1" x14ac:dyDescent="0.15">
      <c r="A2384" s="655" t="s">
        <v>1540</v>
      </c>
      <c r="B2384" s="591" t="s">
        <v>1620</v>
      </c>
      <c r="C2384" s="287" t="s">
        <v>1257</v>
      </c>
      <c r="D2384" s="287" t="s">
        <v>1258</v>
      </c>
      <c r="E2384" s="656">
        <v>16640</v>
      </c>
      <c r="F2384" s="381">
        <v>3341.97</v>
      </c>
    </row>
    <row r="2385" spans="1:6" s="275" customFormat="1" x14ac:dyDescent="0.15">
      <c r="A2385" s="655" t="s">
        <v>1541</v>
      </c>
      <c r="B2385" s="591" t="s">
        <v>1621</v>
      </c>
      <c r="C2385" s="287" t="s">
        <v>1586</v>
      </c>
      <c r="D2385" s="287" t="s">
        <v>1500</v>
      </c>
      <c r="E2385" s="656">
        <v>2640</v>
      </c>
      <c r="F2385" s="381">
        <v>642.55999999999995</v>
      </c>
    </row>
    <row r="2386" spans="1:6" s="275" customFormat="1" x14ac:dyDescent="0.15">
      <c r="A2386" s="655" t="s">
        <v>1542</v>
      </c>
      <c r="B2386" s="591" t="s">
        <v>1622</v>
      </c>
      <c r="C2386" s="287" t="s">
        <v>1240</v>
      </c>
      <c r="D2386" s="287" t="s">
        <v>1467</v>
      </c>
      <c r="E2386" s="656">
        <v>3800</v>
      </c>
      <c r="F2386" s="381">
        <v>751.51</v>
      </c>
    </row>
    <row r="2387" spans="1:6" s="275" customFormat="1" x14ac:dyDescent="0.15">
      <c r="A2387" s="655" t="s">
        <v>1543</v>
      </c>
      <c r="B2387" s="591" t="s">
        <v>1623</v>
      </c>
      <c r="C2387" s="287" t="s">
        <v>1523</v>
      </c>
      <c r="D2387" s="287" t="s">
        <v>1266</v>
      </c>
      <c r="E2387" s="656">
        <v>843</v>
      </c>
      <c r="F2387" s="381">
        <v>220.88</v>
      </c>
    </row>
    <row r="2388" spans="1:6" s="275" customFormat="1" x14ac:dyDescent="0.15">
      <c r="A2388" s="655" t="s">
        <v>1544</v>
      </c>
      <c r="B2388" s="591" t="s">
        <v>1624</v>
      </c>
      <c r="C2388" s="287" t="s">
        <v>1234</v>
      </c>
      <c r="D2388" s="287" t="s">
        <v>1494</v>
      </c>
      <c r="E2388" s="656">
        <v>5179</v>
      </c>
      <c r="F2388" s="381">
        <v>1131.6400000000001</v>
      </c>
    </row>
    <row r="2389" spans="1:6" s="275" customFormat="1" x14ac:dyDescent="0.15">
      <c r="A2389" s="655" t="s">
        <v>1601</v>
      </c>
      <c r="B2389" s="591"/>
      <c r="C2389" s="287" t="s">
        <v>1334</v>
      </c>
      <c r="D2389" s="287" t="s">
        <v>1462</v>
      </c>
      <c r="E2389" s="656">
        <f>981.4+1283.5</f>
        <v>2264.9</v>
      </c>
      <c r="F2389" s="381">
        <v>536.29999999999995</v>
      </c>
    </row>
    <row r="2390" spans="1:6" s="275" customFormat="1" x14ac:dyDescent="0.15">
      <c r="A2390" s="655" t="s">
        <v>1545</v>
      </c>
      <c r="B2390" s="591"/>
      <c r="C2390" s="287" t="s">
        <v>1234</v>
      </c>
      <c r="D2390" s="287" t="s">
        <v>1494</v>
      </c>
      <c r="E2390" s="656">
        <f>3.3+48.4</f>
        <v>51.699999999999996</v>
      </c>
      <c r="F2390" s="381">
        <v>15.24</v>
      </c>
    </row>
    <row r="2391" spans="1:6" s="275" customFormat="1" x14ac:dyDescent="0.15">
      <c r="A2391" s="655" t="s">
        <v>1602</v>
      </c>
      <c r="B2391" s="591"/>
      <c r="C2391" s="287" t="s">
        <v>1334</v>
      </c>
      <c r="D2391" s="287" t="s">
        <v>1462</v>
      </c>
      <c r="E2391" s="656">
        <f>54.9+71.7</f>
        <v>126.6</v>
      </c>
      <c r="F2391" s="381">
        <v>42.599999999999994</v>
      </c>
    </row>
    <row r="2392" spans="1:6" s="275" customFormat="1" x14ac:dyDescent="0.15">
      <c r="A2392" s="655" t="s">
        <v>1546</v>
      </c>
      <c r="B2392" s="591"/>
      <c r="C2392" s="287" t="s">
        <v>1586</v>
      </c>
      <c r="D2392" s="287" t="s">
        <v>1500</v>
      </c>
      <c r="E2392" s="656">
        <f>3.8+55.4</f>
        <v>59.199999999999996</v>
      </c>
      <c r="F2392" s="381">
        <v>25.290000000000003</v>
      </c>
    </row>
    <row r="2393" spans="1:6" s="275" customFormat="1" x14ac:dyDescent="0.15">
      <c r="A2393" s="655" t="s">
        <v>1547</v>
      </c>
      <c r="B2393" s="591"/>
      <c r="C2393" s="287" t="s">
        <v>1286</v>
      </c>
      <c r="D2393" s="287" t="s">
        <v>1514</v>
      </c>
      <c r="E2393" s="659">
        <v>0</v>
      </c>
      <c r="F2393" s="381">
        <v>0</v>
      </c>
    </row>
    <row r="2394" spans="1:6" s="275" customFormat="1" x14ac:dyDescent="0.15">
      <c r="A2394" s="655" t="s">
        <v>1549</v>
      </c>
      <c r="B2394" s="591" t="s">
        <v>1625</v>
      </c>
      <c r="C2394" s="287" t="s">
        <v>1459</v>
      </c>
      <c r="D2394" s="287" t="s">
        <v>1251</v>
      </c>
      <c r="E2394" s="656">
        <v>920</v>
      </c>
      <c r="F2394" s="381">
        <v>226.68</v>
      </c>
    </row>
    <row r="2395" spans="1:6" s="275" customFormat="1" x14ac:dyDescent="0.15">
      <c r="A2395" s="655" t="s">
        <v>1603</v>
      </c>
      <c r="B2395" s="591"/>
      <c r="C2395" s="287" t="s">
        <v>1334</v>
      </c>
      <c r="D2395" s="287" t="s">
        <v>1462</v>
      </c>
      <c r="E2395" s="656">
        <f>410.8+537.2</f>
        <v>948</v>
      </c>
      <c r="F2395" s="381">
        <v>240.99</v>
      </c>
    </row>
    <row r="2396" spans="1:6" s="275" customFormat="1" x14ac:dyDescent="0.15">
      <c r="A2396" s="655" t="s">
        <v>1597</v>
      </c>
      <c r="B2396" s="591" t="s">
        <v>1626</v>
      </c>
      <c r="C2396" s="287" t="s">
        <v>1454</v>
      </c>
      <c r="D2396" s="287" t="s">
        <v>1247</v>
      </c>
      <c r="E2396" s="656">
        <v>1600</v>
      </c>
      <c r="F2396" s="381">
        <v>368.97</v>
      </c>
    </row>
    <row r="2397" spans="1:6" s="275" customFormat="1" x14ac:dyDescent="0.15">
      <c r="A2397" s="655" t="s">
        <v>1677</v>
      </c>
      <c r="B2397" s="591" t="s">
        <v>1678</v>
      </c>
      <c r="C2397" s="287" t="s">
        <v>1313</v>
      </c>
      <c r="D2397" s="287" t="s">
        <v>1412</v>
      </c>
      <c r="E2397" s="656">
        <v>1008</v>
      </c>
      <c r="F2397" s="381">
        <v>269.81</v>
      </c>
    </row>
    <row r="2398" spans="1:6" s="275" customFormat="1" x14ac:dyDescent="0.15">
      <c r="A2398" s="655" t="s">
        <v>1551</v>
      </c>
      <c r="B2398" s="591" t="s">
        <v>1627</v>
      </c>
      <c r="C2398" s="287" t="s">
        <v>1235</v>
      </c>
      <c r="D2398" s="287" t="s">
        <v>1236</v>
      </c>
      <c r="E2398" s="656">
        <v>5901</v>
      </c>
      <c r="F2398" s="381">
        <v>1181.48</v>
      </c>
    </row>
    <row r="2399" spans="1:6" s="275" customFormat="1" x14ac:dyDescent="0.15">
      <c r="A2399" s="655" t="s">
        <v>1553</v>
      </c>
      <c r="B2399" s="591" t="s">
        <v>1628</v>
      </c>
      <c r="C2399" s="287" t="s">
        <v>1475</v>
      </c>
      <c r="D2399" s="287" t="s">
        <v>1387</v>
      </c>
      <c r="E2399" s="656">
        <v>891</v>
      </c>
      <c r="F2399" s="381">
        <v>214</v>
      </c>
    </row>
    <row r="2400" spans="1:6" s="275" customFormat="1" x14ac:dyDescent="0.15">
      <c r="A2400" s="655" t="s">
        <v>1554</v>
      </c>
      <c r="B2400" s="591" t="s">
        <v>1629</v>
      </c>
      <c r="C2400" s="287" t="s">
        <v>1399</v>
      </c>
      <c r="D2400" s="287" t="s">
        <v>1276</v>
      </c>
      <c r="E2400" s="656">
        <v>4400</v>
      </c>
      <c r="F2400" s="381">
        <v>965.66</v>
      </c>
    </row>
    <row r="2401" spans="1:6" s="275" customFormat="1" x14ac:dyDescent="0.15">
      <c r="A2401" s="655" t="s">
        <v>1598</v>
      </c>
      <c r="B2401" s="591"/>
      <c r="C2401" s="287" t="s">
        <v>1586</v>
      </c>
      <c r="D2401" s="287" t="s">
        <v>1500</v>
      </c>
      <c r="E2401" s="656">
        <f>1.9+27.7</f>
        <v>29.599999999999998</v>
      </c>
      <c r="F2401" s="381">
        <v>15.28</v>
      </c>
    </row>
    <row r="2402" spans="1:6" s="275" customFormat="1" x14ac:dyDescent="0.15">
      <c r="A2402" s="655" t="s">
        <v>1662</v>
      </c>
      <c r="B2402" s="657">
        <v>892914652</v>
      </c>
      <c r="C2402" s="287" t="s">
        <v>1663</v>
      </c>
      <c r="D2402" s="287" t="s">
        <v>1664</v>
      </c>
      <c r="E2402" s="656">
        <v>11840</v>
      </c>
      <c r="F2402" s="381">
        <v>2709.23</v>
      </c>
    </row>
    <row r="2403" spans="1:6" s="275" customFormat="1" ht="14" thickBot="1" x14ac:dyDescent="0.2">
      <c r="A2403" s="655"/>
      <c r="B2403" s="591"/>
      <c r="C2403" s="291" t="s">
        <v>1655</v>
      </c>
      <c r="D2403" s="287"/>
      <c r="E2403" s="638">
        <f>SUM(E2378:E2402)</f>
        <v>83538</v>
      </c>
      <c r="F2403" s="658">
        <v>18209.39</v>
      </c>
    </row>
    <row r="2404" spans="1:6" s="275" customFormat="1" ht="14" thickTop="1" x14ac:dyDescent="0.15">
      <c r="A2404" s="655"/>
      <c r="B2404" s="591"/>
      <c r="C2404" s="287"/>
      <c r="D2404" s="287"/>
      <c r="E2404" s="524"/>
      <c r="F2404" s="381"/>
    </row>
    <row r="2405" spans="1:6" s="275" customFormat="1" x14ac:dyDescent="0.15">
      <c r="A2405" s="655" t="s">
        <v>1556</v>
      </c>
      <c r="B2405" s="591" t="s">
        <v>1631</v>
      </c>
      <c r="C2405" s="287" t="s">
        <v>1248</v>
      </c>
      <c r="D2405" s="287" t="s">
        <v>1482</v>
      </c>
      <c r="E2405" s="656">
        <v>3530</v>
      </c>
      <c r="F2405" s="381">
        <v>812.91</v>
      </c>
    </row>
    <row r="2406" spans="1:6" s="275" customFormat="1" x14ac:dyDescent="0.15">
      <c r="A2406" s="655" t="s">
        <v>1558</v>
      </c>
      <c r="B2406" s="591" t="s">
        <v>1633</v>
      </c>
      <c r="C2406" s="287" t="s">
        <v>1469</v>
      </c>
      <c r="D2406" s="287" t="s">
        <v>1470</v>
      </c>
      <c r="E2406" s="656">
        <v>6560</v>
      </c>
      <c r="F2406" s="381">
        <v>1426.81</v>
      </c>
    </row>
    <row r="2407" spans="1:6" s="275" customFormat="1" x14ac:dyDescent="0.15">
      <c r="A2407" s="655" t="s">
        <v>1559</v>
      </c>
      <c r="B2407" s="591" t="s">
        <v>1634</v>
      </c>
      <c r="C2407" s="287" t="s">
        <v>1502</v>
      </c>
      <c r="D2407" s="287" t="s">
        <v>1381</v>
      </c>
      <c r="E2407" s="656">
        <v>9120</v>
      </c>
      <c r="F2407" s="381">
        <v>1367.61</v>
      </c>
    </row>
    <row r="2408" spans="1:6" s="275" customFormat="1" x14ac:dyDescent="0.15">
      <c r="A2408" s="655" t="s">
        <v>1560</v>
      </c>
      <c r="B2408" s="591" t="s">
        <v>1635</v>
      </c>
      <c r="C2408" s="287" t="s">
        <v>1504</v>
      </c>
      <c r="D2408" s="287" t="s">
        <v>1505</v>
      </c>
      <c r="E2408" s="656">
        <v>1907</v>
      </c>
      <c r="F2408" s="381">
        <v>413.26</v>
      </c>
    </row>
    <row r="2409" spans="1:6" s="275" customFormat="1" x14ac:dyDescent="0.15">
      <c r="A2409" s="655" t="s">
        <v>1675</v>
      </c>
      <c r="B2409" s="591" t="s">
        <v>1676</v>
      </c>
      <c r="C2409" s="287" t="s">
        <v>1477</v>
      </c>
      <c r="D2409" s="287" t="s">
        <v>1289</v>
      </c>
      <c r="E2409" s="656">
        <v>13170</v>
      </c>
      <c r="F2409" s="381">
        <v>2775.18</v>
      </c>
    </row>
    <row r="2410" spans="1:6" s="275" customFormat="1" x14ac:dyDescent="0.15">
      <c r="A2410" s="655" t="s">
        <v>1563</v>
      </c>
      <c r="B2410" s="591"/>
      <c r="C2410" s="287" t="s">
        <v>1267</v>
      </c>
      <c r="D2410" s="287" t="s">
        <v>1268</v>
      </c>
      <c r="E2410" s="656">
        <f>3.3+48.4</f>
        <v>51.699999999999996</v>
      </c>
      <c r="F2410" s="381">
        <v>11.83</v>
      </c>
    </row>
    <row r="2411" spans="1:6" s="275" customFormat="1" x14ac:dyDescent="0.15">
      <c r="A2411" s="655" t="s">
        <v>1564</v>
      </c>
      <c r="B2411" s="591" t="s">
        <v>1636</v>
      </c>
      <c r="C2411" s="287" t="s">
        <v>1485</v>
      </c>
      <c r="D2411" s="287" t="s">
        <v>1486</v>
      </c>
      <c r="E2411" s="656">
        <v>1560</v>
      </c>
      <c r="F2411" s="381">
        <v>447.51</v>
      </c>
    </row>
    <row r="2412" spans="1:6" s="275" customFormat="1" x14ac:dyDescent="0.15">
      <c r="A2412" s="655" t="s">
        <v>1565</v>
      </c>
      <c r="B2412" s="591" t="s">
        <v>1637</v>
      </c>
      <c r="C2412" s="287" t="s">
        <v>1267</v>
      </c>
      <c r="D2412" s="287" t="s">
        <v>1268</v>
      </c>
      <c r="E2412" s="656">
        <v>2529</v>
      </c>
      <c r="F2412" s="381">
        <v>607.44000000000005</v>
      </c>
    </row>
    <row r="2413" spans="1:6" s="275" customFormat="1" x14ac:dyDescent="0.15">
      <c r="A2413" s="655" t="s">
        <v>1569</v>
      </c>
      <c r="B2413" s="591" t="s">
        <v>1638</v>
      </c>
      <c r="C2413" s="287" t="s">
        <v>1464</v>
      </c>
      <c r="D2413" s="287" t="s">
        <v>1285</v>
      </c>
      <c r="E2413" s="656">
        <v>801</v>
      </c>
      <c r="F2413" s="381">
        <v>235.16</v>
      </c>
    </row>
    <row r="2414" spans="1:6" s="275" customFormat="1" x14ac:dyDescent="0.15">
      <c r="A2414" s="655" t="s">
        <v>1570</v>
      </c>
      <c r="B2414" s="591" t="s">
        <v>1639</v>
      </c>
      <c r="C2414" s="287" t="s">
        <v>1472</v>
      </c>
      <c r="D2414" s="287" t="s">
        <v>1473</v>
      </c>
      <c r="E2414" s="656">
        <v>38</v>
      </c>
      <c r="F2414" s="381">
        <v>36.369999999999997</v>
      </c>
    </row>
    <row r="2415" spans="1:6" s="275" customFormat="1" x14ac:dyDescent="0.15">
      <c r="A2415" s="655" t="s">
        <v>1571</v>
      </c>
      <c r="B2415" s="591" t="s">
        <v>1640</v>
      </c>
      <c r="C2415" s="287" t="s">
        <v>1489</v>
      </c>
      <c r="D2415" s="287" t="s">
        <v>1490</v>
      </c>
      <c r="E2415" s="656">
        <v>120</v>
      </c>
      <c r="F2415" s="381">
        <v>50.09</v>
      </c>
    </row>
    <row r="2416" spans="1:6" s="275" customFormat="1" x14ac:dyDescent="0.15">
      <c r="A2416" s="655" t="s">
        <v>1572</v>
      </c>
      <c r="B2416" s="591" t="s">
        <v>1641</v>
      </c>
      <c r="C2416" s="287" t="s">
        <v>1271</v>
      </c>
      <c r="D2416" s="287" t="s">
        <v>1272</v>
      </c>
      <c r="E2416" s="656">
        <v>6182</v>
      </c>
      <c r="F2416" s="381">
        <v>1328.01</v>
      </c>
    </row>
    <row r="2417" spans="1:6" s="275" customFormat="1" x14ac:dyDescent="0.15">
      <c r="A2417" s="655" t="s">
        <v>1573</v>
      </c>
      <c r="B2417" s="591"/>
      <c r="C2417" s="287" t="s">
        <v>1461</v>
      </c>
      <c r="D2417" s="287" t="s">
        <v>1703</v>
      </c>
      <c r="E2417" s="656">
        <v>26</v>
      </c>
      <c r="F2417" s="381">
        <v>17.18</v>
      </c>
    </row>
    <row r="2418" spans="1:6" s="275" customFormat="1" x14ac:dyDescent="0.15">
      <c r="A2418" s="655" t="s">
        <v>1574</v>
      </c>
      <c r="B2418" s="591" t="s">
        <v>1642</v>
      </c>
      <c r="C2418" s="287" t="s">
        <v>1377</v>
      </c>
      <c r="D2418" s="287" t="s">
        <v>1378</v>
      </c>
      <c r="E2418" s="656">
        <v>1926</v>
      </c>
      <c r="F2418" s="381">
        <v>409.32</v>
      </c>
    </row>
    <row r="2419" spans="1:6" s="275" customFormat="1" x14ac:dyDescent="0.15">
      <c r="A2419" s="655" t="s">
        <v>1575</v>
      </c>
      <c r="B2419" s="591" t="s">
        <v>1685</v>
      </c>
      <c r="C2419" s="287" t="s">
        <v>1448</v>
      </c>
      <c r="D2419" s="287" t="s">
        <v>1449</v>
      </c>
      <c r="E2419" s="656">
        <v>90</v>
      </c>
      <c r="F2419" s="381">
        <v>26.75</v>
      </c>
    </row>
    <row r="2420" spans="1:6" s="275" customFormat="1" x14ac:dyDescent="0.15">
      <c r="A2420" s="655" t="s">
        <v>1604</v>
      </c>
      <c r="B2420" s="591"/>
      <c r="C2420" s="287" t="s">
        <v>1334</v>
      </c>
      <c r="D2420" s="287" t="s">
        <v>1462</v>
      </c>
      <c r="E2420" s="656">
        <f>51.3+67.1</f>
        <v>118.39999999999999</v>
      </c>
      <c r="F2420" s="381">
        <v>46.94</v>
      </c>
    </row>
    <row r="2421" spans="1:6" s="275" customFormat="1" x14ac:dyDescent="0.15">
      <c r="A2421" s="655" t="s">
        <v>1576</v>
      </c>
      <c r="B2421" s="591" t="s">
        <v>1644</v>
      </c>
      <c r="C2421" s="287" t="s">
        <v>1401</v>
      </c>
      <c r="D2421" s="287" t="s">
        <v>1316</v>
      </c>
      <c r="E2421" s="656">
        <v>24</v>
      </c>
      <c r="F2421" s="381">
        <v>34</v>
      </c>
    </row>
    <row r="2422" spans="1:6" s="275" customFormat="1" x14ac:dyDescent="0.15">
      <c r="A2422" s="655" t="s">
        <v>1605</v>
      </c>
      <c r="B2422" s="591"/>
      <c r="C2422" s="287" t="s">
        <v>1334</v>
      </c>
      <c r="D2422" s="287" t="s">
        <v>1462</v>
      </c>
      <c r="E2422" s="656">
        <f>187.2+244.8</f>
        <v>432</v>
      </c>
      <c r="F2422" s="381">
        <v>170.69</v>
      </c>
    </row>
    <row r="2423" spans="1:6" s="275" customFormat="1" x14ac:dyDescent="0.15">
      <c r="A2423" s="655" t="s">
        <v>1578</v>
      </c>
      <c r="B2423" s="591" t="s">
        <v>1646</v>
      </c>
      <c r="C2423" s="287" t="s">
        <v>1579</v>
      </c>
      <c r="D2423" s="287" t="s">
        <v>1497</v>
      </c>
      <c r="E2423" s="656">
        <v>4</v>
      </c>
      <c r="F2423" s="381">
        <v>30.67</v>
      </c>
    </row>
    <row r="2424" spans="1:6" s="275" customFormat="1" x14ac:dyDescent="0.15">
      <c r="A2424" s="655" t="s">
        <v>1580</v>
      </c>
      <c r="B2424" s="591" t="s">
        <v>1647</v>
      </c>
      <c r="C2424" s="287" t="s">
        <v>1451</v>
      </c>
      <c r="D2424" s="287" t="s">
        <v>1674</v>
      </c>
      <c r="E2424" s="656">
        <v>768</v>
      </c>
      <c r="F2424" s="381">
        <v>1686.18</v>
      </c>
    </row>
    <row r="2425" spans="1:6" s="275" customFormat="1" x14ac:dyDescent="0.15">
      <c r="A2425" s="655" t="s">
        <v>1581</v>
      </c>
      <c r="B2425" s="591" t="s">
        <v>1648</v>
      </c>
      <c r="C2425" s="287" t="s">
        <v>1521</v>
      </c>
      <c r="D2425" s="287" t="s">
        <v>1229</v>
      </c>
      <c r="E2425" s="656">
        <v>2344</v>
      </c>
      <c r="F2425" s="381">
        <v>500.64</v>
      </c>
    </row>
    <row r="2426" spans="1:6" s="275" customFormat="1" x14ac:dyDescent="0.15">
      <c r="A2426" s="655" t="s">
        <v>1582</v>
      </c>
      <c r="B2426" s="591" t="s">
        <v>1649</v>
      </c>
      <c r="C2426" s="287" t="s">
        <v>1525</v>
      </c>
      <c r="D2426" s="287" t="s">
        <v>1526</v>
      </c>
      <c r="E2426" s="656">
        <v>48</v>
      </c>
      <c r="F2426" s="381">
        <v>17.05</v>
      </c>
    </row>
    <row r="2427" spans="1:6" s="275" customFormat="1" ht="14" x14ac:dyDescent="0.15">
      <c r="A2427" s="655" t="s">
        <v>1583</v>
      </c>
      <c r="B2427" s="591" t="s">
        <v>1650</v>
      </c>
      <c r="C2427" s="287" t="s">
        <v>1584</v>
      </c>
      <c r="D2427" s="618" t="s">
        <v>1264</v>
      </c>
      <c r="E2427" s="656">
        <v>1760</v>
      </c>
      <c r="F2427" s="381">
        <v>473.9</v>
      </c>
    </row>
    <row r="2428" spans="1:6" s="275" customFormat="1" x14ac:dyDescent="0.15">
      <c r="A2428" s="655" t="s">
        <v>1666</v>
      </c>
      <c r="B2428" s="591" t="s">
        <v>1672</v>
      </c>
      <c r="C2428" s="287" t="s">
        <v>1667</v>
      </c>
      <c r="D2428" s="287" t="s">
        <v>1668</v>
      </c>
      <c r="E2428" s="656">
        <v>11904</v>
      </c>
      <c r="F2428" s="381">
        <v>3472.64</v>
      </c>
    </row>
    <row r="2429" spans="1:6" s="275" customFormat="1" x14ac:dyDescent="0.15">
      <c r="A2429" s="655" t="s">
        <v>1606</v>
      </c>
      <c r="B2429" s="591"/>
      <c r="C2429" s="287" t="s">
        <v>1334</v>
      </c>
      <c r="D2429" s="287" t="s">
        <v>1462</v>
      </c>
      <c r="E2429" s="656">
        <f>22.4+29.3</f>
        <v>51.7</v>
      </c>
      <c r="F2429" s="381">
        <v>11.68</v>
      </c>
    </row>
    <row r="2430" spans="1:6" s="275" customFormat="1" ht="14" thickBot="1" x14ac:dyDescent="0.2">
      <c r="A2430" s="655"/>
      <c r="B2430" s="591"/>
      <c r="C2430" s="291" t="s">
        <v>1656</v>
      </c>
      <c r="D2430" s="287"/>
      <c r="E2430" s="643">
        <f>SUM(E2405:E2429)</f>
        <v>65064.799999999996</v>
      </c>
      <c r="F2430" s="658">
        <v>16409.82</v>
      </c>
    </row>
    <row r="2431" spans="1:6" s="275" customFormat="1" ht="14" thickTop="1" x14ac:dyDescent="0.15">
      <c r="A2431" s="660"/>
      <c r="B2431" s="661"/>
      <c r="C2431" s="359"/>
      <c r="D2431" s="359"/>
      <c r="E2431" s="662"/>
      <c r="F2431" s="375"/>
    </row>
    <row r="2432" spans="1:6" s="275" customFormat="1" x14ac:dyDescent="0.15">
      <c r="A2432" s="660"/>
      <c r="B2432" s="661"/>
      <c r="C2432" s="293" t="s">
        <v>1594</v>
      </c>
      <c r="D2432" s="359"/>
      <c r="E2432" s="662"/>
      <c r="F2432" s="375"/>
    </row>
    <row r="2433" spans="1:10" s="275" customFormat="1" x14ac:dyDescent="0.15">
      <c r="A2433" s="660"/>
      <c r="B2433" s="661"/>
      <c r="C2433" s="293" t="s">
        <v>1446</v>
      </c>
      <c r="D2433" s="359"/>
      <c r="E2433" s="662"/>
      <c r="F2433" s="375"/>
    </row>
    <row r="2434" spans="1:10" s="275" customFormat="1" x14ac:dyDescent="0.15">
      <c r="A2434" s="660"/>
      <c r="B2434" s="661"/>
      <c r="C2434" s="386">
        <v>42185</v>
      </c>
      <c r="D2434" s="359"/>
      <c r="E2434" s="662"/>
      <c r="F2434" s="375"/>
    </row>
    <row r="2435" spans="1:10" s="275" customFormat="1" x14ac:dyDescent="0.15">
      <c r="A2435" s="660"/>
      <c r="B2435" s="661"/>
      <c r="C2435" s="359"/>
      <c r="D2435" s="359"/>
      <c r="E2435" s="662"/>
      <c r="F2435" s="375"/>
    </row>
    <row r="2436" spans="1:10" s="275" customFormat="1" ht="14" thickBot="1" x14ac:dyDescent="0.2">
      <c r="A2436" s="663"/>
      <c r="B2436" s="664"/>
      <c r="C2436" s="665" t="s">
        <v>1174</v>
      </c>
      <c r="D2436" s="665"/>
      <c r="E2436" s="666">
        <f>SUM(E2403,E2430)</f>
        <v>148602.79999999999</v>
      </c>
      <c r="F2436" s="667">
        <v>34619.210000000006</v>
      </c>
    </row>
    <row r="2437" spans="1:10" ht="14" thickBot="1" x14ac:dyDescent="0.2"/>
    <row r="2438" spans="1:10" s="275" customFormat="1" ht="31" thickBot="1" x14ac:dyDescent="0.35">
      <c r="A2438" s="767" t="s">
        <v>1106</v>
      </c>
      <c r="B2438" s="768"/>
      <c r="C2438" s="768"/>
      <c r="D2438" s="768"/>
      <c r="E2438" s="768"/>
      <c r="F2438" s="769"/>
      <c r="G2438" s="289"/>
      <c r="H2438" s="289"/>
      <c r="I2438" s="289"/>
      <c r="J2438" s="289"/>
    </row>
    <row r="2439" spans="1:10" s="275" customFormat="1" x14ac:dyDescent="0.15">
      <c r="A2439" s="617"/>
      <c r="B2439" s="617"/>
      <c r="E2439" s="276"/>
      <c r="F2439" s="278"/>
    </row>
    <row r="2440" spans="1:10" s="275" customFormat="1" x14ac:dyDescent="0.15">
      <c r="A2440" s="652" t="s">
        <v>1534</v>
      </c>
      <c r="B2440" s="653" t="s">
        <v>1614</v>
      </c>
      <c r="C2440" s="371" t="s">
        <v>1492</v>
      </c>
      <c r="D2440" s="371" t="s">
        <v>1239</v>
      </c>
      <c r="E2440" s="654">
        <v>10640</v>
      </c>
      <c r="F2440" s="391">
        <v>1813.94</v>
      </c>
    </row>
    <row r="2441" spans="1:10" s="275" customFormat="1" x14ac:dyDescent="0.15">
      <c r="A2441" s="655" t="s">
        <v>1535</v>
      </c>
      <c r="B2441" s="591" t="s">
        <v>1615</v>
      </c>
      <c r="C2441" s="287" t="s">
        <v>1507</v>
      </c>
      <c r="D2441" s="287" t="s">
        <v>1245</v>
      </c>
      <c r="E2441" s="656">
        <v>2720</v>
      </c>
      <c r="F2441" s="381">
        <v>547.45000000000005</v>
      </c>
    </row>
    <row r="2442" spans="1:10" s="275" customFormat="1" x14ac:dyDescent="0.15">
      <c r="A2442" s="655" t="s">
        <v>1670</v>
      </c>
      <c r="B2442" s="591" t="s">
        <v>1659</v>
      </c>
      <c r="C2442" s="287" t="s">
        <v>1279</v>
      </c>
      <c r="D2442" s="287" t="s">
        <v>1660</v>
      </c>
      <c r="E2442" s="656">
        <v>9120</v>
      </c>
      <c r="F2442" s="381">
        <v>1688.01</v>
      </c>
    </row>
    <row r="2443" spans="1:10" s="275" customFormat="1" x14ac:dyDescent="0.15">
      <c r="A2443" s="655" t="s">
        <v>1536</v>
      </c>
      <c r="B2443" s="591" t="s">
        <v>1616</v>
      </c>
      <c r="C2443" s="287" t="s">
        <v>1479</v>
      </c>
      <c r="D2443" s="287" t="s">
        <v>1231</v>
      </c>
      <c r="E2443" s="656">
        <v>3666</v>
      </c>
      <c r="F2443" s="381">
        <v>615.88</v>
      </c>
    </row>
    <row r="2444" spans="1:10" s="275" customFormat="1" x14ac:dyDescent="0.15">
      <c r="A2444" s="655" t="s">
        <v>1537</v>
      </c>
      <c r="B2444" s="591" t="s">
        <v>1617</v>
      </c>
      <c r="C2444" s="287" t="s">
        <v>1269</v>
      </c>
      <c r="D2444" s="287" t="s">
        <v>1270</v>
      </c>
      <c r="E2444" s="656">
        <v>4743</v>
      </c>
      <c r="F2444" s="381">
        <v>821.48</v>
      </c>
    </row>
    <row r="2445" spans="1:10" s="275" customFormat="1" x14ac:dyDescent="0.15">
      <c r="A2445" s="655" t="s">
        <v>1538</v>
      </c>
      <c r="B2445" s="591" t="s">
        <v>1618</v>
      </c>
      <c r="C2445" s="287" t="s">
        <v>1517</v>
      </c>
      <c r="D2445" s="287" t="s">
        <v>1518</v>
      </c>
      <c r="E2445" s="656">
        <v>5</v>
      </c>
      <c r="F2445" s="381">
        <v>30.64</v>
      </c>
    </row>
    <row r="2446" spans="1:10" s="275" customFormat="1" x14ac:dyDescent="0.15">
      <c r="A2446" s="655" t="s">
        <v>1540</v>
      </c>
      <c r="B2446" s="591" t="s">
        <v>1620</v>
      </c>
      <c r="C2446" s="287" t="s">
        <v>1257</v>
      </c>
      <c r="D2446" s="287" t="s">
        <v>1258</v>
      </c>
      <c r="E2446" s="656">
        <v>19600</v>
      </c>
      <c r="F2446" s="381">
        <v>3132.24</v>
      </c>
    </row>
    <row r="2447" spans="1:10" s="275" customFormat="1" x14ac:dyDescent="0.15">
      <c r="A2447" s="655" t="s">
        <v>1541</v>
      </c>
      <c r="B2447" s="591" t="s">
        <v>1621</v>
      </c>
      <c r="C2447" s="287" t="s">
        <v>1586</v>
      </c>
      <c r="D2447" s="287" t="s">
        <v>1500</v>
      </c>
      <c r="E2447" s="656">
        <v>2880</v>
      </c>
      <c r="F2447" s="381">
        <v>546.11</v>
      </c>
    </row>
    <row r="2448" spans="1:10" s="275" customFormat="1" x14ac:dyDescent="0.15">
      <c r="A2448" s="655" t="s">
        <v>1542</v>
      </c>
      <c r="B2448" s="591" t="s">
        <v>1622</v>
      </c>
      <c r="C2448" s="287" t="s">
        <v>1240</v>
      </c>
      <c r="D2448" s="287" t="s">
        <v>1467</v>
      </c>
      <c r="E2448" s="656">
        <v>5118</v>
      </c>
      <c r="F2448" s="381">
        <v>839.92</v>
      </c>
    </row>
    <row r="2449" spans="1:6" s="275" customFormat="1" x14ac:dyDescent="0.15">
      <c r="A2449" s="655" t="s">
        <v>1543</v>
      </c>
      <c r="B2449" s="591" t="s">
        <v>1623</v>
      </c>
      <c r="C2449" s="287" t="s">
        <v>1523</v>
      </c>
      <c r="D2449" s="287" t="s">
        <v>1266</v>
      </c>
      <c r="E2449" s="656">
        <v>958</v>
      </c>
      <c r="F2449" s="381">
        <v>185.22</v>
      </c>
    </row>
    <row r="2450" spans="1:6" s="275" customFormat="1" x14ac:dyDescent="0.15">
      <c r="A2450" s="655" t="s">
        <v>1544</v>
      </c>
      <c r="B2450" s="591" t="s">
        <v>1624</v>
      </c>
      <c r="C2450" s="287" t="s">
        <v>1234</v>
      </c>
      <c r="D2450" s="287" t="s">
        <v>1494</v>
      </c>
      <c r="E2450" s="656">
        <v>5945</v>
      </c>
      <c r="F2450" s="381">
        <v>1028.47</v>
      </c>
    </row>
    <row r="2451" spans="1:6" s="275" customFormat="1" x14ac:dyDescent="0.15">
      <c r="A2451" s="655" t="s">
        <v>1601</v>
      </c>
      <c r="B2451" s="591"/>
      <c r="C2451" s="287" t="s">
        <v>1334</v>
      </c>
      <c r="D2451" s="287" t="s">
        <v>1462</v>
      </c>
      <c r="E2451" s="656">
        <f>956.1+1471.2</f>
        <v>2427.3000000000002</v>
      </c>
      <c r="F2451" s="381">
        <v>558.34</v>
      </c>
    </row>
    <row r="2452" spans="1:6" s="275" customFormat="1" x14ac:dyDescent="0.15">
      <c r="A2452" s="655" t="s">
        <v>1545</v>
      </c>
      <c r="B2452" s="591"/>
      <c r="C2452" s="287" t="s">
        <v>1234</v>
      </c>
      <c r="D2452" s="287" t="s">
        <v>1494</v>
      </c>
      <c r="E2452" s="656">
        <f>1.8+53.6</f>
        <v>55.4</v>
      </c>
      <c r="F2452" s="381">
        <v>15.48</v>
      </c>
    </row>
    <row r="2453" spans="1:6" s="275" customFormat="1" x14ac:dyDescent="0.15">
      <c r="A2453" s="655" t="s">
        <v>1602</v>
      </c>
      <c r="B2453" s="591"/>
      <c r="C2453" s="287" t="s">
        <v>1334</v>
      </c>
      <c r="D2453" s="287" t="s">
        <v>1462</v>
      </c>
      <c r="E2453" s="656">
        <f>53.4+82.2</f>
        <v>135.6</v>
      </c>
      <c r="F2453" s="381">
        <v>43.79</v>
      </c>
    </row>
    <row r="2454" spans="1:6" s="275" customFormat="1" x14ac:dyDescent="0.15">
      <c r="A2454" s="655" t="s">
        <v>1546</v>
      </c>
      <c r="B2454" s="591"/>
      <c r="C2454" s="287" t="s">
        <v>1586</v>
      </c>
      <c r="D2454" s="287" t="s">
        <v>1500</v>
      </c>
      <c r="E2454" s="656">
        <f>2+61.4</f>
        <v>63.4</v>
      </c>
      <c r="F2454" s="381">
        <v>25.53</v>
      </c>
    </row>
    <row r="2455" spans="1:6" s="275" customFormat="1" x14ac:dyDescent="0.15">
      <c r="A2455" s="655" t="s">
        <v>1549</v>
      </c>
      <c r="B2455" s="591" t="s">
        <v>1625</v>
      </c>
      <c r="C2455" s="287" t="s">
        <v>1459</v>
      </c>
      <c r="D2455" s="287" t="s">
        <v>1251</v>
      </c>
      <c r="E2455" s="656">
        <v>966</v>
      </c>
      <c r="F2455" s="381">
        <v>221.71</v>
      </c>
    </row>
    <row r="2456" spans="1:6" s="275" customFormat="1" x14ac:dyDescent="0.15">
      <c r="A2456" s="655" t="s">
        <v>1603</v>
      </c>
      <c r="B2456" s="591"/>
      <c r="C2456" s="287" t="s">
        <v>1334</v>
      </c>
      <c r="D2456" s="287" t="s">
        <v>1462</v>
      </c>
      <c r="E2456" s="656">
        <f>400.2+615.8</f>
        <v>1016</v>
      </c>
      <c r="F2456" s="381">
        <v>250.22</v>
      </c>
    </row>
    <row r="2457" spans="1:6" s="295" customFormat="1" x14ac:dyDescent="0.15">
      <c r="A2457" s="655" t="s">
        <v>1597</v>
      </c>
      <c r="B2457" s="591" t="s">
        <v>1626</v>
      </c>
      <c r="C2457" s="287" t="s">
        <v>1454</v>
      </c>
      <c r="D2457" s="287" t="s">
        <v>1247</v>
      </c>
      <c r="E2457" s="656">
        <v>2800</v>
      </c>
      <c r="F2457" s="381">
        <v>507.66</v>
      </c>
    </row>
    <row r="2458" spans="1:6" s="295" customFormat="1" x14ac:dyDescent="0.15">
      <c r="A2458" s="655" t="s">
        <v>1677</v>
      </c>
      <c r="B2458" s="591" t="s">
        <v>1678</v>
      </c>
      <c r="C2458" s="287" t="s">
        <v>1313</v>
      </c>
      <c r="D2458" s="287" t="s">
        <v>1412</v>
      </c>
      <c r="E2458" s="656">
        <v>1232</v>
      </c>
      <c r="F2458" s="381">
        <v>262.07</v>
      </c>
    </row>
    <row r="2459" spans="1:6" s="295" customFormat="1" x14ac:dyDescent="0.15">
      <c r="A2459" s="655" t="s">
        <v>1551</v>
      </c>
      <c r="B2459" s="591" t="s">
        <v>1627</v>
      </c>
      <c r="C2459" s="287" t="s">
        <v>1235</v>
      </c>
      <c r="D2459" s="287" t="s">
        <v>1236</v>
      </c>
      <c r="E2459" s="656">
        <v>5981</v>
      </c>
      <c r="F2459" s="381">
        <v>1018.74</v>
      </c>
    </row>
    <row r="2460" spans="1:6" s="295" customFormat="1" x14ac:dyDescent="0.15">
      <c r="A2460" s="655" t="s">
        <v>1553</v>
      </c>
      <c r="B2460" s="591" t="s">
        <v>1628</v>
      </c>
      <c r="C2460" s="287" t="s">
        <v>1475</v>
      </c>
      <c r="D2460" s="287" t="s">
        <v>1387</v>
      </c>
      <c r="E2460" s="656">
        <v>932</v>
      </c>
      <c r="F2460" s="381">
        <v>184.33</v>
      </c>
    </row>
    <row r="2461" spans="1:6" s="295" customFormat="1" x14ac:dyDescent="0.15">
      <c r="A2461" s="655" t="s">
        <v>1554</v>
      </c>
      <c r="B2461" s="591" t="s">
        <v>1629</v>
      </c>
      <c r="C2461" s="287" t="s">
        <v>1399</v>
      </c>
      <c r="D2461" s="287" t="s">
        <v>1276</v>
      </c>
      <c r="E2461" s="656">
        <v>5000</v>
      </c>
      <c r="F2461" s="381">
        <v>896.21</v>
      </c>
    </row>
    <row r="2462" spans="1:6" s="295" customFormat="1" x14ac:dyDescent="0.15">
      <c r="A2462" s="655" t="s">
        <v>1598</v>
      </c>
      <c r="B2462" s="591"/>
      <c r="C2462" s="287" t="s">
        <v>1586</v>
      </c>
      <c r="D2462" s="287" t="s">
        <v>1500</v>
      </c>
      <c r="E2462" s="656">
        <f>1+30.7</f>
        <v>31.7</v>
      </c>
      <c r="F2462" s="381">
        <v>15.399999999999999</v>
      </c>
    </row>
    <row r="2463" spans="1:6" s="295" customFormat="1" x14ac:dyDescent="0.15">
      <c r="A2463" s="655" t="s">
        <v>1662</v>
      </c>
      <c r="B2463" s="657">
        <v>892914652</v>
      </c>
      <c r="C2463" s="287" t="s">
        <v>1663</v>
      </c>
      <c r="D2463" s="287" t="s">
        <v>1664</v>
      </c>
      <c r="E2463" s="656">
        <v>13120</v>
      </c>
      <c r="F2463" s="381">
        <v>2335.0300000000002</v>
      </c>
    </row>
    <row r="2464" spans="1:6" s="295" customFormat="1" ht="14" thickBot="1" x14ac:dyDescent="0.2">
      <c r="A2464" s="655"/>
      <c r="B2464" s="591"/>
      <c r="C2464" s="291" t="s">
        <v>1657</v>
      </c>
      <c r="D2464" s="287"/>
      <c r="E2464" s="643">
        <f>SUM(E2440:E2463)</f>
        <v>99155.4</v>
      </c>
      <c r="F2464" s="658">
        <v>17583.87</v>
      </c>
    </row>
    <row r="2465" spans="1:6" s="295" customFormat="1" ht="14" thickTop="1" x14ac:dyDescent="0.15">
      <c r="A2465" s="655"/>
      <c r="B2465" s="591"/>
      <c r="C2465" s="287"/>
      <c r="D2465" s="287"/>
      <c r="E2465" s="524"/>
      <c r="F2465" s="381"/>
    </row>
    <row r="2466" spans="1:6" s="295" customFormat="1" x14ac:dyDescent="0.15">
      <c r="A2466" s="655" t="s">
        <v>1556</v>
      </c>
      <c r="B2466" s="591" t="s">
        <v>1631</v>
      </c>
      <c r="C2466" s="287" t="s">
        <v>1248</v>
      </c>
      <c r="D2466" s="287" t="s">
        <v>1482</v>
      </c>
      <c r="E2466" s="656">
        <v>3990</v>
      </c>
      <c r="F2466" s="381">
        <v>734.52</v>
      </c>
    </row>
    <row r="2467" spans="1:6" s="295" customFormat="1" x14ac:dyDescent="0.15">
      <c r="A2467" s="655" t="s">
        <v>1558</v>
      </c>
      <c r="B2467" s="591" t="s">
        <v>1633</v>
      </c>
      <c r="C2467" s="287" t="s">
        <v>1469</v>
      </c>
      <c r="D2467" s="287" t="s">
        <v>1470</v>
      </c>
      <c r="E2467" s="656">
        <v>6720</v>
      </c>
      <c r="F2467" s="381">
        <v>1182.1500000000001</v>
      </c>
    </row>
    <row r="2468" spans="1:6" s="295" customFormat="1" x14ac:dyDescent="0.15">
      <c r="A2468" s="655" t="s">
        <v>1559</v>
      </c>
      <c r="B2468" s="591" t="s">
        <v>1634</v>
      </c>
      <c r="C2468" s="287" t="s">
        <v>1502</v>
      </c>
      <c r="D2468" s="287" t="s">
        <v>1381</v>
      </c>
      <c r="E2468" s="656">
        <v>14400</v>
      </c>
      <c r="F2468" s="381">
        <v>2086.89</v>
      </c>
    </row>
    <row r="2469" spans="1:6" s="295" customFormat="1" x14ac:dyDescent="0.15">
      <c r="A2469" s="655" t="s">
        <v>1560</v>
      </c>
      <c r="B2469" s="591" t="s">
        <v>1635</v>
      </c>
      <c r="C2469" s="287" t="s">
        <v>1504</v>
      </c>
      <c r="D2469" s="287" t="s">
        <v>1505</v>
      </c>
      <c r="E2469" s="656">
        <v>1889</v>
      </c>
      <c r="F2469" s="381">
        <v>329.92</v>
      </c>
    </row>
    <row r="2470" spans="1:6" s="295" customFormat="1" x14ac:dyDescent="0.15">
      <c r="A2470" s="655" t="s">
        <v>1675</v>
      </c>
      <c r="B2470" s="591" t="s">
        <v>1676</v>
      </c>
      <c r="C2470" s="287" t="s">
        <v>1477</v>
      </c>
      <c r="D2470" s="287" t="s">
        <v>1289</v>
      </c>
      <c r="E2470" s="656">
        <v>14760</v>
      </c>
      <c r="F2470" s="381">
        <v>2413.89</v>
      </c>
    </row>
    <row r="2471" spans="1:6" s="295" customFormat="1" x14ac:dyDescent="0.15">
      <c r="A2471" s="655" t="s">
        <v>1563</v>
      </c>
      <c r="B2471" s="591"/>
      <c r="C2471" s="287" t="s">
        <v>1267</v>
      </c>
      <c r="D2471" s="287" t="s">
        <v>1268</v>
      </c>
      <c r="E2471" s="656">
        <f>1.8+53.6</f>
        <v>55.4</v>
      </c>
      <c r="F2471" s="381">
        <v>12.08</v>
      </c>
    </row>
    <row r="2472" spans="1:6" s="295" customFormat="1" x14ac:dyDescent="0.15">
      <c r="A2472" s="655" t="s">
        <v>1564</v>
      </c>
      <c r="B2472" s="591" t="s">
        <v>1636</v>
      </c>
      <c r="C2472" s="287" t="s">
        <v>1485</v>
      </c>
      <c r="D2472" s="287" t="s">
        <v>1486</v>
      </c>
      <c r="E2472" s="656">
        <v>1840</v>
      </c>
      <c r="F2472" s="381">
        <v>401.99</v>
      </c>
    </row>
    <row r="2473" spans="1:6" s="295" customFormat="1" x14ac:dyDescent="0.15">
      <c r="A2473" s="655" t="s">
        <v>1565</v>
      </c>
      <c r="B2473" s="591" t="s">
        <v>1637</v>
      </c>
      <c r="C2473" s="287" t="s">
        <v>1267</v>
      </c>
      <c r="D2473" s="287" t="s">
        <v>1268</v>
      </c>
      <c r="E2473" s="656">
        <v>2862</v>
      </c>
      <c r="F2473" s="381">
        <v>566.07000000000005</v>
      </c>
    </row>
    <row r="2474" spans="1:6" s="295" customFormat="1" x14ac:dyDescent="0.15">
      <c r="A2474" s="655" t="s">
        <v>1569</v>
      </c>
      <c r="B2474" s="591" t="s">
        <v>1638</v>
      </c>
      <c r="C2474" s="287" t="s">
        <v>1464</v>
      </c>
      <c r="D2474" s="287" t="s">
        <v>1285</v>
      </c>
      <c r="E2474" s="656">
        <v>1051</v>
      </c>
      <c r="F2474" s="381">
        <v>260.76</v>
      </c>
    </row>
    <row r="2475" spans="1:6" s="295" customFormat="1" x14ac:dyDescent="0.15">
      <c r="A2475" s="655" t="s">
        <v>1711</v>
      </c>
      <c r="B2475" s="591" t="s">
        <v>1712</v>
      </c>
      <c r="C2475" s="287" t="s">
        <v>1713</v>
      </c>
      <c r="D2475" s="287" t="s">
        <v>1419</v>
      </c>
      <c r="E2475" s="656">
        <v>187</v>
      </c>
      <c r="F2475" s="381">
        <v>40.85</v>
      </c>
    </row>
    <row r="2476" spans="1:6" s="295" customFormat="1" x14ac:dyDescent="0.15">
      <c r="A2476" s="655" t="s">
        <v>1570</v>
      </c>
      <c r="B2476" s="591" t="s">
        <v>1639</v>
      </c>
      <c r="C2476" s="287" t="s">
        <v>1472</v>
      </c>
      <c r="D2476" s="287" t="s">
        <v>1473</v>
      </c>
      <c r="E2476" s="656">
        <v>27</v>
      </c>
      <c r="F2476" s="381">
        <v>33.380000000000003</v>
      </c>
    </row>
    <row r="2477" spans="1:6" s="295" customFormat="1" x14ac:dyDescent="0.15">
      <c r="A2477" s="655" t="s">
        <v>1571</v>
      </c>
      <c r="B2477" s="591" t="s">
        <v>1640</v>
      </c>
      <c r="C2477" s="287" t="s">
        <v>1489</v>
      </c>
      <c r="D2477" s="287" t="s">
        <v>1490</v>
      </c>
      <c r="E2477" s="656">
        <v>133</v>
      </c>
      <c r="F2477" s="381">
        <v>46.64</v>
      </c>
    </row>
    <row r="2478" spans="1:6" s="295" customFormat="1" x14ac:dyDescent="0.15">
      <c r="A2478" s="655" t="s">
        <v>1572</v>
      </c>
      <c r="B2478" s="591" t="s">
        <v>1641</v>
      </c>
      <c r="C2478" s="287" t="s">
        <v>1271</v>
      </c>
      <c r="D2478" s="287" t="s">
        <v>1272</v>
      </c>
      <c r="E2478" s="656">
        <v>7362</v>
      </c>
      <c r="F2478" s="381">
        <v>1212.5899999999999</v>
      </c>
    </row>
    <row r="2479" spans="1:6" s="295" customFormat="1" x14ac:dyDescent="0.15">
      <c r="A2479" s="655" t="s">
        <v>1573</v>
      </c>
      <c r="B2479" s="591"/>
      <c r="C2479" s="287" t="s">
        <v>1461</v>
      </c>
      <c r="D2479" s="287" t="s">
        <v>1703</v>
      </c>
      <c r="E2479" s="656">
        <v>26</v>
      </c>
      <c r="F2479" s="381">
        <v>16.600000000000001</v>
      </c>
    </row>
    <row r="2480" spans="1:6" s="295" customFormat="1" x14ac:dyDescent="0.15">
      <c r="A2480" s="655" t="s">
        <v>1574</v>
      </c>
      <c r="B2480" s="591" t="s">
        <v>1642</v>
      </c>
      <c r="C2480" s="287" t="s">
        <v>1377</v>
      </c>
      <c r="D2480" s="287" t="s">
        <v>1378</v>
      </c>
      <c r="E2480" s="656">
        <v>2333</v>
      </c>
      <c r="F2480" s="381">
        <v>442.26</v>
      </c>
    </row>
    <row r="2481" spans="1:6" s="295" customFormat="1" x14ac:dyDescent="0.15">
      <c r="A2481" s="655" t="s">
        <v>1575</v>
      </c>
      <c r="B2481" s="591" t="s">
        <v>1685</v>
      </c>
      <c r="C2481" s="287" t="s">
        <v>1448</v>
      </c>
      <c r="D2481" s="287" t="s">
        <v>1449</v>
      </c>
      <c r="E2481" s="656">
        <v>225</v>
      </c>
      <c r="F2481" s="381">
        <v>48.24</v>
      </c>
    </row>
    <row r="2482" spans="1:6" s="295" customFormat="1" x14ac:dyDescent="0.15">
      <c r="A2482" s="655" t="s">
        <v>1604</v>
      </c>
      <c r="B2482" s="591"/>
      <c r="C2482" s="287" t="s">
        <v>1334</v>
      </c>
      <c r="D2482" s="287" t="s">
        <v>1462</v>
      </c>
      <c r="E2482" s="656">
        <f>49.9+76.9</f>
        <v>126.80000000000001</v>
      </c>
      <c r="F2482" s="381">
        <v>48.040000000000006</v>
      </c>
    </row>
    <row r="2483" spans="1:6" s="295" customFormat="1" x14ac:dyDescent="0.15">
      <c r="A2483" s="655" t="s">
        <v>1576</v>
      </c>
      <c r="B2483" s="591" t="s">
        <v>1644</v>
      </c>
      <c r="C2483" s="287" t="s">
        <v>1401</v>
      </c>
      <c r="D2483" s="287" t="s">
        <v>1316</v>
      </c>
      <c r="E2483" s="656">
        <v>24</v>
      </c>
      <c r="F2483" s="381">
        <v>33</v>
      </c>
    </row>
    <row r="2484" spans="1:6" s="295" customFormat="1" x14ac:dyDescent="0.15">
      <c r="A2484" s="655" t="s">
        <v>1605</v>
      </c>
      <c r="B2484" s="591"/>
      <c r="C2484" s="287" t="s">
        <v>1334</v>
      </c>
      <c r="D2484" s="287" t="s">
        <v>1462</v>
      </c>
      <c r="E2484" s="656">
        <f>182.4+280.6</f>
        <v>463</v>
      </c>
      <c r="F2484" s="381">
        <v>174.91000000000003</v>
      </c>
    </row>
    <row r="2485" spans="1:6" s="295" customFormat="1" x14ac:dyDescent="0.15">
      <c r="A2485" s="655" t="s">
        <v>1578</v>
      </c>
      <c r="B2485" s="591" t="s">
        <v>1646</v>
      </c>
      <c r="C2485" s="287" t="s">
        <v>1579</v>
      </c>
      <c r="D2485" s="287" t="s">
        <v>1497</v>
      </c>
      <c r="E2485" s="656">
        <v>0</v>
      </c>
      <c r="F2485" s="381">
        <v>30</v>
      </c>
    </row>
    <row r="2486" spans="1:6" s="295" customFormat="1" x14ac:dyDescent="0.15">
      <c r="A2486" s="655" t="s">
        <v>1580</v>
      </c>
      <c r="B2486" s="591" t="s">
        <v>1647</v>
      </c>
      <c r="C2486" s="287" t="s">
        <v>1451</v>
      </c>
      <c r="D2486" s="287" t="s">
        <v>1674</v>
      </c>
      <c r="E2486" s="656">
        <v>1536</v>
      </c>
      <c r="F2486" s="381">
        <v>1742.35</v>
      </c>
    </row>
    <row r="2487" spans="1:6" s="295" customFormat="1" x14ac:dyDescent="0.15">
      <c r="A2487" s="655" t="s">
        <v>1581</v>
      </c>
      <c r="B2487" s="591" t="s">
        <v>1648</v>
      </c>
      <c r="C2487" s="287" t="s">
        <v>1521</v>
      </c>
      <c r="D2487" s="287" t="s">
        <v>1229</v>
      </c>
      <c r="E2487" s="656">
        <v>2256</v>
      </c>
      <c r="F2487" s="381">
        <v>411.32</v>
      </c>
    </row>
    <row r="2488" spans="1:6" s="295" customFormat="1" x14ac:dyDescent="0.15">
      <c r="A2488" s="655" t="s">
        <v>1582</v>
      </c>
      <c r="B2488" s="591" t="s">
        <v>1649</v>
      </c>
      <c r="C2488" s="287" t="s">
        <v>1525</v>
      </c>
      <c r="D2488" s="287" t="s">
        <v>1526</v>
      </c>
      <c r="E2488" s="656">
        <v>47</v>
      </c>
      <c r="F2488" s="381">
        <v>14.81</v>
      </c>
    </row>
    <row r="2489" spans="1:6" s="295" customFormat="1" ht="14" x14ac:dyDescent="0.15">
      <c r="A2489" s="655" t="s">
        <v>1583</v>
      </c>
      <c r="B2489" s="591" t="s">
        <v>1650</v>
      </c>
      <c r="C2489" s="287" t="s">
        <v>1584</v>
      </c>
      <c r="D2489" s="618" t="s">
        <v>1264</v>
      </c>
      <c r="E2489" s="656">
        <v>1560</v>
      </c>
      <c r="F2489" s="381">
        <v>310.14999999999998</v>
      </c>
    </row>
    <row r="2490" spans="1:6" s="295" customFormat="1" x14ac:dyDescent="0.15">
      <c r="A2490" s="655" t="s">
        <v>1666</v>
      </c>
      <c r="B2490" s="591" t="s">
        <v>1672</v>
      </c>
      <c r="C2490" s="287" t="s">
        <v>1667</v>
      </c>
      <c r="D2490" s="287" t="s">
        <v>1668</v>
      </c>
      <c r="E2490" s="656">
        <v>13632</v>
      </c>
      <c r="F2490" s="381">
        <v>3217.95</v>
      </c>
    </row>
    <row r="2491" spans="1:6" s="295" customFormat="1" x14ac:dyDescent="0.15">
      <c r="A2491" s="655" t="s">
        <v>1606</v>
      </c>
      <c r="B2491" s="591"/>
      <c r="C2491" s="287" t="s">
        <v>1334</v>
      </c>
      <c r="D2491" s="287" t="s">
        <v>1462</v>
      </c>
      <c r="E2491" s="656">
        <f>21.8+33.6</f>
        <v>55.400000000000006</v>
      </c>
      <c r="F2491" s="381">
        <v>12.16</v>
      </c>
    </row>
    <row r="2492" spans="1:6" s="295" customFormat="1" ht="14" thickBot="1" x14ac:dyDescent="0.2">
      <c r="A2492" s="655"/>
      <c r="B2492" s="591"/>
      <c r="C2492" s="291" t="s">
        <v>1669</v>
      </c>
      <c r="D2492" s="287"/>
      <c r="E2492" s="643">
        <f>SUM(E2466:E2491)</f>
        <v>77560.600000000006</v>
      </c>
      <c r="F2492" s="658">
        <v>15823.519999999999</v>
      </c>
    </row>
    <row r="2493" spans="1:6" s="295" customFormat="1" ht="14" thickTop="1" x14ac:dyDescent="0.15">
      <c r="A2493" s="655"/>
      <c r="B2493" s="591"/>
      <c r="C2493" s="287"/>
      <c r="D2493" s="287"/>
      <c r="E2493" s="524"/>
      <c r="F2493" s="381"/>
    </row>
    <row r="2494" spans="1:6" s="295" customFormat="1" x14ac:dyDescent="0.15">
      <c r="A2494" s="655"/>
      <c r="B2494" s="591"/>
      <c r="C2494" s="293" t="s">
        <v>1594</v>
      </c>
      <c r="D2494" s="287"/>
      <c r="E2494" s="524"/>
      <c r="F2494" s="381"/>
    </row>
    <row r="2495" spans="1:6" s="295" customFormat="1" x14ac:dyDescent="0.15">
      <c r="A2495" s="655"/>
      <c r="B2495" s="591"/>
      <c r="C2495" s="293" t="s">
        <v>1446</v>
      </c>
      <c r="D2495" s="287"/>
      <c r="E2495" s="524"/>
      <c r="F2495" s="381"/>
    </row>
    <row r="2496" spans="1:6" s="295" customFormat="1" x14ac:dyDescent="0.15">
      <c r="A2496" s="655"/>
      <c r="B2496" s="591"/>
      <c r="C2496" s="386">
        <v>42216</v>
      </c>
      <c r="D2496" s="287"/>
      <c r="E2496" s="524"/>
      <c r="F2496" s="381"/>
    </row>
    <row r="2497" spans="1:6" s="295" customFormat="1" x14ac:dyDescent="0.15">
      <c r="A2497" s="655"/>
      <c r="B2497" s="591"/>
      <c r="C2497" s="287"/>
      <c r="D2497" s="287"/>
      <c r="E2497" s="524"/>
      <c r="F2497" s="381"/>
    </row>
    <row r="2498" spans="1:6" s="295" customFormat="1" ht="14" thickBot="1" x14ac:dyDescent="0.2">
      <c r="A2498" s="663"/>
      <c r="B2498" s="664"/>
      <c r="C2498" s="665" t="s">
        <v>1177</v>
      </c>
      <c r="D2498" s="665"/>
      <c r="E2498" s="666">
        <f>SUM(E2464,E2492)</f>
        <v>176716</v>
      </c>
      <c r="F2498" s="667">
        <v>33407.39</v>
      </c>
    </row>
    <row r="2499" spans="1:6" s="295" customFormat="1" x14ac:dyDescent="0.15">
      <c r="A2499" s="655"/>
      <c r="B2499" s="591"/>
      <c r="C2499" s="413"/>
      <c r="D2499" s="413"/>
      <c r="E2499" s="669"/>
      <c r="F2499" s="670"/>
    </row>
    <row r="2500" spans="1:6" s="295" customFormat="1" x14ac:dyDescent="0.15">
      <c r="A2500" s="652" t="s">
        <v>1534</v>
      </c>
      <c r="B2500" s="653" t="s">
        <v>1614</v>
      </c>
      <c r="C2500" s="371" t="s">
        <v>1492</v>
      </c>
      <c r="D2500" s="371" t="s">
        <v>1239</v>
      </c>
      <c r="E2500" s="654">
        <v>7440</v>
      </c>
      <c r="F2500" s="391">
        <v>1318.38</v>
      </c>
    </row>
    <row r="2501" spans="1:6" s="295" customFormat="1" x14ac:dyDescent="0.15">
      <c r="A2501" s="655" t="s">
        <v>1535</v>
      </c>
      <c r="B2501" s="591" t="s">
        <v>1615</v>
      </c>
      <c r="C2501" s="287" t="s">
        <v>1507</v>
      </c>
      <c r="D2501" s="287" t="s">
        <v>1245</v>
      </c>
      <c r="E2501" s="656">
        <v>2000</v>
      </c>
      <c r="F2501" s="381">
        <v>390.7</v>
      </c>
    </row>
    <row r="2502" spans="1:6" s="295" customFormat="1" x14ac:dyDescent="0.15">
      <c r="A2502" s="655" t="s">
        <v>1670</v>
      </c>
      <c r="B2502" s="591" t="s">
        <v>1659</v>
      </c>
      <c r="C2502" s="287" t="s">
        <v>1279</v>
      </c>
      <c r="D2502" s="287" t="s">
        <v>1660</v>
      </c>
      <c r="E2502" s="656">
        <v>8640</v>
      </c>
      <c r="F2502" s="381">
        <v>1423.95</v>
      </c>
    </row>
    <row r="2503" spans="1:6" s="295" customFormat="1" x14ac:dyDescent="0.15">
      <c r="A2503" s="655" t="s">
        <v>1536</v>
      </c>
      <c r="B2503" s="591" t="s">
        <v>1616</v>
      </c>
      <c r="C2503" s="287" t="s">
        <v>1479</v>
      </c>
      <c r="D2503" s="287" t="s">
        <v>1231</v>
      </c>
      <c r="E2503" s="656">
        <v>2766</v>
      </c>
      <c r="F2503" s="381">
        <v>506.65</v>
      </c>
    </row>
    <row r="2504" spans="1:6" s="295" customFormat="1" x14ac:dyDescent="0.15">
      <c r="A2504" s="655" t="s">
        <v>1537</v>
      </c>
      <c r="B2504" s="591" t="s">
        <v>1617</v>
      </c>
      <c r="C2504" s="287" t="s">
        <v>1269</v>
      </c>
      <c r="D2504" s="287" t="s">
        <v>1270</v>
      </c>
      <c r="E2504" s="656">
        <v>3861</v>
      </c>
      <c r="F2504" s="381">
        <v>734.24</v>
      </c>
    </row>
    <row r="2505" spans="1:6" s="295" customFormat="1" x14ac:dyDescent="0.15">
      <c r="A2505" s="655" t="s">
        <v>1538</v>
      </c>
      <c r="B2505" s="591" t="s">
        <v>1618</v>
      </c>
      <c r="C2505" s="287" t="s">
        <v>1517</v>
      </c>
      <c r="D2505" s="287" t="s">
        <v>1518</v>
      </c>
      <c r="E2505" s="656">
        <v>5</v>
      </c>
      <c r="F2505" s="381">
        <v>30.63</v>
      </c>
    </row>
    <row r="2506" spans="1:6" s="295" customFormat="1" x14ac:dyDescent="0.15">
      <c r="A2506" s="655" t="s">
        <v>1540</v>
      </c>
      <c r="B2506" s="591" t="s">
        <v>1620</v>
      </c>
      <c r="C2506" s="287" t="s">
        <v>1257</v>
      </c>
      <c r="D2506" s="287" t="s">
        <v>1258</v>
      </c>
      <c r="E2506" s="656">
        <v>13920</v>
      </c>
      <c r="F2506" s="381">
        <v>2196.88</v>
      </c>
    </row>
    <row r="2507" spans="1:6" s="295" customFormat="1" x14ac:dyDescent="0.15">
      <c r="A2507" s="655" t="s">
        <v>1541</v>
      </c>
      <c r="B2507" s="591" t="s">
        <v>1621</v>
      </c>
      <c r="C2507" s="287" t="s">
        <v>1586</v>
      </c>
      <c r="D2507" s="287" t="s">
        <v>1500</v>
      </c>
      <c r="E2507" s="656">
        <v>2080</v>
      </c>
      <c r="F2507" s="381">
        <v>393.48</v>
      </c>
    </row>
    <row r="2508" spans="1:6" s="295" customFormat="1" x14ac:dyDescent="0.15">
      <c r="A2508" s="655" t="s">
        <v>1542</v>
      </c>
      <c r="B2508" s="591" t="s">
        <v>1622</v>
      </c>
      <c r="C2508" s="287" t="s">
        <v>1240</v>
      </c>
      <c r="D2508" s="287" t="s">
        <v>1467</v>
      </c>
      <c r="E2508" s="656">
        <v>3768</v>
      </c>
      <c r="F2508" s="381">
        <v>616.17999999999995</v>
      </c>
    </row>
    <row r="2509" spans="1:6" s="295" customFormat="1" x14ac:dyDescent="0.15">
      <c r="A2509" s="655" t="s">
        <v>1543</v>
      </c>
      <c r="B2509" s="591" t="s">
        <v>1623</v>
      </c>
      <c r="C2509" s="287" t="s">
        <v>1523</v>
      </c>
      <c r="D2509" s="287" t="s">
        <v>1266</v>
      </c>
      <c r="E2509" s="656">
        <v>1141</v>
      </c>
      <c r="F2509" s="381">
        <v>227.75</v>
      </c>
    </row>
    <row r="2510" spans="1:6" s="295" customFormat="1" x14ac:dyDescent="0.15">
      <c r="A2510" s="655" t="s">
        <v>1544</v>
      </c>
      <c r="B2510" s="591" t="s">
        <v>1624</v>
      </c>
      <c r="C2510" s="287" t="s">
        <v>1234</v>
      </c>
      <c r="D2510" s="287" t="s">
        <v>1494</v>
      </c>
      <c r="E2510" s="656">
        <v>4107</v>
      </c>
      <c r="F2510" s="381">
        <v>750.41</v>
      </c>
    </row>
    <row r="2511" spans="1:6" s="295" customFormat="1" x14ac:dyDescent="0.15">
      <c r="A2511" s="655" t="s">
        <v>1601</v>
      </c>
      <c r="B2511" s="591"/>
      <c r="C2511" s="287" t="s">
        <v>1334</v>
      </c>
      <c r="D2511" s="287" t="s">
        <v>1462</v>
      </c>
      <c r="E2511" s="656">
        <f>1029.6+1684.8</f>
        <v>2714.3999999999996</v>
      </c>
      <c r="F2511" s="381">
        <v>578.75</v>
      </c>
    </row>
    <row r="2512" spans="1:6" s="295" customFormat="1" x14ac:dyDescent="0.15">
      <c r="A2512" s="655" t="s">
        <v>1545</v>
      </c>
      <c r="B2512" s="591"/>
      <c r="C2512" s="287" t="s">
        <v>1234</v>
      </c>
      <c r="D2512" s="287" t="s">
        <v>1494</v>
      </c>
      <c r="E2512" s="656">
        <f>2.1+59.9</f>
        <v>62</v>
      </c>
      <c r="F2512" s="381">
        <v>15.940000000000001</v>
      </c>
    </row>
    <row r="2513" spans="1:6" s="295" customFormat="1" x14ac:dyDescent="0.15">
      <c r="A2513" s="655" t="s">
        <v>1602</v>
      </c>
      <c r="B2513" s="591"/>
      <c r="C2513" s="287" t="s">
        <v>1334</v>
      </c>
      <c r="D2513" s="287" t="s">
        <v>1462</v>
      </c>
      <c r="E2513" s="656">
        <f>57.6+94.2</f>
        <v>151.80000000000001</v>
      </c>
      <c r="F2513" s="381">
        <v>44.96</v>
      </c>
    </row>
    <row r="2514" spans="1:6" s="295" customFormat="1" x14ac:dyDescent="0.15">
      <c r="A2514" s="655" t="s">
        <v>1546</v>
      </c>
      <c r="B2514" s="591"/>
      <c r="C2514" s="287" t="s">
        <v>1586</v>
      </c>
      <c r="D2514" s="287" t="s">
        <v>1500</v>
      </c>
      <c r="E2514" s="656">
        <f>2.4+68.6</f>
        <v>71</v>
      </c>
      <c r="F2514" s="381">
        <v>26.07</v>
      </c>
    </row>
    <row r="2515" spans="1:6" s="295" customFormat="1" x14ac:dyDescent="0.15">
      <c r="A2515" s="655" t="s">
        <v>1549</v>
      </c>
      <c r="B2515" s="591" t="s">
        <v>1625</v>
      </c>
      <c r="C2515" s="287" t="s">
        <v>1459</v>
      </c>
      <c r="D2515" s="287" t="s">
        <v>1251</v>
      </c>
      <c r="E2515" s="656">
        <v>1012</v>
      </c>
      <c r="F2515" s="381">
        <v>226.04</v>
      </c>
    </row>
    <row r="2516" spans="1:6" s="295" customFormat="1" x14ac:dyDescent="0.15">
      <c r="A2516" s="655" t="s">
        <v>1603</v>
      </c>
      <c r="B2516" s="591"/>
      <c r="C2516" s="287" t="s">
        <v>1334</v>
      </c>
      <c r="D2516" s="287" t="s">
        <v>1462</v>
      </c>
      <c r="E2516" s="656">
        <f>431.2+705.6</f>
        <v>1136.8</v>
      </c>
      <c r="F2516" s="381">
        <v>258.85000000000002</v>
      </c>
    </row>
    <row r="2517" spans="1:6" s="295" customFormat="1" x14ac:dyDescent="0.15">
      <c r="A2517" s="655" t="s">
        <v>1597</v>
      </c>
      <c r="B2517" s="591" t="s">
        <v>1626</v>
      </c>
      <c r="C2517" s="287" t="s">
        <v>1454</v>
      </c>
      <c r="D2517" s="287" t="s">
        <v>1247</v>
      </c>
      <c r="E2517" s="656">
        <v>2560</v>
      </c>
      <c r="F2517" s="381">
        <v>495.39</v>
      </c>
    </row>
    <row r="2518" spans="1:6" s="295" customFormat="1" x14ac:dyDescent="0.15">
      <c r="A2518" s="655" t="s">
        <v>1677</v>
      </c>
      <c r="B2518" s="591" t="s">
        <v>1678</v>
      </c>
      <c r="C2518" s="287" t="s">
        <v>1313</v>
      </c>
      <c r="D2518" s="287" t="s">
        <v>1412</v>
      </c>
      <c r="E2518" s="656">
        <v>1194</v>
      </c>
      <c r="F2518" s="381">
        <v>248.53</v>
      </c>
    </row>
    <row r="2519" spans="1:6" s="295" customFormat="1" x14ac:dyDescent="0.15">
      <c r="A2519" s="655" t="s">
        <v>1551</v>
      </c>
      <c r="B2519" s="591" t="s">
        <v>1627</v>
      </c>
      <c r="C2519" s="287" t="s">
        <v>1235</v>
      </c>
      <c r="D2519" s="287" t="s">
        <v>1236</v>
      </c>
      <c r="E2519" s="656">
        <v>5420</v>
      </c>
      <c r="F2519" s="381">
        <v>926.79</v>
      </c>
    </row>
    <row r="2520" spans="1:6" s="295" customFormat="1" x14ac:dyDescent="0.15">
      <c r="A2520" s="655" t="s">
        <v>1553</v>
      </c>
      <c r="B2520" s="591" t="s">
        <v>1628</v>
      </c>
      <c r="C2520" s="287" t="s">
        <v>1475</v>
      </c>
      <c r="D2520" s="287" t="s">
        <v>1387</v>
      </c>
      <c r="E2520" s="656">
        <v>722</v>
      </c>
      <c r="F2520" s="381">
        <v>141.79</v>
      </c>
    </row>
    <row r="2521" spans="1:6" s="295" customFormat="1" x14ac:dyDescent="0.15">
      <c r="A2521" s="655" t="s">
        <v>1554</v>
      </c>
      <c r="B2521" s="591" t="s">
        <v>1629</v>
      </c>
      <c r="C2521" s="287" t="s">
        <v>1399</v>
      </c>
      <c r="D2521" s="287" t="s">
        <v>1276</v>
      </c>
      <c r="E2521" s="656">
        <v>4320</v>
      </c>
      <c r="F2521" s="381">
        <v>741.21</v>
      </c>
    </row>
    <row r="2522" spans="1:6" s="295" customFormat="1" x14ac:dyDescent="0.15">
      <c r="A2522" s="655" t="s">
        <v>1598</v>
      </c>
      <c r="B2522" s="591"/>
      <c r="C2522" s="287" t="s">
        <v>1586</v>
      </c>
      <c r="D2522" s="287" t="s">
        <v>1500</v>
      </c>
      <c r="E2522" s="656">
        <f>1.2+34.3</f>
        <v>35.5</v>
      </c>
      <c r="F2522" s="381">
        <v>15.71</v>
      </c>
    </row>
    <row r="2523" spans="1:6" s="295" customFormat="1" x14ac:dyDescent="0.15">
      <c r="A2523" s="655" t="s">
        <v>1662</v>
      </c>
      <c r="B2523" s="657">
        <v>892914652</v>
      </c>
      <c r="C2523" s="287" t="s">
        <v>1663</v>
      </c>
      <c r="D2523" s="287" t="s">
        <v>1664</v>
      </c>
      <c r="E2523" s="656">
        <v>12640</v>
      </c>
      <c r="F2523" s="381">
        <v>2282.8200000000002</v>
      </c>
    </row>
    <row r="2524" spans="1:6" s="295" customFormat="1" ht="14" thickBot="1" x14ac:dyDescent="0.2">
      <c r="A2524" s="655"/>
      <c r="B2524" s="591"/>
      <c r="C2524" s="291" t="s">
        <v>1671</v>
      </c>
      <c r="D2524" s="287"/>
      <c r="E2524" s="643">
        <f>SUM(E2500:E2523)</f>
        <v>81767.5</v>
      </c>
      <c r="F2524" s="658">
        <v>14592.1</v>
      </c>
    </row>
    <row r="2525" spans="1:6" s="295" customFormat="1" ht="14" thickTop="1" x14ac:dyDescent="0.15">
      <c r="A2525" s="655"/>
      <c r="B2525" s="591"/>
      <c r="C2525" s="287"/>
      <c r="D2525" s="287"/>
      <c r="E2525" s="524"/>
      <c r="F2525" s="381"/>
    </row>
    <row r="2526" spans="1:6" s="295" customFormat="1" x14ac:dyDescent="0.15">
      <c r="A2526" s="655" t="s">
        <v>1556</v>
      </c>
      <c r="B2526" s="591" t="s">
        <v>1631</v>
      </c>
      <c r="C2526" s="287" t="s">
        <v>1248</v>
      </c>
      <c r="D2526" s="287" t="s">
        <v>1482</v>
      </c>
      <c r="E2526" s="656">
        <v>4858</v>
      </c>
      <c r="F2526" s="381">
        <v>857.39</v>
      </c>
    </row>
    <row r="2527" spans="1:6" s="295" customFormat="1" x14ac:dyDescent="0.15">
      <c r="A2527" s="655" t="s">
        <v>1558</v>
      </c>
      <c r="B2527" s="591" t="s">
        <v>1633</v>
      </c>
      <c r="C2527" s="287" t="s">
        <v>1469</v>
      </c>
      <c r="D2527" s="287" t="s">
        <v>1470</v>
      </c>
      <c r="E2527" s="656">
        <v>6720</v>
      </c>
      <c r="F2527" s="381">
        <v>1172.6099999999999</v>
      </c>
    </row>
    <row r="2528" spans="1:6" s="295" customFormat="1" x14ac:dyDescent="0.15">
      <c r="A2528" s="655" t="s">
        <v>1559</v>
      </c>
      <c r="B2528" s="591" t="s">
        <v>1634</v>
      </c>
      <c r="C2528" s="287" t="s">
        <v>1502</v>
      </c>
      <c r="D2528" s="287" t="s">
        <v>1381</v>
      </c>
      <c r="E2528" s="656">
        <v>16128</v>
      </c>
      <c r="F2528" s="381">
        <v>2221.92</v>
      </c>
    </row>
    <row r="2529" spans="1:6" s="295" customFormat="1" x14ac:dyDescent="0.15">
      <c r="A2529" s="655" t="s">
        <v>1560</v>
      </c>
      <c r="B2529" s="591" t="s">
        <v>1635</v>
      </c>
      <c r="C2529" s="287" t="s">
        <v>1504</v>
      </c>
      <c r="D2529" s="287" t="s">
        <v>1505</v>
      </c>
      <c r="E2529" s="656">
        <v>1876</v>
      </c>
      <c r="F2529" s="381">
        <v>325.66000000000003</v>
      </c>
    </row>
    <row r="2530" spans="1:6" s="295" customFormat="1" x14ac:dyDescent="0.15">
      <c r="A2530" s="655" t="s">
        <v>1675</v>
      </c>
      <c r="B2530" s="591" t="s">
        <v>1676</v>
      </c>
      <c r="C2530" s="287" t="s">
        <v>1477</v>
      </c>
      <c r="D2530" s="287" t="s">
        <v>1289</v>
      </c>
      <c r="E2530" s="656">
        <v>14370</v>
      </c>
      <c r="F2530" s="381">
        <v>2366.16</v>
      </c>
    </row>
    <row r="2531" spans="1:6" s="295" customFormat="1" x14ac:dyDescent="0.15">
      <c r="A2531" s="655" t="s">
        <v>1563</v>
      </c>
      <c r="B2531" s="591"/>
      <c r="C2531" s="287" t="s">
        <v>1267</v>
      </c>
      <c r="D2531" s="287" t="s">
        <v>1268</v>
      </c>
      <c r="E2531" s="656">
        <f>2.1+59.9</f>
        <v>62</v>
      </c>
      <c r="F2531" s="381">
        <v>12.53</v>
      </c>
    </row>
    <row r="2532" spans="1:6" s="295" customFormat="1" x14ac:dyDescent="0.15">
      <c r="A2532" s="655" t="s">
        <v>1564</v>
      </c>
      <c r="B2532" s="591" t="s">
        <v>1636</v>
      </c>
      <c r="C2532" s="287" t="s">
        <v>1485</v>
      </c>
      <c r="D2532" s="287" t="s">
        <v>1486</v>
      </c>
      <c r="E2532" s="656">
        <v>1880</v>
      </c>
      <c r="F2532" s="381">
        <v>390.09</v>
      </c>
    </row>
    <row r="2533" spans="1:6" s="295" customFormat="1" x14ac:dyDescent="0.15">
      <c r="A2533" s="655" t="s">
        <v>1565</v>
      </c>
      <c r="B2533" s="591" t="s">
        <v>1637</v>
      </c>
      <c r="C2533" s="287" t="s">
        <v>1267</v>
      </c>
      <c r="D2533" s="287" t="s">
        <v>1268</v>
      </c>
      <c r="E2533" s="656">
        <v>3285</v>
      </c>
      <c r="F2533" s="381">
        <v>645.08000000000004</v>
      </c>
    </row>
    <row r="2534" spans="1:6" s="295" customFormat="1" x14ac:dyDescent="0.15">
      <c r="A2534" s="655" t="s">
        <v>1569</v>
      </c>
      <c r="B2534" s="591" t="s">
        <v>1638</v>
      </c>
      <c r="C2534" s="287" t="s">
        <v>1464</v>
      </c>
      <c r="D2534" s="287" t="s">
        <v>1285</v>
      </c>
      <c r="E2534" s="656">
        <v>1197</v>
      </c>
      <c r="F2534" s="381">
        <v>270.20999999999998</v>
      </c>
    </row>
    <row r="2535" spans="1:6" s="295" customFormat="1" x14ac:dyDescent="0.15">
      <c r="A2535" s="655" t="s">
        <v>1711</v>
      </c>
      <c r="B2535" s="591" t="s">
        <v>1712</v>
      </c>
      <c r="C2535" s="287" t="s">
        <v>1713</v>
      </c>
      <c r="D2535" s="287" t="s">
        <v>1419</v>
      </c>
      <c r="E2535" s="656">
        <v>288</v>
      </c>
      <c r="F2535" s="381">
        <v>59.68</v>
      </c>
    </row>
    <row r="2536" spans="1:6" s="295" customFormat="1" x14ac:dyDescent="0.15">
      <c r="A2536" s="655" t="s">
        <v>1570</v>
      </c>
      <c r="B2536" s="591" t="s">
        <v>1639</v>
      </c>
      <c r="C2536" s="287" t="s">
        <v>1472</v>
      </c>
      <c r="D2536" s="287" t="s">
        <v>1473</v>
      </c>
      <c r="E2536" s="656">
        <v>145</v>
      </c>
      <c r="F2536" s="381">
        <v>47.91</v>
      </c>
    </row>
    <row r="2537" spans="1:6" s="295" customFormat="1" x14ac:dyDescent="0.15">
      <c r="A2537" s="655" t="s">
        <v>1571</v>
      </c>
      <c r="B2537" s="591" t="s">
        <v>1640</v>
      </c>
      <c r="C2537" s="287" t="s">
        <v>1489</v>
      </c>
      <c r="D2537" s="287" t="s">
        <v>1490</v>
      </c>
      <c r="E2537" s="656">
        <v>127</v>
      </c>
      <c r="F2537" s="381">
        <v>45.7</v>
      </c>
    </row>
    <row r="2538" spans="1:6" s="295" customFormat="1" x14ac:dyDescent="0.15">
      <c r="A2538" s="655" t="s">
        <v>1572</v>
      </c>
      <c r="B2538" s="591" t="s">
        <v>1641</v>
      </c>
      <c r="C2538" s="287" t="s">
        <v>1271</v>
      </c>
      <c r="D2538" s="287" t="s">
        <v>1272</v>
      </c>
      <c r="E2538" s="656">
        <v>7356</v>
      </c>
      <c r="F2538" s="381">
        <v>1229.8499999999999</v>
      </c>
    </row>
    <row r="2539" spans="1:6" s="295" customFormat="1" x14ac:dyDescent="0.15">
      <c r="A2539" s="655" t="s">
        <v>1573</v>
      </c>
      <c r="B2539" s="591"/>
      <c r="C2539" s="287" t="s">
        <v>1461</v>
      </c>
      <c r="D2539" s="287" t="s">
        <v>1703</v>
      </c>
      <c r="E2539" s="656">
        <v>26</v>
      </c>
      <c r="F2539" s="381">
        <v>16.600000000000001</v>
      </c>
    </row>
    <row r="2540" spans="1:6" s="295" customFormat="1" x14ac:dyDescent="0.15">
      <c r="A2540" s="655" t="s">
        <v>1574</v>
      </c>
      <c r="B2540" s="591" t="s">
        <v>1642</v>
      </c>
      <c r="C2540" s="287" t="s">
        <v>1377</v>
      </c>
      <c r="D2540" s="287" t="s">
        <v>1378</v>
      </c>
      <c r="E2540" s="656">
        <v>2337</v>
      </c>
      <c r="F2540" s="381">
        <v>418.12</v>
      </c>
    </row>
    <row r="2541" spans="1:6" s="295" customFormat="1" x14ac:dyDescent="0.15">
      <c r="A2541" s="655" t="s">
        <v>1575</v>
      </c>
      <c r="B2541" s="591" t="s">
        <v>1685</v>
      </c>
      <c r="C2541" s="287" t="s">
        <v>1448</v>
      </c>
      <c r="D2541" s="287" t="s">
        <v>1449</v>
      </c>
      <c r="E2541" s="656">
        <v>270</v>
      </c>
      <c r="F2541" s="381">
        <v>56.34</v>
      </c>
    </row>
    <row r="2542" spans="1:6" s="295" customFormat="1" x14ac:dyDescent="0.15">
      <c r="A2542" s="655" t="s">
        <v>1604</v>
      </c>
      <c r="B2542" s="591"/>
      <c r="C2542" s="287" t="s">
        <v>1334</v>
      </c>
      <c r="D2542" s="287" t="s">
        <v>1462</v>
      </c>
      <c r="E2542" s="656">
        <f>53.9+88.1</f>
        <v>142</v>
      </c>
      <c r="F2542" s="381">
        <v>49.120000000000005</v>
      </c>
    </row>
    <row r="2543" spans="1:6" s="295" customFormat="1" x14ac:dyDescent="0.15">
      <c r="A2543" s="655" t="s">
        <v>1576</v>
      </c>
      <c r="B2543" s="591" t="s">
        <v>1644</v>
      </c>
      <c r="C2543" s="287" t="s">
        <v>1401</v>
      </c>
      <c r="D2543" s="287" t="s">
        <v>1316</v>
      </c>
      <c r="E2543" s="656">
        <v>22</v>
      </c>
      <c r="F2543" s="381">
        <v>32.729999999999997</v>
      </c>
    </row>
    <row r="2544" spans="1:6" s="295" customFormat="1" x14ac:dyDescent="0.15">
      <c r="A2544" s="655" t="s">
        <v>1605</v>
      </c>
      <c r="B2544" s="591"/>
      <c r="C2544" s="287" t="s">
        <v>1334</v>
      </c>
      <c r="D2544" s="287" t="s">
        <v>1462</v>
      </c>
      <c r="E2544" s="656">
        <f>196.5+321.5</f>
        <v>518</v>
      </c>
      <c r="F2544" s="381">
        <v>178.83999999999997</v>
      </c>
    </row>
    <row r="2545" spans="1:6" s="295" customFormat="1" x14ac:dyDescent="0.15">
      <c r="A2545" s="655" t="s">
        <v>1578</v>
      </c>
      <c r="B2545" s="591" t="s">
        <v>1646</v>
      </c>
      <c r="C2545" s="287" t="s">
        <v>1579</v>
      </c>
      <c r="D2545" s="287" t="s">
        <v>1497</v>
      </c>
      <c r="E2545" s="656">
        <v>0</v>
      </c>
      <c r="F2545" s="381">
        <v>30</v>
      </c>
    </row>
    <row r="2546" spans="1:6" s="295" customFormat="1" x14ac:dyDescent="0.15">
      <c r="A2546" s="655" t="s">
        <v>1580</v>
      </c>
      <c r="B2546" s="591" t="s">
        <v>1647</v>
      </c>
      <c r="C2546" s="287" t="s">
        <v>1451</v>
      </c>
      <c r="D2546" s="287" t="s">
        <v>1674</v>
      </c>
      <c r="E2546" s="656">
        <v>576</v>
      </c>
      <c r="F2546" s="381">
        <v>1621.63</v>
      </c>
    </row>
    <row r="2547" spans="1:6" s="295" customFormat="1" x14ac:dyDescent="0.15">
      <c r="A2547" s="655" t="s">
        <v>1581</v>
      </c>
      <c r="B2547" s="591" t="s">
        <v>1648</v>
      </c>
      <c r="C2547" s="287" t="s">
        <v>1521</v>
      </c>
      <c r="D2547" s="287" t="s">
        <v>1229</v>
      </c>
      <c r="E2547" s="656">
        <v>2238</v>
      </c>
      <c r="F2547" s="381">
        <v>420.1</v>
      </c>
    </row>
    <row r="2548" spans="1:6" s="295" customFormat="1" x14ac:dyDescent="0.15">
      <c r="A2548" s="655" t="s">
        <v>1582</v>
      </c>
      <c r="B2548" s="591" t="s">
        <v>1649</v>
      </c>
      <c r="C2548" s="287" t="s">
        <v>1525</v>
      </c>
      <c r="D2548" s="287" t="s">
        <v>1526</v>
      </c>
      <c r="E2548" s="656">
        <v>39</v>
      </c>
      <c r="F2548" s="381">
        <v>13.27</v>
      </c>
    </row>
    <row r="2549" spans="1:6" s="295" customFormat="1" ht="14" x14ac:dyDescent="0.15">
      <c r="A2549" s="655" t="s">
        <v>1583</v>
      </c>
      <c r="B2549" s="591" t="s">
        <v>1650</v>
      </c>
      <c r="C2549" s="287" t="s">
        <v>1584</v>
      </c>
      <c r="D2549" s="618" t="s">
        <v>1264</v>
      </c>
      <c r="E2549" s="656">
        <v>1880</v>
      </c>
      <c r="F2549" s="381">
        <v>368.78</v>
      </c>
    </row>
    <row r="2550" spans="1:6" s="295" customFormat="1" x14ac:dyDescent="0.15">
      <c r="A2550" s="655" t="s">
        <v>1666</v>
      </c>
      <c r="B2550" s="591" t="s">
        <v>1672</v>
      </c>
      <c r="C2550" s="287" t="s">
        <v>1667</v>
      </c>
      <c r="D2550" s="287" t="s">
        <v>1668</v>
      </c>
      <c r="E2550" s="656">
        <v>15552</v>
      </c>
      <c r="F2550" s="381">
        <v>2775.01</v>
      </c>
    </row>
    <row r="2551" spans="1:6" s="295" customFormat="1" x14ac:dyDescent="0.15">
      <c r="A2551" s="655" t="s">
        <v>1606</v>
      </c>
      <c r="B2551" s="591"/>
      <c r="C2551" s="287" t="s">
        <v>1334</v>
      </c>
      <c r="D2551" s="287" t="s">
        <v>1462</v>
      </c>
      <c r="E2551" s="656">
        <f>23.5+38.5</f>
        <v>62</v>
      </c>
      <c r="F2551" s="381">
        <v>12.66</v>
      </c>
    </row>
    <row r="2552" spans="1:6" s="295" customFormat="1" ht="14" thickBot="1" x14ac:dyDescent="0.2">
      <c r="A2552" s="655"/>
      <c r="B2552" s="591"/>
      <c r="C2552" s="291" t="s">
        <v>1673</v>
      </c>
      <c r="D2552" s="287"/>
      <c r="E2552" s="643">
        <f>SUM(E2526:E2551)</f>
        <v>81954</v>
      </c>
      <c r="F2552" s="658">
        <v>15637.990000000003</v>
      </c>
    </row>
    <row r="2553" spans="1:6" s="295" customFormat="1" ht="14" thickTop="1" x14ac:dyDescent="0.15">
      <c r="A2553" s="655"/>
      <c r="B2553" s="591"/>
      <c r="C2553" s="287"/>
      <c r="D2553" s="287"/>
      <c r="E2553" s="524"/>
      <c r="F2553" s="381"/>
    </row>
    <row r="2554" spans="1:6" s="295" customFormat="1" x14ac:dyDescent="0.15">
      <c r="A2554" s="655"/>
      <c r="B2554" s="591"/>
      <c r="C2554" s="293" t="s">
        <v>1594</v>
      </c>
      <c r="D2554" s="287"/>
      <c r="E2554" s="524"/>
      <c r="F2554" s="381"/>
    </row>
    <row r="2555" spans="1:6" s="295" customFormat="1" x14ac:dyDescent="0.15">
      <c r="A2555" s="655"/>
      <c r="B2555" s="591"/>
      <c r="C2555" s="293" t="s">
        <v>1446</v>
      </c>
      <c r="D2555" s="287"/>
      <c r="E2555" s="524"/>
      <c r="F2555" s="381"/>
    </row>
    <row r="2556" spans="1:6" s="295" customFormat="1" x14ac:dyDescent="0.15">
      <c r="A2556" s="655"/>
      <c r="B2556" s="591"/>
      <c r="C2556" s="386">
        <v>42247</v>
      </c>
      <c r="D2556" s="287"/>
      <c r="E2556" s="524"/>
      <c r="F2556" s="381"/>
    </row>
    <row r="2557" spans="1:6" s="295" customFormat="1" x14ac:dyDescent="0.15">
      <c r="A2557" s="655"/>
      <c r="B2557" s="591"/>
      <c r="C2557" s="287"/>
      <c r="D2557" s="287"/>
      <c r="E2557" s="524"/>
      <c r="F2557" s="381"/>
    </row>
    <row r="2558" spans="1:6" s="295" customFormat="1" ht="14" thickBot="1" x14ac:dyDescent="0.2">
      <c r="A2558" s="663"/>
      <c r="B2558" s="664"/>
      <c r="C2558" s="665" t="s">
        <v>1145</v>
      </c>
      <c r="D2558" s="665"/>
      <c r="E2558" s="666">
        <f>SUM(E2524,E2552)</f>
        <v>163721.5</v>
      </c>
      <c r="F2558" s="667">
        <v>30230.090000000004</v>
      </c>
    </row>
    <row r="2559" spans="1:6" s="295" customFormat="1" x14ac:dyDescent="0.15">
      <c r="A2559" s="655"/>
      <c r="B2559" s="591"/>
      <c r="C2559" s="413"/>
      <c r="D2559" s="413"/>
      <c r="E2559" s="669"/>
      <c r="F2559" s="670"/>
    </row>
    <row r="2560" spans="1:6" s="295" customFormat="1" x14ac:dyDescent="0.15">
      <c r="A2560" s="652" t="s">
        <v>1534</v>
      </c>
      <c r="B2560" s="653" t="s">
        <v>1614</v>
      </c>
      <c r="C2560" s="371" t="s">
        <v>1492</v>
      </c>
      <c r="D2560" s="371" t="s">
        <v>1239</v>
      </c>
      <c r="E2560" s="654">
        <v>12400</v>
      </c>
      <c r="F2560" s="391">
        <v>2058.86</v>
      </c>
    </row>
    <row r="2561" spans="1:6" s="295" customFormat="1" x14ac:dyDescent="0.15">
      <c r="A2561" s="655" t="s">
        <v>1535</v>
      </c>
      <c r="B2561" s="591" t="s">
        <v>1615</v>
      </c>
      <c r="C2561" s="287" t="s">
        <v>1507</v>
      </c>
      <c r="D2561" s="287" t="s">
        <v>1245</v>
      </c>
      <c r="E2561" s="656">
        <v>2560</v>
      </c>
      <c r="F2561" s="381">
        <v>495.39</v>
      </c>
    </row>
    <row r="2562" spans="1:6" s="295" customFormat="1" x14ac:dyDescent="0.15">
      <c r="A2562" s="655" t="s">
        <v>1670</v>
      </c>
      <c r="B2562" s="591" t="s">
        <v>1659</v>
      </c>
      <c r="C2562" s="287" t="s">
        <v>1279</v>
      </c>
      <c r="D2562" s="287" t="s">
        <v>1660</v>
      </c>
      <c r="E2562" s="656">
        <v>8800</v>
      </c>
      <c r="F2562" s="381">
        <v>1408.17</v>
      </c>
    </row>
    <row r="2563" spans="1:6" s="295" customFormat="1" x14ac:dyDescent="0.15">
      <c r="A2563" s="655" t="s">
        <v>1536</v>
      </c>
      <c r="B2563" s="591" t="s">
        <v>1616</v>
      </c>
      <c r="C2563" s="287" t="s">
        <v>1479</v>
      </c>
      <c r="D2563" s="287" t="s">
        <v>1231</v>
      </c>
      <c r="E2563" s="656">
        <v>4953</v>
      </c>
      <c r="F2563" s="381">
        <v>826.49</v>
      </c>
    </row>
    <row r="2564" spans="1:6" s="295" customFormat="1" x14ac:dyDescent="0.15">
      <c r="A2564" s="655" t="s">
        <v>1537</v>
      </c>
      <c r="B2564" s="591" t="s">
        <v>1617</v>
      </c>
      <c r="C2564" s="287" t="s">
        <v>1269</v>
      </c>
      <c r="D2564" s="287" t="s">
        <v>1270</v>
      </c>
      <c r="E2564" s="656">
        <v>3743</v>
      </c>
      <c r="F2564" s="381">
        <v>641.52</v>
      </c>
    </row>
    <row r="2565" spans="1:6" s="295" customFormat="1" x14ac:dyDescent="0.15">
      <c r="A2565" s="655" t="s">
        <v>1538</v>
      </c>
      <c r="B2565" s="591" t="s">
        <v>1618</v>
      </c>
      <c r="C2565" s="287" t="s">
        <v>1517</v>
      </c>
      <c r="D2565" s="287" t="s">
        <v>1518</v>
      </c>
      <c r="E2565" s="656">
        <v>5</v>
      </c>
      <c r="F2565" s="381">
        <v>30.63</v>
      </c>
    </row>
    <row r="2566" spans="1:6" s="295" customFormat="1" x14ac:dyDescent="0.15">
      <c r="A2566" s="655" t="s">
        <v>1540</v>
      </c>
      <c r="B2566" s="591" t="s">
        <v>1620</v>
      </c>
      <c r="C2566" s="287" t="s">
        <v>1257</v>
      </c>
      <c r="D2566" s="287" t="s">
        <v>1258</v>
      </c>
      <c r="E2566" s="656">
        <v>22000</v>
      </c>
      <c r="F2566" s="381">
        <v>3486.14</v>
      </c>
    </row>
    <row r="2567" spans="1:6" s="295" customFormat="1" x14ac:dyDescent="0.15">
      <c r="A2567" s="655" t="s">
        <v>1541</v>
      </c>
      <c r="B2567" s="591" t="s">
        <v>1621</v>
      </c>
      <c r="C2567" s="287" t="s">
        <v>1586</v>
      </c>
      <c r="D2567" s="287" t="s">
        <v>1500</v>
      </c>
      <c r="E2567" s="656">
        <v>3400</v>
      </c>
      <c r="F2567" s="381">
        <v>641.76</v>
      </c>
    </row>
    <row r="2568" spans="1:6" s="295" customFormat="1" x14ac:dyDescent="0.15">
      <c r="A2568" s="655" t="s">
        <v>1542</v>
      </c>
      <c r="B2568" s="591" t="s">
        <v>1622</v>
      </c>
      <c r="C2568" s="287" t="s">
        <v>1240</v>
      </c>
      <c r="D2568" s="287" t="s">
        <v>1467</v>
      </c>
      <c r="E2568" s="656">
        <v>4407</v>
      </c>
      <c r="F2568" s="381">
        <v>716.42</v>
      </c>
    </row>
    <row r="2569" spans="1:6" s="295" customFormat="1" x14ac:dyDescent="0.15">
      <c r="A2569" s="655" t="s">
        <v>1543</v>
      </c>
      <c r="B2569" s="591" t="s">
        <v>1623</v>
      </c>
      <c r="C2569" s="287" t="s">
        <v>1523</v>
      </c>
      <c r="D2569" s="287" t="s">
        <v>1266</v>
      </c>
      <c r="E2569" s="656">
        <v>1011</v>
      </c>
      <c r="F2569" s="381">
        <v>197.49</v>
      </c>
    </row>
    <row r="2570" spans="1:6" s="295" customFormat="1" x14ac:dyDescent="0.15">
      <c r="A2570" s="655" t="s">
        <v>1544</v>
      </c>
      <c r="B2570" s="591" t="s">
        <v>1624</v>
      </c>
      <c r="C2570" s="287" t="s">
        <v>1234</v>
      </c>
      <c r="D2570" s="287" t="s">
        <v>1494</v>
      </c>
      <c r="E2570" s="656">
        <v>5175</v>
      </c>
      <c r="F2570" s="381">
        <v>889.42</v>
      </c>
    </row>
    <row r="2571" spans="1:6" s="295" customFormat="1" x14ac:dyDescent="0.15">
      <c r="A2571" s="655" t="s">
        <v>1601</v>
      </c>
      <c r="B2571" s="591"/>
      <c r="C2571" s="287" t="s">
        <v>1334</v>
      </c>
      <c r="D2571" s="287" t="s">
        <v>1462</v>
      </c>
      <c r="E2571" s="656">
        <f>1306.8+1709.1</f>
        <v>3015.8999999999996</v>
      </c>
      <c r="F2571" s="381">
        <v>597.77</v>
      </c>
    </row>
    <row r="2572" spans="1:6" s="295" customFormat="1" x14ac:dyDescent="0.15">
      <c r="A2572" s="655" t="s">
        <v>1545</v>
      </c>
      <c r="B2572" s="591"/>
      <c r="C2572" s="287" t="s">
        <v>1234</v>
      </c>
      <c r="D2572" s="287" t="s">
        <v>1494</v>
      </c>
      <c r="E2572" s="656">
        <f>6.5+62.4</f>
        <v>68.900000000000006</v>
      </c>
      <c r="F2572" s="381">
        <v>16.349999999999998</v>
      </c>
    </row>
    <row r="2573" spans="1:6" s="295" customFormat="1" x14ac:dyDescent="0.15">
      <c r="A2573" s="655" t="s">
        <v>1602</v>
      </c>
      <c r="B2573" s="591"/>
      <c r="C2573" s="287" t="s">
        <v>1334</v>
      </c>
      <c r="D2573" s="287" t="s">
        <v>1462</v>
      </c>
      <c r="E2573" s="656">
        <f>73.1+95.5</f>
        <v>168.6</v>
      </c>
      <c r="F2573" s="381">
        <v>46.03</v>
      </c>
    </row>
    <row r="2574" spans="1:6" s="295" customFormat="1" x14ac:dyDescent="0.15">
      <c r="A2574" s="655" t="s">
        <v>1546</v>
      </c>
      <c r="B2574" s="591"/>
      <c r="C2574" s="287" t="s">
        <v>1586</v>
      </c>
      <c r="D2574" s="287" t="s">
        <v>1500</v>
      </c>
      <c r="E2574" s="656">
        <f>7.4+71.4</f>
        <v>78.800000000000011</v>
      </c>
      <c r="F2574" s="381">
        <v>26.52</v>
      </c>
    </row>
    <row r="2575" spans="1:6" s="295" customFormat="1" x14ac:dyDescent="0.15">
      <c r="A2575" s="655" t="s">
        <v>1549</v>
      </c>
      <c r="B2575" s="591" t="s">
        <v>1625</v>
      </c>
      <c r="C2575" s="287" t="s">
        <v>1459</v>
      </c>
      <c r="D2575" s="287" t="s">
        <v>1251</v>
      </c>
      <c r="E2575" s="656">
        <v>954</v>
      </c>
      <c r="F2575" s="381">
        <v>204.68</v>
      </c>
    </row>
    <row r="2576" spans="1:6" s="295" customFormat="1" x14ac:dyDescent="0.15">
      <c r="A2576" s="655" t="s">
        <v>1603</v>
      </c>
      <c r="B2576" s="591"/>
      <c r="C2576" s="287" t="s">
        <v>1334</v>
      </c>
      <c r="D2576" s="287" t="s">
        <v>1462</v>
      </c>
      <c r="E2576" s="656">
        <f>546.3+714.5</f>
        <v>1260.8</v>
      </c>
      <c r="F2576" s="381">
        <v>266.58</v>
      </c>
    </row>
    <row r="2577" spans="1:6" s="295" customFormat="1" x14ac:dyDescent="0.15">
      <c r="A2577" s="655" t="s">
        <v>1597</v>
      </c>
      <c r="B2577" s="591" t="s">
        <v>1626</v>
      </c>
      <c r="C2577" s="287" t="s">
        <v>1454</v>
      </c>
      <c r="D2577" s="287" t="s">
        <v>1247</v>
      </c>
      <c r="E2577" s="656">
        <v>4080</v>
      </c>
      <c r="F2577" s="381">
        <v>697.34</v>
      </c>
    </row>
    <row r="2578" spans="1:6" s="295" customFormat="1" x14ac:dyDescent="0.15">
      <c r="A2578" s="655" t="s">
        <v>1677</v>
      </c>
      <c r="B2578" s="591" t="s">
        <v>1678</v>
      </c>
      <c r="C2578" s="287" t="s">
        <v>1313</v>
      </c>
      <c r="D2578" s="287" t="s">
        <v>1412</v>
      </c>
      <c r="E2578" s="656">
        <v>1180</v>
      </c>
      <c r="F2578" s="381">
        <v>261</v>
      </c>
    </row>
    <row r="2579" spans="1:6" s="295" customFormat="1" x14ac:dyDescent="0.15">
      <c r="A2579" s="655" t="s">
        <v>1551</v>
      </c>
      <c r="B2579" s="591" t="s">
        <v>1627</v>
      </c>
      <c r="C2579" s="287" t="s">
        <v>1235</v>
      </c>
      <c r="D2579" s="287" t="s">
        <v>1236</v>
      </c>
      <c r="E2579" s="656">
        <v>8581</v>
      </c>
      <c r="F2579" s="381">
        <v>1388.24</v>
      </c>
    </row>
    <row r="2580" spans="1:6" s="295" customFormat="1" x14ac:dyDescent="0.15">
      <c r="A2580" s="655" t="s">
        <v>1553</v>
      </c>
      <c r="B2580" s="591" t="s">
        <v>1628</v>
      </c>
      <c r="C2580" s="287" t="s">
        <v>1475</v>
      </c>
      <c r="D2580" s="287" t="s">
        <v>1387</v>
      </c>
      <c r="E2580" s="656">
        <v>1127</v>
      </c>
      <c r="F2580" s="381">
        <v>221.31</v>
      </c>
    </row>
    <row r="2581" spans="1:6" s="295" customFormat="1" x14ac:dyDescent="0.15">
      <c r="A2581" s="655" t="s">
        <v>1554</v>
      </c>
      <c r="B2581" s="591" t="s">
        <v>1629</v>
      </c>
      <c r="C2581" s="287" t="s">
        <v>1399</v>
      </c>
      <c r="D2581" s="287" t="s">
        <v>1276</v>
      </c>
      <c r="E2581" s="656">
        <v>4640</v>
      </c>
      <c r="F2581" s="381">
        <v>816.23</v>
      </c>
    </row>
    <row r="2582" spans="1:6" s="295" customFormat="1" x14ac:dyDescent="0.15">
      <c r="A2582" s="655" t="s">
        <v>1598</v>
      </c>
      <c r="B2582" s="591"/>
      <c r="C2582" s="287" t="s">
        <v>1586</v>
      </c>
      <c r="D2582" s="287" t="s">
        <v>1500</v>
      </c>
      <c r="E2582" s="656">
        <f>3.7+35.7</f>
        <v>39.400000000000006</v>
      </c>
      <c r="F2582" s="381">
        <v>15.9</v>
      </c>
    </row>
    <row r="2583" spans="1:6" s="295" customFormat="1" x14ac:dyDescent="0.15">
      <c r="A2583" s="655" t="s">
        <v>1662</v>
      </c>
      <c r="B2583" s="657">
        <v>892914652</v>
      </c>
      <c r="C2583" s="287" t="s">
        <v>1663</v>
      </c>
      <c r="D2583" s="287" t="s">
        <v>1664</v>
      </c>
      <c r="E2583" s="656">
        <v>13440</v>
      </c>
      <c r="F2583" s="381">
        <v>2402.29</v>
      </c>
    </row>
    <row r="2584" spans="1:6" s="295" customFormat="1" ht="14" thickBot="1" x14ac:dyDescent="0.2">
      <c r="A2584" s="655"/>
      <c r="B2584" s="591"/>
      <c r="C2584" s="291" t="s">
        <v>1692</v>
      </c>
      <c r="D2584" s="287"/>
      <c r="E2584" s="643">
        <f>SUM(E2560:E2583)</f>
        <v>107088.4</v>
      </c>
      <c r="F2584" s="658">
        <v>18352.53</v>
      </c>
    </row>
    <row r="2585" spans="1:6" s="295" customFormat="1" ht="14" thickTop="1" x14ac:dyDescent="0.15">
      <c r="A2585" s="655"/>
      <c r="B2585" s="591"/>
      <c r="C2585" s="287"/>
      <c r="D2585" s="287"/>
      <c r="E2585" s="524"/>
      <c r="F2585" s="381"/>
    </row>
    <row r="2586" spans="1:6" s="295" customFormat="1" x14ac:dyDescent="0.15">
      <c r="A2586" s="655" t="s">
        <v>1556</v>
      </c>
      <c r="B2586" s="591" t="s">
        <v>1631</v>
      </c>
      <c r="C2586" s="287" t="s">
        <v>1248</v>
      </c>
      <c r="D2586" s="287" t="s">
        <v>1482</v>
      </c>
      <c r="E2586" s="656">
        <v>5221</v>
      </c>
      <c r="F2586" s="381">
        <v>916.4</v>
      </c>
    </row>
    <row r="2587" spans="1:6" s="295" customFormat="1" x14ac:dyDescent="0.15">
      <c r="A2587" s="655" t="s">
        <v>1558</v>
      </c>
      <c r="B2587" s="591" t="s">
        <v>1633</v>
      </c>
      <c r="C2587" s="287" t="s">
        <v>1469</v>
      </c>
      <c r="D2587" s="287" t="s">
        <v>1470</v>
      </c>
      <c r="E2587" s="656">
        <v>6720</v>
      </c>
      <c r="F2587" s="381">
        <v>1179.72</v>
      </c>
    </row>
    <row r="2588" spans="1:6" s="295" customFormat="1" x14ac:dyDescent="0.15">
      <c r="A2588" s="655" t="s">
        <v>1559</v>
      </c>
      <c r="B2588" s="591" t="s">
        <v>1634</v>
      </c>
      <c r="C2588" s="287" t="s">
        <v>1502</v>
      </c>
      <c r="D2588" s="287" t="s">
        <v>1381</v>
      </c>
      <c r="E2588" s="656">
        <v>16800</v>
      </c>
      <c r="F2588" s="381">
        <v>2245.7399999999998</v>
      </c>
    </row>
    <row r="2589" spans="1:6" s="295" customFormat="1" x14ac:dyDescent="0.15">
      <c r="A2589" s="655" t="s">
        <v>1560</v>
      </c>
      <c r="B2589" s="591" t="s">
        <v>1635</v>
      </c>
      <c r="C2589" s="287" t="s">
        <v>1504</v>
      </c>
      <c r="D2589" s="287" t="s">
        <v>1505</v>
      </c>
      <c r="E2589" s="656">
        <v>1856</v>
      </c>
      <c r="F2589" s="381">
        <v>323.18</v>
      </c>
    </row>
    <row r="2590" spans="1:6" s="295" customFormat="1" x14ac:dyDescent="0.15">
      <c r="A2590" s="655" t="s">
        <v>1675</v>
      </c>
      <c r="B2590" s="591" t="s">
        <v>1676</v>
      </c>
      <c r="C2590" s="287" t="s">
        <v>1477</v>
      </c>
      <c r="D2590" s="287" t="s">
        <v>1289</v>
      </c>
      <c r="E2590" s="656">
        <v>14370</v>
      </c>
      <c r="F2590" s="381">
        <v>2401.6799999999998</v>
      </c>
    </row>
    <row r="2591" spans="1:6" s="295" customFormat="1" x14ac:dyDescent="0.15">
      <c r="A2591" s="655" t="s">
        <v>1563</v>
      </c>
      <c r="B2591" s="591"/>
      <c r="C2591" s="287" t="s">
        <v>1267</v>
      </c>
      <c r="D2591" s="287" t="s">
        <v>1268</v>
      </c>
      <c r="E2591" s="656">
        <f>6.5+62.4</f>
        <v>68.900000000000006</v>
      </c>
      <c r="F2591" s="381">
        <v>12.95</v>
      </c>
    </row>
    <row r="2592" spans="1:6" s="295" customFormat="1" x14ac:dyDescent="0.15">
      <c r="A2592" s="655" t="s">
        <v>1564</v>
      </c>
      <c r="B2592" s="591" t="s">
        <v>1636</v>
      </c>
      <c r="C2592" s="287" t="s">
        <v>1485</v>
      </c>
      <c r="D2592" s="287" t="s">
        <v>1486</v>
      </c>
      <c r="E2592" s="656">
        <v>1640</v>
      </c>
      <c r="F2592" s="381">
        <v>360.44</v>
      </c>
    </row>
    <row r="2593" spans="1:6" s="295" customFormat="1" x14ac:dyDescent="0.15">
      <c r="A2593" s="655" t="s">
        <v>1565</v>
      </c>
      <c r="B2593" s="591" t="s">
        <v>1637</v>
      </c>
      <c r="C2593" s="287" t="s">
        <v>1267</v>
      </c>
      <c r="D2593" s="287" t="s">
        <v>1268</v>
      </c>
      <c r="E2593" s="656">
        <v>3130</v>
      </c>
      <c r="F2593" s="381">
        <v>614.66999999999996</v>
      </c>
    </row>
    <row r="2594" spans="1:6" s="295" customFormat="1" x14ac:dyDescent="0.15">
      <c r="A2594" s="655" t="s">
        <v>1569</v>
      </c>
      <c r="B2594" s="591" t="s">
        <v>1638</v>
      </c>
      <c r="C2594" s="287" t="s">
        <v>1464</v>
      </c>
      <c r="D2594" s="287" t="s">
        <v>1285</v>
      </c>
      <c r="E2594" s="656">
        <v>1155</v>
      </c>
      <c r="F2594" s="381">
        <v>272.13</v>
      </c>
    </row>
    <row r="2595" spans="1:6" s="295" customFormat="1" x14ac:dyDescent="0.15">
      <c r="A2595" s="655" t="s">
        <v>1711</v>
      </c>
      <c r="B2595" s="591" t="s">
        <v>1712</v>
      </c>
      <c r="C2595" s="287" t="s">
        <v>1713</v>
      </c>
      <c r="D2595" s="287" t="s">
        <v>1419</v>
      </c>
      <c r="E2595" s="656">
        <v>850</v>
      </c>
      <c r="F2595" s="381">
        <v>166.94</v>
      </c>
    </row>
    <row r="2596" spans="1:6" s="295" customFormat="1" x14ac:dyDescent="0.15">
      <c r="A2596" s="655" t="s">
        <v>1570</v>
      </c>
      <c r="B2596" s="591" t="s">
        <v>1639</v>
      </c>
      <c r="C2596" s="287" t="s">
        <v>1472</v>
      </c>
      <c r="D2596" s="287" t="s">
        <v>1473</v>
      </c>
      <c r="E2596" s="656">
        <v>108</v>
      </c>
      <c r="F2596" s="381">
        <v>43.33</v>
      </c>
    </row>
    <row r="2597" spans="1:6" s="295" customFormat="1" x14ac:dyDescent="0.15">
      <c r="A2597" s="655" t="s">
        <v>1571</v>
      </c>
      <c r="B2597" s="591" t="s">
        <v>1640</v>
      </c>
      <c r="C2597" s="287" t="s">
        <v>1489</v>
      </c>
      <c r="D2597" s="287" t="s">
        <v>1490</v>
      </c>
      <c r="E2597" s="656">
        <v>160</v>
      </c>
      <c r="F2597" s="381">
        <v>49.74</v>
      </c>
    </row>
    <row r="2598" spans="1:6" s="295" customFormat="1" x14ac:dyDescent="0.15">
      <c r="A2598" s="655" t="s">
        <v>1572</v>
      </c>
      <c r="B2598" s="591" t="s">
        <v>1641</v>
      </c>
      <c r="C2598" s="287" t="s">
        <v>1271</v>
      </c>
      <c r="D2598" s="287" t="s">
        <v>1272</v>
      </c>
      <c r="E2598" s="656">
        <v>7262</v>
      </c>
      <c r="F2598" s="381">
        <v>1232.46</v>
      </c>
    </row>
    <row r="2599" spans="1:6" s="295" customFormat="1" x14ac:dyDescent="0.15">
      <c r="A2599" s="655" t="s">
        <v>1573</v>
      </c>
      <c r="B2599" s="591"/>
      <c r="C2599" s="287" t="s">
        <v>1461</v>
      </c>
      <c r="D2599" s="287" t="s">
        <v>1703</v>
      </c>
      <c r="E2599" s="656">
        <v>26</v>
      </c>
      <c r="F2599" s="381">
        <v>16.600000000000001</v>
      </c>
    </row>
    <row r="2600" spans="1:6" s="295" customFormat="1" x14ac:dyDescent="0.15">
      <c r="A2600" s="655" t="s">
        <v>1574</v>
      </c>
      <c r="B2600" s="591" t="s">
        <v>1642</v>
      </c>
      <c r="C2600" s="287" t="s">
        <v>1377</v>
      </c>
      <c r="D2600" s="287" t="s">
        <v>1378</v>
      </c>
      <c r="E2600" s="656">
        <v>2399</v>
      </c>
      <c r="F2600" s="381">
        <v>461.3</v>
      </c>
    </row>
    <row r="2601" spans="1:6" s="295" customFormat="1" x14ac:dyDescent="0.15">
      <c r="A2601" s="655" t="s">
        <v>1575</v>
      </c>
      <c r="B2601" s="591" t="s">
        <v>1685</v>
      </c>
      <c r="C2601" s="287" t="s">
        <v>1448</v>
      </c>
      <c r="D2601" s="287" t="s">
        <v>1449</v>
      </c>
      <c r="E2601" s="656">
        <v>356</v>
      </c>
      <c r="F2601" s="381">
        <v>72.36</v>
      </c>
    </row>
    <row r="2602" spans="1:6" s="295" customFormat="1" x14ac:dyDescent="0.15">
      <c r="A2602" s="655" t="s">
        <v>1604</v>
      </c>
      <c r="B2602" s="591"/>
      <c r="C2602" s="287" t="s">
        <v>1334</v>
      </c>
      <c r="D2602" s="287" t="s">
        <v>1462</v>
      </c>
      <c r="E2602" s="656">
        <f>68.3+89.3</f>
        <v>157.6</v>
      </c>
      <c r="F2602" s="381">
        <v>50.120000000000005</v>
      </c>
    </row>
    <row r="2603" spans="1:6" s="295" customFormat="1" x14ac:dyDescent="0.15">
      <c r="A2603" s="655" t="s">
        <v>1576</v>
      </c>
      <c r="B2603" s="591" t="s">
        <v>1644</v>
      </c>
      <c r="C2603" s="287" t="s">
        <v>1401</v>
      </c>
      <c r="D2603" s="287" t="s">
        <v>1316</v>
      </c>
      <c r="E2603" s="656">
        <v>69</v>
      </c>
      <c r="F2603" s="381">
        <v>38.51</v>
      </c>
    </row>
    <row r="2604" spans="1:6" s="295" customFormat="1" x14ac:dyDescent="0.15">
      <c r="A2604" s="655" t="s">
        <v>1605</v>
      </c>
      <c r="B2604" s="591"/>
      <c r="C2604" s="287" t="s">
        <v>1334</v>
      </c>
      <c r="D2604" s="287" t="s">
        <v>1462</v>
      </c>
      <c r="E2604" s="656">
        <f>249.1+325.9</f>
        <v>575</v>
      </c>
      <c r="F2604" s="381">
        <v>182.4</v>
      </c>
    </row>
    <row r="2605" spans="1:6" s="295" customFormat="1" x14ac:dyDescent="0.15">
      <c r="A2605" s="655" t="s">
        <v>1578</v>
      </c>
      <c r="B2605" s="591" t="s">
        <v>1646</v>
      </c>
      <c r="C2605" s="287" t="s">
        <v>1579</v>
      </c>
      <c r="D2605" s="287" t="s">
        <v>1497</v>
      </c>
      <c r="E2605" s="656">
        <f>2+14</f>
        <v>16</v>
      </c>
      <c r="F2605" s="381">
        <v>61.980000000000004</v>
      </c>
    </row>
    <row r="2606" spans="1:6" s="295" customFormat="1" x14ac:dyDescent="0.15">
      <c r="A2606" s="655" t="s">
        <v>1580</v>
      </c>
      <c r="B2606" s="591" t="s">
        <v>1647</v>
      </c>
      <c r="C2606" s="287" t="s">
        <v>1451</v>
      </c>
      <c r="D2606" s="287" t="s">
        <v>1674</v>
      </c>
      <c r="E2606" s="656">
        <v>4800</v>
      </c>
      <c r="F2606" s="381">
        <v>2157.5</v>
      </c>
    </row>
    <row r="2607" spans="1:6" s="295" customFormat="1" x14ac:dyDescent="0.15">
      <c r="A2607" s="655" t="s">
        <v>1581</v>
      </c>
      <c r="B2607" s="591" t="s">
        <v>1648</v>
      </c>
      <c r="C2607" s="287" t="s">
        <v>1521</v>
      </c>
      <c r="D2607" s="287" t="s">
        <v>1229</v>
      </c>
      <c r="E2607" s="656">
        <v>2327</v>
      </c>
      <c r="F2607" s="381">
        <v>438.19</v>
      </c>
    </row>
    <row r="2608" spans="1:6" s="295" customFormat="1" x14ac:dyDescent="0.15">
      <c r="A2608" s="655" t="s">
        <v>1582</v>
      </c>
      <c r="B2608" s="591" t="s">
        <v>1649</v>
      </c>
      <c r="C2608" s="287" t="s">
        <v>1525</v>
      </c>
      <c r="D2608" s="287" t="s">
        <v>1526</v>
      </c>
      <c r="E2608" s="656">
        <v>21</v>
      </c>
      <c r="F2608" s="381">
        <v>9.91</v>
      </c>
    </row>
    <row r="2609" spans="1:6" s="295" customFormat="1" ht="14" x14ac:dyDescent="0.15">
      <c r="A2609" s="655" t="s">
        <v>1583</v>
      </c>
      <c r="B2609" s="591" t="s">
        <v>1650</v>
      </c>
      <c r="C2609" s="287" t="s">
        <v>1584</v>
      </c>
      <c r="D2609" s="618" t="s">
        <v>1264</v>
      </c>
      <c r="E2609" s="656">
        <v>1960</v>
      </c>
      <c r="F2609" s="381">
        <v>435.51</v>
      </c>
    </row>
    <row r="2610" spans="1:6" s="295" customFormat="1" x14ac:dyDescent="0.15">
      <c r="A2610" s="655" t="s">
        <v>1666</v>
      </c>
      <c r="B2610" s="591" t="s">
        <v>1672</v>
      </c>
      <c r="C2610" s="287" t="s">
        <v>1667</v>
      </c>
      <c r="D2610" s="287" t="s">
        <v>1668</v>
      </c>
      <c r="E2610" s="656">
        <v>18624</v>
      </c>
      <c r="F2610" s="381">
        <v>4255.71</v>
      </c>
    </row>
    <row r="2611" spans="1:6" s="295" customFormat="1" x14ac:dyDescent="0.15">
      <c r="A2611" s="655" t="s">
        <v>1606</v>
      </c>
      <c r="B2611" s="591"/>
      <c r="C2611" s="287" t="s">
        <v>1334</v>
      </c>
      <c r="D2611" s="287" t="s">
        <v>1462</v>
      </c>
      <c r="E2611" s="656">
        <f>29.8+39</f>
        <v>68.8</v>
      </c>
      <c r="F2611" s="381">
        <v>13.08</v>
      </c>
    </row>
    <row r="2612" spans="1:6" s="295" customFormat="1" ht="14" thickBot="1" x14ac:dyDescent="0.2">
      <c r="A2612" s="655"/>
      <c r="B2612" s="591"/>
      <c r="C2612" s="291" t="s">
        <v>1693</v>
      </c>
      <c r="D2612" s="287"/>
      <c r="E2612" s="643">
        <f>SUM(E2586:E2611)</f>
        <v>90740.3</v>
      </c>
      <c r="F2612" s="658">
        <v>18012.550000000003</v>
      </c>
    </row>
    <row r="2613" spans="1:6" s="295" customFormat="1" ht="14" thickTop="1" x14ac:dyDescent="0.15">
      <c r="A2613" s="655"/>
      <c r="B2613" s="591"/>
      <c r="C2613" s="287"/>
      <c r="D2613" s="287"/>
      <c r="E2613" s="524"/>
      <c r="F2613" s="381"/>
    </row>
    <row r="2614" spans="1:6" s="295" customFormat="1" x14ac:dyDescent="0.15">
      <c r="A2614" s="655"/>
      <c r="B2614" s="591"/>
      <c r="C2614" s="293" t="s">
        <v>1594</v>
      </c>
      <c r="D2614" s="287"/>
      <c r="E2614" s="524"/>
      <c r="F2614" s="381"/>
    </row>
    <row r="2615" spans="1:6" s="295" customFormat="1" x14ac:dyDescent="0.15">
      <c r="A2615" s="655"/>
      <c r="B2615" s="591"/>
      <c r="C2615" s="293" t="s">
        <v>1446</v>
      </c>
      <c r="D2615" s="287"/>
      <c r="E2615" s="524"/>
      <c r="F2615" s="381"/>
    </row>
    <row r="2616" spans="1:6" s="295" customFormat="1" x14ac:dyDescent="0.15">
      <c r="A2616" s="655"/>
      <c r="B2616" s="591"/>
      <c r="C2616" s="386">
        <v>42277</v>
      </c>
      <c r="D2616" s="287"/>
      <c r="E2616" s="524"/>
      <c r="F2616" s="381"/>
    </row>
    <row r="2617" spans="1:6" s="295" customFormat="1" x14ac:dyDescent="0.15">
      <c r="A2617" s="655"/>
      <c r="B2617" s="591"/>
      <c r="C2617" s="287"/>
      <c r="D2617" s="287"/>
      <c r="E2617" s="524"/>
      <c r="F2617" s="381"/>
    </row>
    <row r="2618" spans="1:6" s="295" customFormat="1" ht="14" thickBot="1" x14ac:dyDescent="0.2">
      <c r="A2618" s="663"/>
      <c r="B2618" s="664"/>
      <c r="C2618" s="665" t="s">
        <v>1187</v>
      </c>
      <c r="D2618" s="665"/>
      <c r="E2618" s="666">
        <f>SUM(E2584,E2612)</f>
        <v>197828.7</v>
      </c>
      <c r="F2618" s="667">
        <v>36365.079999999994</v>
      </c>
    </row>
    <row r="2619" spans="1:6" s="295" customFormat="1" x14ac:dyDescent="0.15">
      <c r="A2619" s="655"/>
      <c r="B2619" s="591"/>
      <c r="C2619" s="413"/>
      <c r="D2619" s="413"/>
      <c r="E2619" s="669"/>
      <c r="F2619" s="670"/>
    </row>
    <row r="2620" spans="1:6" s="295" customFormat="1" x14ac:dyDescent="0.15">
      <c r="A2620" s="652" t="s">
        <v>1534</v>
      </c>
      <c r="B2620" s="653" t="s">
        <v>1614</v>
      </c>
      <c r="C2620" s="371" t="s">
        <v>1492</v>
      </c>
      <c r="D2620" s="371" t="s">
        <v>1239</v>
      </c>
      <c r="E2620" s="654">
        <v>11360</v>
      </c>
      <c r="F2620" s="391">
        <v>1887.8</v>
      </c>
    </row>
    <row r="2621" spans="1:6" s="295" customFormat="1" x14ac:dyDescent="0.15">
      <c r="A2621" s="655" t="s">
        <v>1535</v>
      </c>
      <c r="B2621" s="591" t="s">
        <v>1615</v>
      </c>
      <c r="C2621" s="287" t="s">
        <v>1507</v>
      </c>
      <c r="D2621" s="287" t="s">
        <v>1245</v>
      </c>
      <c r="E2621" s="656">
        <v>2760</v>
      </c>
      <c r="F2621" s="381">
        <v>541.4</v>
      </c>
    </row>
    <row r="2622" spans="1:6" s="295" customFormat="1" x14ac:dyDescent="0.15">
      <c r="A2622" s="655" t="s">
        <v>1670</v>
      </c>
      <c r="B2622" s="591" t="s">
        <v>1659</v>
      </c>
      <c r="C2622" s="287" t="s">
        <v>1279</v>
      </c>
      <c r="D2622" s="287" t="s">
        <v>1660</v>
      </c>
      <c r="E2622" s="656">
        <v>8480</v>
      </c>
      <c r="F2622" s="381">
        <v>1389.97</v>
      </c>
    </row>
    <row r="2623" spans="1:6" s="295" customFormat="1" x14ac:dyDescent="0.15">
      <c r="A2623" s="655" t="s">
        <v>1536</v>
      </c>
      <c r="B2623" s="591" t="s">
        <v>1616</v>
      </c>
      <c r="C2623" s="287" t="s">
        <v>1479</v>
      </c>
      <c r="D2623" s="287" t="s">
        <v>1231</v>
      </c>
      <c r="E2623" s="656">
        <v>4670</v>
      </c>
      <c r="F2623" s="381">
        <v>784.43</v>
      </c>
    </row>
    <row r="2624" spans="1:6" s="295" customFormat="1" x14ac:dyDescent="0.15">
      <c r="A2624" s="655" t="s">
        <v>1537</v>
      </c>
      <c r="B2624" s="591" t="s">
        <v>1617</v>
      </c>
      <c r="C2624" s="287" t="s">
        <v>1269</v>
      </c>
      <c r="D2624" s="287" t="s">
        <v>1270</v>
      </c>
      <c r="E2624" s="656">
        <v>3786</v>
      </c>
      <c r="F2624" s="381">
        <v>668.12</v>
      </c>
    </row>
    <row r="2625" spans="1:6" s="295" customFormat="1" x14ac:dyDescent="0.15">
      <c r="A2625" s="655" t="s">
        <v>1538</v>
      </c>
      <c r="B2625" s="591" t="s">
        <v>1618</v>
      </c>
      <c r="C2625" s="287" t="s">
        <v>1517</v>
      </c>
      <c r="D2625" s="287" t="s">
        <v>1518</v>
      </c>
      <c r="E2625" s="656">
        <v>4</v>
      </c>
      <c r="F2625" s="381">
        <v>30.5</v>
      </c>
    </row>
    <row r="2626" spans="1:6" s="295" customFormat="1" x14ac:dyDescent="0.15">
      <c r="A2626" s="655" t="s">
        <v>1540</v>
      </c>
      <c r="B2626" s="591" t="s">
        <v>1620</v>
      </c>
      <c r="C2626" s="287" t="s">
        <v>1257</v>
      </c>
      <c r="D2626" s="287" t="s">
        <v>1258</v>
      </c>
      <c r="E2626" s="656">
        <v>22400</v>
      </c>
      <c r="F2626" s="381">
        <v>3571.06</v>
      </c>
    </row>
    <row r="2627" spans="1:6" s="295" customFormat="1" x14ac:dyDescent="0.15">
      <c r="A2627" s="655" t="s">
        <v>1541</v>
      </c>
      <c r="B2627" s="591" t="s">
        <v>1621</v>
      </c>
      <c r="C2627" s="287" t="s">
        <v>1586</v>
      </c>
      <c r="D2627" s="287" t="s">
        <v>1500</v>
      </c>
      <c r="E2627" s="656">
        <v>3760</v>
      </c>
      <c r="F2627" s="381">
        <v>693.33</v>
      </c>
    </row>
    <row r="2628" spans="1:6" s="295" customFormat="1" x14ac:dyDescent="0.15">
      <c r="A2628" s="655" t="s">
        <v>1542</v>
      </c>
      <c r="B2628" s="591" t="s">
        <v>1622</v>
      </c>
      <c r="C2628" s="287" t="s">
        <v>1240</v>
      </c>
      <c r="D2628" s="287" t="s">
        <v>1467</v>
      </c>
      <c r="E2628" s="656">
        <v>4234</v>
      </c>
      <c r="F2628" s="381">
        <v>695.03</v>
      </c>
    </row>
    <row r="2629" spans="1:6" s="295" customFormat="1" x14ac:dyDescent="0.15">
      <c r="A2629" s="655" t="s">
        <v>1543</v>
      </c>
      <c r="B2629" s="591" t="s">
        <v>1623</v>
      </c>
      <c r="C2629" s="287" t="s">
        <v>1523</v>
      </c>
      <c r="D2629" s="287" t="s">
        <v>1266</v>
      </c>
      <c r="E2629" s="656">
        <v>616</v>
      </c>
      <c r="F2629" s="381">
        <v>120.3</v>
      </c>
    </row>
    <row r="2630" spans="1:6" s="295" customFormat="1" x14ac:dyDescent="0.15">
      <c r="A2630" s="655" t="s">
        <v>1544</v>
      </c>
      <c r="B2630" s="591" t="s">
        <v>1624</v>
      </c>
      <c r="C2630" s="287" t="s">
        <v>1234</v>
      </c>
      <c r="D2630" s="287" t="s">
        <v>1494</v>
      </c>
      <c r="E2630" s="656">
        <v>4701</v>
      </c>
      <c r="F2630" s="381">
        <v>852.19</v>
      </c>
    </row>
    <row r="2631" spans="1:6" s="295" customFormat="1" x14ac:dyDescent="0.15">
      <c r="A2631" s="655" t="s">
        <v>1601</v>
      </c>
      <c r="B2631" s="591"/>
      <c r="C2631" s="287" t="s">
        <v>1334</v>
      </c>
      <c r="D2631" s="287" t="s">
        <v>1462</v>
      </c>
      <c r="E2631" s="656">
        <f>1569.2+1931.1</f>
        <v>3500.3</v>
      </c>
      <c r="F2631" s="381">
        <v>647.03</v>
      </c>
    </row>
    <row r="2632" spans="1:6" s="295" customFormat="1" x14ac:dyDescent="0.15">
      <c r="A2632" s="655" t="s">
        <v>1545</v>
      </c>
      <c r="B2632" s="591"/>
      <c r="C2632" s="287" t="s">
        <v>1234</v>
      </c>
      <c r="D2632" s="287" t="s">
        <v>1494</v>
      </c>
      <c r="E2632" s="656">
        <f>2.8+77.1</f>
        <v>79.899999999999991</v>
      </c>
      <c r="F2632" s="381">
        <v>17.71</v>
      </c>
    </row>
    <row r="2633" spans="1:6" s="295" customFormat="1" x14ac:dyDescent="0.15">
      <c r="A2633" s="655" t="s">
        <v>1602</v>
      </c>
      <c r="B2633" s="591"/>
      <c r="C2633" s="287" t="s">
        <v>1334</v>
      </c>
      <c r="D2633" s="287" t="s">
        <v>1462</v>
      </c>
      <c r="E2633" s="656">
        <f>87.7+107.9</f>
        <v>195.60000000000002</v>
      </c>
      <c r="F2633" s="381">
        <v>48.769999999999996</v>
      </c>
    </row>
    <row r="2634" spans="1:6" s="295" customFormat="1" x14ac:dyDescent="0.15">
      <c r="A2634" s="655" t="s">
        <v>1546</v>
      </c>
      <c r="B2634" s="591"/>
      <c r="C2634" s="287" t="s">
        <v>1586</v>
      </c>
      <c r="D2634" s="287" t="s">
        <v>1500</v>
      </c>
      <c r="E2634" s="656">
        <f>3.2+88.4</f>
        <v>91.600000000000009</v>
      </c>
      <c r="F2634" s="381">
        <v>28.09</v>
      </c>
    </row>
    <row r="2635" spans="1:6" s="295" customFormat="1" x14ac:dyDescent="0.15">
      <c r="A2635" s="655" t="s">
        <v>1549</v>
      </c>
      <c r="B2635" s="591" t="s">
        <v>1625</v>
      </c>
      <c r="C2635" s="287" t="s">
        <v>1459</v>
      </c>
      <c r="D2635" s="287" t="s">
        <v>1251</v>
      </c>
      <c r="E2635" s="656">
        <v>1332</v>
      </c>
      <c r="F2635" s="381">
        <v>258.47000000000003</v>
      </c>
    </row>
    <row r="2636" spans="1:6" s="295" customFormat="1" x14ac:dyDescent="0.15">
      <c r="A2636" s="655" t="s">
        <v>1603</v>
      </c>
      <c r="B2636" s="591"/>
      <c r="C2636" s="287" t="s">
        <v>1334</v>
      </c>
      <c r="D2636" s="287" t="s">
        <v>1462</v>
      </c>
      <c r="E2636" s="656">
        <f>656.7+808.1</f>
        <v>1464.8000000000002</v>
      </c>
      <c r="F2636" s="381">
        <v>287.32</v>
      </c>
    </row>
    <row r="2637" spans="1:6" s="295" customFormat="1" x14ac:dyDescent="0.15">
      <c r="A2637" s="655" t="s">
        <v>1597</v>
      </c>
      <c r="B2637" s="591" t="s">
        <v>1626</v>
      </c>
      <c r="C2637" s="287" t="s">
        <v>1454</v>
      </c>
      <c r="D2637" s="287" t="s">
        <v>1247</v>
      </c>
      <c r="E2637" s="656">
        <v>4360</v>
      </c>
      <c r="F2637" s="381">
        <v>760.35</v>
      </c>
    </row>
    <row r="2638" spans="1:6" s="295" customFormat="1" x14ac:dyDescent="0.15">
      <c r="A2638" s="655" t="s">
        <v>1677</v>
      </c>
      <c r="B2638" s="591" t="s">
        <v>1678</v>
      </c>
      <c r="C2638" s="287" t="s">
        <v>1313</v>
      </c>
      <c r="D2638" s="287" t="s">
        <v>1412</v>
      </c>
      <c r="E2638" s="656">
        <v>1185</v>
      </c>
      <c r="F2638" s="381">
        <v>240.31</v>
      </c>
    </row>
    <row r="2639" spans="1:6" s="295" customFormat="1" x14ac:dyDescent="0.15">
      <c r="A2639" s="655" t="s">
        <v>1551</v>
      </c>
      <c r="B2639" s="591" t="s">
        <v>1627</v>
      </c>
      <c r="C2639" s="287" t="s">
        <v>1235</v>
      </c>
      <c r="D2639" s="287" t="s">
        <v>1236</v>
      </c>
      <c r="E2639" s="656">
        <v>8003</v>
      </c>
      <c r="F2639" s="381">
        <v>1309.77</v>
      </c>
    </row>
    <row r="2640" spans="1:6" s="295" customFormat="1" x14ac:dyDescent="0.15">
      <c r="A2640" s="655" t="s">
        <v>1553</v>
      </c>
      <c r="B2640" s="591" t="s">
        <v>1628</v>
      </c>
      <c r="C2640" s="287" t="s">
        <v>1475</v>
      </c>
      <c r="D2640" s="287" t="s">
        <v>1387</v>
      </c>
      <c r="E2640" s="656">
        <v>1077</v>
      </c>
      <c r="F2640" s="381">
        <v>211.47</v>
      </c>
    </row>
    <row r="2641" spans="1:6" s="295" customFormat="1" x14ac:dyDescent="0.15">
      <c r="A2641" s="655" t="s">
        <v>1554</v>
      </c>
      <c r="B2641" s="591" t="s">
        <v>1629</v>
      </c>
      <c r="C2641" s="287" t="s">
        <v>1399</v>
      </c>
      <c r="D2641" s="287" t="s">
        <v>1276</v>
      </c>
      <c r="E2641" s="656">
        <v>4520</v>
      </c>
      <c r="F2641" s="381">
        <v>808.54</v>
      </c>
    </row>
    <row r="2642" spans="1:6" s="295" customFormat="1" x14ac:dyDescent="0.15">
      <c r="A2642" s="655" t="s">
        <v>1598</v>
      </c>
      <c r="B2642" s="591"/>
      <c r="C2642" s="287" t="s">
        <v>1586</v>
      </c>
      <c r="D2642" s="287" t="s">
        <v>1500</v>
      </c>
      <c r="E2642" s="656">
        <f>1.6+44.2</f>
        <v>45.800000000000004</v>
      </c>
      <c r="F2642" s="381">
        <v>16.760000000000002</v>
      </c>
    </row>
    <row r="2643" spans="1:6" s="295" customFormat="1" x14ac:dyDescent="0.15">
      <c r="A2643" s="655" t="s">
        <v>1662</v>
      </c>
      <c r="B2643" s="657">
        <v>892914652</v>
      </c>
      <c r="C2643" s="287" t="s">
        <v>1663</v>
      </c>
      <c r="D2643" s="287" t="s">
        <v>1664</v>
      </c>
      <c r="E2643" s="656">
        <v>10080</v>
      </c>
      <c r="F2643" s="381">
        <v>1850.74</v>
      </c>
    </row>
    <row r="2644" spans="1:6" s="295" customFormat="1" ht="14" thickBot="1" x14ac:dyDescent="0.2">
      <c r="A2644" s="655"/>
      <c r="B2644" s="591"/>
      <c r="C2644" s="291" t="s">
        <v>1695</v>
      </c>
      <c r="D2644" s="287"/>
      <c r="E2644" s="643">
        <f>SUM(E2620:E2643)</f>
        <v>102706.00000000001</v>
      </c>
      <c r="F2644" s="658">
        <v>17719.460000000003</v>
      </c>
    </row>
    <row r="2645" spans="1:6" s="295" customFormat="1" ht="14" thickTop="1" x14ac:dyDescent="0.15">
      <c r="A2645" s="655"/>
      <c r="B2645" s="591"/>
      <c r="C2645" s="287"/>
      <c r="D2645" s="287"/>
      <c r="E2645" s="524"/>
      <c r="F2645" s="381"/>
    </row>
    <row r="2646" spans="1:6" s="295" customFormat="1" x14ac:dyDescent="0.15">
      <c r="A2646" s="655" t="s">
        <v>1556</v>
      </c>
      <c r="B2646" s="591" t="s">
        <v>1631</v>
      </c>
      <c r="C2646" s="287" t="s">
        <v>1248</v>
      </c>
      <c r="D2646" s="287" t="s">
        <v>1482</v>
      </c>
      <c r="E2646" s="656">
        <v>4546</v>
      </c>
      <c r="F2646" s="381">
        <v>811.76</v>
      </c>
    </row>
    <row r="2647" spans="1:6" s="295" customFormat="1" x14ac:dyDescent="0.15">
      <c r="A2647" s="655" t="s">
        <v>1558</v>
      </c>
      <c r="B2647" s="591" t="s">
        <v>1633</v>
      </c>
      <c r="C2647" s="287" t="s">
        <v>1469</v>
      </c>
      <c r="D2647" s="287" t="s">
        <v>1470</v>
      </c>
      <c r="E2647" s="656">
        <v>5600</v>
      </c>
      <c r="F2647" s="381">
        <v>998.77</v>
      </c>
    </row>
    <row r="2648" spans="1:6" s="295" customFormat="1" x14ac:dyDescent="0.15">
      <c r="A2648" s="655" t="s">
        <v>1559</v>
      </c>
      <c r="B2648" s="591" t="s">
        <v>1634</v>
      </c>
      <c r="C2648" s="287" t="s">
        <v>1502</v>
      </c>
      <c r="D2648" s="287" t="s">
        <v>1381</v>
      </c>
      <c r="E2648" s="656">
        <v>9792</v>
      </c>
      <c r="F2648" s="381">
        <v>1526.1</v>
      </c>
    </row>
    <row r="2649" spans="1:6" s="295" customFormat="1" x14ac:dyDescent="0.15">
      <c r="A2649" s="655" t="s">
        <v>1560</v>
      </c>
      <c r="B2649" s="591" t="s">
        <v>1635</v>
      </c>
      <c r="C2649" s="287" t="s">
        <v>1504</v>
      </c>
      <c r="D2649" s="287" t="s">
        <v>1505</v>
      </c>
      <c r="E2649" s="656">
        <v>1508</v>
      </c>
      <c r="F2649" s="381">
        <v>251.78</v>
      </c>
    </row>
    <row r="2650" spans="1:6" s="295" customFormat="1" x14ac:dyDescent="0.15">
      <c r="A2650" s="655" t="s">
        <v>1675</v>
      </c>
      <c r="B2650" s="591" t="s">
        <v>1676</v>
      </c>
      <c r="C2650" s="287" t="s">
        <v>1477</v>
      </c>
      <c r="D2650" s="287" t="s">
        <v>1289</v>
      </c>
      <c r="E2650" s="656">
        <v>10200</v>
      </c>
      <c r="F2650" s="381">
        <v>1808.5</v>
      </c>
    </row>
    <row r="2651" spans="1:6" s="295" customFormat="1" x14ac:dyDescent="0.15">
      <c r="A2651" s="655" t="s">
        <v>1563</v>
      </c>
      <c r="B2651" s="591"/>
      <c r="C2651" s="287" t="s">
        <v>1267</v>
      </c>
      <c r="D2651" s="287" t="s">
        <v>1268</v>
      </c>
      <c r="E2651" s="656">
        <f>2.8+77.1</f>
        <v>79.899999999999991</v>
      </c>
      <c r="F2651" s="381">
        <v>14.3</v>
      </c>
    </row>
    <row r="2652" spans="1:6" s="295" customFormat="1" x14ac:dyDescent="0.15">
      <c r="A2652" s="655" t="s">
        <v>1564</v>
      </c>
      <c r="B2652" s="591" t="s">
        <v>1636</v>
      </c>
      <c r="C2652" s="287" t="s">
        <v>1485</v>
      </c>
      <c r="D2652" s="287" t="s">
        <v>1486</v>
      </c>
      <c r="E2652" s="656">
        <v>2680</v>
      </c>
      <c r="F2652" s="381">
        <v>474.67</v>
      </c>
    </row>
    <row r="2653" spans="1:6" s="295" customFormat="1" x14ac:dyDescent="0.15">
      <c r="A2653" s="655" t="s">
        <v>1565</v>
      </c>
      <c r="B2653" s="591" t="s">
        <v>1637</v>
      </c>
      <c r="C2653" s="287" t="s">
        <v>1267</v>
      </c>
      <c r="D2653" s="287" t="s">
        <v>1268</v>
      </c>
      <c r="E2653" s="656">
        <v>2217</v>
      </c>
      <c r="F2653" s="381">
        <v>435.34</v>
      </c>
    </row>
    <row r="2654" spans="1:6" s="295" customFormat="1" x14ac:dyDescent="0.15">
      <c r="A2654" s="655" t="s">
        <v>1569</v>
      </c>
      <c r="B2654" s="591" t="s">
        <v>1638</v>
      </c>
      <c r="C2654" s="287" t="s">
        <v>1464</v>
      </c>
      <c r="D2654" s="287" t="s">
        <v>1285</v>
      </c>
      <c r="E2654" s="656">
        <v>644</v>
      </c>
      <c r="F2654" s="381">
        <v>159.28</v>
      </c>
    </row>
    <row r="2655" spans="1:6" s="295" customFormat="1" x14ac:dyDescent="0.15">
      <c r="A2655" s="655" t="s">
        <v>1711</v>
      </c>
      <c r="B2655" s="591" t="s">
        <v>1712</v>
      </c>
      <c r="C2655" s="287" t="s">
        <v>1713</v>
      </c>
      <c r="D2655" s="287" t="s">
        <v>1419</v>
      </c>
      <c r="E2655" s="656">
        <v>845</v>
      </c>
      <c r="F2655" s="381">
        <v>165.93</v>
      </c>
    </row>
    <row r="2656" spans="1:6" s="295" customFormat="1" x14ac:dyDescent="0.15">
      <c r="A2656" s="655" t="s">
        <v>1570</v>
      </c>
      <c r="B2656" s="591" t="s">
        <v>1639</v>
      </c>
      <c r="C2656" s="287" t="s">
        <v>1472</v>
      </c>
      <c r="D2656" s="287" t="s">
        <v>1473</v>
      </c>
      <c r="E2656" s="656">
        <v>52</v>
      </c>
      <c r="F2656" s="381">
        <v>36.42</v>
      </c>
    </row>
    <row r="2657" spans="1:6" s="295" customFormat="1" x14ac:dyDescent="0.15">
      <c r="A2657" s="655" t="s">
        <v>1571</v>
      </c>
      <c r="B2657" s="591" t="s">
        <v>1640</v>
      </c>
      <c r="C2657" s="287" t="s">
        <v>1489</v>
      </c>
      <c r="D2657" s="287" t="s">
        <v>1490</v>
      </c>
      <c r="E2657" s="656">
        <v>145</v>
      </c>
      <c r="F2657" s="381">
        <v>47.91</v>
      </c>
    </row>
    <row r="2658" spans="1:6" s="295" customFormat="1" x14ac:dyDescent="0.15">
      <c r="A2658" s="655" t="s">
        <v>1572</v>
      </c>
      <c r="B2658" s="591" t="s">
        <v>1641</v>
      </c>
      <c r="C2658" s="287" t="s">
        <v>1271</v>
      </c>
      <c r="D2658" s="287" t="s">
        <v>1272</v>
      </c>
      <c r="E2658" s="656">
        <v>4416</v>
      </c>
      <c r="F2658" s="381">
        <v>795.67</v>
      </c>
    </row>
    <row r="2659" spans="1:6" s="295" customFormat="1" x14ac:dyDescent="0.15">
      <c r="A2659" s="655" t="s">
        <v>1573</v>
      </c>
      <c r="B2659" s="591"/>
      <c r="C2659" s="287" t="s">
        <v>1461</v>
      </c>
      <c r="D2659" s="287" t="s">
        <v>1703</v>
      </c>
      <c r="E2659" s="656">
        <v>26</v>
      </c>
      <c r="F2659" s="381">
        <v>16.600000000000001</v>
      </c>
    </row>
    <row r="2660" spans="1:6" s="295" customFormat="1" x14ac:dyDescent="0.15">
      <c r="A2660" s="655" t="s">
        <v>1574</v>
      </c>
      <c r="B2660" s="591" t="s">
        <v>1642</v>
      </c>
      <c r="C2660" s="287" t="s">
        <v>1377</v>
      </c>
      <c r="D2660" s="287" t="s">
        <v>1378</v>
      </c>
      <c r="E2660" s="656">
        <v>1777</v>
      </c>
      <c r="F2660" s="381">
        <v>327.62</v>
      </c>
    </row>
    <row r="2661" spans="1:6" s="295" customFormat="1" x14ac:dyDescent="0.15">
      <c r="A2661" s="655" t="s">
        <v>1575</v>
      </c>
      <c r="B2661" s="591" t="s">
        <v>1685</v>
      </c>
      <c r="C2661" s="287" t="s">
        <v>1448</v>
      </c>
      <c r="D2661" s="287" t="s">
        <v>1449</v>
      </c>
      <c r="E2661" s="656">
        <v>258</v>
      </c>
      <c r="F2661" s="381">
        <v>54.09</v>
      </c>
    </row>
    <row r="2662" spans="1:6" s="295" customFormat="1" x14ac:dyDescent="0.15">
      <c r="A2662" s="655" t="s">
        <v>1604</v>
      </c>
      <c r="B2662" s="591"/>
      <c r="C2662" s="287" t="s">
        <v>1334</v>
      </c>
      <c r="D2662" s="287" t="s">
        <v>1462</v>
      </c>
      <c r="E2662" s="656">
        <f>82.1+101.1</f>
        <v>183.2</v>
      </c>
      <c r="F2662" s="381">
        <v>52.739999999999995</v>
      </c>
    </row>
    <row r="2663" spans="1:6" s="295" customFormat="1" x14ac:dyDescent="0.15">
      <c r="A2663" s="655" t="s">
        <v>1576</v>
      </c>
      <c r="B2663" s="591" t="s">
        <v>1644</v>
      </c>
      <c r="C2663" s="287" t="s">
        <v>1401</v>
      </c>
      <c r="D2663" s="287" t="s">
        <v>1316</v>
      </c>
      <c r="E2663" s="656">
        <v>44</v>
      </c>
      <c r="F2663" s="381">
        <v>35.43</v>
      </c>
    </row>
    <row r="2664" spans="1:6" s="295" customFormat="1" x14ac:dyDescent="0.15">
      <c r="A2664" s="655" t="s">
        <v>1605</v>
      </c>
      <c r="B2664" s="591"/>
      <c r="C2664" s="287" t="s">
        <v>1334</v>
      </c>
      <c r="D2664" s="287" t="s">
        <v>1462</v>
      </c>
      <c r="E2664" s="656">
        <f>299.5+368.5</f>
        <v>668</v>
      </c>
      <c r="F2664" s="381">
        <v>191.87</v>
      </c>
    </row>
    <row r="2665" spans="1:6" s="295" customFormat="1" x14ac:dyDescent="0.15">
      <c r="A2665" s="655" t="s">
        <v>1578</v>
      </c>
      <c r="B2665" s="591" t="s">
        <v>1646</v>
      </c>
      <c r="C2665" s="287" t="s">
        <v>1579</v>
      </c>
      <c r="D2665" s="287" t="s">
        <v>1497</v>
      </c>
      <c r="E2665" s="656">
        <v>30</v>
      </c>
      <c r="F2665" s="381">
        <v>33.700000000000003</v>
      </c>
    </row>
    <row r="2666" spans="1:6" s="295" customFormat="1" x14ac:dyDescent="0.15">
      <c r="A2666" s="655" t="s">
        <v>1580</v>
      </c>
      <c r="B2666" s="591" t="s">
        <v>1647</v>
      </c>
      <c r="C2666" s="287" t="s">
        <v>1451</v>
      </c>
      <c r="D2666" s="287" t="s">
        <v>1674</v>
      </c>
      <c r="E2666" s="656">
        <v>8640</v>
      </c>
      <c r="F2666" s="381">
        <v>2624.7</v>
      </c>
    </row>
    <row r="2667" spans="1:6" s="295" customFormat="1" x14ac:dyDescent="0.15">
      <c r="A2667" s="655" t="s">
        <v>1581</v>
      </c>
      <c r="B2667" s="591" t="s">
        <v>1648</v>
      </c>
      <c r="C2667" s="287" t="s">
        <v>1521</v>
      </c>
      <c r="D2667" s="287" t="s">
        <v>1229</v>
      </c>
      <c r="E2667" s="656">
        <v>2118</v>
      </c>
      <c r="F2667" s="381">
        <v>433.72</v>
      </c>
    </row>
    <row r="2668" spans="1:6" s="295" customFormat="1" x14ac:dyDescent="0.15">
      <c r="A2668" s="655" t="s">
        <v>1582</v>
      </c>
      <c r="B2668" s="591" t="s">
        <v>1649</v>
      </c>
      <c r="C2668" s="287" t="s">
        <v>1525</v>
      </c>
      <c r="D2668" s="287" t="s">
        <v>1526</v>
      </c>
      <c r="E2668" s="656">
        <v>14</v>
      </c>
      <c r="F2668" s="381">
        <v>8.61</v>
      </c>
    </row>
    <row r="2669" spans="1:6" s="295" customFormat="1" ht="14" x14ac:dyDescent="0.15">
      <c r="A2669" s="655" t="s">
        <v>1583</v>
      </c>
      <c r="B2669" s="591" t="s">
        <v>1650</v>
      </c>
      <c r="C2669" s="287" t="s">
        <v>1584</v>
      </c>
      <c r="D2669" s="618" t="s">
        <v>1264</v>
      </c>
      <c r="E2669" s="656">
        <v>1600</v>
      </c>
      <c r="F2669" s="381">
        <v>355.52</v>
      </c>
    </row>
    <row r="2670" spans="1:6" s="295" customFormat="1" x14ac:dyDescent="0.15">
      <c r="A2670" s="655" t="s">
        <v>1666</v>
      </c>
      <c r="B2670" s="591" t="s">
        <v>1672</v>
      </c>
      <c r="C2670" s="287" t="s">
        <v>1667</v>
      </c>
      <c r="D2670" s="287" t="s">
        <v>1668</v>
      </c>
      <c r="E2670" s="656">
        <v>18432</v>
      </c>
      <c r="F2670" s="381">
        <v>4288.83</v>
      </c>
    </row>
    <row r="2671" spans="1:6" s="295" customFormat="1" x14ac:dyDescent="0.15">
      <c r="A2671" s="655" t="s">
        <v>1606</v>
      </c>
      <c r="B2671" s="591"/>
      <c r="C2671" s="287" t="s">
        <v>1334</v>
      </c>
      <c r="D2671" s="287" t="s">
        <v>1462</v>
      </c>
      <c r="E2671" s="656">
        <f>35.8+44.1</f>
        <v>79.900000000000006</v>
      </c>
      <c r="F2671" s="381">
        <v>14.18</v>
      </c>
    </row>
    <row r="2672" spans="1:6" s="295" customFormat="1" ht="14" thickBot="1" x14ac:dyDescent="0.2">
      <c r="A2672" s="655"/>
      <c r="B2672" s="591"/>
      <c r="C2672" s="291" t="s">
        <v>1696</v>
      </c>
      <c r="D2672" s="287"/>
      <c r="E2672" s="643">
        <f>SUM(E2646:E2671)</f>
        <v>76595</v>
      </c>
      <c r="F2672" s="658">
        <v>15964.040000000003</v>
      </c>
    </row>
    <row r="2673" spans="1:6" s="295" customFormat="1" ht="14" thickTop="1" x14ac:dyDescent="0.15">
      <c r="A2673" s="655"/>
      <c r="B2673" s="591"/>
      <c r="C2673" s="287"/>
      <c r="D2673" s="287"/>
      <c r="E2673" s="524"/>
      <c r="F2673" s="381"/>
    </row>
    <row r="2674" spans="1:6" s="295" customFormat="1" x14ac:dyDescent="0.15">
      <c r="A2674" s="655"/>
      <c r="B2674" s="591"/>
      <c r="C2674" s="293" t="s">
        <v>1594</v>
      </c>
      <c r="D2674" s="287"/>
      <c r="E2674" s="524"/>
      <c r="F2674" s="381"/>
    </row>
    <row r="2675" spans="1:6" s="295" customFormat="1" x14ac:dyDescent="0.15">
      <c r="A2675" s="655"/>
      <c r="B2675" s="591"/>
      <c r="C2675" s="293" t="s">
        <v>1446</v>
      </c>
      <c r="D2675" s="287"/>
      <c r="E2675" s="524"/>
      <c r="F2675" s="381"/>
    </row>
    <row r="2676" spans="1:6" s="295" customFormat="1" x14ac:dyDescent="0.15">
      <c r="A2676" s="655"/>
      <c r="B2676" s="591"/>
      <c r="C2676" s="386">
        <v>42308</v>
      </c>
      <c r="D2676" s="287"/>
      <c r="E2676" s="524"/>
      <c r="F2676" s="381"/>
    </row>
    <row r="2677" spans="1:6" s="295" customFormat="1" x14ac:dyDescent="0.15">
      <c r="A2677" s="655"/>
      <c r="B2677" s="591"/>
      <c r="C2677" s="287"/>
      <c r="D2677" s="287"/>
      <c r="E2677" s="524"/>
      <c r="F2677" s="381"/>
    </row>
    <row r="2678" spans="1:6" s="295" customFormat="1" ht="14" thickBot="1" x14ac:dyDescent="0.2">
      <c r="A2678" s="663"/>
      <c r="B2678" s="664"/>
      <c r="C2678" s="665" t="s">
        <v>1190</v>
      </c>
      <c r="D2678" s="665"/>
      <c r="E2678" s="666">
        <f>SUM(E2644,E2672)</f>
        <v>179301</v>
      </c>
      <c r="F2678" s="667">
        <v>33683.5</v>
      </c>
    </row>
    <row r="2679" spans="1:6" s="295" customFormat="1" x14ac:dyDescent="0.15">
      <c r="A2679" s="655"/>
      <c r="B2679" s="591"/>
      <c r="C2679" s="413"/>
      <c r="D2679" s="413"/>
      <c r="E2679" s="669"/>
      <c r="F2679" s="670"/>
    </row>
    <row r="2680" spans="1:6" s="295" customFormat="1" x14ac:dyDescent="0.15">
      <c r="A2680" s="652" t="s">
        <v>1534</v>
      </c>
      <c r="B2680" s="653" t="s">
        <v>1614</v>
      </c>
      <c r="C2680" s="371" t="s">
        <v>1492</v>
      </c>
      <c r="D2680" s="371" t="s">
        <v>1239</v>
      </c>
      <c r="E2680" s="654">
        <v>11840</v>
      </c>
      <c r="F2680" s="391">
        <v>1968.42</v>
      </c>
    </row>
    <row r="2681" spans="1:6" s="295" customFormat="1" x14ac:dyDescent="0.15">
      <c r="A2681" s="655" t="s">
        <v>1535</v>
      </c>
      <c r="B2681" s="591" t="s">
        <v>1615</v>
      </c>
      <c r="C2681" s="287" t="s">
        <v>1507</v>
      </c>
      <c r="D2681" s="287" t="s">
        <v>1245</v>
      </c>
      <c r="E2681" s="656">
        <v>3320</v>
      </c>
      <c r="F2681" s="381">
        <v>624.79999999999995</v>
      </c>
    </row>
    <row r="2682" spans="1:6" s="295" customFormat="1" x14ac:dyDescent="0.15">
      <c r="A2682" s="655" t="s">
        <v>1670</v>
      </c>
      <c r="B2682" s="591" t="s">
        <v>1659</v>
      </c>
      <c r="C2682" s="287" t="s">
        <v>1279</v>
      </c>
      <c r="D2682" s="287" t="s">
        <v>1660</v>
      </c>
      <c r="E2682" s="656">
        <v>9280</v>
      </c>
      <c r="F2682" s="381">
        <v>1503</v>
      </c>
    </row>
    <row r="2683" spans="1:6" s="295" customFormat="1" x14ac:dyDescent="0.15">
      <c r="A2683" s="655" t="s">
        <v>1536</v>
      </c>
      <c r="B2683" s="591" t="s">
        <v>1616</v>
      </c>
      <c r="C2683" s="287" t="s">
        <v>1479</v>
      </c>
      <c r="D2683" s="287" t="s">
        <v>1231</v>
      </c>
      <c r="E2683" s="656">
        <v>4936</v>
      </c>
      <c r="F2683" s="381">
        <v>803.08</v>
      </c>
    </row>
    <row r="2684" spans="1:6" s="295" customFormat="1" x14ac:dyDescent="0.15">
      <c r="A2684" s="655" t="s">
        <v>1537</v>
      </c>
      <c r="B2684" s="591" t="s">
        <v>1617</v>
      </c>
      <c r="C2684" s="287" t="s">
        <v>1269</v>
      </c>
      <c r="D2684" s="287" t="s">
        <v>1270</v>
      </c>
      <c r="E2684" s="656">
        <v>5307</v>
      </c>
      <c r="F2684" s="381">
        <v>841.78</v>
      </c>
    </row>
    <row r="2685" spans="1:6" s="295" customFormat="1" x14ac:dyDescent="0.15">
      <c r="A2685" s="655" t="s">
        <v>1538</v>
      </c>
      <c r="B2685" s="591" t="s">
        <v>1618</v>
      </c>
      <c r="C2685" s="287" t="s">
        <v>1517</v>
      </c>
      <c r="D2685" s="287" t="s">
        <v>1518</v>
      </c>
      <c r="E2685" s="656">
        <v>5</v>
      </c>
      <c r="F2685" s="381">
        <v>30.63</v>
      </c>
    </row>
    <row r="2686" spans="1:6" s="295" customFormat="1" x14ac:dyDescent="0.15">
      <c r="A2686" s="655" t="s">
        <v>1540</v>
      </c>
      <c r="B2686" s="591" t="s">
        <v>1620</v>
      </c>
      <c r="C2686" s="287" t="s">
        <v>1257</v>
      </c>
      <c r="D2686" s="287" t="s">
        <v>1258</v>
      </c>
      <c r="E2686" s="656">
        <v>25120</v>
      </c>
      <c r="F2686" s="381">
        <v>3871.49</v>
      </c>
    </row>
    <row r="2687" spans="1:6" s="295" customFormat="1" x14ac:dyDescent="0.15">
      <c r="A2687" s="655" t="s">
        <v>1541</v>
      </c>
      <c r="B2687" s="591" t="s">
        <v>1621</v>
      </c>
      <c r="C2687" s="287" t="s">
        <v>1586</v>
      </c>
      <c r="D2687" s="287" t="s">
        <v>1500</v>
      </c>
      <c r="E2687" s="656">
        <v>4000</v>
      </c>
      <c r="F2687" s="381">
        <v>715.88</v>
      </c>
    </row>
    <row r="2688" spans="1:6" s="295" customFormat="1" x14ac:dyDescent="0.15">
      <c r="A2688" s="655" t="s">
        <v>1542</v>
      </c>
      <c r="B2688" s="591" t="s">
        <v>1622</v>
      </c>
      <c r="C2688" s="287" t="s">
        <v>1240</v>
      </c>
      <c r="D2688" s="287" t="s">
        <v>1467</v>
      </c>
      <c r="E2688" s="656">
        <v>4729</v>
      </c>
      <c r="F2688" s="381">
        <v>756.19</v>
      </c>
    </row>
    <row r="2689" spans="1:6" s="295" customFormat="1" x14ac:dyDescent="0.15">
      <c r="A2689" s="655" t="s">
        <v>1543</v>
      </c>
      <c r="B2689" s="591" t="s">
        <v>1623</v>
      </c>
      <c r="C2689" s="287" t="s">
        <v>1523</v>
      </c>
      <c r="D2689" s="287" t="s">
        <v>1266</v>
      </c>
      <c r="E2689" s="656">
        <v>707</v>
      </c>
      <c r="F2689" s="381">
        <v>138.66</v>
      </c>
    </row>
    <row r="2690" spans="1:6" s="295" customFormat="1" x14ac:dyDescent="0.15">
      <c r="A2690" s="655" t="s">
        <v>1544</v>
      </c>
      <c r="B2690" s="591" t="s">
        <v>1624</v>
      </c>
      <c r="C2690" s="287" t="s">
        <v>1234</v>
      </c>
      <c r="D2690" s="287" t="s">
        <v>1494</v>
      </c>
      <c r="E2690" s="656">
        <v>5431</v>
      </c>
      <c r="F2690" s="381">
        <v>935.24</v>
      </c>
    </row>
    <row r="2691" spans="1:6" s="295" customFormat="1" x14ac:dyDescent="0.15">
      <c r="A2691" s="655" t="s">
        <v>1601</v>
      </c>
      <c r="B2691" s="591"/>
      <c r="C2691" s="287" t="s">
        <v>1334</v>
      </c>
      <c r="D2691" s="287" t="s">
        <v>1462</v>
      </c>
      <c r="E2691" s="656">
        <f>1803.2+1923.2</f>
        <v>3726.4</v>
      </c>
      <c r="F2691" s="381">
        <v>716.38</v>
      </c>
    </row>
    <row r="2692" spans="1:6" s="295" customFormat="1" x14ac:dyDescent="0.15">
      <c r="A2692" s="655" t="s">
        <v>1545</v>
      </c>
      <c r="B2692" s="591"/>
      <c r="C2692" s="287" t="s">
        <v>1234</v>
      </c>
      <c r="D2692" s="287" t="s">
        <v>1494</v>
      </c>
      <c r="E2692" s="656">
        <f>7.7+77.3</f>
        <v>85</v>
      </c>
      <c r="F2692" s="381">
        <v>19.850000000000001</v>
      </c>
    </row>
    <row r="2693" spans="1:6" s="295" customFormat="1" x14ac:dyDescent="0.15">
      <c r="A2693" s="655" t="s">
        <v>1602</v>
      </c>
      <c r="B2693" s="591"/>
      <c r="C2693" s="287" t="s">
        <v>1334</v>
      </c>
      <c r="D2693" s="287" t="s">
        <v>1462</v>
      </c>
      <c r="E2693" s="656">
        <f>100.7+107.4</f>
        <v>208.10000000000002</v>
      </c>
      <c r="F2693" s="381">
        <v>52.629999999999995</v>
      </c>
    </row>
    <row r="2694" spans="1:6" s="295" customFormat="1" x14ac:dyDescent="0.15">
      <c r="A2694" s="655" t="s">
        <v>1546</v>
      </c>
      <c r="B2694" s="591"/>
      <c r="C2694" s="287" t="s">
        <v>1586</v>
      </c>
      <c r="D2694" s="287" t="s">
        <v>1500</v>
      </c>
      <c r="E2694" s="656">
        <f>8.9+88.5</f>
        <v>97.4</v>
      </c>
      <c r="F2694" s="381">
        <v>30.56</v>
      </c>
    </row>
    <row r="2695" spans="1:6" s="295" customFormat="1" x14ac:dyDescent="0.15">
      <c r="A2695" s="655" t="s">
        <v>1549</v>
      </c>
      <c r="B2695" s="591" t="s">
        <v>1625</v>
      </c>
      <c r="C2695" s="287" t="s">
        <v>1459</v>
      </c>
      <c r="D2695" s="287" t="s">
        <v>1251</v>
      </c>
      <c r="E2695" s="656">
        <v>2092</v>
      </c>
      <c r="F2695" s="381">
        <v>366.53</v>
      </c>
    </row>
    <row r="2696" spans="1:6" s="295" customFormat="1" x14ac:dyDescent="0.15">
      <c r="A2696" s="655" t="s">
        <v>1603</v>
      </c>
      <c r="B2696" s="591"/>
      <c r="C2696" s="287" t="s">
        <v>1334</v>
      </c>
      <c r="D2696" s="287" t="s">
        <v>1462</v>
      </c>
      <c r="E2696" s="656">
        <f>754.5+804.7</f>
        <v>1559.2</v>
      </c>
      <c r="F2696" s="381">
        <v>316.31</v>
      </c>
    </row>
    <row r="2697" spans="1:6" s="295" customFormat="1" x14ac:dyDescent="0.15">
      <c r="A2697" s="655" t="s">
        <v>1597</v>
      </c>
      <c r="B2697" s="591" t="s">
        <v>1626</v>
      </c>
      <c r="C2697" s="287" t="s">
        <v>1454</v>
      </c>
      <c r="D2697" s="287" t="s">
        <v>1247</v>
      </c>
      <c r="E2697" s="656">
        <v>4680</v>
      </c>
      <c r="F2697" s="381">
        <v>792.74</v>
      </c>
    </row>
    <row r="2698" spans="1:6" s="295" customFormat="1" x14ac:dyDescent="0.15">
      <c r="A2698" s="655" t="s">
        <v>1677</v>
      </c>
      <c r="B2698" s="591" t="s">
        <v>1678</v>
      </c>
      <c r="C2698" s="287" t="s">
        <v>1313</v>
      </c>
      <c r="D2698" s="287" t="s">
        <v>1412</v>
      </c>
      <c r="E2698" s="656">
        <v>1907</v>
      </c>
      <c r="F2698" s="381">
        <v>322.38</v>
      </c>
    </row>
    <row r="2699" spans="1:6" s="295" customFormat="1" x14ac:dyDescent="0.15">
      <c r="A2699" s="655" t="s">
        <v>1551</v>
      </c>
      <c r="B2699" s="591" t="s">
        <v>1627</v>
      </c>
      <c r="C2699" s="287" t="s">
        <v>1235</v>
      </c>
      <c r="D2699" s="287" t="s">
        <v>1236</v>
      </c>
      <c r="E2699" s="656">
        <v>9052</v>
      </c>
      <c r="F2699" s="381">
        <v>1453.53</v>
      </c>
    </row>
    <row r="2700" spans="1:6" s="295" customFormat="1" x14ac:dyDescent="0.15">
      <c r="A2700" s="655" t="s">
        <v>1553</v>
      </c>
      <c r="B2700" s="591" t="s">
        <v>1628</v>
      </c>
      <c r="C2700" s="287" t="s">
        <v>1475</v>
      </c>
      <c r="D2700" s="287" t="s">
        <v>1387</v>
      </c>
      <c r="E2700" s="656">
        <v>1190</v>
      </c>
      <c r="F2700" s="381">
        <v>233.69</v>
      </c>
    </row>
    <row r="2701" spans="1:6" s="295" customFormat="1" x14ac:dyDescent="0.15">
      <c r="A2701" s="655" t="s">
        <v>1554</v>
      </c>
      <c r="B2701" s="591" t="s">
        <v>1629</v>
      </c>
      <c r="C2701" s="287" t="s">
        <v>1399</v>
      </c>
      <c r="D2701" s="287" t="s">
        <v>1276</v>
      </c>
      <c r="E2701" s="656">
        <v>4840</v>
      </c>
      <c r="F2701" s="381">
        <v>819.65</v>
      </c>
    </row>
    <row r="2702" spans="1:6" s="295" customFormat="1" x14ac:dyDescent="0.15">
      <c r="A2702" s="655" t="s">
        <v>1598</v>
      </c>
      <c r="B2702" s="591"/>
      <c r="C2702" s="287" t="s">
        <v>1586</v>
      </c>
      <c r="D2702" s="287" t="s">
        <v>1500</v>
      </c>
      <c r="E2702" s="656">
        <f>4.4+44.3</f>
        <v>48.699999999999996</v>
      </c>
      <c r="F2702" s="381">
        <v>18.07</v>
      </c>
    </row>
    <row r="2703" spans="1:6" s="295" customFormat="1" x14ac:dyDescent="0.15">
      <c r="A2703" s="655" t="s">
        <v>1662</v>
      </c>
      <c r="B2703" s="657">
        <v>892914652</v>
      </c>
      <c r="C2703" s="287" t="s">
        <v>1663</v>
      </c>
      <c r="D2703" s="287" t="s">
        <v>1664</v>
      </c>
      <c r="E2703" s="656">
        <v>10480</v>
      </c>
      <c r="F2703" s="381">
        <v>1887.8</v>
      </c>
    </row>
    <row r="2704" spans="1:6" s="295" customFormat="1" ht="14" thickBot="1" x14ac:dyDescent="0.2">
      <c r="A2704" s="655"/>
      <c r="B2704" s="591"/>
      <c r="C2704" s="291" t="s">
        <v>1698</v>
      </c>
      <c r="D2704" s="287"/>
      <c r="E2704" s="643">
        <f>SUM(E2680:E2703)</f>
        <v>114640.79999999999</v>
      </c>
      <c r="F2704" s="658">
        <v>19219.29</v>
      </c>
    </row>
    <row r="2705" spans="1:6" s="295" customFormat="1" ht="14" thickTop="1" x14ac:dyDescent="0.15">
      <c r="A2705" s="655"/>
      <c r="B2705" s="591"/>
      <c r="C2705" s="287"/>
      <c r="D2705" s="287"/>
      <c r="E2705" s="524"/>
      <c r="F2705" s="381"/>
    </row>
    <row r="2706" spans="1:6" s="295" customFormat="1" x14ac:dyDescent="0.15">
      <c r="A2706" s="655" t="s">
        <v>1556</v>
      </c>
      <c r="B2706" s="591" t="s">
        <v>1631</v>
      </c>
      <c r="C2706" s="287" t="s">
        <v>1248</v>
      </c>
      <c r="D2706" s="287" t="s">
        <v>1482</v>
      </c>
      <c r="E2706" s="656">
        <v>4324</v>
      </c>
      <c r="F2706" s="381">
        <v>713.27</v>
      </c>
    </row>
    <row r="2707" spans="1:6" s="295" customFormat="1" x14ac:dyDescent="0.15">
      <c r="A2707" s="655" t="s">
        <v>1558</v>
      </c>
      <c r="B2707" s="591" t="s">
        <v>1633</v>
      </c>
      <c r="C2707" s="287" t="s">
        <v>1469</v>
      </c>
      <c r="D2707" s="287" t="s">
        <v>1470</v>
      </c>
      <c r="E2707" s="656">
        <v>6320</v>
      </c>
      <c r="F2707" s="381">
        <v>1073.49</v>
      </c>
    </row>
    <row r="2708" spans="1:6" s="295" customFormat="1" x14ac:dyDescent="0.15">
      <c r="A2708" s="655" t="s">
        <v>1559</v>
      </c>
      <c r="B2708" s="591" t="s">
        <v>1634</v>
      </c>
      <c r="C2708" s="287" t="s">
        <v>1502</v>
      </c>
      <c r="D2708" s="287" t="s">
        <v>1381</v>
      </c>
      <c r="E2708" s="656">
        <v>9504</v>
      </c>
      <c r="F2708" s="381">
        <v>1595.79</v>
      </c>
    </row>
    <row r="2709" spans="1:6" s="295" customFormat="1" x14ac:dyDescent="0.15">
      <c r="A2709" s="655" t="s">
        <v>1560</v>
      </c>
      <c r="B2709" s="591" t="s">
        <v>1635</v>
      </c>
      <c r="C2709" s="287" t="s">
        <v>1504</v>
      </c>
      <c r="D2709" s="287" t="s">
        <v>1505</v>
      </c>
      <c r="E2709" s="656">
        <v>1496</v>
      </c>
      <c r="F2709" s="381">
        <v>243.18</v>
      </c>
    </row>
    <row r="2710" spans="1:6" s="295" customFormat="1" x14ac:dyDescent="0.15">
      <c r="A2710" s="655" t="s">
        <v>1675</v>
      </c>
      <c r="B2710" s="591" t="s">
        <v>1676</v>
      </c>
      <c r="C2710" s="287" t="s">
        <v>1477</v>
      </c>
      <c r="D2710" s="287" t="s">
        <v>1289</v>
      </c>
      <c r="E2710" s="656">
        <v>10990</v>
      </c>
      <c r="F2710" s="381">
        <v>1913.16</v>
      </c>
    </row>
    <row r="2711" spans="1:6" s="295" customFormat="1" x14ac:dyDescent="0.15">
      <c r="A2711" s="655" t="s">
        <v>1563</v>
      </c>
      <c r="B2711" s="591"/>
      <c r="C2711" s="287" t="s">
        <v>1267</v>
      </c>
      <c r="D2711" s="287" t="s">
        <v>1268</v>
      </c>
      <c r="E2711" s="656">
        <f>7.7+77.3</f>
        <v>85</v>
      </c>
      <c r="F2711" s="381">
        <v>16.45</v>
      </c>
    </row>
    <row r="2712" spans="1:6" s="295" customFormat="1" x14ac:dyDescent="0.15">
      <c r="A2712" s="655" t="s">
        <v>1564</v>
      </c>
      <c r="B2712" s="591" t="s">
        <v>1636</v>
      </c>
      <c r="C2712" s="287" t="s">
        <v>1485</v>
      </c>
      <c r="D2712" s="287" t="s">
        <v>1486</v>
      </c>
      <c r="E2712" s="656">
        <v>3160</v>
      </c>
      <c r="F2712" s="381">
        <v>498.43</v>
      </c>
    </row>
    <row r="2713" spans="1:6" s="295" customFormat="1" x14ac:dyDescent="0.15">
      <c r="A2713" s="655" t="s">
        <v>1565</v>
      </c>
      <c r="B2713" s="591" t="s">
        <v>1637</v>
      </c>
      <c r="C2713" s="287" t="s">
        <v>1267</v>
      </c>
      <c r="D2713" s="287" t="s">
        <v>1268</v>
      </c>
      <c r="E2713" s="656">
        <v>2561</v>
      </c>
      <c r="F2713" s="381">
        <v>502.9</v>
      </c>
    </row>
    <row r="2714" spans="1:6" s="295" customFormat="1" x14ac:dyDescent="0.15">
      <c r="A2714" s="655" t="s">
        <v>1569</v>
      </c>
      <c r="B2714" s="591" t="s">
        <v>1638</v>
      </c>
      <c r="C2714" s="287" t="s">
        <v>1464</v>
      </c>
      <c r="D2714" s="287" t="s">
        <v>1285</v>
      </c>
      <c r="E2714" s="656">
        <v>740</v>
      </c>
      <c r="F2714" s="381">
        <v>178.24</v>
      </c>
    </row>
    <row r="2715" spans="1:6" s="295" customFormat="1" x14ac:dyDescent="0.15">
      <c r="A2715" s="655" t="s">
        <v>1711</v>
      </c>
      <c r="B2715" s="591" t="s">
        <v>1712</v>
      </c>
      <c r="C2715" s="287" t="s">
        <v>1713</v>
      </c>
      <c r="D2715" s="287" t="s">
        <v>1419</v>
      </c>
      <c r="E2715" s="656">
        <v>1069</v>
      </c>
      <c r="F2715" s="381">
        <v>209.91</v>
      </c>
    </row>
    <row r="2716" spans="1:6" s="295" customFormat="1" x14ac:dyDescent="0.15">
      <c r="A2716" s="655" t="s">
        <v>1570</v>
      </c>
      <c r="B2716" s="591" t="s">
        <v>1639</v>
      </c>
      <c r="C2716" s="287" t="s">
        <v>1472</v>
      </c>
      <c r="D2716" s="287" t="s">
        <v>1473</v>
      </c>
      <c r="E2716" s="656">
        <v>54</v>
      </c>
      <c r="F2716" s="381">
        <v>36.659999999999997</v>
      </c>
    </row>
    <row r="2717" spans="1:6" s="295" customFormat="1" x14ac:dyDescent="0.15">
      <c r="A2717" s="655" t="s">
        <v>1571</v>
      </c>
      <c r="B2717" s="591" t="s">
        <v>1640</v>
      </c>
      <c r="C2717" s="287" t="s">
        <v>1489</v>
      </c>
      <c r="D2717" s="287" t="s">
        <v>1490</v>
      </c>
      <c r="E2717" s="656">
        <v>178</v>
      </c>
      <c r="F2717" s="381">
        <v>51.99</v>
      </c>
    </row>
    <row r="2718" spans="1:6" s="295" customFormat="1" x14ac:dyDescent="0.15">
      <c r="A2718" s="655" t="s">
        <v>1572</v>
      </c>
      <c r="B2718" s="591" t="s">
        <v>1641</v>
      </c>
      <c r="C2718" s="287" t="s">
        <v>1271</v>
      </c>
      <c r="D2718" s="287" t="s">
        <v>1272</v>
      </c>
      <c r="E2718" s="656">
        <v>4823</v>
      </c>
      <c r="F2718" s="381">
        <v>803.31</v>
      </c>
    </row>
    <row r="2719" spans="1:6" s="295" customFormat="1" x14ac:dyDescent="0.15">
      <c r="A2719" s="655" t="s">
        <v>1573</v>
      </c>
      <c r="B2719" s="591"/>
      <c r="C2719" s="287" t="s">
        <v>1461</v>
      </c>
      <c r="D2719" s="287" t="s">
        <v>1703</v>
      </c>
      <c r="E2719" s="656">
        <v>26</v>
      </c>
      <c r="F2719" s="381">
        <v>16.600000000000001</v>
      </c>
    </row>
    <row r="2720" spans="1:6" s="295" customFormat="1" x14ac:dyDescent="0.15">
      <c r="A2720" s="655" t="s">
        <v>1574</v>
      </c>
      <c r="B2720" s="591" t="s">
        <v>1642</v>
      </c>
      <c r="C2720" s="287" t="s">
        <v>1377</v>
      </c>
      <c r="D2720" s="287" t="s">
        <v>1378</v>
      </c>
      <c r="E2720" s="656">
        <v>1814</v>
      </c>
      <c r="F2720" s="381">
        <v>346.41</v>
      </c>
    </row>
    <row r="2721" spans="1:6" s="295" customFormat="1" x14ac:dyDescent="0.15">
      <c r="A2721" s="655" t="s">
        <v>1575</v>
      </c>
      <c r="B2721" s="591" t="s">
        <v>1685</v>
      </c>
      <c r="C2721" s="287" t="s">
        <v>1448</v>
      </c>
      <c r="D2721" s="287" t="s">
        <v>1449</v>
      </c>
      <c r="E2721" s="656">
        <v>316</v>
      </c>
      <c r="F2721" s="381">
        <v>64.900000000000006</v>
      </c>
    </row>
    <row r="2722" spans="1:6" s="295" customFormat="1" x14ac:dyDescent="0.15">
      <c r="A2722" s="655" t="s">
        <v>1604</v>
      </c>
      <c r="B2722" s="591"/>
      <c r="C2722" s="287" t="s">
        <v>1334</v>
      </c>
      <c r="D2722" s="287" t="s">
        <v>1462</v>
      </c>
      <c r="E2722" s="656">
        <f>94.3+100.5</f>
        <v>194.8</v>
      </c>
      <c r="F2722" s="381">
        <v>56.33</v>
      </c>
    </row>
    <row r="2723" spans="1:6" s="295" customFormat="1" x14ac:dyDescent="0.15">
      <c r="A2723" s="655" t="s">
        <v>1576</v>
      </c>
      <c r="B2723" s="591" t="s">
        <v>1644</v>
      </c>
      <c r="C2723" s="287" t="s">
        <v>1401</v>
      </c>
      <c r="D2723" s="287" t="s">
        <v>1316</v>
      </c>
      <c r="E2723" s="656">
        <v>34</v>
      </c>
      <c r="F2723" s="381">
        <v>34.22</v>
      </c>
    </row>
    <row r="2724" spans="1:6" s="295" customFormat="1" x14ac:dyDescent="0.15">
      <c r="A2724" s="655" t="s">
        <v>1605</v>
      </c>
      <c r="B2724" s="591"/>
      <c r="C2724" s="287" t="s">
        <v>1334</v>
      </c>
      <c r="D2724" s="287" t="s">
        <v>1462</v>
      </c>
      <c r="E2724" s="656">
        <f>344.1+366.9</f>
        <v>711</v>
      </c>
      <c r="F2724" s="381">
        <v>205.07999999999998</v>
      </c>
    </row>
    <row r="2725" spans="1:6" s="295" customFormat="1" x14ac:dyDescent="0.15">
      <c r="A2725" s="655" t="s">
        <v>1578</v>
      </c>
      <c r="B2725" s="591" t="s">
        <v>1646</v>
      </c>
      <c r="C2725" s="287" t="s">
        <v>1579</v>
      </c>
      <c r="D2725" s="287" t="s">
        <v>1497</v>
      </c>
      <c r="E2725" s="656">
        <v>3</v>
      </c>
      <c r="F2725" s="381">
        <v>30.38</v>
      </c>
    </row>
    <row r="2726" spans="1:6" s="295" customFormat="1" x14ac:dyDescent="0.15">
      <c r="A2726" s="655" t="s">
        <v>1580</v>
      </c>
      <c r="B2726" s="591" t="s">
        <v>1647</v>
      </c>
      <c r="C2726" s="287" t="s">
        <v>1451</v>
      </c>
      <c r="D2726" s="287" t="s">
        <v>1674</v>
      </c>
      <c r="E2726" s="656">
        <v>10752</v>
      </c>
      <c r="F2726" s="381">
        <v>2885.57</v>
      </c>
    </row>
    <row r="2727" spans="1:6" s="295" customFormat="1" x14ac:dyDescent="0.15">
      <c r="A2727" s="655" t="s">
        <v>1581</v>
      </c>
      <c r="B2727" s="591" t="s">
        <v>1648</v>
      </c>
      <c r="C2727" s="287" t="s">
        <v>1521</v>
      </c>
      <c r="D2727" s="287" t="s">
        <v>1229</v>
      </c>
      <c r="E2727" s="656">
        <v>2608</v>
      </c>
      <c r="F2727" s="381">
        <v>479.98</v>
      </c>
    </row>
    <row r="2728" spans="1:6" s="295" customFormat="1" x14ac:dyDescent="0.15">
      <c r="A2728" s="655" t="s">
        <v>1582</v>
      </c>
      <c r="B2728" s="591" t="s">
        <v>1649</v>
      </c>
      <c r="C2728" s="287" t="s">
        <v>1525</v>
      </c>
      <c r="D2728" s="287" t="s">
        <v>1526</v>
      </c>
      <c r="E2728" s="656">
        <v>12</v>
      </c>
      <c r="F2728" s="381">
        <v>8.24</v>
      </c>
    </row>
    <row r="2729" spans="1:6" s="295" customFormat="1" ht="14" x14ac:dyDescent="0.15">
      <c r="A2729" s="655" t="s">
        <v>1583</v>
      </c>
      <c r="B2729" s="591" t="s">
        <v>1650</v>
      </c>
      <c r="C2729" s="287" t="s">
        <v>1584</v>
      </c>
      <c r="D2729" s="618" t="s">
        <v>1264</v>
      </c>
      <c r="E2729" s="656">
        <v>1320</v>
      </c>
      <c r="F2729" s="381">
        <v>257</v>
      </c>
    </row>
    <row r="2730" spans="1:6" s="295" customFormat="1" x14ac:dyDescent="0.15">
      <c r="A2730" s="655" t="s">
        <v>1666</v>
      </c>
      <c r="B2730" s="591" t="s">
        <v>1672</v>
      </c>
      <c r="C2730" s="287" t="s">
        <v>1667</v>
      </c>
      <c r="D2730" s="287" t="s">
        <v>1668</v>
      </c>
      <c r="E2730" s="656">
        <v>25920</v>
      </c>
      <c r="F2730" s="381">
        <v>5085.79</v>
      </c>
    </row>
    <row r="2731" spans="1:6" s="295" customFormat="1" x14ac:dyDescent="0.15">
      <c r="A2731" s="655" t="s">
        <v>1606</v>
      </c>
      <c r="B2731" s="591"/>
      <c r="C2731" s="287" t="s">
        <v>1334</v>
      </c>
      <c r="D2731" s="287" t="s">
        <v>1462</v>
      </c>
      <c r="E2731" s="656">
        <f>41.1+43.9</f>
        <v>85</v>
      </c>
      <c r="F2731" s="381">
        <v>15.760000000000002</v>
      </c>
    </row>
    <row r="2732" spans="1:6" s="295" customFormat="1" ht="14" thickBot="1" x14ac:dyDescent="0.2">
      <c r="A2732" s="655"/>
      <c r="B2732" s="591"/>
      <c r="C2732" s="291" t="s">
        <v>1699</v>
      </c>
      <c r="D2732" s="287"/>
      <c r="E2732" s="643">
        <f>SUM(E2706:E2731)</f>
        <v>89099.8</v>
      </c>
      <c r="F2732" s="658">
        <v>17323.039999999997</v>
      </c>
    </row>
    <row r="2733" spans="1:6" s="295" customFormat="1" ht="14" thickTop="1" x14ac:dyDescent="0.15">
      <c r="A2733" s="655"/>
      <c r="B2733" s="591"/>
      <c r="C2733" s="287"/>
      <c r="D2733" s="287"/>
      <c r="E2733" s="524"/>
      <c r="F2733" s="381"/>
    </row>
    <row r="2734" spans="1:6" s="295" customFormat="1" x14ac:dyDescent="0.15">
      <c r="A2734" s="655"/>
      <c r="B2734" s="591"/>
      <c r="C2734" s="293" t="s">
        <v>1594</v>
      </c>
      <c r="D2734" s="287"/>
      <c r="E2734" s="524"/>
      <c r="F2734" s="381"/>
    </row>
    <row r="2735" spans="1:6" s="295" customFormat="1" x14ac:dyDescent="0.15">
      <c r="A2735" s="655"/>
      <c r="B2735" s="591"/>
      <c r="C2735" s="293" t="s">
        <v>1446</v>
      </c>
      <c r="D2735" s="287"/>
      <c r="E2735" s="524"/>
      <c r="F2735" s="381"/>
    </row>
    <row r="2736" spans="1:6" s="295" customFormat="1" x14ac:dyDescent="0.15">
      <c r="A2736" s="655"/>
      <c r="B2736" s="591"/>
      <c r="C2736" s="386">
        <v>42338</v>
      </c>
      <c r="D2736" s="287"/>
      <c r="E2736" s="524"/>
      <c r="F2736" s="381"/>
    </row>
    <row r="2737" spans="1:6" s="295" customFormat="1" x14ac:dyDescent="0.15">
      <c r="A2737" s="655"/>
      <c r="B2737" s="591"/>
      <c r="C2737" s="287"/>
      <c r="D2737" s="287"/>
      <c r="E2737" s="524"/>
      <c r="F2737" s="381"/>
    </row>
    <row r="2738" spans="1:6" s="295" customFormat="1" ht="14" thickBot="1" x14ac:dyDescent="0.2">
      <c r="A2738" s="663"/>
      <c r="B2738" s="664"/>
      <c r="C2738" s="665" t="s">
        <v>1191</v>
      </c>
      <c r="D2738" s="665"/>
      <c r="E2738" s="666">
        <f>SUM(E2704,E2732)</f>
        <v>203740.59999999998</v>
      </c>
      <c r="F2738" s="667">
        <v>36542.329999999994</v>
      </c>
    </row>
    <row r="2739" spans="1:6" s="295" customFormat="1" x14ac:dyDescent="0.15">
      <c r="A2739" s="655"/>
      <c r="B2739" s="591"/>
      <c r="C2739" s="413"/>
      <c r="D2739" s="413"/>
      <c r="E2739" s="669"/>
      <c r="F2739" s="670"/>
    </row>
    <row r="2740" spans="1:6" s="295" customFormat="1" x14ac:dyDescent="0.15">
      <c r="A2740" s="652" t="s">
        <v>1534</v>
      </c>
      <c r="B2740" s="653" t="s">
        <v>1614</v>
      </c>
      <c r="C2740" s="371" t="s">
        <v>1492</v>
      </c>
      <c r="D2740" s="371" t="s">
        <v>1239</v>
      </c>
      <c r="E2740" s="654">
        <v>10400</v>
      </c>
      <c r="F2740" s="391">
        <v>1740.79</v>
      </c>
    </row>
    <row r="2741" spans="1:6" s="295" customFormat="1" x14ac:dyDescent="0.15">
      <c r="A2741" s="655" t="s">
        <v>1535</v>
      </c>
      <c r="B2741" s="591" t="s">
        <v>1615</v>
      </c>
      <c r="C2741" s="287" t="s">
        <v>1507</v>
      </c>
      <c r="D2741" s="287" t="s">
        <v>1245</v>
      </c>
      <c r="E2741" s="656">
        <v>3080</v>
      </c>
      <c r="F2741" s="381">
        <v>595.14</v>
      </c>
    </row>
    <row r="2742" spans="1:6" s="295" customFormat="1" x14ac:dyDescent="0.15">
      <c r="A2742" s="655" t="s">
        <v>1670</v>
      </c>
      <c r="B2742" s="591" t="s">
        <v>1659</v>
      </c>
      <c r="C2742" s="287" t="s">
        <v>1279</v>
      </c>
      <c r="D2742" s="287" t="s">
        <v>1660</v>
      </c>
      <c r="E2742" s="656">
        <v>8800</v>
      </c>
      <c r="F2742" s="381">
        <v>1408.17</v>
      </c>
    </row>
    <row r="2743" spans="1:6" s="295" customFormat="1" x14ac:dyDescent="0.15">
      <c r="A2743" s="655" t="s">
        <v>1536</v>
      </c>
      <c r="B2743" s="591" t="s">
        <v>1616</v>
      </c>
      <c r="C2743" s="287" t="s">
        <v>1479</v>
      </c>
      <c r="D2743" s="287" t="s">
        <v>1231</v>
      </c>
      <c r="E2743" s="656">
        <v>4462</v>
      </c>
      <c r="F2743" s="381">
        <v>744.52</v>
      </c>
    </row>
    <row r="2744" spans="1:6" s="295" customFormat="1" x14ac:dyDescent="0.15">
      <c r="A2744" s="655" t="s">
        <v>1537</v>
      </c>
      <c r="B2744" s="591" t="s">
        <v>1617</v>
      </c>
      <c r="C2744" s="287" t="s">
        <v>1269</v>
      </c>
      <c r="D2744" s="287" t="s">
        <v>1270</v>
      </c>
      <c r="E2744" s="656">
        <v>5659</v>
      </c>
      <c r="F2744" s="381">
        <v>913.69</v>
      </c>
    </row>
    <row r="2745" spans="1:6" s="295" customFormat="1" x14ac:dyDescent="0.15">
      <c r="A2745" s="655" t="s">
        <v>1538</v>
      </c>
      <c r="B2745" s="591" t="s">
        <v>1618</v>
      </c>
      <c r="C2745" s="287" t="s">
        <v>1517</v>
      </c>
      <c r="D2745" s="287" t="s">
        <v>1518</v>
      </c>
      <c r="E2745" s="656">
        <v>4</v>
      </c>
      <c r="F2745" s="381">
        <v>30.5</v>
      </c>
    </row>
    <row r="2746" spans="1:6" s="295" customFormat="1" x14ac:dyDescent="0.15">
      <c r="A2746" s="655" t="s">
        <v>1540</v>
      </c>
      <c r="B2746" s="591" t="s">
        <v>1620</v>
      </c>
      <c r="C2746" s="287" t="s">
        <v>1257</v>
      </c>
      <c r="D2746" s="287" t="s">
        <v>1258</v>
      </c>
      <c r="E2746" s="656">
        <v>23440</v>
      </c>
      <c r="F2746" s="381">
        <v>3692.42</v>
      </c>
    </row>
    <row r="2747" spans="1:6" s="295" customFormat="1" x14ac:dyDescent="0.15">
      <c r="A2747" s="655" t="s">
        <v>1541</v>
      </c>
      <c r="B2747" s="591" t="s">
        <v>1621</v>
      </c>
      <c r="C2747" s="287" t="s">
        <v>1586</v>
      </c>
      <c r="D2747" s="287" t="s">
        <v>1500</v>
      </c>
      <c r="E2747" s="656">
        <v>3560</v>
      </c>
      <c r="F2747" s="381">
        <v>668.63</v>
      </c>
    </row>
    <row r="2748" spans="1:6" s="295" customFormat="1" x14ac:dyDescent="0.15">
      <c r="A2748" s="655" t="s">
        <v>1542</v>
      </c>
      <c r="B2748" s="591" t="s">
        <v>1622</v>
      </c>
      <c r="C2748" s="287" t="s">
        <v>1240</v>
      </c>
      <c r="D2748" s="287" t="s">
        <v>1467</v>
      </c>
      <c r="E2748" s="656">
        <v>4376</v>
      </c>
      <c r="F2748" s="381">
        <v>719.69</v>
      </c>
    </row>
    <row r="2749" spans="1:6" s="295" customFormat="1" x14ac:dyDescent="0.15">
      <c r="A2749" s="655" t="s">
        <v>1543</v>
      </c>
      <c r="B2749" s="591" t="s">
        <v>1623</v>
      </c>
      <c r="C2749" s="287" t="s">
        <v>1523</v>
      </c>
      <c r="D2749" s="287" t="s">
        <v>1266</v>
      </c>
      <c r="E2749" s="656">
        <v>648</v>
      </c>
      <c r="F2749" s="381">
        <v>138.44999999999999</v>
      </c>
    </row>
    <row r="2750" spans="1:6" s="295" customFormat="1" x14ac:dyDescent="0.15">
      <c r="A2750" s="655" t="s">
        <v>1544</v>
      </c>
      <c r="B2750" s="591" t="s">
        <v>1624</v>
      </c>
      <c r="C2750" s="287" t="s">
        <v>1234</v>
      </c>
      <c r="D2750" s="287" t="s">
        <v>1494</v>
      </c>
      <c r="E2750" s="656">
        <v>4805</v>
      </c>
      <c r="F2750" s="381">
        <v>865.03</v>
      </c>
    </row>
    <row r="2751" spans="1:6" s="295" customFormat="1" x14ac:dyDescent="0.15">
      <c r="A2751" s="655" t="s">
        <v>1601</v>
      </c>
      <c r="B2751" s="591"/>
      <c r="C2751" s="287" t="s">
        <v>1334</v>
      </c>
      <c r="D2751" s="287" t="s">
        <v>1462</v>
      </c>
      <c r="E2751" s="656">
        <f>1861+2126.5</f>
        <v>3987.5</v>
      </c>
      <c r="F2751" s="381">
        <v>889.25</v>
      </c>
    </row>
    <row r="2752" spans="1:6" s="295" customFormat="1" x14ac:dyDescent="0.15">
      <c r="A2752" s="655" t="s">
        <v>1545</v>
      </c>
      <c r="B2752" s="591"/>
      <c r="C2752" s="287" t="s">
        <v>1234</v>
      </c>
      <c r="D2752" s="287" t="s">
        <v>1494</v>
      </c>
      <c r="E2752" s="656">
        <v>91</v>
      </c>
      <c r="F2752" s="381">
        <v>25.28</v>
      </c>
    </row>
    <row r="2753" spans="1:6" s="295" customFormat="1" x14ac:dyDescent="0.15">
      <c r="A2753" s="655" t="s">
        <v>1602</v>
      </c>
      <c r="B2753" s="591"/>
      <c r="C2753" s="287" t="s">
        <v>1334</v>
      </c>
      <c r="D2753" s="287" t="s">
        <v>1462</v>
      </c>
      <c r="E2753" s="656">
        <f>104.2+119</f>
        <v>223.2</v>
      </c>
      <c r="F2753" s="381">
        <v>62.349999999999994</v>
      </c>
    </row>
    <row r="2754" spans="1:6" s="295" customFormat="1" x14ac:dyDescent="0.15">
      <c r="A2754" s="655" t="s">
        <v>1546</v>
      </c>
      <c r="B2754" s="591"/>
      <c r="C2754" s="287" t="s">
        <v>1586</v>
      </c>
      <c r="D2754" s="287" t="s">
        <v>1500</v>
      </c>
      <c r="E2754" s="656">
        <v>104.2</v>
      </c>
      <c r="F2754" s="381">
        <v>36.97</v>
      </c>
    </row>
    <row r="2755" spans="1:6" s="295" customFormat="1" x14ac:dyDescent="0.15">
      <c r="A2755" s="655" t="s">
        <v>1549</v>
      </c>
      <c r="B2755" s="591" t="s">
        <v>1625</v>
      </c>
      <c r="C2755" s="287" t="s">
        <v>1459</v>
      </c>
      <c r="D2755" s="287" t="s">
        <v>1251</v>
      </c>
      <c r="E2755" s="656">
        <v>2137</v>
      </c>
      <c r="F2755" s="381">
        <v>357.87</v>
      </c>
    </row>
    <row r="2756" spans="1:6" s="295" customFormat="1" x14ac:dyDescent="0.15">
      <c r="A2756" s="655" t="s">
        <v>1603</v>
      </c>
      <c r="B2756" s="591"/>
      <c r="C2756" s="287" t="s">
        <v>1334</v>
      </c>
      <c r="D2756" s="287" t="s">
        <v>1462</v>
      </c>
      <c r="E2756" s="656">
        <f>778.8+890</f>
        <v>1668.8</v>
      </c>
      <c r="F2756" s="381">
        <v>388.71000000000004</v>
      </c>
    </row>
    <row r="2757" spans="1:6" s="295" customFormat="1" x14ac:dyDescent="0.15">
      <c r="A2757" s="655" t="s">
        <v>1597</v>
      </c>
      <c r="B2757" s="591" t="s">
        <v>1626</v>
      </c>
      <c r="C2757" s="287" t="s">
        <v>1454</v>
      </c>
      <c r="D2757" s="287" t="s">
        <v>1247</v>
      </c>
      <c r="E2757" s="656">
        <v>4480</v>
      </c>
      <c r="F2757" s="381">
        <v>775.15</v>
      </c>
    </row>
    <row r="2758" spans="1:6" s="295" customFormat="1" x14ac:dyDescent="0.15">
      <c r="A2758" s="655" t="s">
        <v>1677</v>
      </c>
      <c r="B2758" s="591" t="s">
        <v>1678</v>
      </c>
      <c r="C2758" s="287" t="s">
        <v>1313</v>
      </c>
      <c r="D2758" s="287" t="s">
        <v>1412</v>
      </c>
      <c r="E2758" s="656">
        <v>1992</v>
      </c>
      <c r="F2758" s="381">
        <v>354.2</v>
      </c>
    </row>
    <row r="2759" spans="1:6" s="295" customFormat="1" x14ac:dyDescent="0.15">
      <c r="A2759" s="655" t="s">
        <v>1551</v>
      </c>
      <c r="B2759" s="591" t="s">
        <v>1627</v>
      </c>
      <c r="C2759" s="287" t="s">
        <v>1235</v>
      </c>
      <c r="D2759" s="287" t="s">
        <v>1236</v>
      </c>
      <c r="E2759" s="656">
        <v>8268</v>
      </c>
      <c r="F2759" s="381">
        <v>1349.59</v>
      </c>
    </row>
    <row r="2760" spans="1:6" s="295" customFormat="1" x14ac:dyDescent="0.15">
      <c r="A2760" s="655" t="s">
        <v>1553</v>
      </c>
      <c r="B2760" s="591" t="s">
        <v>1628</v>
      </c>
      <c r="C2760" s="287" t="s">
        <v>1475</v>
      </c>
      <c r="D2760" s="287" t="s">
        <v>1387</v>
      </c>
      <c r="E2760" s="656">
        <v>1138</v>
      </c>
      <c r="F2760" s="381">
        <v>223.48</v>
      </c>
    </row>
    <row r="2761" spans="1:6" s="295" customFormat="1" x14ac:dyDescent="0.15">
      <c r="A2761" s="655" t="s">
        <v>1554</v>
      </c>
      <c r="B2761" s="591" t="s">
        <v>1629</v>
      </c>
      <c r="C2761" s="287" t="s">
        <v>1399</v>
      </c>
      <c r="D2761" s="287" t="s">
        <v>1276</v>
      </c>
      <c r="E2761" s="656">
        <v>4320</v>
      </c>
      <c r="F2761" s="381">
        <v>741.21</v>
      </c>
    </row>
    <row r="2762" spans="1:6" s="295" customFormat="1" x14ac:dyDescent="0.15">
      <c r="A2762" s="655" t="s">
        <v>1598</v>
      </c>
      <c r="B2762" s="591"/>
      <c r="C2762" s="287" t="s">
        <v>1586</v>
      </c>
      <c r="D2762" s="287" t="s">
        <v>1500</v>
      </c>
      <c r="E2762" s="656">
        <v>52.1</v>
      </c>
      <c r="F2762" s="381">
        <v>21.4</v>
      </c>
    </row>
    <row r="2763" spans="1:6" s="295" customFormat="1" x14ac:dyDescent="0.15">
      <c r="A2763" s="655" t="s">
        <v>1662</v>
      </c>
      <c r="B2763" s="657">
        <v>892914652</v>
      </c>
      <c r="C2763" s="287" t="s">
        <v>1663</v>
      </c>
      <c r="D2763" s="287" t="s">
        <v>1664</v>
      </c>
      <c r="E2763" s="656">
        <v>9120</v>
      </c>
      <c r="F2763" s="381">
        <v>1748.15</v>
      </c>
    </row>
    <row r="2764" spans="1:6" s="295" customFormat="1" ht="14" thickBot="1" x14ac:dyDescent="0.2">
      <c r="A2764" s="655"/>
      <c r="B2764" s="591"/>
      <c r="C2764" s="291" t="s">
        <v>1700</v>
      </c>
      <c r="D2764" s="287"/>
      <c r="E2764" s="643">
        <f>SUM(E2740:E2763)</f>
        <v>106815.8</v>
      </c>
      <c r="F2764" s="658">
        <v>18490.64</v>
      </c>
    </row>
    <row r="2765" spans="1:6" s="295" customFormat="1" ht="14" thickTop="1" x14ac:dyDescent="0.15">
      <c r="A2765" s="655"/>
      <c r="B2765" s="591"/>
      <c r="C2765" s="287"/>
      <c r="D2765" s="287"/>
      <c r="E2765" s="524"/>
      <c r="F2765" s="381"/>
    </row>
    <row r="2766" spans="1:6" s="295" customFormat="1" x14ac:dyDescent="0.15">
      <c r="A2766" s="655" t="s">
        <v>1556</v>
      </c>
      <c r="B2766" s="591" t="s">
        <v>1631</v>
      </c>
      <c r="C2766" s="287" t="s">
        <v>1248</v>
      </c>
      <c r="D2766" s="287" t="s">
        <v>1482</v>
      </c>
      <c r="E2766" s="656">
        <v>3670</v>
      </c>
      <c r="F2766" s="381">
        <v>625.39</v>
      </c>
    </row>
    <row r="2767" spans="1:6" s="295" customFormat="1" x14ac:dyDescent="0.15">
      <c r="A2767" s="655" t="s">
        <v>1558</v>
      </c>
      <c r="B2767" s="591" t="s">
        <v>1633</v>
      </c>
      <c r="C2767" s="287" t="s">
        <v>1469</v>
      </c>
      <c r="D2767" s="287" t="s">
        <v>1470</v>
      </c>
      <c r="E2767" s="656">
        <v>6160</v>
      </c>
      <c r="F2767" s="381">
        <v>1089.21</v>
      </c>
    </row>
    <row r="2768" spans="1:6" s="295" customFormat="1" x14ac:dyDescent="0.15">
      <c r="A2768" s="655" t="s">
        <v>1559</v>
      </c>
      <c r="B2768" s="591" t="s">
        <v>1634</v>
      </c>
      <c r="C2768" s="287" t="s">
        <v>1502</v>
      </c>
      <c r="D2768" s="287" t="s">
        <v>1381</v>
      </c>
      <c r="E2768" s="656">
        <v>11136</v>
      </c>
      <c r="F2768" s="381">
        <v>2217.1999999999998</v>
      </c>
    </row>
    <row r="2769" spans="1:6" s="295" customFormat="1" x14ac:dyDescent="0.15">
      <c r="A2769" s="655" t="s">
        <v>1560</v>
      </c>
      <c r="B2769" s="591" t="s">
        <v>1635</v>
      </c>
      <c r="C2769" s="287" t="s">
        <v>1504</v>
      </c>
      <c r="D2769" s="287" t="s">
        <v>1505</v>
      </c>
      <c r="E2769" s="656">
        <v>1238</v>
      </c>
      <c r="F2769" s="381">
        <v>197.12</v>
      </c>
    </row>
    <row r="2770" spans="1:6" s="295" customFormat="1" x14ac:dyDescent="0.15">
      <c r="A2770" s="655" t="s">
        <v>1675</v>
      </c>
      <c r="B2770" s="591" t="s">
        <v>1676</v>
      </c>
      <c r="C2770" s="287" t="s">
        <v>1477</v>
      </c>
      <c r="D2770" s="287" t="s">
        <v>1289</v>
      </c>
      <c r="E2770" s="656">
        <v>10030</v>
      </c>
      <c r="F2770" s="381">
        <v>1688</v>
      </c>
    </row>
    <row r="2771" spans="1:6" s="295" customFormat="1" x14ac:dyDescent="0.15">
      <c r="A2771" s="655" t="s">
        <v>1563</v>
      </c>
      <c r="B2771" s="591"/>
      <c r="C2771" s="287" t="s">
        <v>1267</v>
      </c>
      <c r="D2771" s="287" t="s">
        <v>1268</v>
      </c>
      <c r="E2771" s="656">
        <v>91</v>
      </c>
      <c r="F2771" s="381">
        <v>21.76</v>
      </c>
    </row>
    <row r="2772" spans="1:6" s="295" customFormat="1" x14ac:dyDescent="0.15">
      <c r="A2772" s="655" t="s">
        <v>1564</v>
      </c>
      <c r="B2772" s="591" t="s">
        <v>1636</v>
      </c>
      <c r="C2772" s="287" t="s">
        <v>1485</v>
      </c>
      <c r="D2772" s="287" t="s">
        <v>1486</v>
      </c>
      <c r="E2772" s="656">
        <v>1680</v>
      </c>
      <c r="F2772" s="381">
        <v>301.43</v>
      </c>
    </row>
    <row r="2773" spans="1:6" s="295" customFormat="1" x14ac:dyDescent="0.15">
      <c r="A2773" s="655" t="s">
        <v>1565</v>
      </c>
      <c r="B2773" s="591" t="s">
        <v>1637</v>
      </c>
      <c r="C2773" s="287" t="s">
        <v>1267</v>
      </c>
      <c r="D2773" s="287" t="s">
        <v>1268</v>
      </c>
      <c r="E2773" s="656">
        <v>2440</v>
      </c>
      <c r="F2773" s="381">
        <v>479.14</v>
      </c>
    </row>
    <row r="2774" spans="1:6" s="295" customFormat="1" x14ac:dyDescent="0.15">
      <c r="A2774" s="655" t="s">
        <v>1569</v>
      </c>
      <c r="B2774" s="591" t="s">
        <v>1638</v>
      </c>
      <c r="C2774" s="287" t="s">
        <v>1464</v>
      </c>
      <c r="D2774" s="287" t="s">
        <v>1285</v>
      </c>
      <c r="E2774" s="656">
        <v>672</v>
      </c>
      <c r="F2774" s="381">
        <v>184.05</v>
      </c>
    </row>
    <row r="2775" spans="1:6" s="295" customFormat="1" x14ac:dyDescent="0.15">
      <c r="A2775" s="655" t="s">
        <v>1711</v>
      </c>
      <c r="B2775" s="591" t="s">
        <v>1712</v>
      </c>
      <c r="C2775" s="287" t="s">
        <v>1713</v>
      </c>
      <c r="D2775" s="287" t="s">
        <v>1419</v>
      </c>
      <c r="E2775" s="656">
        <v>1500</v>
      </c>
      <c r="F2775" s="381">
        <v>294.56</v>
      </c>
    </row>
    <row r="2776" spans="1:6" s="295" customFormat="1" x14ac:dyDescent="0.15">
      <c r="A2776" s="655" t="s">
        <v>1570</v>
      </c>
      <c r="B2776" s="591" t="s">
        <v>1639</v>
      </c>
      <c r="C2776" s="287" t="s">
        <v>1472</v>
      </c>
      <c r="D2776" s="287" t="s">
        <v>1473</v>
      </c>
      <c r="E2776" s="656">
        <v>33</v>
      </c>
      <c r="F2776" s="381">
        <v>34.08</v>
      </c>
    </row>
    <row r="2777" spans="1:6" s="295" customFormat="1" x14ac:dyDescent="0.15">
      <c r="A2777" s="655" t="s">
        <v>1571</v>
      </c>
      <c r="B2777" s="591" t="s">
        <v>1640</v>
      </c>
      <c r="C2777" s="287" t="s">
        <v>1489</v>
      </c>
      <c r="D2777" s="287" t="s">
        <v>1490</v>
      </c>
      <c r="E2777" s="656">
        <v>138</v>
      </c>
      <c r="F2777" s="381">
        <v>47.04</v>
      </c>
    </row>
    <row r="2778" spans="1:6" s="295" customFormat="1" x14ac:dyDescent="0.15">
      <c r="A2778" s="655" t="s">
        <v>1572</v>
      </c>
      <c r="B2778" s="591" t="s">
        <v>1641</v>
      </c>
      <c r="C2778" s="287" t="s">
        <v>1271</v>
      </c>
      <c r="D2778" s="287" t="s">
        <v>1272</v>
      </c>
      <c r="E2778" s="656">
        <v>4774</v>
      </c>
      <c r="F2778" s="381">
        <v>783.05</v>
      </c>
    </row>
    <row r="2779" spans="1:6" s="295" customFormat="1" x14ac:dyDescent="0.15">
      <c r="A2779" s="655" t="s">
        <v>1573</v>
      </c>
      <c r="B2779" s="591"/>
      <c r="C2779" s="287" t="s">
        <v>1461</v>
      </c>
      <c r="D2779" s="287" t="s">
        <v>1703</v>
      </c>
      <c r="E2779" s="656">
        <v>26</v>
      </c>
      <c r="F2779" s="381">
        <v>16.600000000000001</v>
      </c>
    </row>
    <row r="2780" spans="1:6" s="295" customFormat="1" x14ac:dyDescent="0.15">
      <c r="A2780" s="655" t="s">
        <v>1574</v>
      </c>
      <c r="B2780" s="591" t="s">
        <v>1642</v>
      </c>
      <c r="C2780" s="287" t="s">
        <v>1377</v>
      </c>
      <c r="D2780" s="287" t="s">
        <v>1378</v>
      </c>
      <c r="E2780" s="656">
        <v>1436</v>
      </c>
      <c r="F2780" s="381">
        <v>292.62</v>
      </c>
    </row>
    <row r="2781" spans="1:6" s="295" customFormat="1" x14ac:dyDescent="0.15">
      <c r="A2781" s="655" t="s">
        <v>1575</v>
      </c>
      <c r="B2781" s="591" t="s">
        <v>1685</v>
      </c>
      <c r="C2781" s="287" t="s">
        <v>1448</v>
      </c>
      <c r="D2781" s="287" t="s">
        <v>1449</v>
      </c>
      <c r="E2781" s="656">
        <v>274</v>
      </c>
      <c r="F2781" s="381">
        <v>57.08</v>
      </c>
    </row>
    <row r="2782" spans="1:6" s="295" customFormat="1" x14ac:dyDescent="0.15">
      <c r="A2782" s="655" t="s">
        <v>1604</v>
      </c>
      <c r="B2782" s="591"/>
      <c r="C2782" s="287" t="s">
        <v>1334</v>
      </c>
      <c r="D2782" s="287" t="s">
        <v>1462</v>
      </c>
      <c r="E2782" s="656">
        <f>97.3+111.1</f>
        <v>208.39999999999998</v>
      </c>
      <c r="F2782" s="381">
        <v>65.36</v>
      </c>
    </row>
    <row r="2783" spans="1:6" s="295" customFormat="1" x14ac:dyDescent="0.15">
      <c r="A2783" s="655" t="s">
        <v>1576</v>
      </c>
      <c r="B2783" s="591" t="s">
        <v>1644</v>
      </c>
      <c r="C2783" s="287" t="s">
        <v>1401</v>
      </c>
      <c r="D2783" s="287" t="s">
        <v>1316</v>
      </c>
      <c r="E2783" s="656">
        <v>37</v>
      </c>
      <c r="F2783" s="381">
        <v>34.57</v>
      </c>
    </row>
    <row r="2784" spans="1:6" s="295" customFormat="1" x14ac:dyDescent="0.15">
      <c r="A2784" s="655" t="s">
        <v>1605</v>
      </c>
      <c r="B2784" s="591"/>
      <c r="C2784" s="287" t="s">
        <v>1334</v>
      </c>
      <c r="D2784" s="287" t="s">
        <v>1462</v>
      </c>
      <c r="E2784" s="656">
        <f>355.2+405.8</f>
        <v>761</v>
      </c>
      <c r="F2784" s="381">
        <v>238.1</v>
      </c>
    </row>
    <row r="2785" spans="1:6" s="295" customFormat="1" x14ac:dyDescent="0.15">
      <c r="A2785" s="671" t="s">
        <v>1578</v>
      </c>
      <c r="B2785" s="672" t="s">
        <v>1646</v>
      </c>
      <c r="C2785" s="395" t="s">
        <v>1579</v>
      </c>
      <c r="D2785" s="395" t="s">
        <v>1497</v>
      </c>
      <c r="E2785" s="659">
        <v>0</v>
      </c>
      <c r="F2785" s="673">
        <v>0</v>
      </c>
    </row>
    <row r="2786" spans="1:6" s="295" customFormat="1" x14ac:dyDescent="0.15">
      <c r="A2786" s="655" t="s">
        <v>1580</v>
      </c>
      <c r="B2786" s="591" t="s">
        <v>1647</v>
      </c>
      <c r="C2786" s="287" t="s">
        <v>1451</v>
      </c>
      <c r="D2786" s="287" t="s">
        <v>1674</v>
      </c>
      <c r="E2786" s="656">
        <v>7872</v>
      </c>
      <c r="F2786" s="381">
        <v>2551.15</v>
      </c>
    </row>
    <row r="2787" spans="1:6" s="295" customFormat="1" x14ac:dyDescent="0.15">
      <c r="A2787" s="655" t="s">
        <v>1581</v>
      </c>
      <c r="B2787" s="591" t="s">
        <v>1648</v>
      </c>
      <c r="C2787" s="287" t="s">
        <v>1521</v>
      </c>
      <c r="D2787" s="287" t="s">
        <v>1229</v>
      </c>
      <c r="E2787" s="656">
        <v>2665</v>
      </c>
      <c r="F2787" s="381">
        <v>479.93</v>
      </c>
    </row>
    <row r="2788" spans="1:6" s="295" customFormat="1" x14ac:dyDescent="0.15">
      <c r="A2788" s="655" t="s">
        <v>1582</v>
      </c>
      <c r="B2788" s="591" t="s">
        <v>1649</v>
      </c>
      <c r="C2788" s="287" t="s">
        <v>1525</v>
      </c>
      <c r="D2788" s="287" t="s">
        <v>1526</v>
      </c>
      <c r="E2788" s="656">
        <v>14</v>
      </c>
      <c r="F2788" s="381">
        <v>8.61</v>
      </c>
    </row>
    <row r="2789" spans="1:6" s="295" customFormat="1" ht="14" x14ac:dyDescent="0.15">
      <c r="A2789" s="655" t="s">
        <v>1583</v>
      </c>
      <c r="B2789" s="591" t="s">
        <v>1650</v>
      </c>
      <c r="C2789" s="287" t="s">
        <v>1584</v>
      </c>
      <c r="D2789" s="618" t="s">
        <v>1264</v>
      </c>
      <c r="E2789" s="656">
        <v>1120</v>
      </c>
      <c r="F2789" s="381">
        <v>253.59</v>
      </c>
    </row>
    <row r="2790" spans="1:6" s="295" customFormat="1" x14ac:dyDescent="0.15">
      <c r="A2790" s="655" t="s">
        <v>1666</v>
      </c>
      <c r="B2790" s="591" t="s">
        <v>1672</v>
      </c>
      <c r="C2790" s="287" t="s">
        <v>1667</v>
      </c>
      <c r="D2790" s="287" t="s">
        <v>1668</v>
      </c>
      <c r="E2790" s="656">
        <v>14592</v>
      </c>
      <c r="F2790" s="381">
        <v>3359.83</v>
      </c>
    </row>
    <row r="2791" spans="1:6" s="295" customFormat="1" x14ac:dyDescent="0.15">
      <c r="A2791" s="655" t="s">
        <v>1606</v>
      </c>
      <c r="B2791" s="591"/>
      <c r="C2791" s="287" t="s">
        <v>1334</v>
      </c>
      <c r="D2791" s="287" t="s">
        <v>1462</v>
      </c>
      <c r="E2791" s="656">
        <f>42.5+48.5</f>
        <v>91</v>
      </c>
      <c r="F2791" s="381">
        <v>19.71</v>
      </c>
    </row>
    <row r="2792" spans="1:6" s="295" customFormat="1" ht="14" thickBot="1" x14ac:dyDescent="0.2">
      <c r="A2792" s="655"/>
      <c r="B2792" s="591"/>
      <c r="C2792" s="291" t="s">
        <v>1701</v>
      </c>
      <c r="D2792" s="287"/>
      <c r="E2792" s="643">
        <f>SUM(E2766:E2791)</f>
        <v>72658.399999999994</v>
      </c>
      <c r="F2792" s="658">
        <v>15339.18</v>
      </c>
    </row>
    <row r="2793" spans="1:6" s="295" customFormat="1" ht="14" thickTop="1" x14ac:dyDescent="0.15">
      <c r="A2793" s="655"/>
      <c r="B2793" s="591"/>
      <c r="C2793" s="287"/>
      <c r="D2793" s="287"/>
      <c r="E2793" s="524"/>
      <c r="F2793" s="381"/>
    </row>
    <row r="2794" spans="1:6" s="295" customFormat="1" x14ac:dyDescent="0.15">
      <c r="A2794" s="655"/>
      <c r="B2794" s="591"/>
      <c r="C2794" s="293" t="s">
        <v>1594</v>
      </c>
      <c r="D2794" s="287"/>
      <c r="E2794" s="524"/>
      <c r="F2794" s="381"/>
    </row>
    <row r="2795" spans="1:6" s="295" customFormat="1" x14ac:dyDescent="0.15">
      <c r="A2795" s="655"/>
      <c r="B2795" s="591"/>
      <c r="C2795" s="293" t="s">
        <v>1446</v>
      </c>
      <c r="D2795" s="287"/>
      <c r="E2795" s="524"/>
      <c r="F2795" s="381"/>
    </row>
    <row r="2796" spans="1:6" s="295" customFormat="1" x14ac:dyDescent="0.15">
      <c r="A2796" s="655"/>
      <c r="B2796" s="591"/>
      <c r="C2796" s="386">
        <v>42369</v>
      </c>
      <c r="D2796" s="287"/>
      <c r="E2796" s="524"/>
      <c r="F2796" s="381"/>
    </row>
    <row r="2797" spans="1:6" s="295" customFormat="1" x14ac:dyDescent="0.15">
      <c r="A2797" s="655"/>
      <c r="B2797" s="591"/>
      <c r="C2797" s="287"/>
      <c r="D2797" s="287"/>
      <c r="E2797" s="524"/>
      <c r="F2797" s="381"/>
    </row>
    <row r="2798" spans="1:6" s="295" customFormat="1" ht="14" thickBot="1" x14ac:dyDescent="0.2">
      <c r="A2798" s="663"/>
      <c r="B2798" s="664"/>
      <c r="C2798" s="665" t="s">
        <v>1192</v>
      </c>
      <c r="D2798" s="665"/>
      <c r="E2798" s="666">
        <f>SUM(E2764,E2792)</f>
        <v>179474.2</v>
      </c>
      <c r="F2798" s="667">
        <v>33829.82</v>
      </c>
    </row>
    <row r="2799" spans="1:6" s="295" customFormat="1" x14ac:dyDescent="0.15">
      <c r="A2799" s="655"/>
      <c r="B2799" s="591"/>
      <c r="C2799" s="413"/>
      <c r="D2799" s="413"/>
      <c r="E2799" s="669"/>
      <c r="F2799" s="670"/>
    </row>
    <row r="2800" spans="1:6" s="295" customFormat="1" x14ac:dyDescent="0.15">
      <c r="A2800" s="652" t="s">
        <v>1534</v>
      </c>
      <c r="B2800" s="653" t="s">
        <v>1614</v>
      </c>
      <c r="C2800" s="371" t="s">
        <v>1492</v>
      </c>
      <c r="D2800" s="371" t="s">
        <v>1239</v>
      </c>
      <c r="E2800" s="654">
        <f>287.7+8352.3</f>
        <v>8640</v>
      </c>
      <c r="F2800" s="391">
        <v>1541.21</v>
      </c>
    </row>
    <row r="2801" spans="1:6" s="295" customFormat="1" x14ac:dyDescent="0.15">
      <c r="A2801" s="655" t="s">
        <v>1535</v>
      </c>
      <c r="B2801" s="591" t="s">
        <v>1615</v>
      </c>
      <c r="C2801" s="287" t="s">
        <v>1507</v>
      </c>
      <c r="D2801" s="287" t="s">
        <v>1245</v>
      </c>
      <c r="E2801" s="656">
        <f>105.2+3054.8</f>
        <v>3160</v>
      </c>
      <c r="F2801" s="381">
        <v>584.57000000000005</v>
      </c>
    </row>
    <row r="2802" spans="1:6" s="295" customFormat="1" x14ac:dyDescent="0.15">
      <c r="A2802" s="655" t="s">
        <v>1670</v>
      </c>
      <c r="B2802" s="591" t="s">
        <v>1659</v>
      </c>
      <c r="C2802" s="287" t="s">
        <v>1279</v>
      </c>
      <c r="D2802" s="287" t="s">
        <v>1660</v>
      </c>
      <c r="E2802" s="656">
        <f>271.7+7888.3</f>
        <v>8160</v>
      </c>
      <c r="F2802" s="381">
        <v>1405.27</v>
      </c>
    </row>
    <row r="2803" spans="1:6" s="295" customFormat="1" x14ac:dyDescent="0.15">
      <c r="A2803" s="655" t="s">
        <v>1536</v>
      </c>
      <c r="B2803" s="591" t="s">
        <v>1616</v>
      </c>
      <c r="C2803" s="287" t="s">
        <v>1479</v>
      </c>
      <c r="D2803" s="287" t="s">
        <v>1231</v>
      </c>
      <c r="E2803" s="656">
        <f>129.3+3754.7</f>
        <v>3884</v>
      </c>
      <c r="F2803" s="381">
        <v>707.3</v>
      </c>
    </row>
    <row r="2804" spans="1:6" s="295" customFormat="1" x14ac:dyDescent="0.15">
      <c r="A2804" s="655" t="s">
        <v>1537</v>
      </c>
      <c r="B2804" s="591" t="s">
        <v>1617</v>
      </c>
      <c r="C2804" s="287" t="s">
        <v>1269</v>
      </c>
      <c r="D2804" s="287" t="s">
        <v>1270</v>
      </c>
      <c r="E2804" s="656">
        <f>194.1+5636.9</f>
        <v>5831</v>
      </c>
      <c r="F2804" s="381">
        <v>964.93999999999994</v>
      </c>
    </row>
    <row r="2805" spans="1:6" s="295" customFormat="1" x14ac:dyDescent="0.15">
      <c r="A2805" s="655" t="s">
        <v>1538</v>
      </c>
      <c r="B2805" s="591" t="s">
        <v>1618</v>
      </c>
      <c r="C2805" s="287" t="s">
        <v>1517</v>
      </c>
      <c r="D2805" s="287" t="s">
        <v>1518</v>
      </c>
      <c r="E2805" s="656">
        <f>0.1+3.9</f>
        <v>4</v>
      </c>
      <c r="F2805" s="381">
        <v>30.520000000000003</v>
      </c>
    </row>
    <row r="2806" spans="1:6" s="295" customFormat="1" x14ac:dyDescent="0.15">
      <c r="A2806" s="655" t="s">
        <v>1540</v>
      </c>
      <c r="B2806" s="591" t="s">
        <v>1620</v>
      </c>
      <c r="C2806" s="287" t="s">
        <v>1257</v>
      </c>
      <c r="D2806" s="287" t="s">
        <v>1258</v>
      </c>
      <c r="E2806" s="656">
        <f>716.6+20803.4</f>
        <v>21520</v>
      </c>
      <c r="F2806" s="381">
        <v>3545.33</v>
      </c>
    </row>
    <row r="2807" spans="1:6" s="295" customFormat="1" x14ac:dyDescent="0.15">
      <c r="A2807" s="655" t="s">
        <v>1541</v>
      </c>
      <c r="B2807" s="591" t="s">
        <v>1621</v>
      </c>
      <c r="C2807" s="287" t="s">
        <v>1586</v>
      </c>
      <c r="D2807" s="287" t="s">
        <v>1500</v>
      </c>
      <c r="E2807" s="656">
        <f>107.8+3132.2</f>
        <v>3240</v>
      </c>
      <c r="F2807" s="381">
        <v>631.98</v>
      </c>
    </row>
    <row r="2808" spans="1:6" s="295" customFormat="1" x14ac:dyDescent="0.15">
      <c r="A2808" s="655" t="s">
        <v>1542</v>
      </c>
      <c r="B2808" s="591" t="s">
        <v>1622</v>
      </c>
      <c r="C2808" s="287" t="s">
        <v>1240</v>
      </c>
      <c r="D2808" s="287" t="s">
        <v>1467</v>
      </c>
      <c r="E2808" s="656">
        <f>131.4+3815.6</f>
        <v>3947</v>
      </c>
      <c r="F2808" s="381">
        <v>693.13000000000011</v>
      </c>
    </row>
    <row r="2809" spans="1:6" s="295" customFormat="1" x14ac:dyDescent="0.15">
      <c r="A2809" s="655" t="s">
        <v>1543</v>
      </c>
      <c r="B2809" s="591" t="s">
        <v>1623</v>
      </c>
      <c r="C2809" s="287" t="s">
        <v>1523</v>
      </c>
      <c r="D2809" s="287" t="s">
        <v>1266</v>
      </c>
      <c r="E2809" s="656">
        <f>23+669</f>
        <v>692</v>
      </c>
      <c r="F2809" s="381">
        <v>156.04000000000002</v>
      </c>
    </row>
    <row r="2810" spans="1:6" s="295" customFormat="1" x14ac:dyDescent="0.15">
      <c r="A2810" s="655" t="s">
        <v>1544</v>
      </c>
      <c r="B2810" s="591" t="s">
        <v>1624</v>
      </c>
      <c r="C2810" s="287" t="s">
        <v>1234</v>
      </c>
      <c r="D2810" s="287" t="s">
        <v>1494</v>
      </c>
      <c r="E2810" s="656">
        <f>153+4443</f>
        <v>4596</v>
      </c>
      <c r="F2810" s="381">
        <v>850.77</v>
      </c>
    </row>
    <row r="2811" spans="1:6" s="295" customFormat="1" x14ac:dyDescent="0.15">
      <c r="A2811" s="655" t="s">
        <v>1601</v>
      </c>
      <c r="B2811" s="591"/>
      <c r="C2811" s="287" t="s">
        <v>1334</v>
      </c>
      <c r="D2811" s="287" t="s">
        <v>1462</v>
      </c>
      <c r="E2811" s="656">
        <f>1723.4+2182.8</f>
        <v>3906.2000000000003</v>
      </c>
      <c r="F2811" s="381">
        <v>939.72</v>
      </c>
    </row>
    <row r="2812" spans="1:6" s="295" customFormat="1" x14ac:dyDescent="0.15">
      <c r="A2812" s="655" t="s">
        <v>1545</v>
      </c>
      <c r="B2812" s="591"/>
      <c r="C2812" s="287" t="s">
        <v>1234</v>
      </c>
      <c r="D2812" s="287" t="s">
        <v>1494</v>
      </c>
      <c r="E2812" s="656">
        <f>3+86.2</f>
        <v>89.2</v>
      </c>
      <c r="F2812" s="381">
        <v>23.880000000000003</v>
      </c>
    </row>
    <row r="2813" spans="1:6" s="295" customFormat="1" x14ac:dyDescent="0.15">
      <c r="A2813" s="655" t="s">
        <v>1602</v>
      </c>
      <c r="B2813" s="591"/>
      <c r="C2813" s="287" t="s">
        <v>1334</v>
      </c>
      <c r="D2813" s="287" t="s">
        <v>1462</v>
      </c>
      <c r="E2813" s="656">
        <f>96.4+122</f>
        <v>218.4</v>
      </c>
      <c r="F2813" s="381">
        <v>65.14</v>
      </c>
    </row>
    <row r="2814" spans="1:6" s="295" customFormat="1" x14ac:dyDescent="0.15">
      <c r="A2814" s="655" t="s">
        <v>1546</v>
      </c>
      <c r="B2814" s="591"/>
      <c r="C2814" s="287" t="s">
        <v>1586</v>
      </c>
      <c r="D2814" s="287" t="s">
        <v>1500</v>
      </c>
      <c r="E2814" s="656">
        <f>3.4+98.8</f>
        <v>102.2</v>
      </c>
      <c r="F2814" s="381">
        <v>35.15</v>
      </c>
    </row>
    <row r="2815" spans="1:6" s="295" customFormat="1" x14ac:dyDescent="0.15">
      <c r="A2815" s="655" t="s">
        <v>1549</v>
      </c>
      <c r="B2815" s="591" t="s">
        <v>1625</v>
      </c>
      <c r="C2815" s="287" t="s">
        <v>1459</v>
      </c>
      <c r="D2815" s="287" t="s">
        <v>1251</v>
      </c>
      <c r="E2815" s="656">
        <f>79.7+2315.3</f>
        <v>2395</v>
      </c>
      <c r="F2815" s="381">
        <v>412.02</v>
      </c>
    </row>
    <row r="2816" spans="1:6" s="295" customFormat="1" x14ac:dyDescent="0.15">
      <c r="A2816" s="655" t="s">
        <v>1603</v>
      </c>
      <c r="B2816" s="591"/>
      <c r="C2816" s="287" t="s">
        <v>1334</v>
      </c>
      <c r="D2816" s="287" t="s">
        <v>1462</v>
      </c>
      <c r="E2816" s="656">
        <f>721.4+913.7</f>
        <v>1635.1</v>
      </c>
      <c r="F2816" s="381">
        <v>409.87</v>
      </c>
    </row>
    <row r="2817" spans="1:6" s="295" customFormat="1" x14ac:dyDescent="0.15">
      <c r="A2817" s="655" t="s">
        <v>1597</v>
      </c>
      <c r="B2817" s="591" t="s">
        <v>1626</v>
      </c>
      <c r="C2817" s="287" t="s">
        <v>1454</v>
      </c>
      <c r="D2817" s="287" t="s">
        <v>1247</v>
      </c>
      <c r="E2817" s="656">
        <f>147.8+4292.2</f>
        <v>4440</v>
      </c>
      <c r="F2817" s="381">
        <v>793.6</v>
      </c>
    </row>
    <row r="2818" spans="1:6" s="295" customFormat="1" x14ac:dyDescent="0.15">
      <c r="A2818" s="655" t="s">
        <v>1677</v>
      </c>
      <c r="B2818" s="591" t="s">
        <v>1678</v>
      </c>
      <c r="C2818" s="287" t="s">
        <v>1313</v>
      </c>
      <c r="D2818" s="287" t="s">
        <v>1412</v>
      </c>
      <c r="E2818" s="656">
        <f>57.1+1657.9</f>
        <v>1715</v>
      </c>
      <c r="F2818" s="381">
        <v>332.06</v>
      </c>
    </row>
    <row r="2819" spans="1:6" s="295" customFormat="1" x14ac:dyDescent="0.15">
      <c r="A2819" s="655" t="s">
        <v>1551</v>
      </c>
      <c r="B2819" s="591" t="s">
        <v>1627</v>
      </c>
      <c r="C2819" s="287" t="s">
        <v>1235</v>
      </c>
      <c r="D2819" s="287" t="s">
        <v>1236</v>
      </c>
      <c r="E2819" s="656">
        <f>238.7+6932.3</f>
        <v>7171</v>
      </c>
      <c r="F2819" s="381">
        <v>1255.93</v>
      </c>
    </row>
    <row r="2820" spans="1:6" s="295" customFormat="1" x14ac:dyDescent="0.15">
      <c r="A2820" s="655" t="s">
        <v>1553</v>
      </c>
      <c r="B2820" s="591" t="s">
        <v>1628</v>
      </c>
      <c r="C2820" s="287" t="s">
        <v>1475</v>
      </c>
      <c r="D2820" s="287" t="s">
        <v>1387</v>
      </c>
      <c r="E2820" s="656">
        <v>753</v>
      </c>
      <c r="F2820" s="381">
        <v>152.77000000000001</v>
      </c>
    </row>
    <row r="2821" spans="1:6" s="295" customFormat="1" x14ac:dyDescent="0.15">
      <c r="A2821" s="655" t="s">
        <v>1554</v>
      </c>
      <c r="B2821" s="591" t="s">
        <v>1629</v>
      </c>
      <c r="C2821" s="287" t="s">
        <v>1399</v>
      </c>
      <c r="D2821" s="287" t="s">
        <v>1276</v>
      </c>
      <c r="E2821" s="656">
        <f>141.1+4098.9</f>
        <v>4240</v>
      </c>
      <c r="F2821" s="381">
        <v>797.6</v>
      </c>
    </row>
    <row r="2822" spans="1:6" s="295" customFormat="1" x14ac:dyDescent="0.15">
      <c r="A2822" s="655" t="s">
        <v>1598</v>
      </c>
      <c r="B2822" s="591"/>
      <c r="C2822" s="287" t="s">
        <v>1586</v>
      </c>
      <c r="D2822" s="287" t="s">
        <v>1500</v>
      </c>
      <c r="E2822" s="656">
        <f>1.7+49.4</f>
        <v>51.1</v>
      </c>
      <c r="F2822" s="381">
        <v>20.49</v>
      </c>
    </row>
    <row r="2823" spans="1:6" s="295" customFormat="1" x14ac:dyDescent="0.15">
      <c r="A2823" s="655" t="s">
        <v>1662</v>
      </c>
      <c r="B2823" s="657">
        <v>892914652</v>
      </c>
      <c r="C2823" s="287" t="s">
        <v>1663</v>
      </c>
      <c r="D2823" s="287" t="s">
        <v>1664</v>
      </c>
      <c r="E2823" s="656">
        <f>303.6+8816.4</f>
        <v>9120</v>
      </c>
      <c r="F2823" s="381">
        <v>1694.76</v>
      </c>
    </row>
    <row r="2824" spans="1:6" s="295" customFormat="1" ht="14" thickBot="1" x14ac:dyDescent="0.2">
      <c r="A2824" s="655"/>
      <c r="B2824" s="591"/>
      <c r="C2824" s="291" t="s">
        <v>1702</v>
      </c>
      <c r="D2824" s="287"/>
      <c r="E2824" s="643">
        <f>SUM(E2800:E2823)</f>
        <v>99510.2</v>
      </c>
      <c r="F2824" s="658">
        <v>18044.050000000003</v>
      </c>
    </row>
    <row r="2825" spans="1:6" s="295" customFormat="1" ht="14" thickTop="1" x14ac:dyDescent="0.15">
      <c r="A2825" s="655"/>
      <c r="B2825" s="591"/>
      <c r="C2825" s="287"/>
      <c r="D2825" s="287"/>
      <c r="E2825" s="524"/>
      <c r="F2825" s="381"/>
    </row>
    <row r="2826" spans="1:6" s="295" customFormat="1" x14ac:dyDescent="0.15">
      <c r="A2826" s="655" t="s">
        <v>1556</v>
      </c>
      <c r="B2826" s="591" t="s">
        <v>1631</v>
      </c>
      <c r="C2826" s="287" t="s">
        <v>1248</v>
      </c>
      <c r="D2826" s="287" t="s">
        <v>1482</v>
      </c>
      <c r="E2826" s="656">
        <f>122.5+3556.5</f>
        <v>3679</v>
      </c>
      <c r="F2826" s="381">
        <v>651.27</v>
      </c>
    </row>
    <row r="2827" spans="1:6" s="295" customFormat="1" x14ac:dyDescent="0.15">
      <c r="A2827" s="655" t="s">
        <v>1558</v>
      </c>
      <c r="B2827" s="591" t="s">
        <v>1633</v>
      </c>
      <c r="C2827" s="287" t="s">
        <v>1469</v>
      </c>
      <c r="D2827" s="287" t="s">
        <v>1470</v>
      </c>
      <c r="E2827" s="656">
        <f>231.7+6728.3</f>
        <v>6960</v>
      </c>
      <c r="F2827" s="381">
        <v>1288.18</v>
      </c>
    </row>
    <row r="2828" spans="1:6" s="295" customFormat="1" x14ac:dyDescent="0.15">
      <c r="A2828" s="655" t="s">
        <v>1559</v>
      </c>
      <c r="B2828" s="591" t="s">
        <v>1634</v>
      </c>
      <c r="C2828" s="287" t="s">
        <v>1502</v>
      </c>
      <c r="D2828" s="287" t="s">
        <v>1381</v>
      </c>
      <c r="E2828" s="656">
        <f>306.8+8909.2</f>
        <v>9216</v>
      </c>
      <c r="F2828" s="381">
        <v>1906.94</v>
      </c>
    </row>
    <row r="2829" spans="1:6" s="295" customFormat="1" x14ac:dyDescent="0.15">
      <c r="A2829" s="655" t="s">
        <v>1560</v>
      </c>
      <c r="B2829" s="591" t="s">
        <v>1635</v>
      </c>
      <c r="C2829" s="287" t="s">
        <v>1504</v>
      </c>
      <c r="D2829" s="287" t="s">
        <v>1505</v>
      </c>
      <c r="E2829" s="656">
        <f>41.8+1215.2</f>
        <v>1257</v>
      </c>
      <c r="F2829" s="381">
        <v>221.22</v>
      </c>
    </row>
    <row r="2830" spans="1:6" s="295" customFormat="1" x14ac:dyDescent="0.15">
      <c r="A2830" s="655" t="s">
        <v>1675</v>
      </c>
      <c r="B2830" s="591" t="s">
        <v>1676</v>
      </c>
      <c r="C2830" s="287" t="s">
        <v>1477</v>
      </c>
      <c r="D2830" s="287" t="s">
        <v>1289</v>
      </c>
      <c r="E2830" s="656">
        <f>376.9+10943.1</f>
        <v>11320</v>
      </c>
      <c r="F2830" s="381">
        <v>1959.8400000000001</v>
      </c>
    </row>
    <row r="2831" spans="1:6" s="295" customFormat="1" x14ac:dyDescent="0.15">
      <c r="A2831" s="655" t="s">
        <v>1563</v>
      </c>
      <c r="B2831" s="591"/>
      <c r="C2831" s="287" t="s">
        <v>1267</v>
      </c>
      <c r="D2831" s="287" t="s">
        <v>1268</v>
      </c>
      <c r="E2831" s="656">
        <f>3+86.2</f>
        <v>89.2</v>
      </c>
      <c r="F2831" s="381">
        <v>20.48</v>
      </c>
    </row>
    <row r="2832" spans="1:6" s="295" customFormat="1" x14ac:dyDescent="0.15">
      <c r="A2832" s="655" t="s">
        <v>1564</v>
      </c>
      <c r="B2832" s="591" t="s">
        <v>1636</v>
      </c>
      <c r="C2832" s="287" t="s">
        <v>1485</v>
      </c>
      <c r="D2832" s="287" t="s">
        <v>1486</v>
      </c>
      <c r="E2832" s="656">
        <f>57.2+1662.8</f>
        <v>1720</v>
      </c>
      <c r="F2832" s="381">
        <v>288.14</v>
      </c>
    </row>
    <row r="2833" spans="1:6" s="295" customFormat="1" x14ac:dyDescent="0.15">
      <c r="A2833" s="655" t="s">
        <v>1565</v>
      </c>
      <c r="B2833" s="591" t="s">
        <v>1637</v>
      </c>
      <c r="C2833" s="287" t="s">
        <v>1267</v>
      </c>
      <c r="D2833" s="287" t="s">
        <v>1268</v>
      </c>
      <c r="E2833" s="656">
        <v>2403</v>
      </c>
      <c r="F2833" s="381">
        <v>487.51</v>
      </c>
    </row>
    <row r="2834" spans="1:6" s="295" customFormat="1" x14ac:dyDescent="0.15">
      <c r="A2834" s="655" t="s">
        <v>1569</v>
      </c>
      <c r="B2834" s="591" t="s">
        <v>1638</v>
      </c>
      <c r="C2834" s="287" t="s">
        <v>1464</v>
      </c>
      <c r="D2834" s="287" t="s">
        <v>1285</v>
      </c>
      <c r="E2834" s="656">
        <f>23.7+688.3</f>
        <v>712</v>
      </c>
      <c r="F2834" s="381">
        <v>173.45</v>
      </c>
    </row>
    <row r="2835" spans="1:6" s="295" customFormat="1" x14ac:dyDescent="0.15">
      <c r="A2835" s="655" t="s">
        <v>1711</v>
      </c>
      <c r="B2835" s="591" t="s">
        <v>1712</v>
      </c>
      <c r="C2835" s="287" t="s">
        <v>1713</v>
      </c>
      <c r="D2835" s="287" t="s">
        <v>1419</v>
      </c>
      <c r="E2835" s="656">
        <v>1575</v>
      </c>
      <c r="F2835" s="381">
        <v>319.52999999999997</v>
      </c>
    </row>
    <row r="2836" spans="1:6" s="295" customFormat="1" x14ac:dyDescent="0.15">
      <c r="A2836" s="655" t="s">
        <v>1570</v>
      </c>
      <c r="B2836" s="591" t="s">
        <v>1639</v>
      </c>
      <c r="C2836" s="287" t="s">
        <v>1472</v>
      </c>
      <c r="D2836" s="287" t="s">
        <v>1473</v>
      </c>
      <c r="E2836" s="656">
        <f>1.2+36.8</f>
        <v>38</v>
      </c>
      <c r="F2836" s="381">
        <v>34.89</v>
      </c>
    </row>
    <row r="2837" spans="1:6" s="295" customFormat="1" x14ac:dyDescent="0.15">
      <c r="A2837" s="655" t="s">
        <v>1571</v>
      </c>
      <c r="B2837" s="591" t="s">
        <v>1640</v>
      </c>
      <c r="C2837" s="287" t="s">
        <v>1489</v>
      </c>
      <c r="D2837" s="287" t="s">
        <v>1490</v>
      </c>
      <c r="E2837" s="656">
        <f>3.7+109.3</f>
        <v>113</v>
      </c>
      <c r="F2837" s="381">
        <v>44.49</v>
      </c>
    </row>
    <row r="2838" spans="1:6" s="295" customFormat="1" x14ac:dyDescent="0.15">
      <c r="A2838" s="655" t="s">
        <v>1572</v>
      </c>
      <c r="B2838" s="591" t="s">
        <v>1641</v>
      </c>
      <c r="C2838" s="287" t="s">
        <v>1271</v>
      </c>
      <c r="D2838" s="287" t="s">
        <v>1272</v>
      </c>
      <c r="E2838" s="656">
        <f>154.7+4491.3</f>
        <v>4646</v>
      </c>
      <c r="F2838" s="381">
        <v>820.08</v>
      </c>
    </row>
    <row r="2839" spans="1:6" s="295" customFormat="1" x14ac:dyDescent="0.15">
      <c r="A2839" s="655" t="s">
        <v>1573</v>
      </c>
      <c r="B2839" s="591"/>
      <c r="C2839" s="287" t="s">
        <v>1461</v>
      </c>
      <c r="D2839" s="287" t="s">
        <v>1703</v>
      </c>
      <c r="E2839" s="656">
        <f>0.4+12.2+0.4</f>
        <v>13</v>
      </c>
      <c r="F2839" s="381">
        <v>16.649999999999999</v>
      </c>
    </row>
    <row r="2840" spans="1:6" s="295" customFormat="1" x14ac:dyDescent="0.15">
      <c r="A2840" s="655" t="s">
        <v>1574</v>
      </c>
      <c r="B2840" s="591" t="s">
        <v>1642</v>
      </c>
      <c r="C2840" s="287" t="s">
        <v>1377</v>
      </c>
      <c r="D2840" s="287" t="s">
        <v>1378</v>
      </c>
      <c r="E2840" s="656">
        <f>46.9+1362.1</f>
        <v>1409</v>
      </c>
      <c r="F2840" s="381">
        <v>270.44</v>
      </c>
    </row>
    <row r="2841" spans="1:6" s="295" customFormat="1" x14ac:dyDescent="0.15">
      <c r="A2841" s="655" t="s">
        <v>1575</v>
      </c>
      <c r="B2841" s="591" t="s">
        <v>1685</v>
      </c>
      <c r="C2841" s="287" t="s">
        <v>1448</v>
      </c>
      <c r="D2841" s="287" t="s">
        <v>1449</v>
      </c>
      <c r="E2841" s="656">
        <v>286</v>
      </c>
      <c r="F2841" s="381">
        <v>61.17</v>
      </c>
    </row>
    <row r="2842" spans="1:6" s="295" customFormat="1" x14ac:dyDescent="0.15">
      <c r="A2842" s="655" t="s">
        <v>1604</v>
      </c>
      <c r="B2842" s="591"/>
      <c r="C2842" s="287" t="s">
        <v>1334</v>
      </c>
      <c r="D2842" s="287" t="s">
        <v>1462</v>
      </c>
      <c r="E2842" s="656">
        <f>90.2+114.2</f>
        <v>204.4</v>
      </c>
      <c r="F2842" s="381">
        <v>68.05</v>
      </c>
    </row>
    <row r="2843" spans="1:6" s="295" customFormat="1" x14ac:dyDescent="0.15">
      <c r="A2843" s="655" t="s">
        <v>1576</v>
      </c>
      <c r="B2843" s="591" t="s">
        <v>1644</v>
      </c>
      <c r="C2843" s="287" t="s">
        <v>1401</v>
      </c>
      <c r="D2843" s="287" t="s">
        <v>1316</v>
      </c>
      <c r="E2843" s="656">
        <f>3.5+102.5</f>
        <v>106</v>
      </c>
      <c r="F2843" s="381">
        <v>43.62</v>
      </c>
    </row>
    <row r="2844" spans="1:6" s="295" customFormat="1" x14ac:dyDescent="0.15">
      <c r="A2844" s="655" t="s">
        <v>1605</v>
      </c>
      <c r="B2844" s="591"/>
      <c r="C2844" s="287" t="s">
        <v>1334</v>
      </c>
      <c r="D2844" s="287" t="s">
        <v>1462</v>
      </c>
      <c r="E2844" s="656">
        <f>328.7+416.3</f>
        <v>745</v>
      </c>
      <c r="F2844" s="381">
        <v>247.64999999999998</v>
      </c>
    </row>
    <row r="2845" spans="1:6" s="295" customFormat="1" x14ac:dyDescent="0.15">
      <c r="A2845" s="655" t="s">
        <v>1578</v>
      </c>
      <c r="B2845" s="591" t="s">
        <v>1646</v>
      </c>
      <c r="C2845" s="287" t="s">
        <v>1579</v>
      </c>
      <c r="D2845" s="287" t="s">
        <v>1497</v>
      </c>
      <c r="E2845" s="656">
        <v>0</v>
      </c>
      <c r="F2845" s="381">
        <v>60</v>
      </c>
    </row>
    <row r="2846" spans="1:6" s="295" customFormat="1" x14ac:dyDescent="0.15">
      <c r="A2846" s="655" t="s">
        <v>1580</v>
      </c>
      <c r="B2846" s="591" t="s">
        <v>1647</v>
      </c>
      <c r="C2846" s="287" t="s">
        <v>1451</v>
      </c>
      <c r="D2846" s="287" t="s">
        <v>1674</v>
      </c>
      <c r="E2846" s="656">
        <f>76.7+2227.3</f>
        <v>2304</v>
      </c>
      <c r="F2846" s="381">
        <v>1937.05</v>
      </c>
    </row>
    <row r="2847" spans="1:6" s="295" customFormat="1" x14ac:dyDescent="0.15">
      <c r="A2847" s="655" t="s">
        <v>1581</v>
      </c>
      <c r="B2847" s="591" t="s">
        <v>1648</v>
      </c>
      <c r="C2847" s="287" t="s">
        <v>1521</v>
      </c>
      <c r="D2847" s="287" t="s">
        <v>1229</v>
      </c>
      <c r="E2847" s="656">
        <f>97.8+2840.2</f>
        <v>2938</v>
      </c>
      <c r="F2847" s="381">
        <v>533.75</v>
      </c>
    </row>
    <row r="2848" spans="1:6" s="295" customFormat="1" x14ac:dyDescent="0.15">
      <c r="A2848" s="655" t="s">
        <v>1582</v>
      </c>
      <c r="B2848" s="591" t="s">
        <v>1649</v>
      </c>
      <c r="C2848" s="287" t="s">
        <v>1525</v>
      </c>
      <c r="D2848" s="287" t="s">
        <v>1526</v>
      </c>
      <c r="E2848" s="656">
        <v>14</v>
      </c>
      <c r="F2848" s="381">
        <v>8.7100000000000009</v>
      </c>
    </row>
    <row r="2849" spans="1:7" s="295" customFormat="1" ht="14" x14ac:dyDescent="0.15">
      <c r="A2849" s="655" t="s">
        <v>1583</v>
      </c>
      <c r="B2849" s="591" t="s">
        <v>1650</v>
      </c>
      <c r="C2849" s="287" t="s">
        <v>1584</v>
      </c>
      <c r="D2849" s="618" t="s">
        <v>1264</v>
      </c>
      <c r="E2849" s="656">
        <f>39.9+1160.1</f>
        <v>1200</v>
      </c>
      <c r="F2849" s="381">
        <v>236.17</v>
      </c>
    </row>
    <row r="2850" spans="1:7" s="295" customFormat="1" x14ac:dyDescent="0.15">
      <c r="A2850" s="655" t="s">
        <v>1666</v>
      </c>
      <c r="B2850" s="591" t="s">
        <v>1672</v>
      </c>
      <c r="C2850" s="287" t="s">
        <v>1667</v>
      </c>
      <c r="D2850" s="287" t="s">
        <v>1668</v>
      </c>
      <c r="E2850" s="656">
        <f>562.6+16333.4</f>
        <v>16896</v>
      </c>
      <c r="F2850" s="381">
        <v>2780.37</v>
      </c>
    </row>
    <row r="2851" spans="1:7" s="295" customFormat="1" x14ac:dyDescent="0.15">
      <c r="A2851" s="655" t="s">
        <v>1606</v>
      </c>
      <c r="B2851" s="591"/>
      <c r="C2851" s="287" t="s">
        <v>1334</v>
      </c>
      <c r="D2851" s="287" t="s">
        <v>1462</v>
      </c>
      <c r="E2851" s="656">
        <f>39.4+49.8</f>
        <v>89.199999999999989</v>
      </c>
      <c r="F2851" s="381">
        <v>20.9</v>
      </c>
    </row>
    <row r="2852" spans="1:7" s="295" customFormat="1" ht="14" thickBot="1" x14ac:dyDescent="0.2">
      <c r="A2852" s="655"/>
      <c r="B2852" s="591"/>
      <c r="C2852" s="291" t="s">
        <v>1704</v>
      </c>
      <c r="D2852" s="287"/>
      <c r="E2852" s="643">
        <f>SUM(E2826:E2851)</f>
        <v>69932.800000000003</v>
      </c>
      <c r="F2852" s="658">
        <v>14500.549999999997</v>
      </c>
    </row>
    <row r="2853" spans="1:7" s="295" customFormat="1" ht="14" thickTop="1" x14ac:dyDescent="0.15">
      <c r="A2853" s="655"/>
      <c r="B2853" s="591"/>
      <c r="C2853" s="287"/>
      <c r="D2853" s="287"/>
      <c r="E2853" s="524"/>
      <c r="F2853" s="381"/>
    </row>
    <row r="2854" spans="1:7" s="295" customFormat="1" x14ac:dyDescent="0.15">
      <c r="A2854" s="655"/>
      <c r="B2854" s="591"/>
      <c r="C2854" s="293" t="s">
        <v>1594</v>
      </c>
      <c r="D2854" s="287"/>
      <c r="E2854" s="524"/>
      <c r="F2854" s="381"/>
    </row>
    <row r="2855" spans="1:7" s="295" customFormat="1" x14ac:dyDescent="0.15">
      <c r="A2855" s="655"/>
      <c r="B2855" s="591"/>
      <c r="C2855" s="293" t="s">
        <v>1446</v>
      </c>
      <c r="D2855" s="287"/>
      <c r="E2855" s="524"/>
      <c r="F2855" s="381"/>
    </row>
    <row r="2856" spans="1:7" s="295" customFormat="1" x14ac:dyDescent="0.15">
      <c r="A2856" s="655"/>
      <c r="B2856" s="591"/>
      <c r="C2856" s="386">
        <v>42400</v>
      </c>
      <c r="D2856" s="287"/>
      <c r="E2856" s="524"/>
      <c r="F2856" s="381"/>
    </row>
    <row r="2857" spans="1:7" s="295" customFormat="1" x14ac:dyDescent="0.15">
      <c r="A2857" s="655"/>
      <c r="B2857" s="591"/>
      <c r="C2857" s="287"/>
      <c r="D2857" s="287"/>
      <c r="E2857" s="524"/>
      <c r="F2857" s="381"/>
    </row>
    <row r="2858" spans="1:7" s="295" customFormat="1" ht="14" thickBot="1" x14ac:dyDescent="0.2">
      <c r="A2858" s="663"/>
      <c r="B2858" s="664"/>
      <c r="C2858" s="665" t="s">
        <v>1193</v>
      </c>
      <c r="D2858" s="665"/>
      <c r="E2858" s="666">
        <f>SUM(E2824,E2852)</f>
        <v>169443</v>
      </c>
      <c r="F2858" s="667">
        <v>32544.599999999995</v>
      </c>
    </row>
    <row r="2859" spans="1:7" s="295" customFormat="1" x14ac:dyDescent="0.15">
      <c r="A2859" s="655"/>
      <c r="B2859" s="591"/>
      <c r="C2859" s="413"/>
      <c r="D2859" s="413"/>
      <c r="E2859" s="669"/>
      <c r="F2859" s="670"/>
    </row>
    <row r="2860" spans="1:7" s="295" customFormat="1" x14ac:dyDescent="0.15">
      <c r="A2860" s="652" t="s">
        <v>1534</v>
      </c>
      <c r="B2860" s="653" t="s">
        <v>1614</v>
      </c>
      <c r="C2860" s="371" t="s">
        <v>1492</v>
      </c>
      <c r="D2860" s="371" t="s">
        <v>1239</v>
      </c>
      <c r="E2860" s="654">
        <v>11440</v>
      </c>
      <c r="F2860" s="391">
        <v>1945.1</v>
      </c>
      <c r="G2860" s="674">
        <f t="shared" ref="G2860:G2883" si="0">F2860/E2860</f>
        <v>0.17002622377622376</v>
      </c>
    </row>
    <row r="2861" spans="1:7" s="295" customFormat="1" x14ac:dyDescent="0.15">
      <c r="A2861" s="655" t="s">
        <v>1535</v>
      </c>
      <c r="B2861" s="591" t="s">
        <v>1615</v>
      </c>
      <c r="C2861" s="287" t="s">
        <v>1507</v>
      </c>
      <c r="D2861" s="287" t="s">
        <v>1245</v>
      </c>
      <c r="E2861" s="656">
        <v>3440</v>
      </c>
      <c r="F2861" s="381">
        <v>676.95</v>
      </c>
      <c r="G2861" s="674">
        <f t="shared" si="0"/>
        <v>0.19678779069767444</v>
      </c>
    </row>
    <row r="2862" spans="1:7" s="295" customFormat="1" x14ac:dyDescent="0.15">
      <c r="A2862" s="655" t="s">
        <v>1670</v>
      </c>
      <c r="B2862" s="591" t="s">
        <v>1659</v>
      </c>
      <c r="C2862" s="287" t="s">
        <v>1279</v>
      </c>
      <c r="D2862" s="287" t="s">
        <v>1660</v>
      </c>
      <c r="E2862" s="656">
        <v>10400</v>
      </c>
      <c r="F2862" s="381">
        <v>1728.41</v>
      </c>
      <c r="G2862" s="674">
        <f t="shared" si="0"/>
        <v>0.16619326923076924</v>
      </c>
    </row>
    <row r="2863" spans="1:7" s="295" customFormat="1" x14ac:dyDescent="0.15">
      <c r="A2863" s="655" t="s">
        <v>1536</v>
      </c>
      <c r="B2863" s="591" t="s">
        <v>1616</v>
      </c>
      <c r="C2863" s="287" t="s">
        <v>1479</v>
      </c>
      <c r="D2863" s="287" t="s">
        <v>1231</v>
      </c>
      <c r="E2863" s="656">
        <v>5305</v>
      </c>
      <c r="F2863" s="381">
        <v>903.99</v>
      </c>
      <c r="G2863" s="674">
        <f t="shared" si="0"/>
        <v>0.17040339302544769</v>
      </c>
    </row>
    <row r="2864" spans="1:7" s="295" customFormat="1" x14ac:dyDescent="0.15">
      <c r="A2864" s="655" t="s">
        <v>1537</v>
      </c>
      <c r="B2864" s="591" t="s">
        <v>1617</v>
      </c>
      <c r="C2864" s="287" t="s">
        <v>1269</v>
      </c>
      <c r="D2864" s="287" t="s">
        <v>1270</v>
      </c>
      <c r="E2864" s="656">
        <v>6452</v>
      </c>
      <c r="F2864" s="381">
        <v>1097.3699999999999</v>
      </c>
      <c r="G2864" s="674">
        <f t="shared" si="0"/>
        <v>0.17008214507129571</v>
      </c>
    </row>
    <row r="2865" spans="1:7" s="295" customFormat="1" x14ac:dyDescent="0.15">
      <c r="A2865" s="655" t="s">
        <v>1538</v>
      </c>
      <c r="B2865" s="591" t="s">
        <v>1618</v>
      </c>
      <c r="C2865" s="287" t="s">
        <v>1517</v>
      </c>
      <c r="D2865" s="287" t="s">
        <v>1518</v>
      </c>
      <c r="E2865" s="656">
        <v>5</v>
      </c>
      <c r="F2865" s="381">
        <v>30.63</v>
      </c>
      <c r="G2865" s="674">
        <f t="shared" si="0"/>
        <v>6.1259999999999994</v>
      </c>
    </row>
    <row r="2866" spans="1:7" s="295" customFormat="1" x14ac:dyDescent="0.15">
      <c r="A2866" s="655" t="s">
        <v>1540</v>
      </c>
      <c r="B2866" s="591" t="s">
        <v>1620</v>
      </c>
      <c r="C2866" s="287" t="s">
        <v>1257</v>
      </c>
      <c r="D2866" s="287" t="s">
        <v>1258</v>
      </c>
      <c r="E2866" s="656">
        <v>25600</v>
      </c>
      <c r="F2866" s="381">
        <v>4146.12</v>
      </c>
      <c r="G2866" s="674">
        <f t="shared" si="0"/>
        <v>0.16195781249999999</v>
      </c>
    </row>
    <row r="2867" spans="1:7" s="295" customFormat="1" x14ac:dyDescent="0.15">
      <c r="A2867" s="655" t="s">
        <v>1541</v>
      </c>
      <c r="B2867" s="591" t="s">
        <v>1621</v>
      </c>
      <c r="C2867" s="287" t="s">
        <v>1586</v>
      </c>
      <c r="D2867" s="287" t="s">
        <v>1500</v>
      </c>
      <c r="E2867" s="656">
        <v>3960</v>
      </c>
      <c r="F2867" s="381">
        <v>744.4</v>
      </c>
      <c r="G2867" s="674">
        <f t="shared" si="0"/>
        <v>0.18797979797979797</v>
      </c>
    </row>
    <row r="2868" spans="1:7" s="295" customFormat="1" x14ac:dyDescent="0.15">
      <c r="A2868" s="655" t="s">
        <v>1542</v>
      </c>
      <c r="B2868" s="591" t="s">
        <v>1622</v>
      </c>
      <c r="C2868" s="287" t="s">
        <v>1240</v>
      </c>
      <c r="D2868" s="287" t="s">
        <v>1467</v>
      </c>
      <c r="E2868" s="656">
        <v>4809</v>
      </c>
      <c r="F2868" s="381">
        <v>802.48</v>
      </c>
      <c r="G2868" s="674">
        <f t="shared" si="0"/>
        <v>0.16687045123726346</v>
      </c>
    </row>
    <row r="2869" spans="1:7" s="295" customFormat="1" x14ac:dyDescent="0.15">
      <c r="A2869" s="655" t="s">
        <v>1543</v>
      </c>
      <c r="B2869" s="591" t="s">
        <v>1623</v>
      </c>
      <c r="C2869" s="287" t="s">
        <v>1523</v>
      </c>
      <c r="D2869" s="287" t="s">
        <v>1266</v>
      </c>
      <c r="E2869" s="656">
        <v>776</v>
      </c>
      <c r="F2869" s="381">
        <v>190.12</v>
      </c>
      <c r="G2869" s="674">
        <f t="shared" si="0"/>
        <v>0.245</v>
      </c>
    </row>
    <row r="2870" spans="1:7" s="295" customFormat="1" x14ac:dyDescent="0.15">
      <c r="A2870" s="655" t="s">
        <v>1544</v>
      </c>
      <c r="B2870" s="591" t="s">
        <v>1624</v>
      </c>
      <c r="C2870" s="287" t="s">
        <v>1234</v>
      </c>
      <c r="D2870" s="287" t="s">
        <v>1494</v>
      </c>
      <c r="E2870" s="656">
        <v>5283</v>
      </c>
      <c r="F2870" s="381">
        <v>960.6</v>
      </c>
      <c r="G2870" s="674">
        <f t="shared" si="0"/>
        <v>0.18182850653038046</v>
      </c>
    </row>
    <row r="2871" spans="1:7" s="295" customFormat="1" x14ac:dyDescent="0.15">
      <c r="A2871" s="655" t="s">
        <v>1601</v>
      </c>
      <c r="B2871" s="591"/>
      <c r="C2871" s="287" t="s">
        <v>1334</v>
      </c>
      <c r="D2871" s="287" t="s">
        <v>1462</v>
      </c>
      <c r="E2871" s="656">
        <f>1411.8+2000</f>
        <v>3411.8</v>
      </c>
      <c r="F2871" s="381">
        <v>839.94</v>
      </c>
      <c r="G2871" s="674">
        <f t="shared" si="0"/>
        <v>0.2461867635852043</v>
      </c>
    </row>
    <row r="2872" spans="1:7" s="295" customFormat="1" x14ac:dyDescent="0.15">
      <c r="A2872" s="655" t="s">
        <v>1545</v>
      </c>
      <c r="B2872" s="591"/>
      <c r="C2872" s="287" t="s">
        <v>1234</v>
      </c>
      <c r="D2872" s="287" t="s">
        <v>1494</v>
      </c>
      <c r="E2872" s="656">
        <f>5+72.8</f>
        <v>77.8</v>
      </c>
      <c r="F2872" s="381">
        <v>22.01</v>
      </c>
      <c r="G2872" s="674">
        <f t="shared" si="0"/>
        <v>0.28290488431876609</v>
      </c>
    </row>
    <row r="2873" spans="1:7" s="295" customFormat="1" x14ac:dyDescent="0.15">
      <c r="A2873" s="655" t="s">
        <v>1602</v>
      </c>
      <c r="B2873" s="591"/>
      <c r="C2873" s="287" t="s">
        <v>1334</v>
      </c>
      <c r="D2873" s="287" t="s">
        <v>1462</v>
      </c>
      <c r="E2873" s="656">
        <f>78.9+111.8</f>
        <v>190.7</v>
      </c>
      <c r="F2873" s="381">
        <v>59.58</v>
      </c>
      <c r="G2873" s="674">
        <f t="shared" si="0"/>
        <v>0.31242789722076558</v>
      </c>
    </row>
    <row r="2874" spans="1:7" s="295" customFormat="1" x14ac:dyDescent="0.15">
      <c r="A2874" s="655" t="s">
        <v>1546</v>
      </c>
      <c r="B2874" s="591"/>
      <c r="C2874" s="287" t="s">
        <v>1586</v>
      </c>
      <c r="D2874" s="287" t="s">
        <v>1500</v>
      </c>
      <c r="E2874" s="656">
        <f>5.7+83.3</f>
        <v>89</v>
      </c>
      <c r="F2874" s="381">
        <v>32.99</v>
      </c>
      <c r="G2874" s="674">
        <f t="shared" si="0"/>
        <v>0.37067415730337083</v>
      </c>
    </row>
    <row r="2875" spans="1:7" s="295" customFormat="1" x14ac:dyDescent="0.15">
      <c r="A2875" s="655" t="s">
        <v>1549</v>
      </c>
      <c r="B2875" s="591" t="s">
        <v>1625</v>
      </c>
      <c r="C2875" s="287" t="s">
        <v>1459</v>
      </c>
      <c r="D2875" s="287" t="s">
        <v>1251</v>
      </c>
      <c r="E2875" s="656">
        <v>2615</v>
      </c>
      <c r="F2875" s="381">
        <v>473.28</v>
      </c>
      <c r="G2875" s="674">
        <f t="shared" si="0"/>
        <v>0.18098661567877627</v>
      </c>
    </row>
    <row r="2876" spans="1:7" s="295" customFormat="1" x14ac:dyDescent="0.15">
      <c r="A2876" s="655" t="s">
        <v>1603</v>
      </c>
      <c r="B2876" s="591"/>
      <c r="C2876" s="287" t="s">
        <v>1334</v>
      </c>
      <c r="D2876" s="287" t="s">
        <v>1462</v>
      </c>
      <c r="E2876" s="656">
        <f>590.7+836.8</f>
        <v>1427.5</v>
      </c>
      <c r="F2876" s="381">
        <v>368.03</v>
      </c>
      <c r="G2876" s="674">
        <f t="shared" si="0"/>
        <v>0.2578143607705779</v>
      </c>
    </row>
    <row r="2877" spans="1:7" s="295" customFormat="1" x14ac:dyDescent="0.15">
      <c r="A2877" s="655" t="s">
        <v>1597</v>
      </c>
      <c r="B2877" s="591" t="s">
        <v>1626</v>
      </c>
      <c r="C2877" s="287" t="s">
        <v>1454</v>
      </c>
      <c r="D2877" s="287" t="s">
        <v>1247</v>
      </c>
      <c r="E2877" s="656">
        <v>5200</v>
      </c>
      <c r="F2877" s="381">
        <v>957.28</v>
      </c>
      <c r="G2877" s="674">
        <f t="shared" si="0"/>
        <v>0.18409230769230769</v>
      </c>
    </row>
    <row r="2878" spans="1:7" s="295" customFormat="1" x14ac:dyDescent="0.15">
      <c r="A2878" s="655" t="s">
        <v>1677</v>
      </c>
      <c r="B2878" s="591" t="s">
        <v>1678</v>
      </c>
      <c r="C2878" s="287" t="s">
        <v>1313</v>
      </c>
      <c r="D2878" s="287" t="s">
        <v>1412</v>
      </c>
      <c r="E2878" s="656">
        <v>1685</v>
      </c>
      <c r="F2878" s="381">
        <v>315.45999999999998</v>
      </c>
      <c r="G2878" s="674">
        <f t="shared" si="0"/>
        <v>0.18721661721068247</v>
      </c>
    </row>
    <row r="2879" spans="1:7" s="295" customFormat="1" x14ac:dyDescent="0.15">
      <c r="A2879" s="655" t="s">
        <v>1551</v>
      </c>
      <c r="B2879" s="591" t="s">
        <v>1627</v>
      </c>
      <c r="C2879" s="287" t="s">
        <v>1235</v>
      </c>
      <c r="D2879" s="287" t="s">
        <v>1236</v>
      </c>
      <c r="E2879" s="656">
        <v>8891</v>
      </c>
      <c r="F2879" s="381">
        <v>1502.97</v>
      </c>
      <c r="G2879" s="674">
        <f t="shared" si="0"/>
        <v>0.16904397705544932</v>
      </c>
    </row>
    <row r="2880" spans="1:7" s="295" customFormat="1" x14ac:dyDescent="0.15">
      <c r="A2880" s="655" t="s">
        <v>1553</v>
      </c>
      <c r="B2880" s="591" t="s">
        <v>1628</v>
      </c>
      <c r="C2880" s="287" t="s">
        <v>1475</v>
      </c>
      <c r="D2880" s="287" t="s">
        <v>1387</v>
      </c>
      <c r="E2880" s="656">
        <v>1721</v>
      </c>
      <c r="F2880" s="381">
        <v>351.96</v>
      </c>
      <c r="G2880" s="674">
        <f t="shared" si="0"/>
        <v>0.20450900639163275</v>
      </c>
    </row>
    <row r="2881" spans="1:7" s="295" customFormat="1" x14ac:dyDescent="0.15">
      <c r="A2881" s="655" t="s">
        <v>1554</v>
      </c>
      <c r="B2881" s="591" t="s">
        <v>1629</v>
      </c>
      <c r="C2881" s="287" t="s">
        <v>1399</v>
      </c>
      <c r="D2881" s="287" t="s">
        <v>1276</v>
      </c>
      <c r="E2881" s="656">
        <v>4880</v>
      </c>
      <c r="F2881" s="381">
        <v>900.92</v>
      </c>
      <c r="G2881" s="674">
        <f t="shared" si="0"/>
        <v>0.18461475409836064</v>
      </c>
    </row>
    <row r="2882" spans="1:7" s="295" customFormat="1" x14ac:dyDescent="0.15">
      <c r="A2882" s="655" t="s">
        <v>1598</v>
      </c>
      <c r="B2882" s="591"/>
      <c r="C2882" s="287" t="s">
        <v>1586</v>
      </c>
      <c r="D2882" s="287" t="s">
        <v>1500</v>
      </c>
      <c r="E2882" s="656">
        <f>2.9+41.6</f>
        <v>44.5</v>
      </c>
      <c r="F2882" s="381">
        <v>19.36</v>
      </c>
      <c r="G2882" s="674">
        <f t="shared" si="0"/>
        <v>0.43505617977528088</v>
      </c>
    </row>
    <row r="2883" spans="1:7" s="295" customFormat="1" x14ac:dyDescent="0.15">
      <c r="A2883" s="655" t="s">
        <v>1662</v>
      </c>
      <c r="B2883" s="657">
        <v>892914652</v>
      </c>
      <c r="C2883" s="287" t="s">
        <v>1663</v>
      </c>
      <c r="D2883" s="287" t="s">
        <v>1664</v>
      </c>
      <c r="E2883" s="656">
        <v>9520</v>
      </c>
      <c r="F2883" s="381">
        <v>1738.21</v>
      </c>
      <c r="G2883" s="674">
        <f t="shared" si="0"/>
        <v>0.18258508403361345</v>
      </c>
    </row>
    <row r="2884" spans="1:7" s="295" customFormat="1" ht="14" thickBot="1" x14ac:dyDescent="0.2">
      <c r="A2884" s="655"/>
      <c r="B2884" s="591"/>
      <c r="C2884" s="291" t="s">
        <v>1705</v>
      </c>
      <c r="D2884" s="287"/>
      <c r="E2884" s="643">
        <f>SUM(E2860:E2883)</f>
        <v>117223.3</v>
      </c>
      <c r="F2884" s="658">
        <v>20808.16</v>
      </c>
    </row>
    <row r="2885" spans="1:7" s="295" customFormat="1" ht="14" thickTop="1" x14ac:dyDescent="0.15">
      <c r="A2885" s="655"/>
      <c r="B2885" s="591"/>
      <c r="C2885" s="287"/>
      <c r="D2885" s="287"/>
      <c r="E2885" s="524"/>
      <c r="F2885" s="381"/>
    </row>
    <row r="2886" spans="1:7" s="295" customFormat="1" x14ac:dyDescent="0.15">
      <c r="A2886" s="655" t="s">
        <v>1556</v>
      </c>
      <c r="B2886" s="591" t="s">
        <v>1631</v>
      </c>
      <c r="C2886" s="287" t="s">
        <v>1248</v>
      </c>
      <c r="D2886" s="287" t="s">
        <v>1482</v>
      </c>
      <c r="E2886" s="656">
        <v>3972</v>
      </c>
      <c r="F2886" s="381">
        <v>716.22</v>
      </c>
      <c r="G2886" s="674">
        <f t="shared" ref="G2886:G2911" si="1">F2886/E2886</f>
        <v>0.18031722054380667</v>
      </c>
    </row>
    <row r="2887" spans="1:7" s="295" customFormat="1" x14ac:dyDescent="0.15">
      <c r="A2887" s="655" t="s">
        <v>1558</v>
      </c>
      <c r="B2887" s="591" t="s">
        <v>1633</v>
      </c>
      <c r="C2887" s="287" t="s">
        <v>1469</v>
      </c>
      <c r="D2887" s="287" t="s">
        <v>1470</v>
      </c>
      <c r="E2887" s="656">
        <v>7040</v>
      </c>
      <c r="F2887" s="381">
        <v>1285.1600000000001</v>
      </c>
      <c r="G2887" s="674">
        <f t="shared" si="1"/>
        <v>0.18255113636363637</v>
      </c>
    </row>
    <row r="2888" spans="1:7" s="295" customFormat="1" x14ac:dyDescent="0.15">
      <c r="A2888" s="655" t="s">
        <v>1559</v>
      </c>
      <c r="B2888" s="591" t="s">
        <v>1634</v>
      </c>
      <c r="C2888" s="287" t="s">
        <v>1502</v>
      </c>
      <c r="D2888" s="287" t="s">
        <v>1381</v>
      </c>
      <c r="E2888" s="656">
        <v>9312</v>
      </c>
      <c r="F2888" s="381">
        <v>1953.72</v>
      </c>
      <c r="G2888" s="674">
        <f t="shared" si="1"/>
        <v>0.20980670103092783</v>
      </c>
    </row>
    <row r="2889" spans="1:7" s="295" customFormat="1" x14ac:dyDescent="0.15">
      <c r="A2889" s="655" t="s">
        <v>1560</v>
      </c>
      <c r="B2889" s="591" t="s">
        <v>1635</v>
      </c>
      <c r="C2889" s="287" t="s">
        <v>1504</v>
      </c>
      <c r="D2889" s="287" t="s">
        <v>1505</v>
      </c>
      <c r="E2889" s="656">
        <v>1437</v>
      </c>
      <c r="F2889" s="381">
        <v>238.7</v>
      </c>
      <c r="G2889" s="674">
        <f t="shared" si="1"/>
        <v>0.1661099512874043</v>
      </c>
    </row>
    <row r="2890" spans="1:7" s="295" customFormat="1" x14ac:dyDescent="0.15">
      <c r="A2890" s="655" t="s">
        <v>1675</v>
      </c>
      <c r="B2890" s="591" t="s">
        <v>1676</v>
      </c>
      <c r="C2890" s="287" t="s">
        <v>1477</v>
      </c>
      <c r="D2890" s="287" t="s">
        <v>1289</v>
      </c>
      <c r="E2890" s="656">
        <v>11870</v>
      </c>
      <c r="F2890" s="381">
        <v>2023.19</v>
      </c>
      <c r="G2890" s="674">
        <f t="shared" si="1"/>
        <v>0.17044566133108677</v>
      </c>
    </row>
    <row r="2891" spans="1:7" s="295" customFormat="1" x14ac:dyDescent="0.15">
      <c r="A2891" s="655" t="s">
        <v>1563</v>
      </c>
      <c r="B2891" s="591"/>
      <c r="C2891" s="287" t="s">
        <v>1267</v>
      </c>
      <c r="D2891" s="287" t="s">
        <v>1268</v>
      </c>
      <c r="E2891" s="656">
        <f>5+72.8</f>
        <v>77.8</v>
      </c>
      <c r="F2891" s="381">
        <v>18.599999999999998</v>
      </c>
      <c r="G2891" s="674">
        <f t="shared" si="1"/>
        <v>0.23907455012853468</v>
      </c>
    </row>
    <row r="2892" spans="1:7" s="295" customFormat="1" x14ac:dyDescent="0.15">
      <c r="A2892" s="655" t="s">
        <v>1564</v>
      </c>
      <c r="B2892" s="591" t="s">
        <v>1636</v>
      </c>
      <c r="C2892" s="287" t="s">
        <v>1485</v>
      </c>
      <c r="D2892" s="287" t="s">
        <v>1486</v>
      </c>
      <c r="E2892" s="656">
        <v>1840</v>
      </c>
      <c r="F2892" s="381">
        <v>350.45</v>
      </c>
      <c r="G2892" s="674">
        <f t="shared" si="1"/>
        <v>0.19046195652173911</v>
      </c>
    </row>
    <row r="2893" spans="1:7" s="295" customFormat="1" x14ac:dyDescent="0.15">
      <c r="A2893" s="655" t="s">
        <v>1565</v>
      </c>
      <c r="B2893" s="591" t="s">
        <v>1637</v>
      </c>
      <c r="C2893" s="287" t="s">
        <v>1267</v>
      </c>
      <c r="D2893" s="287" t="s">
        <v>1268</v>
      </c>
      <c r="E2893" s="656">
        <v>2253</v>
      </c>
      <c r="F2893" s="381">
        <v>460.77</v>
      </c>
      <c r="G2893" s="674">
        <f t="shared" si="1"/>
        <v>0.20451398135818907</v>
      </c>
    </row>
    <row r="2894" spans="1:7" s="295" customFormat="1" x14ac:dyDescent="0.15">
      <c r="A2894" s="655" t="s">
        <v>1569</v>
      </c>
      <c r="B2894" s="591" t="s">
        <v>1638</v>
      </c>
      <c r="C2894" s="287" t="s">
        <v>1464</v>
      </c>
      <c r="D2894" s="287" t="s">
        <v>1285</v>
      </c>
      <c r="E2894" s="656">
        <v>697</v>
      </c>
      <c r="F2894" s="381">
        <v>172.46</v>
      </c>
      <c r="G2894" s="674">
        <f t="shared" si="1"/>
        <v>0.24743185078909613</v>
      </c>
    </row>
    <row r="2895" spans="1:7" s="295" customFormat="1" x14ac:dyDescent="0.15">
      <c r="A2895" s="655" t="s">
        <v>1711</v>
      </c>
      <c r="B2895" s="591" t="s">
        <v>1712</v>
      </c>
      <c r="C2895" s="287" t="s">
        <v>1713</v>
      </c>
      <c r="D2895" s="287" t="s">
        <v>1419</v>
      </c>
      <c r="E2895" s="656">
        <v>2214</v>
      </c>
      <c r="F2895" s="381">
        <v>452.81</v>
      </c>
      <c r="G2895" s="674">
        <f t="shared" si="1"/>
        <v>0.2045212285456188</v>
      </c>
    </row>
    <row r="2896" spans="1:7" s="295" customFormat="1" x14ac:dyDescent="0.15">
      <c r="A2896" s="655" t="s">
        <v>1570</v>
      </c>
      <c r="B2896" s="591" t="s">
        <v>1639</v>
      </c>
      <c r="C2896" s="287" t="s">
        <v>1472</v>
      </c>
      <c r="D2896" s="287" t="s">
        <v>1473</v>
      </c>
      <c r="E2896" s="656">
        <v>42</v>
      </c>
      <c r="F2896" s="381">
        <v>35.450000000000003</v>
      </c>
      <c r="G2896" s="674">
        <f t="shared" si="1"/>
        <v>0.84404761904761916</v>
      </c>
    </row>
    <row r="2897" spans="1:7" s="295" customFormat="1" x14ac:dyDescent="0.15">
      <c r="A2897" s="655" t="s">
        <v>1571</v>
      </c>
      <c r="B2897" s="591" t="s">
        <v>1640</v>
      </c>
      <c r="C2897" s="287" t="s">
        <v>1489</v>
      </c>
      <c r="D2897" s="287" t="s">
        <v>1490</v>
      </c>
      <c r="E2897" s="656">
        <v>115</v>
      </c>
      <c r="F2897" s="381">
        <v>44.91</v>
      </c>
      <c r="G2897" s="674">
        <f t="shared" si="1"/>
        <v>0.39052173913043475</v>
      </c>
    </row>
    <row r="2898" spans="1:7" s="295" customFormat="1" x14ac:dyDescent="0.15">
      <c r="A2898" s="655" t="s">
        <v>1572</v>
      </c>
      <c r="B2898" s="591" t="s">
        <v>1641</v>
      </c>
      <c r="C2898" s="287" t="s">
        <v>1271</v>
      </c>
      <c r="D2898" s="287" t="s">
        <v>1272</v>
      </c>
      <c r="E2898" s="656">
        <v>5120</v>
      </c>
      <c r="F2898" s="381">
        <v>887.41</v>
      </c>
      <c r="G2898" s="674">
        <f t="shared" si="1"/>
        <v>0.173322265625</v>
      </c>
    </row>
    <row r="2899" spans="1:7" s="295" customFormat="1" x14ac:dyDescent="0.15">
      <c r="A2899" s="655" t="s">
        <v>1573</v>
      </c>
      <c r="B2899" s="591"/>
      <c r="C2899" s="287" t="s">
        <v>1461</v>
      </c>
      <c r="D2899" s="287" t="s">
        <v>1703</v>
      </c>
      <c r="E2899" s="656">
        <v>26</v>
      </c>
      <c r="F2899" s="381">
        <v>16.670000000000002</v>
      </c>
      <c r="G2899" s="674">
        <f t="shared" si="1"/>
        <v>0.64115384615384619</v>
      </c>
    </row>
    <row r="2900" spans="1:7" s="295" customFormat="1" x14ac:dyDescent="0.15">
      <c r="A2900" s="655" t="s">
        <v>1574</v>
      </c>
      <c r="B2900" s="591" t="s">
        <v>1642</v>
      </c>
      <c r="C2900" s="287" t="s">
        <v>1377</v>
      </c>
      <c r="D2900" s="287" t="s">
        <v>1378</v>
      </c>
      <c r="E2900" s="656">
        <v>1581</v>
      </c>
      <c r="F2900" s="381">
        <v>301.99</v>
      </c>
      <c r="G2900" s="674">
        <f t="shared" si="1"/>
        <v>0.19101201771030993</v>
      </c>
    </row>
    <row r="2901" spans="1:7" s="295" customFormat="1" x14ac:dyDescent="0.15">
      <c r="A2901" s="655" t="s">
        <v>1575</v>
      </c>
      <c r="B2901" s="591" t="s">
        <v>1685</v>
      </c>
      <c r="C2901" s="287" t="s">
        <v>1448</v>
      </c>
      <c r="D2901" s="287" t="s">
        <v>1449</v>
      </c>
      <c r="E2901" s="656">
        <v>304</v>
      </c>
      <c r="F2901" s="381">
        <v>65.14</v>
      </c>
      <c r="G2901" s="674">
        <f t="shared" si="1"/>
        <v>0.21427631578947368</v>
      </c>
    </row>
    <row r="2902" spans="1:7" s="295" customFormat="1" x14ac:dyDescent="0.15">
      <c r="A2902" s="655" t="s">
        <v>1604</v>
      </c>
      <c r="B2902" s="591"/>
      <c r="C2902" s="287" t="s">
        <v>1334</v>
      </c>
      <c r="D2902" s="287" t="s">
        <v>1462</v>
      </c>
      <c r="E2902" s="656">
        <f>92.1+130.5</f>
        <v>222.6</v>
      </c>
      <c r="F2902" s="381">
        <v>77.58</v>
      </c>
      <c r="G2902" s="674">
        <f t="shared" si="1"/>
        <v>0.34851752021563343</v>
      </c>
    </row>
    <row r="2903" spans="1:7" s="295" customFormat="1" x14ac:dyDescent="0.15">
      <c r="A2903" s="655" t="s">
        <v>1576</v>
      </c>
      <c r="B2903" s="591" t="s">
        <v>1644</v>
      </c>
      <c r="C2903" s="287" t="s">
        <v>1401</v>
      </c>
      <c r="D2903" s="287" t="s">
        <v>1316</v>
      </c>
      <c r="E2903" s="656">
        <v>118</v>
      </c>
      <c r="F2903" s="381">
        <v>45.32</v>
      </c>
      <c r="G2903" s="674">
        <f t="shared" si="1"/>
        <v>0.38406779661016949</v>
      </c>
    </row>
    <row r="2904" spans="1:7" s="295" customFormat="1" x14ac:dyDescent="0.15">
      <c r="A2904" s="655" t="s">
        <v>1605</v>
      </c>
      <c r="B2904" s="591"/>
      <c r="C2904" s="287" t="s">
        <v>1334</v>
      </c>
      <c r="D2904" s="287" t="s">
        <v>1462</v>
      </c>
      <c r="E2904" s="656">
        <f>269+381.1</f>
        <v>650.1</v>
      </c>
      <c r="F2904" s="381">
        <v>228.48</v>
      </c>
      <c r="G2904" s="674">
        <f t="shared" si="1"/>
        <v>0.35145362251961232</v>
      </c>
    </row>
    <row r="2905" spans="1:7" s="295" customFormat="1" x14ac:dyDescent="0.15">
      <c r="A2905" s="655" t="s">
        <v>1578</v>
      </c>
      <c r="B2905" s="591" t="s">
        <v>1646</v>
      </c>
      <c r="C2905" s="287" t="s">
        <v>1579</v>
      </c>
      <c r="D2905" s="287" t="s">
        <v>1497</v>
      </c>
      <c r="E2905" s="656">
        <v>0</v>
      </c>
      <c r="F2905" s="381">
        <v>0</v>
      </c>
      <c r="G2905" s="674" t="e">
        <f t="shared" si="1"/>
        <v>#DIV/0!</v>
      </c>
    </row>
    <row r="2906" spans="1:7" s="295" customFormat="1" x14ac:dyDescent="0.15">
      <c r="A2906" s="655" t="s">
        <v>1580</v>
      </c>
      <c r="B2906" s="591" t="s">
        <v>1647</v>
      </c>
      <c r="C2906" s="287" t="s">
        <v>1451</v>
      </c>
      <c r="D2906" s="287" t="s">
        <v>1674</v>
      </c>
      <c r="E2906" s="656">
        <v>8640</v>
      </c>
      <c r="F2906" s="381">
        <v>2793.83</v>
      </c>
      <c r="G2906" s="674">
        <f t="shared" si="1"/>
        <v>0.32335995370370368</v>
      </c>
    </row>
    <row r="2907" spans="1:7" s="295" customFormat="1" x14ac:dyDescent="0.15">
      <c r="A2907" s="655" t="s">
        <v>1581</v>
      </c>
      <c r="B2907" s="591" t="s">
        <v>1648</v>
      </c>
      <c r="C2907" s="287" t="s">
        <v>1521</v>
      </c>
      <c r="D2907" s="287" t="s">
        <v>1229</v>
      </c>
      <c r="E2907" s="656">
        <v>3488</v>
      </c>
      <c r="F2907" s="381">
        <v>631.13</v>
      </c>
      <c r="G2907" s="674">
        <f t="shared" si="1"/>
        <v>0.18094323394495412</v>
      </c>
    </row>
    <row r="2908" spans="1:7" s="295" customFormat="1" x14ac:dyDescent="0.15">
      <c r="A2908" s="655" t="s">
        <v>1582</v>
      </c>
      <c r="B2908" s="591" t="s">
        <v>1649</v>
      </c>
      <c r="C2908" s="287" t="s">
        <v>1525</v>
      </c>
      <c r="D2908" s="287" t="s">
        <v>1526</v>
      </c>
      <c r="E2908" s="656">
        <v>10</v>
      </c>
      <c r="F2908" s="381">
        <v>7.96</v>
      </c>
      <c r="G2908" s="674">
        <f t="shared" si="1"/>
        <v>0.79600000000000004</v>
      </c>
    </row>
    <row r="2909" spans="1:7" s="295" customFormat="1" ht="14" x14ac:dyDescent="0.15">
      <c r="A2909" s="655" t="s">
        <v>1583</v>
      </c>
      <c r="B2909" s="591" t="s">
        <v>1650</v>
      </c>
      <c r="C2909" s="287" t="s">
        <v>1584</v>
      </c>
      <c r="D2909" s="618" t="s">
        <v>1264</v>
      </c>
      <c r="E2909" s="656">
        <v>1480</v>
      </c>
      <c r="F2909" s="381">
        <v>333.5</v>
      </c>
      <c r="G2909" s="674">
        <f t="shared" si="1"/>
        <v>0.22533783783783784</v>
      </c>
    </row>
    <row r="2910" spans="1:7" s="295" customFormat="1" x14ac:dyDescent="0.15">
      <c r="A2910" s="655" t="s">
        <v>1666</v>
      </c>
      <c r="B2910" s="591" t="s">
        <v>1672</v>
      </c>
      <c r="C2910" s="287" t="s">
        <v>1667</v>
      </c>
      <c r="D2910" s="287" t="s">
        <v>1668</v>
      </c>
      <c r="E2910" s="656">
        <v>21312</v>
      </c>
      <c r="F2910" s="381">
        <v>4742.3500000000004</v>
      </c>
      <c r="G2910" s="674">
        <f t="shared" si="1"/>
        <v>0.22252017642642644</v>
      </c>
    </row>
    <row r="2911" spans="1:7" s="295" customFormat="1" x14ac:dyDescent="0.15">
      <c r="A2911" s="655" t="s">
        <v>1606</v>
      </c>
      <c r="B2911" s="591"/>
      <c r="C2911" s="287" t="s">
        <v>1334</v>
      </c>
      <c r="D2911" s="287" t="s">
        <v>1462</v>
      </c>
      <c r="E2911" s="656">
        <f>32.2+45.6</f>
        <v>77.800000000000011</v>
      </c>
      <c r="F2911" s="381">
        <v>18.560000000000002</v>
      </c>
      <c r="G2911" s="674">
        <f t="shared" si="1"/>
        <v>0.23856041131105399</v>
      </c>
    </row>
    <row r="2912" spans="1:7" s="295" customFormat="1" ht="14" thickBot="1" x14ac:dyDescent="0.2">
      <c r="A2912" s="655"/>
      <c r="B2912" s="591"/>
      <c r="C2912" s="291" t="s">
        <v>1706</v>
      </c>
      <c r="D2912" s="287"/>
      <c r="E2912" s="643">
        <f>SUM(E2886:E2911)</f>
        <v>83899.3</v>
      </c>
      <c r="F2912" s="658">
        <v>17902.359999999997</v>
      </c>
    </row>
    <row r="2913" spans="1:7" s="295" customFormat="1" ht="14" thickTop="1" x14ac:dyDescent="0.15">
      <c r="A2913" s="655"/>
      <c r="B2913" s="591"/>
      <c r="C2913" s="287"/>
      <c r="D2913" s="287"/>
      <c r="E2913" s="524"/>
      <c r="F2913" s="381"/>
    </row>
    <row r="2914" spans="1:7" s="295" customFormat="1" x14ac:dyDescent="0.15">
      <c r="A2914" s="655"/>
      <c r="B2914" s="591"/>
      <c r="C2914" s="293" t="s">
        <v>1594</v>
      </c>
      <c r="D2914" s="287"/>
      <c r="E2914" s="524"/>
      <c r="F2914" s="381"/>
    </row>
    <row r="2915" spans="1:7" s="295" customFormat="1" x14ac:dyDescent="0.15">
      <c r="A2915" s="655"/>
      <c r="B2915" s="591"/>
      <c r="C2915" s="293" t="s">
        <v>1446</v>
      </c>
      <c r="D2915" s="287"/>
      <c r="E2915" s="524"/>
      <c r="F2915" s="381"/>
    </row>
    <row r="2916" spans="1:7" s="295" customFormat="1" x14ac:dyDescent="0.15">
      <c r="A2916" s="655"/>
      <c r="B2916" s="591"/>
      <c r="C2916" s="386">
        <v>42429</v>
      </c>
      <c r="D2916" s="287"/>
      <c r="E2916" s="524"/>
      <c r="F2916" s="381"/>
    </row>
    <row r="2917" spans="1:7" s="295" customFormat="1" x14ac:dyDescent="0.15">
      <c r="A2917" s="655"/>
      <c r="B2917" s="591"/>
      <c r="C2917" s="287"/>
      <c r="D2917" s="287"/>
      <c r="E2917" s="524"/>
      <c r="F2917" s="381"/>
    </row>
    <row r="2918" spans="1:7" s="295" customFormat="1" ht="14" thickBot="1" x14ac:dyDescent="0.2">
      <c r="A2918" s="663"/>
      <c r="B2918" s="664"/>
      <c r="C2918" s="665" t="s">
        <v>1194</v>
      </c>
      <c r="D2918" s="665"/>
      <c r="E2918" s="666">
        <f>SUM(E2884,E2912)</f>
        <v>201122.6</v>
      </c>
      <c r="F2918" s="667">
        <v>38710.519999999997</v>
      </c>
      <c r="G2918" s="675">
        <f>F2918/E2918</f>
        <v>0.19247225324254955</v>
      </c>
    </row>
    <row r="2919" spans="1:7" s="295" customFormat="1" x14ac:dyDescent="0.15">
      <c r="A2919" s="655"/>
      <c r="B2919" s="591"/>
      <c r="C2919" s="413"/>
      <c r="D2919" s="413"/>
      <c r="E2919" s="669"/>
      <c r="F2919" s="670"/>
    </row>
    <row r="2920" spans="1:7" s="295" customFormat="1" x14ac:dyDescent="0.15">
      <c r="A2920" s="652" t="s">
        <v>1534</v>
      </c>
      <c r="B2920" s="653" t="s">
        <v>1614</v>
      </c>
      <c r="C2920" s="371" t="s">
        <v>1492</v>
      </c>
      <c r="D2920" s="371" t="s">
        <v>1239</v>
      </c>
      <c r="E2920" s="654">
        <v>10160</v>
      </c>
      <c r="F2920" s="391">
        <v>1772.37</v>
      </c>
    </row>
    <row r="2921" spans="1:7" s="295" customFormat="1" x14ac:dyDescent="0.15">
      <c r="A2921" s="655" t="s">
        <v>1535</v>
      </c>
      <c r="B2921" s="591" t="s">
        <v>1615</v>
      </c>
      <c r="C2921" s="287" t="s">
        <v>1507</v>
      </c>
      <c r="D2921" s="287" t="s">
        <v>1245</v>
      </c>
      <c r="E2921" s="656">
        <v>2960</v>
      </c>
      <c r="F2921" s="381">
        <v>585.15</v>
      </c>
    </row>
    <row r="2922" spans="1:7" s="295" customFormat="1" x14ac:dyDescent="0.15">
      <c r="A2922" s="655" t="s">
        <v>1670</v>
      </c>
      <c r="B2922" s="591" t="s">
        <v>1659</v>
      </c>
      <c r="C2922" s="287" t="s">
        <v>1279</v>
      </c>
      <c r="D2922" s="287" t="s">
        <v>1660</v>
      </c>
      <c r="E2922" s="656">
        <v>9120</v>
      </c>
      <c r="F2922" s="381">
        <v>1555.59</v>
      </c>
    </row>
    <row r="2923" spans="1:7" s="295" customFormat="1" x14ac:dyDescent="0.15">
      <c r="A2923" s="655" t="s">
        <v>1536</v>
      </c>
      <c r="B2923" s="591" t="s">
        <v>1616</v>
      </c>
      <c r="C2923" s="287" t="s">
        <v>1479</v>
      </c>
      <c r="D2923" s="287" t="s">
        <v>1231</v>
      </c>
      <c r="E2923" s="656">
        <v>4897</v>
      </c>
      <c r="F2923" s="381">
        <v>843.99</v>
      </c>
    </row>
    <row r="2924" spans="1:7" s="295" customFormat="1" x14ac:dyDescent="0.15">
      <c r="A2924" s="655" t="s">
        <v>1537</v>
      </c>
      <c r="B2924" s="591" t="s">
        <v>1617</v>
      </c>
      <c r="C2924" s="287" t="s">
        <v>1269</v>
      </c>
      <c r="D2924" s="287" t="s">
        <v>1270</v>
      </c>
      <c r="E2924" s="656">
        <v>5497</v>
      </c>
      <c r="F2924" s="381">
        <v>936.72</v>
      </c>
    </row>
    <row r="2925" spans="1:7" s="295" customFormat="1" x14ac:dyDescent="0.15">
      <c r="A2925" s="655" t="s">
        <v>1538</v>
      </c>
      <c r="B2925" s="591" t="s">
        <v>1618</v>
      </c>
      <c r="C2925" s="287" t="s">
        <v>1517</v>
      </c>
      <c r="D2925" s="287" t="s">
        <v>1518</v>
      </c>
      <c r="E2925" s="656">
        <v>4</v>
      </c>
      <c r="F2925" s="381">
        <v>30.54</v>
      </c>
    </row>
    <row r="2926" spans="1:7" s="295" customFormat="1" x14ac:dyDescent="0.15">
      <c r="A2926" s="655" t="s">
        <v>1540</v>
      </c>
      <c r="B2926" s="591" t="s">
        <v>1620</v>
      </c>
      <c r="C2926" s="287" t="s">
        <v>1257</v>
      </c>
      <c r="D2926" s="287" t="s">
        <v>1258</v>
      </c>
      <c r="E2926" s="656">
        <v>24080</v>
      </c>
      <c r="F2926" s="381">
        <v>3906.02</v>
      </c>
    </row>
    <row r="2927" spans="1:7" s="295" customFormat="1" x14ac:dyDescent="0.15">
      <c r="A2927" s="655" t="s">
        <v>1541</v>
      </c>
      <c r="B2927" s="591" t="s">
        <v>1621</v>
      </c>
      <c r="C2927" s="287" t="s">
        <v>1586</v>
      </c>
      <c r="D2927" s="287" t="s">
        <v>1500</v>
      </c>
      <c r="E2927" s="656">
        <v>3520</v>
      </c>
      <c r="F2927" s="381">
        <v>672.7</v>
      </c>
    </row>
    <row r="2928" spans="1:7" s="295" customFormat="1" x14ac:dyDescent="0.15">
      <c r="A2928" s="655" t="s">
        <v>1542</v>
      </c>
      <c r="B2928" s="591" t="s">
        <v>1622</v>
      </c>
      <c r="C2928" s="287" t="s">
        <v>1240</v>
      </c>
      <c r="D2928" s="287" t="s">
        <v>1467</v>
      </c>
      <c r="E2928" s="656">
        <v>4622</v>
      </c>
      <c r="F2928" s="381">
        <v>793.42</v>
      </c>
    </row>
    <row r="2929" spans="1:6" s="295" customFormat="1" x14ac:dyDescent="0.15">
      <c r="A2929" s="655" t="s">
        <v>1543</v>
      </c>
      <c r="B2929" s="591" t="s">
        <v>1623</v>
      </c>
      <c r="C2929" s="287" t="s">
        <v>1523</v>
      </c>
      <c r="D2929" s="287" t="s">
        <v>1266</v>
      </c>
      <c r="E2929" s="656">
        <v>589</v>
      </c>
      <c r="F2929" s="381">
        <v>128.76</v>
      </c>
    </row>
    <row r="2930" spans="1:6" s="295" customFormat="1" x14ac:dyDescent="0.15">
      <c r="A2930" s="655" t="s">
        <v>1544</v>
      </c>
      <c r="B2930" s="591" t="s">
        <v>1624</v>
      </c>
      <c r="C2930" s="287" t="s">
        <v>1234</v>
      </c>
      <c r="D2930" s="287" t="s">
        <v>1494</v>
      </c>
      <c r="E2930" s="656">
        <v>5006</v>
      </c>
      <c r="F2930" s="381">
        <v>917.6</v>
      </c>
    </row>
    <row r="2931" spans="1:6" s="295" customFormat="1" x14ac:dyDescent="0.15">
      <c r="A2931" s="655" t="s">
        <v>1601</v>
      </c>
      <c r="B2931" s="591"/>
      <c r="C2931" s="287" t="s">
        <v>1334</v>
      </c>
      <c r="D2931" s="287" t="s">
        <v>1462</v>
      </c>
      <c r="E2931" s="656">
        <f>1358.4+1924.4</f>
        <v>3282.8</v>
      </c>
      <c r="F2931" s="381">
        <v>742.77</v>
      </c>
    </row>
    <row r="2932" spans="1:6" s="295" customFormat="1" x14ac:dyDescent="0.15">
      <c r="A2932" s="655" t="s">
        <v>1545</v>
      </c>
      <c r="B2932" s="591"/>
      <c r="C2932" s="287" t="s">
        <v>1234</v>
      </c>
      <c r="D2932" s="287" t="s">
        <v>1494</v>
      </c>
      <c r="E2932" s="656">
        <v>75</v>
      </c>
      <c r="F2932" s="381">
        <v>18.690000000000001</v>
      </c>
    </row>
    <row r="2933" spans="1:6" s="295" customFormat="1" x14ac:dyDescent="0.15">
      <c r="A2933" s="655" t="s">
        <v>1602</v>
      </c>
      <c r="B2933" s="591"/>
      <c r="C2933" s="287" t="s">
        <v>1334</v>
      </c>
      <c r="D2933" s="287" t="s">
        <v>1462</v>
      </c>
      <c r="E2933" s="656">
        <f>76+107.6</f>
        <v>183.6</v>
      </c>
      <c r="F2933" s="381">
        <v>54.16</v>
      </c>
    </row>
    <row r="2934" spans="1:6" s="295" customFormat="1" x14ac:dyDescent="0.15">
      <c r="A2934" s="655" t="s">
        <v>1546</v>
      </c>
      <c r="B2934" s="591"/>
      <c r="C2934" s="287" t="s">
        <v>1586</v>
      </c>
      <c r="D2934" s="287" t="s">
        <v>1500</v>
      </c>
      <c r="E2934" s="656">
        <v>85.8</v>
      </c>
      <c r="F2934" s="381">
        <v>29.4</v>
      </c>
    </row>
    <row r="2935" spans="1:6" s="295" customFormat="1" x14ac:dyDescent="0.15">
      <c r="A2935" s="655" t="s">
        <v>1549</v>
      </c>
      <c r="B2935" s="591" t="s">
        <v>1625</v>
      </c>
      <c r="C2935" s="287" t="s">
        <v>1459</v>
      </c>
      <c r="D2935" s="287" t="s">
        <v>1251</v>
      </c>
      <c r="E2935" s="656">
        <v>2214</v>
      </c>
      <c r="F2935" s="381">
        <v>406.57</v>
      </c>
    </row>
    <row r="2936" spans="1:6" s="295" customFormat="1" x14ac:dyDescent="0.15">
      <c r="A2936" s="655" t="s">
        <v>1603</v>
      </c>
      <c r="B2936" s="591"/>
      <c r="C2936" s="287" t="s">
        <v>1334</v>
      </c>
      <c r="D2936" s="287" t="s">
        <v>1462</v>
      </c>
      <c r="E2936" s="656">
        <f>568.7+805.7</f>
        <v>1374.4</v>
      </c>
      <c r="F2936" s="381">
        <v>327.48</v>
      </c>
    </row>
    <row r="2937" spans="1:6" s="295" customFormat="1" x14ac:dyDescent="0.15">
      <c r="A2937" s="655" t="s">
        <v>1597</v>
      </c>
      <c r="B2937" s="591" t="s">
        <v>1626</v>
      </c>
      <c r="C2937" s="287" t="s">
        <v>1454</v>
      </c>
      <c r="D2937" s="287" t="s">
        <v>1247</v>
      </c>
      <c r="E2937" s="656">
        <v>4400</v>
      </c>
      <c r="F2937" s="381">
        <v>794.33</v>
      </c>
    </row>
    <row r="2938" spans="1:6" s="295" customFormat="1" x14ac:dyDescent="0.15">
      <c r="A2938" s="655" t="s">
        <v>1677</v>
      </c>
      <c r="B2938" s="591" t="s">
        <v>1678</v>
      </c>
      <c r="C2938" s="287" t="s">
        <v>1313</v>
      </c>
      <c r="D2938" s="287" t="s">
        <v>1412</v>
      </c>
      <c r="E2938" s="656">
        <v>1236</v>
      </c>
      <c r="F2938" s="381">
        <v>249.9</v>
      </c>
    </row>
    <row r="2939" spans="1:6" s="295" customFormat="1" x14ac:dyDescent="0.15">
      <c r="A2939" s="655" t="s">
        <v>1551</v>
      </c>
      <c r="B2939" s="591" t="s">
        <v>1627</v>
      </c>
      <c r="C2939" s="287" t="s">
        <v>1235</v>
      </c>
      <c r="D2939" s="287" t="s">
        <v>1236</v>
      </c>
      <c r="E2939" s="656">
        <v>8294</v>
      </c>
      <c r="F2939" s="381">
        <v>1418.66</v>
      </c>
    </row>
    <row r="2940" spans="1:6" s="295" customFormat="1" x14ac:dyDescent="0.15">
      <c r="A2940" s="655" t="s">
        <v>1553</v>
      </c>
      <c r="B2940" s="591" t="s">
        <v>1628</v>
      </c>
      <c r="C2940" s="287" t="s">
        <v>1475</v>
      </c>
      <c r="D2940" s="287" t="s">
        <v>1387</v>
      </c>
      <c r="E2940" s="656">
        <v>1092</v>
      </c>
      <c r="F2940" s="381">
        <v>223.44</v>
      </c>
    </row>
    <row r="2941" spans="1:6" s="295" customFormat="1" x14ac:dyDescent="0.15">
      <c r="A2941" s="655" t="s">
        <v>1554</v>
      </c>
      <c r="B2941" s="591" t="s">
        <v>1629</v>
      </c>
      <c r="C2941" s="287" t="s">
        <v>1399</v>
      </c>
      <c r="D2941" s="287" t="s">
        <v>1276</v>
      </c>
      <c r="E2941" s="656">
        <v>4160</v>
      </c>
      <c r="F2941" s="381">
        <v>785.51</v>
      </c>
    </row>
    <row r="2942" spans="1:6" s="295" customFormat="1" x14ac:dyDescent="0.15">
      <c r="A2942" s="655" t="s">
        <v>1598</v>
      </c>
      <c r="B2942" s="591"/>
      <c r="C2942" s="287" t="s">
        <v>1586</v>
      </c>
      <c r="D2942" s="287" t="s">
        <v>1500</v>
      </c>
      <c r="E2942" s="656">
        <v>42.9</v>
      </c>
      <c r="F2942" s="381">
        <v>17.399999999999999</v>
      </c>
    </row>
    <row r="2943" spans="1:6" s="295" customFormat="1" x14ac:dyDescent="0.15">
      <c r="A2943" s="655" t="s">
        <v>1662</v>
      </c>
      <c r="B2943" s="657">
        <v>892914652</v>
      </c>
      <c r="C2943" s="287" t="s">
        <v>1663</v>
      </c>
      <c r="D2943" s="287" t="s">
        <v>1664</v>
      </c>
      <c r="E2943" s="656">
        <v>9680</v>
      </c>
      <c r="F2943" s="381">
        <v>1879.37</v>
      </c>
    </row>
    <row r="2944" spans="1:6" s="295" customFormat="1" ht="14" thickBot="1" x14ac:dyDescent="0.2">
      <c r="A2944" s="655"/>
      <c r="B2944" s="591"/>
      <c r="C2944" s="291" t="s">
        <v>1707</v>
      </c>
      <c r="D2944" s="287"/>
      <c r="E2944" s="643">
        <f>SUM(E2920:E2943)</f>
        <v>106575.5</v>
      </c>
      <c r="F2944" s="658">
        <v>19090.54</v>
      </c>
    </row>
    <row r="2945" spans="1:6" s="295" customFormat="1" ht="14" thickTop="1" x14ac:dyDescent="0.15">
      <c r="A2945" s="655"/>
      <c r="B2945" s="591"/>
      <c r="C2945" s="287"/>
      <c r="D2945" s="287"/>
      <c r="E2945" s="524"/>
      <c r="F2945" s="381"/>
    </row>
    <row r="2946" spans="1:6" s="295" customFormat="1" x14ac:dyDescent="0.15">
      <c r="A2946" s="655" t="s">
        <v>1556</v>
      </c>
      <c r="B2946" s="591" t="s">
        <v>1631</v>
      </c>
      <c r="C2946" s="287" t="s">
        <v>1248</v>
      </c>
      <c r="D2946" s="287" t="s">
        <v>1482</v>
      </c>
      <c r="E2946" s="656">
        <v>3979</v>
      </c>
      <c r="F2946" s="381">
        <v>709.96</v>
      </c>
    </row>
    <row r="2947" spans="1:6" s="295" customFormat="1" x14ac:dyDescent="0.15">
      <c r="A2947" s="655" t="s">
        <v>1558</v>
      </c>
      <c r="B2947" s="591" t="s">
        <v>1633</v>
      </c>
      <c r="C2947" s="287" t="s">
        <v>1469</v>
      </c>
      <c r="D2947" s="287" t="s">
        <v>1470</v>
      </c>
      <c r="E2947" s="656">
        <v>6480</v>
      </c>
      <c r="F2947" s="381">
        <v>1198.1199999999999</v>
      </c>
    </row>
    <row r="2948" spans="1:6" s="295" customFormat="1" x14ac:dyDescent="0.15">
      <c r="A2948" s="655" t="s">
        <v>1559</v>
      </c>
      <c r="B2948" s="591" t="s">
        <v>1634</v>
      </c>
      <c r="C2948" s="287" t="s">
        <v>1502</v>
      </c>
      <c r="D2948" s="287" t="s">
        <v>1381</v>
      </c>
      <c r="E2948" s="656">
        <v>9312</v>
      </c>
      <c r="F2948" s="381">
        <v>1696.14</v>
      </c>
    </row>
    <row r="2949" spans="1:6" s="295" customFormat="1" x14ac:dyDescent="0.15">
      <c r="A2949" s="655" t="s">
        <v>1560</v>
      </c>
      <c r="B2949" s="591" t="s">
        <v>1635</v>
      </c>
      <c r="C2949" s="287" t="s">
        <v>1504</v>
      </c>
      <c r="D2949" s="287" t="s">
        <v>1505</v>
      </c>
      <c r="E2949" s="656">
        <v>1510</v>
      </c>
      <c r="F2949" s="381">
        <v>255.71</v>
      </c>
    </row>
    <row r="2950" spans="1:6" s="295" customFormat="1" x14ac:dyDescent="0.15">
      <c r="A2950" s="655" t="s">
        <v>1675</v>
      </c>
      <c r="B2950" s="591" t="s">
        <v>1676</v>
      </c>
      <c r="C2950" s="287" t="s">
        <v>1477</v>
      </c>
      <c r="D2950" s="287" t="s">
        <v>1289</v>
      </c>
      <c r="E2950" s="656">
        <v>11650</v>
      </c>
      <c r="F2950" s="381">
        <v>2017.79</v>
      </c>
    </row>
    <row r="2951" spans="1:6" s="295" customFormat="1" x14ac:dyDescent="0.15">
      <c r="A2951" s="655" t="s">
        <v>1714</v>
      </c>
      <c r="B2951" s="591"/>
      <c r="C2951" s="287" t="s">
        <v>1267</v>
      </c>
      <c r="D2951" s="287" t="s">
        <v>1268</v>
      </c>
      <c r="E2951" s="656">
        <f>1.5+42.9</f>
        <v>44.4</v>
      </c>
      <c r="F2951" s="381">
        <v>13.31</v>
      </c>
    </row>
    <row r="2952" spans="1:6" s="295" customFormat="1" x14ac:dyDescent="0.15">
      <c r="A2952" s="655" t="s">
        <v>1564</v>
      </c>
      <c r="B2952" s="591" t="s">
        <v>1636</v>
      </c>
      <c r="C2952" s="287" t="s">
        <v>1485</v>
      </c>
      <c r="D2952" s="287" t="s">
        <v>1486</v>
      </c>
      <c r="E2952" s="656">
        <v>1520</v>
      </c>
      <c r="F2952" s="381">
        <v>271.87</v>
      </c>
    </row>
    <row r="2953" spans="1:6" s="295" customFormat="1" x14ac:dyDescent="0.15">
      <c r="A2953" s="655" t="s">
        <v>1565</v>
      </c>
      <c r="B2953" s="591" t="s">
        <v>1637</v>
      </c>
      <c r="C2953" s="287" t="s">
        <v>1267</v>
      </c>
      <c r="D2953" s="287" t="s">
        <v>1268</v>
      </c>
      <c r="E2953" s="656">
        <v>2044</v>
      </c>
      <c r="F2953" s="381">
        <v>418.24</v>
      </c>
    </row>
    <row r="2954" spans="1:6" s="295" customFormat="1" x14ac:dyDescent="0.15">
      <c r="A2954" s="655" t="s">
        <v>1569</v>
      </c>
      <c r="B2954" s="591" t="s">
        <v>1638</v>
      </c>
      <c r="C2954" s="287" t="s">
        <v>1464</v>
      </c>
      <c r="D2954" s="287" t="s">
        <v>1285</v>
      </c>
      <c r="E2954" s="656">
        <v>754</v>
      </c>
      <c r="F2954" s="381">
        <v>187.35</v>
      </c>
    </row>
    <row r="2955" spans="1:6" s="295" customFormat="1" x14ac:dyDescent="0.15">
      <c r="A2955" s="655" t="s">
        <v>1711</v>
      </c>
      <c r="B2955" s="591" t="s">
        <v>1712</v>
      </c>
      <c r="C2955" s="287" t="s">
        <v>1713</v>
      </c>
      <c r="D2955" s="287" t="s">
        <v>1419</v>
      </c>
      <c r="E2955" s="656">
        <v>1662</v>
      </c>
      <c r="F2955" s="381">
        <v>340.08</v>
      </c>
    </row>
    <row r="2956" spans="1:6" s="295" customFormat="1" x14ac:dyDescent="0.15">
      <c r="A2956" s="655" t="s">
        <v>1570</v>
      </c>
      <c r="B2956" s="591" t="s">
        <v>1639</v>
      </c>
      <c r="C2956" s="287" t="s">
        <v>1472</v>
      </c>
      <c r="D2956" s="287" t="s">
        <v>1473</v>
      </c>
      <c r="E2956" s="656">
        <v>45</v>
      </c>
      <c r="F2956" s="381">
        <v>35.83</v>
      </c>
    </row>
    <row r="2957" spans="1:6" s="295" customFormat="1" x14ac:dyDescent="0.15">
      <c r="A2957" s="655" t="s">
        <v>1571</v>
      </c>
      <c r="B2957" s="591" t="s">
        <v>1640</v>
      </c>
      <c r="C2957" s="287" t="s">
        <v>1489</v>
      </c>
      <c r="D2957" s="287" t="s">
        <v>1490</v>
      </c>
      <c r="E2957" s="656">
        <v>134</v>
      </c>
      <c r="F2957" s="381">
        <v>47.42</v>
      </c>
    </row>
    <row r="2958" spans="1:6" s="295" customFormat="1" x14ac:dyDescent="0.15">
      <c r="A2958" s="655" t="s">
        <v>1572</v>
      </c>
      <c r="B2958" s="591" t="s">
        <v>1641</v>
      </c>
      <c r="C2958" s="287" t="s">
        <v>1271</v>
      </c>
      <c r="D2958" s="287" t="s">
        <v>1272</v>
      </c>
      <c r="E2958" s="656">
        <v>4739</v>
      </c>
      <c r="F2958" s="381">
        <v>801.19</v>
      </c>
    </row>
    <row r="2959" spans="1:6" s="295" customFormat="1" x14ac:dyDescent="0.15">
      <c r="A2959" s="655" t="s">
        <v>1573</v>
      </c>
      <c r="B2959" s="591"/>
      <c r="C2959" s="287" t="s">
        <v>1461</v>
      </c>
      <c r="D2959" s="287" t="s">
        <v>1703</v>
      </c>
      <c r="E2959" s="656">
        <v>26</v>
      </c>
      <c r="F2959" s="381">
        <v>16.670000000000002</v>
      </c>
    </row>
    <row r="2960" spans="1:6" s="295" customFormat="1" x14ac:dyDescent="0.15">
      <c r="A2960" s="655" t="s">
        <v>1574</v>
      </c>
      <c r="B2960" s="591" t="s">
        <v>1642</v>
      </c>
      <c r="C2960" s="287" t="s">
        <v>1377</v>
      </c>
      <c r="D2960" s="287" t="s">
        <v>1378</v>
      </c>
      <c r="E2960" s="656">
        <v>1528</v>
      </c>
      <c r="F2960" s="381">
        <v>324.95999999999998</v>
      </c>
    </row>
    <row r="2961" spans="1:6" s="295" customFormat="1" x14ac:dyDescent="0.15">
      <c r="A2961" s="655" t="s">
        <v>1575</v>
      </c>
      <c r="B2961" s="591" t="s">
        <v>1685</v>
      </c>
      <c r="C2961" s="287" t="s">
        <v>1448</v>
      </c>
      <c r="D2961" s="287" t="s">
        <v>1449</v>
      </c>
      <c r="E2961" s="656">
        <v>296</v>
      </c>
      <c r="F2961" s="381">
        <v>63.61</v>
      </c>
    </row>
    <row r="2962" spans="1:6" s="295" customFormat="1" x14ac:dyDescent="0.15">
      <c r="A2962" s="655" t="s">
        <v>1604</v>
      </c>
      <c r="B2962" s="591"/>
      <c r="C2962" s="287" t="s">
        <v>1334</v>
      </c>
      <c r="D2962" s="287" t="s">
        <v>1462</v>
      </c>
      <c r="E2962" s="656">
        <f>88.8+125.7</f>
        <v>214.5</v>
      </c>
      <c r="F2962" s="381">
        <v>71.28</v>
      </c>
    </row>
    <row r="2963" spans="1:6" s="295" customFormat="1" x14ac:dyDescent="0.15">
      <c r="A2963" s="655" t="s">
        <v>1576</v>
      </c>
      <c r="B2963" s="591" t="s">
        <v>1644</v>
      </c>
      <c r="C2963" s="287" t="s">
        <v>1401</v>
      </c>
      <c r="D2963" s="287" t="s">
        <v>1316</v>
      </c>
      <c r="E2963" s="656">
        <v>64</v>
      </c>
      <c r="F2963" s="381">
        <v>38.29</v>
      </c>
    </row>
    <row r="2964" spans="1:6" s="295" customFormat="1" x14ac:dyDescent="0.15">
      <c r="A2964" s="655" t="s">
        <v>1605</v>
      </c>
      <c r="B2964" s="591"/>
      <c r="C2964" s="287" t="s">
        <v>1334</v>
      </c>
      <c r="D2964" s="287" t="s">
        <v>1462</v>
      </c>
      <c r="E2964" s="656">
        <f>259+367</f>
        <v>626</v>
      </c>
      <c r="F2964" s="381">
        <v>210.08999999999997</v>
      </c>
    </row>
    <row r="2965" spans="1:6" s="295" customFormat="1" x14ac:dyDescent="0.15">
      <c r="A2965" s="655" t="s">
        <v>1578</v>
      </c>
      <c r="B2965" s="591" t="s">
        <v>1646</v>
      </c>
      <c r="C2965" s="287" t="s">
        <v>1579</v>
      </c>
      <c r="D2965" s="287" t="s">
        <v>1497</v>
      </c>
      <c r="E2965" s="656">
        <f>3+23</f>
        <v>26</v>
      </c>
      <c r="F2965" s="381">
        <v>63.400000000000006</v>
      </c>
    </row>
    <row r="2966" spans="1:6" s="295" customFormat="1" x14ac:dyDescent="0.15">
      <c r="A2966" s="655" t="s">
        <v>1580</v>
      </c>
      <c r="B2966" s="591" t="s">
        <v>1647</v>
      </c>
      <c r="C2966" s="287" t="s">
        <v>1451</v>
      </c>
      <c r="D2966" s="287" t="s">
        <v>1674</v>
      </c>
      <c r="E2966" s="656">
        <v>5184</v>
      </c>
      <c r="F2966" s="381">
        <v>2383.08</v>
      </c>
    </row>
    <row r="2967" spans="1:6" s="295" customFormat="1" x14ac:dyDescent="0.15">
      <c r="A2967" s="655" t="s">
        <v>1581</v>
      </c>
      <c r="B2967" s="591" t="s">
        <v>1648</v>
      </c>
      <c r="C2967" s="287" t="s">
        <v>1521</v>
      </c>
      <c r="D2967" s="287" t="s">
        <v>1229</v>
      </c>
      <c r="E2967" s="656">
        <v>2771</v>
      </c>
      <c r="F2967" s="381">
        <v>501.17</v>
      </c>
    </row>
    <row r="2968" spans="1:6" s="295" customFormat="1" x14ac:dyDescent="0.15">
      <c r="A2968" s="655" t="s">
        <v>1582</v>
      </c>
      <c r="B2968" s="591" t="s">
        <v>1649</v>
      </c>
      <c r="C2968" s="287" t="s">
        <v>1525</v>
      </c>
      <c r="D2968" s="287" t="s">
        <v>1526</v>
      </c>
      <c r="E2968" s="656">
        <v>0</v>
      </c>
      <c r="F2968" s="381">
        <v>6</v>
      </c>
    </row>
    <row r="2969" spans="1:6" s="295" customFormat="1" ht="12" customHeight="1" x14ac:dyDescent="0.15">
      <c r="A2969" s="655" t="s">
        <v>1583</v>
      </c>
      <c r="B2969" s="591" t="s">
        <v>1650</v>
      </c>
      <c r="C2969" s="287" t="s">
        <v>1584</v>
      </c>
      <c r="D2969" s="618" t="s">
        <v>1264</v>
      </c>
      <c r="E2969" s="656">
        <v>1400</v>
      </c>
      <c r="F2969" s="381">
        <v>382.69</v>
      </c>
    </row>
    <row r="2970" spans="1:6" s="295" customFormat="1" x14ac:dyDescent="0.15">
      <c r="A2970" s="655" t="s">
        <v>1666</v>
      </c>
      <c r="B2970" s="591" t="s">
        <v>1672</v>
      </c>
      <c r="C2970" s="287" t="s">
        <v>1667</v>
      </c>
      <c r="D2970" s="287" t="s">
        <v>1668</v>
      </c>
      <c r="E2970" s="656">
        <v>19584</v>
      </c>
      <c r="F2970" s="381">
        <v>5040.03</v>
      </c>
    </row>
    <row r="2971" spans="1:6" s="295" customFormat="1" x14ac:dyDescent="0.15">
      <c r="A2971" s="655" t="s">
        <v>1606</v>
      </c>
      <c r="B2971" s="591"/>
      <c r="C2971" s="287" t="s">
        <v>1334</v>
      </c>
      <c r="D2971" s="287" t="s">
        <v>1462</v>
      </c>
      <c r="E2971" s="656">
        <f>31+44</f>
        <v>75</v>
      </c>
      <c r="F2971" s="381">
        <v>16.420000000000002</v>
      </c>
    </row>
    <row r="2972" spans="1:6" s="295" customFormat="1" ht="14" thickBot="1" x14ac:dyDescent="0.2">
      <c r="A2972" s="655"/>
      <c r="B2972" s="591"/>
      <c r="C2972" s="291" t="s">
        <v>1708</v>
      </c>
      <c r="D2972" s="287"/>
      <c r="E2972" s="643">
        <f>SUM(E2946:E2971)</f>
        <v>75667.899999999994</v>
      </c>
      <c r="F2972" s="658">
        <v>17110.699999999997</v>
      </c>
    </row>
    <row r="2973" spans="1:6" s="295" customFormat="1" ht="14" thickTop="1" x14ac:dyDescent="0.15">
      <c r="A2973" s="655"/>
      <c r="B2973" s="591"/>
      <c r="C2973" s="287"/>
      <c r="D2973" s="287"/>
      <c r="E2973" s="524"/>
      <c r="F2973" s="381"/>
    </row>
    <row r="2974" spans="1:6" s="295" customFormat="1" x14ac:dyDescent="0.15">
      <c r="A2974" s="655"/>
      <c r="B2974" s="591"/>
      <c r="C2974" s="293" t="s">
        <v>1594</v>
      </c>
      <c r="D2974" s="287"/>
      <c r="E2974" s="524"/>
      <c r="F2974" s="381"/>
    </row>
    <row r="2975" spans="1:6" s="295" customFormat="1" x14ac:dyDescent="0.15">
      <c r="A2975" s="655"/>
      <c r="B2975" s="591"/>
      <c r="C2975" s="293" t="s">
        <v>1446</v>
      </c>
      <c r="D2975" s="287"/>
      <c r="E2975" s="524"/>
      <c r="F2975" s="381"/>
    </row>
    <row r="2976" spans="1:6" s="295" customFormat="1" x14ac:dyDescent="0.15">
      <c r="A2976" s="655"/>
      <c r="B2976" s="591"/>
      <c r="C2976" s="386">
        <v>42460</v>
      </c>
      <c r="D2976" s="287"/>
      <c r="E2976" s="524"/>
      <c r="F2976" s="381"/>
    </row>
    <row r="2977" spans="1:6" s="295" customFormat="1" x14ac:dyDescent="0.15">
      <c r="A2977" s="655"/>
      <c r="B2977" s="591"/>
      <c r="C2977" s="287"/>
      <c r="D2977" s="287"/>
      <c r="E2977" s="524"/>
      <c r="F2977" s="381"/>
    </row>
    <row r="2978" spans="1:6" s="295" customFormat="1" ht="14" thickBot="1" x14ac:dyDescent="0.2">
      <c r="A2978" s="663"/>
      <c r="B2978" s="664"/>
      <c r="C2978" s="665" t="s">
        <v>1195</v>
      </c>
      <c r="D2978" s="665"/>
      <c r="E2978" s="666">
        <f>SUM(E2944,E2972)</f>
        <v>182243.4</v>
      </c>
      <c r="F2978" s="667">
        <v>36201.24</v>
      </c>
    </row>
    <row r="2979" spans="1:6" s="295" customFormat="1" x14ac:dyDescent="0.15">
      <c r="A2979" s="655"/>
      <c r="B2979" s="591"/>
      <c r="C2979" s="413"/>
      <c r="D2979" s="413"/>
      <c r="E2979" s="669"/>
      <c r="F2979" s="670"/>
    </row>
    <row r="2980" spans="1:6" s="295" customFormat="1" x14ac:dyDescent="0.15">
      <c r="A2980" s="652" t="s">
        <v>1534</v>
      </c>
      <c r="B2980" s="653" t="s">
        <v>1614</v>
      </c>
      <c r="C2980" s="371" t="s">
        <v>1492</v>
      </c>
      <c r="D2980" s="371" t="s">
        <v>1239</v>
      </c>
      <c r="E2980" s="654">
        <v>10400</v>
      </c>
      <c r="F2980" s="391">
        <v>1530.76</v>
      </c>
    </row>
    <row r="2981" spans="1:6" s="295" customFormat="1" x14ac:dyDescent="0.15">
      <c r="A2981" s="655" t="s">
        <v>1535</v>
      </c>
      <c r="B2981" s="591" t="s">
        <v>1615</v>
      </c>
      <c r="C2981" s="287" t="s">
        <v>1507</v>
      </c>
      <c r="D2981" s="287" t="s">
        <v>1245</v>
      </c>
      <c r="E2981" s="656">
        <v>2720</v>
      </c>
      <c r="F2981" s="381">
        <v>514.37</v>
      </c>
    </row>
    <row r="2982" spans="1:6" s="295" customFormat="1" x14ac:dyDescent="0.15">
      <c r="A2982" s="655" t="s">
        <v>1670</v>
      </c>
      <c r="B2982" s="591" t="s">
        <v>1659</v>
      </c>
      <c r="C2982" s="287" t="s">
        <v>1279</v>
      </c>
      <c r="D2982" s="287" t="s">
        <v>1660</v>
      </c>
      <c r="E2982" s="656">
        <v>8640</v>
      </c>
      <c r="F2982" s="381">
        <v>1280.3599999999999</v>
      </c>
    </row>
    <row r="2983" spans="1:6" s="295" customFormat="1" x14ac:dyDescent="0.15">
      <c r="A2983" s="655" t="s">
        <v>1536</v>
      </c>
      <c r="B2983" s="591" t="s">
        <v>1616</v>
      </c>
      <c r="C2983" s="287" t="s">
        <v>1479</v>
      </c>
      <c r="D2983" s="287" t="s">
        <v>1231</v>
      </c>
      <c r="E2983" s="656">
        <v>4564</v>
      </c>
      <c r="F2983" s="381">
        <v>684.34</v>
      </c>
    </row>
    <row r="2984" spans="1:6" s="295" customFormat="1" x14ac:dyDescent="0.15">
      <c r="A2984" s="655" t="s">
        <v>1537</v>
      </c>
      <c r="B2984" s="591" t="s">
        <v>1617</v>
      </c>
      <c r="C2984" s="287" t="s">
        <v>1269</v>
      </c>
      <c r="D2984" s="287" t="s">
        <v>1270</v>
      </c>
      <c r="E2984" s="656">
        <v>4860</v>
      </c>
      <c r="F2984" s="381">
        <v>737.5</v>
      </c>
    </row>
    <row r="2985" spans="1:6" s="295" customFormat="1" x14ac:dyDescent="0.15">
      <c r="A2985" s="655" t="s">
        <v>1538</v>
      </c>
      <c r="B2985" s="591" t="s">
        <v>1618</v>
      </c>
      <c r="C2985" s="287" t="s">
        <v>1517</v>
      </c>
      <c r="D2985" s="287" t="s">
        <v>1518</v>
      </c>
      <c r="E2985" s="656">
        <v>4</v>
      </c>
      <c r="F2985" s="381">
        <v>30.43</v>
      </c>
    </row>
    <row r="2986" spans="1:6" s="295" customFormat="1" x14ac:dyDescent="0.15">
      <c r="A2986" s="655" t="s">
        <v>1540</v>
      </c>
      <c r="B2986" s="591" t="s">
        <v>1620</v>
      </c>
      <c r="C2986" s="287" t="s">
        <v>1257</v>
      </c>
      <c r="D2986" s="287" t="s">
        <v>1258</v>
      </c>
      <c r="E2986" s="656">
        <v>22480</v>
      </c>
      <c r="F2986" s="381">
        <v>3072.88</v>
      </c>
    </row>
    <row r="2987" spans="1:6" s="295" customFormat="1" x14ac:dyDescent="0.15">
      <c r="A2987" s="655" t="s">
        <v>1541</v>
      </c>
      <c r="B2987" s="591" t="s">
        <v>1621</v>
      </c>
      <c r="C2987" s="287" t="s">
        <v>1586</v>
      </c>
      <c r="D2987" s="287" t="s">
        <v>1500</v>
      </c>
      <c r="E2987" s="656">
        <v>3640</v>
      </c>
      <c r="F2987" s="381">
        <v>602.87</v>
      </c>
    </row>
    <row r="2988" spans="1:6" s="295" customFormat="1" x14ac:dyDescent="0.15">
      <c r="A2988" s="655" t="s">
        <v>1542</v>
      </c>
      <c r="B2988" s="591" t="s">
        <v>1622</v>
      </c>
      <c r="C2988" s="287" t="s">
        <v>1240</v>
      </c>
      <c r="D2988" s="287" t="s">
        <v>1467</v>
      </c>
      <c r="E2988" s="656">
        <v>4220</v>
      </c>
      <c r="F2988" s="381">
        <v>626.14</v>
      </c>
    </row>
    <row r="2989" spans="1:6" s="295" customFormat="1" x14ac:dyDescent="0.15">
      <c r="A2989" s="655" t="s">
        <v>1543</v>
      </c>
      <c r="B2989" s="591" t="s">
        <v>1623</v>
      </c>
      <c r="C2989" s="287" t="s">
        <v>1523</v>
      </c>
      <c r="D2989" s="287" t="s">
        <v>1266</v>
      </c>
      <c r="E2989" s="656">
        <v>510</v>
      </c>
      <c r="F2989" s="381">
        <v>105.49</v>
      </c>
    </row>
    <row r="2990" spans="1:6" s="295" customFormat="1" x14ac:dyDescent="0.15">
      <c r="A2990" s="655" t="s">
        <v>1544</v>
      </c>
      <c r="B2990" s="591" t="s">
        <v>1624</v>
      </c>
      <c r="C2990" s="287" t="s">
        <v>1234</v>
      </c>
      <c r="D2990" s="287" t="s">
        <v>1494</v>
      </c>
      <c r="E2990" s="656">
        <v>4550</v>
      </c>
      <c r="F2990" s="381">
        <v>734.93</v>
      </c>
    </row>
    <row r="2991" spans="1:6" s="295" customFormat="1" x14ac:dyDescent="0.15">
      <c r="A2991" s="655" t="s">
        <v>1601</v>
      </c>
      <c r="B2991" s="591"/>
      <c r="C2991" s="287" t="s">
        <v>1334</v>
      </c>
      <c r="D2991" s="287" t="s">
        <v>1462</v>
      </c>
      <c r="E2991" s="656">
        <f>1187.1+1611.4</f>
        <v>2798.5</v>
      </c>
      <c r="F2991" s="381">
        <v>608.01</v>
      </c>
    </row>
    <row r="2992" spans="1:6" s="295" customFormat="1" x14ac:dyDescent="0.15">
      <c r="A2992" s="655" t="s">
        <v>1545</v>
      </c>
      <c r="B2992" s="591"/>
      <c r="C2992" s="287" t="s">
        <v>1234</v>
      </c>
      <c r="D2992" s="287" t="s">
        <v>1494</v>
      </c>
      <c r="E2992" s="656">
        <v>63.8</v>
      </c>
      <c r="F2992" s="381">
        <v>17.190000000000001</v>
      </c>
    </row>
    <row r="2993" spans="1:6" s="295" customFormat="1" x14ac:dyDescent="0.15">
      <c r="A2993" s="655" t="s">
        <v>1602</v>
      </c>
      <c r="B2993" s="591"/>
      <c r="C2993" s="287" t="s">
        <v>1334</v>
      </c>
      <c r="D2993" s="287" t="s">
        <v>1462</v>
      </c>
      <c r="E2993" s="656">
        <f>66.4+90.2</f>
        <v>156.60000000000002</v>
      </c>
      <c r="F2993" s="381">
        <v>46.64</v>
      </c>
    </row>
    <row r="2994" spans="1:6" s="295" customFormat="1" x14ac:dyDescent="0.15">
      <c r="A2994" s="655" t="s">
        <v>1546</v>
      </c>
      <c r="B2994" s="591"/>
      <c r="C2994" s="287" t="s">
        <v>1586</v>
      </c>
      <c r="D2994" s="287" t="s">
        <v>1500</v>
      </c>
      <c r="E2994" s="656">
        <v>73.2</v>
      </c>
      <c r="F2994" s="381">
        <v>27.72</v>
      </c>
    </row>
    <row r="2995" spans="1:6" s="295" customFormat="1" x14ac:dyDescent="0.15">
      <c r="A2995" s="655" t="s">
        <v>1549</v>
      </c>
      <c r="B2995" s="591" t="s">
        <v>1625</v>
      </c>
      <c r="C2995" s="287" t="s">
        <v>1459</v>
      </c>
      <c r="D2995" s="287" t="s">
        <v>1251</v>
      </c>
      <c r="E2995" s="656">
        <v>1883</v>
      </c>
      <c r="F2995" s="381">
        <v>293.25</v>
      </c>
    </row>
    <row r="2996" spans="1:6" s="295" customFormat="1" x14ac:dyDescent="0.15">
      <c r="A2996" s="655" t="s">
        <v>1603</v>
      </c>
      <c r="B2996" s="591"/>
      <c r="C2996" s="287" t="s">
        <v>1334</v>
      </c>
      <c r="D2996" s="287" t="s">
        <v>1462</v>
      </c>
      <c r="E2996" s="656">
        <f>496.5+673.9</f>
        <v>1170.4000000000001</v>
      </c>
      <c r="F2996" s="381">
        <v>270.86</v>
      </c>
    </row>
    <row r="2997" spans="1:6" s="295" customFormat="1" x14ac:dyDescent="0.15">
      <c r="A2997" s="655" t="s">
        <v>1597</v>
      </c>
      <c r="B2997" s="591" t="s">
        <v>1626</v>
      </c>
      <c r="C2997" s="287" t="s">
        <v>1454</v>
      </c>
      <c r="D2997" s="287" t="s">
        <v>1247</v>
      </c>
      <c r="E2997" s="656">
        <v>4000</v>
      </c>
      <c r="F2997" s="381">
        <v>742.43</v>
      </c>
    </row>
    <row r="2998" spans="1:6" s="295" customFormat="1" x14ac:dyDescent="0.15">
      <c r="A2998" s="655" t="s">
        <v>1677</v>
      </c>
      <c r="B2998" s="591" t="s">
        <v>1678</v>
      </c>
      <c r="C2998" s="287" t="s">
        <v>1313</v>
      </c>
      <c r="D2998" s="287" t="s">
        <v>1412</v>
      </c>
      <c r="E2998" s="656">
        <v>1012</v>
      </c>
      <c r="F2998" s="381">
        <v>195.01</v>
      </c>
    </row>
    <row r="2999" spans="1:6" s="295" customFormat="1" x14ac:dyDescent="0.15">
      <c r="A2999" s="655" t="s">
        <v>1551</v>
      </c>
      <c r="B2999" s="591" t="s">
        <v>1627</v>
      </c>
      <c r="C2999" s="287" t="s">
        <v>1235</v>
      </c>
      <c r="D2999" s="287" t="s">
        <v>1236</v>
      </c>
      <c r="E2999" s="656">
        <v>7795</v>
      </c>
      <c r="F2999" s="381">
        <v>1132.76</v>
      </c>
    </row>
    <row r="3000" spans="1:6" s="295" customFormat="1" x14ac:dyDescent="0.15">
      <c r="A3000" s="655" t="s">
        <v>1553</v>
      </c>
      <c r="B3000" s="591" t="s">
        <v>1628</v>
      </c>
      <c r="C3000" s="287" t="s">
        <v>1475</v>
      </c>
      <c r="D3000" s="287" t="s">
        <v>1387</v>
      </c>
      <c r="E3000" s="656">
        <v>987</v>
      </c>
      <c r="F3000" s="381">
        <v>178.89</v>
      </c>
    </row>
    <row r="3001" spans="1:6" s="295" customFormat="1" x14ac:dyDescent="0.15">
      <c r="A3001" s="655" t="s">
        <v>1554</v>
      </c>
      <c r="B3001" s="591" t="s">
        <v>1629</v>
      </c>
      <c r="C3001" s="287" t="s">
        <v>1399</v>
      </c>
      <c r="D3001" s="287" t="s">
        <v>1276</v>
      </c>
      <c r="E3001" s="656">
        <v>4000</v>
      </c>
      <c r="F3001" s="381">
        <v>670.13</v>
      </c>
    </row>
    <row r="3002" spans="1:6" s="295" customFormat="1" x14ac:dyDescent="0.15">
      <c r="A3002" s="655" t="s">
        <v>1598</v>
      </c>
      <c r="B3002" s="591"/>
      <c r="C3002" s="287" t="s">
        <v>1586</v>
      </c>
      <c r="D3002" s="287" t="s">
        <v>1500</v>
      </c>
      <c r="E3002" s="656">
        <v>36.6</v>
      </c>
      <c r="F3002" s="381">
        <v>15.74</v>
      </c>
    </row>
    <row r="3003" spans="1:6" s="295" customFormat="1" x14ac:dyDescent="0.15">
      <c r="A3003" s="655" t="s">
        <v>1662</v>
      </c>
      <c r="B3003" s="657">
        <v>892914652</v>
      </c>
      <c r="C3003" s="287" t="s">
        <v>1663</v>
      </c>
      <c r="D3003" s="287" t="s">
        <v>1664</v>
      </c>
      <c r="E3003" s="656">
        <v>9280</v>
      </c>
      <c r="F3003" s="381">
        <v>1520.38</v>
      </c>
    </row>
    <row r="3004" spans="1:6" s="295" customFormat="1" ht="14" thickBot="1" x14ac:dyDescent="0.2">
      <c r="A3004" s="655"/>
      <c r="B3004" s="591"/>
      <c r="C3004" s="291" t="s">
        <v>1709</v>
      </c>
      <c r="D3004" s="287"/>
      <c r="E3004" s="643">
        <f>SUM(E2980:E3003)</f>
        <v>99844.1</v>
      </c>
      <c r="F3004" s="658">
        <v>15639.079999999998</v>
      </c>
    </row>
    <row r="3005" spans="1:6" s="295" customFormat="1" ht="14" thickTop="1" x14ac:dyDescent="0.15">
      <c r="A3005" s="655"/>
      <c r="B3005" s="591"/>
      <c r="C3005" s="287"/>
      <c r="D3005" s="287"/>
      <c r="E3005" s="524"/>
      <c r="F3005" s="381"/>
    </row>
    <row r="3006" spans="1:6" s="295" customFormat="1" x14ac:dyDescent="0.15">
      <c r="A3006" s="655" t="s">
        <v>1556</v>
      </c>
      <c r="B3006" s="591" t="s">
        <v>1631</v>
      </c>
      <c r="C3006" s="287" t="s">
        <v>1248</v>
      </c>
      <c r="D3006" s="287" t="s">
        <v>1482</v>
      </c>
      <c r="E3006" s="656">
        <v>3437</v>
      </c>
      <c r="F3006" s="381">
        <v>537.07000000000005</v>
      </c>
    </row>
    <row r="3007" spans="1:6" s="295" customFormat="1" x14ac:dyDescent="0.15">
      <c r="A3007" s="655" t="s">
        <v>1714</v>
      </c>
      <c r="B3007" s="591"/>
      <c r="C3007" s="287" t="s">
        <v>1267</v>
      </c>
      <c r="D3007" s="287" t="s">
        <v>1268</v>
      </c>
      <c r="E3007" s="656">
        <v>36.6</v>
      </c>
      <c r="F3007" s="381">
        <v>11.62</v>
      </c>
    </row>
    <row r="3008" spans="1:6" s="295" customFormat="1" x14ac:dyDescent="0.15">
      <c r="A3008" s="655" t="s">
        <v>1558</v>
      </c>
      <c r="B3008" s="591" t="s">
        <v>1633</v>
      </c>
      <c r="C3008" s="287" t="s">
        <v>1469</v>
      </c>
      <c r="D3008" s="287" t="s">
        <v>1470</v>
      </c>
      <c r="E3008" s="656">
        <v>5920</v>
      </c>
      <c r="F3008" s="381">
        <v>959.57</v>
      </c>
    </row>
    <row r="3009" spans="1:6" s="295" customFormat="1" x14ac:dyDescent="0.15">
      <c r="A3009" s="655" t="s">
        <v>1559</v>
      </c>
      <c r="B3009" s="591" t="s">
        <v>1634</v>
      </c>
      <c r="C3009" s="287" t="s">
        <v>1502</v>
      </c>
      <c r="D3009" s="287" t="s">
        <v>1381</v>
      </c>
      <c r="E3009" s="656">
        <v>8640</v>
      </c>
      <c r="F3009" s="381">
        <v>1463.12</v>
      </c>
    </row>
    <row r="3010" spans="1:6" s="295" customFormat="1" x14ac:dyDescent="0.15">
      <c r="A3010" s="655" t="s">
        <v>1560</v>
      </c>
      <c r="B3010" s="591" t="s">
        <v>1635</v>
      </c>
      <c r="C3010" s="287" t="s">
        <v>1504</v>
      </c>
      <c r="D3010" s="287" t="s">
        <v>1505</v>
      </c>
      <c r="E3010" s="656">
        <v>1371</v>
      </c>
      <c r="F3010" s="381">
        <v>225.02</v>
      </c>
    </row>
    <row r="3011" spans="1:6" s="295" customFormat="1" x14ac:dyDescent="0.15">
      <c r="A3011" s="655" t="s">
        <v>1675</v>
      </c>
      <c r="B3011" s="591" t="s">
        <v>1676</v>
      </c>
      <c r="C3011" s="287" t="s">
        <v>1477</v>
      </c>
      <c r="D3011" s="287" t="s">
        <v>1289</v>
      </c>
      <c r="E3011" s="656">
        <v>10390</v>
      </c>
      <c r="F3011" s="381">
        <v>1611.52</v>
      </c>
    </row>
    <row r="3012" spans="1:6" s="295" customFormat="1" x14ac:dyDescent="0.15">
      <c r="A3012" s="655" t="s">
        <v>1564</v>
      </c>
      <c r="B3012" s="591" t="s">
        <v>1636</v>
      </c>
      <c r="C3012" s="287" t="s">
        <v>1485</v>
      </c>
      <c r="D3012" s="287" t="s">
        <v>1486</v>
      </c>
      <c r="E3012" s="656">
        <v>1320</v>
      </c>
      <c r="F3012" s="381">
        <v>256.86</v>
      </c>
    </row>
    <row r="3013" spans="1:6" s="295" customFormat="1" x14ac:dyDescent="0.15">
      <c r="A3013" s="655" t="s">
        <v>1565</v>
      </c>
      <c r="B3013" s="591" t="s">
        <v>1637</v>
      </c>
      <c r="C3013" s="287" t="s">
        <v>1267</v>
      </c>
      <c r="D3013" s="287" t="s">
        <v>1268</v>
      </c>
      <c r="E3013" s="656">
        <v>1993</v>
      </c>
      <c r="F3013" s="381">
        <v>361.24</v>
      </c>
    </row>
    <row r="3014" spans="1:6" s="295" customFormat="1" x14ac:dyDescent="0.15">
      <c r="A3014" s="655" t="s">
        <v>1569</v>
      </c>
      <c r="B3014" s="591" t="s">
        <v>1638</v>
      </c>
      <c r="C3014" s="287" t="s">
        <v>1464</v>
      </c>
      <c r="D3014" s="287" t="s">
        <v>1285</v>
      </c>
      <c r="E3014" s="656">
        <v>535</v>
      </c>
      <c r="F3014" s="381">
        <v>130.4</v>
      </c>
    </row>
    <row r="3015" spans="1:6" s="295" customFormat="1" x14ac:dyDescent="0.15">
      <c r="A3015" s="655" t="s">
        <v>1711</v>
      </c>
      <c r="B3015" s="591" t="s">
        <v>1712</v>
      </c>
      <c r="C3015" s="287" t="s">
        <v>1713</v>
      </c>
      <c r="D3015" s="287" t="s">
        <v>1419</v>
      </c>
      <c r="E3015" s="656">
        <v>1261</v>
      </c>
      <c r="F3015" s="381">
        <v>228.55</v>
      </c>
    </row>
    <row r="3016" spans="1:6" s="295" customFormat="1" x14ac:dyDescent="0.15">
      <c r="A3016" s="655" t="s">
        <v>1570</v>
      </c>
      <c r="B3016" s="591" t="s">
        <v>1639</v>
      </c>
      <c r="C3016" s="287" t="s">
        <v>1472</v>
      </c>
      <c r="D3016" s="287" t="s">
        <v>1473</v>
      </c>
      <c r="E3016" s="656">
        <v>58</v>
      </c>
      <c r="F3016" s="381">
        <v>36.049999999999997</v>
      </c>
    </row>
    <row r="3017" spans="1:6" s="295" customFormat="1" x14ac:dyDescent="0.15">
      <c r="A3017" s="655" t="s">
        <v>1571</v>
      </c>
      <c r="B3017" s="591" t="s">
        <v>1640</v>
      </c>
      <c r="C3017" s="287" t="s">
        <v>1489</v>
      </c>
      <c r="D3017" s="287" t="s">
        <v>1490</v>
      </c>
      <c r="E3017" s="656">
        <v>105</v>
      </c>
      <c r="F3017" s="381">
        <v>40.94</v>
      </c>
    </row>
    <row r="3018" spans="1:6" s="295" customFormat="1" x14ac:dyDescent="0.15">
      <c r="A3018" s="655" t="s">
        <v>1572</v>
      </c>
      <c r="B3018" s="591" t="s">
        <v>1641</v>
      </c>
      <c r="C3018" s="287" t="s">
        <v>1271</v>
      </c>
      <c r="D3018" s="287" t="s">
        <v>1272</v>
      </c>
      <c r="E3018" s="656">
        <v>4309</v>
      </c>
      <c r="F3018" s="381">
        <v>650.29999999999995</v>
      </c>
    </row>
    <row r="3019" spans="1:6" s="295" customFormat="1" x14ac:dyDescent="0.15">
      <c r="A3019" s="655" t="s">
        <v>1573</v>
      </c>
      <c r="B3019" s="591"/>
      <c r="C3019" s="287" t="s">
        <v>1461</v>
      </c>
      <c r="D3019" s="287" t="s">
        <v>1703</v>
      </c>
      <c r="E3019" s="656">
        <v>26</v>
      </c>
      <c r="F3019" s="381">
        <v>16.34</v>
      </c>
    </row>
    <row r="3020" spans="1:6" s="295" customFormat="1" x14ac:dyDescent="0.15">
      <c r="A3020" s="655" t="s">
        <v>1574</v>
      </c>
      <c r="B3020" s="591" t="s">
        <v>1642</v>
      </c>
      <c r="C3020" s="287" t="s">
        <v>1377</v>
      </c>
      <c r="D3020" s="287" t="s">
        <v>1378</v>
      </c>
      <c r="E3020" s="656">
        <v>1485</v>
      </c>
      <c r="F3020" s="381">
        <v>266.63</v>
      </c>
    </row>
    <row r="3021" spans="1:6" s="295" customFormat="1" x14ac:dyDescent="0.15">
      <c r="A3021" s="655" t="s">
        <v>1575</v>
      </c>
      <c r="B3021" s="591" t="s">
        <v>1685</v>
      </c>
      <c r="C3021" s="287" t="s">
        <v>1448</v>
      </c>
      <c r="D3021" s="287" t="s">
        <v>1449</v>
      </c>
      <c r="E3021" s="656">
        <v>267</v>
      </c>
      <c r="F3021" s="381">
        <v>57.95</v>
      </c>
    </row>
    <row r="3022" spans="1:6" s="295" customFormat="1" x14ac:dyDescent="0.15">
      <c r="A3022" s="655" t="s">
        <v>1604</v>
      </c>
      <c r="B3022" s="591"/>
      <c r="C3022" s="287" t="s">
        <v>1334</v>
      </c>
      <c r="D3022" s="287" t="s">
        <v>1462</v>
      </c>
      <c r="E3022" s="656">
        <f>77.6+105.4</f>
        <v>183</v>
      </c>
      <c r="F3022" s="381">
        <v>62.510000000000005</v>
      </c>
    </row>
    <row r="3023" spans="1:6" s="295" customFormat="1" x14ac:dyDescent="0.15">
      <c r="A3023" s="655" t="s">
        <v>1576</v>
      </c>
      <c r="B3023" s="591" t="s">
        <v>1644</v>
      </c>
      <c r="C3023" s="287" t="s">
        <v>1401</v>
      </c>
      <c r="D3023" s="287" t="s">
        <v>1316</v>
      </c>
      <c r="E3023" s="656">
        <v>43</v>
      </c>
      <c r="F3023" s="381">
        <v>34.49</v>
      </c>
    </row>
    <row r="3024" spans="1:6" s="295" customFormat="1" x14ac:dyDescent="0.15">
      <c r="A3024" s="655" t="s">
        <v>1605</v>
      </c>
      <c r="B3024" s="591"/>
      <c r="C3024" s="287" t="s">
        <v>1334</v>
      </c>
      <c r="D3024" s="287" t="s">
        <v>1462</v>
      </c>
      <c r="E3024" s="656">
        <f>226.5+307.5</f>
        <v>534</v>
      </c>
      <c r="F3024" s="381">
        <v>184.4</v>
      </c>
    </row>
    <row r="3025" spans="1:6" s="295" customFormat="1" x14ac:dyDescent="0.15">
      <c r="A3025" s="655" t="s">
        <v>1578</v>
      </c>
      <c r="B3025" s="591" t="s">
        <v>1646</v>
      </c>
      <c r="C3025" s="287" t="s">
        <v>1579</v>
      </c>
      <c r="D3025" s="287" t="s">
        <v>1497</v>
      </c>
      <c r="E3025" s="656">
        <v>20</v>
      </c>
      <c r="F3025" s="381">
        <v>32.1</v>
      </c>
    </row>
    <row r="3026" spans="1:6" s="295" customFormat="1" x14ac:dyDescent="0.15">
      <c r="A3026" s="655" t="s">
        <v>1580</v>
      </c>
      <c r="B3026" s="591" t="s">
        <v>1647</v>
      </c>
      <c r="C3026" s="287" t="s">
        <v>1451</v>
      </c>
      <c r="D3026" s="287" t="s">
        <v>1674</v>
      </c>
      <c r="E3026" s="656">
        <v>5184</v>
      </c>
      <c r="F3026" s="381">
        <v>2280.58</v>
      </c>
    </row>
    <row r="3027" spans="1:6" s="295" customFormat="1" x14ac:dyDescent="0.15">
      <c r="A3027" s="655" t="s">
        <v>1581</v>
      </c>
      <c r="B3027" s="591" t="s">
        <v>1648</v>
      </c>
      <c r="C3027" s="287" t="s">
        <v>1521</v>
      </c>
      <c r="D3027" s="287" t="s">
        <v>1229</v>
      </c>
      <c r="E3027" s="656">
        <v>2525</v>
      </c>
      <c r="F3027" s="381">
        <v>397.37</v>
      </c>
    </row>
    <row r="3028" spans="1:6" s="295" customFormat="1" x14ac:dyDescent="0.15">
      <c r="A3028" s="655" t="s">
        <v>1582</v>
      </c>
      <c r="B3028" s="591" t="s">
        <v>1649</v>
      </c>
      <c r="C3028" s="287" t="s">
        <v>1525</v>
      </c>
      <c r="D3028" s="287" t="s">
        <v>1526</v>
      </c>
      <c r="E3028" s="656">
        <v>23</v>
      </c>
      <c r="F3028" s="381">
        <v>9.94</v>
      </c>
    </row>
    <row r="3029" spans="1:6" s="295" customFormat="1" ht="14" x14ac:dyDescent="0.15">
      <c r="A3029" s="655" t="s">
        <v>1583</v>
      </c>
      <c r="B3029" s="591" t="s">
        <v>1650</v>
      </c>
      <c r="C3029" s="287" t="s">
        <v>1584</v>
      </c>
      <c r="D3029" s="618" t="s">
        <v>1264</v>
      </c>
      <c r="E3029" s="656">
        <v>1360</v>
      </c>
      <c r="F3029" s="381">
        <v>332.89</v>
      </c>
    </row>
    <row r="3030" spans="1:6" s="295" customFormat="1" x14ac:dyDescent="0.15">
      <c r="A3030" s="655" t="s">
        <v>1666</v>
      </c>
      <c r="B3030" s="591" t="s">
        <v>1672</v>
      </c>
      <c r="C3030" s="287" t="s">
        <v>1667</v>
      </c>
      <c r="D3030" s="287" t="s">
        <v>1668</v>
      </c>
      <c r="E3030" s="656">
        <v>18816</v>
      </c>
      <c r="F3030" s="381">
        <v>4497.55</v>
      </c>
    </row>
    <row r="3031" spans="1:6" s="295" customFormat="1" x14ac:dyDescent="0.15">
      <c r="A3031" s="655" t="s">
        <v>1606</v>
      </c>
      <c r="B3031" s="591"/>
      <c r="C3031" s="287" t="s">
        <v>1334</v>
      </c>
      <c r="D3031" s="287" t="s">
        <v>1462</v>
      </c>
      <c r="E3031" s="656">
        <f>27.1+36.7</f>
        <v>63.800000000000004</v>
      </c>
      <c r="F3031" s="381">
        <v>13.29</v>
      </c>
    </row>
    <row r="3032" spans="1:6" s="295" customFormat="1" ht="14" thickBot="1" x14ac:dyDescent="0.2">
      <c r="A3032" s="655"/>
      <c r="B3032" s="591"/>
      <c r="C3032" s="291" t="s">
        <v>1710</v>
      </c>
      <c r="D3032" s="287"/>
      <c r="E3032" s="643">
        <f>SUM(E3006:E3031)</f>
        <v>69905.400000000009</v>
      </c>
      <c r="F3032" s="658">
        <v>14698.300000000001</v>
      </c>
    </row>
    <row r="3033" spans="1:6" s="295" customFormat="1" ht="14" thickTop="1" x14ac:dyDescent="0.15">
      <c r="A3033" s="655"/>
      <c r="B3033" s="591"/>
      <c r="C3033" s="287"/>
      <c r="D3033" s="287"/>
      <c r="E3033" s="524"/>
      <c r="F3033" s="381"/>
    </row>
    <row r="3034" spans="1:6" s="295" customFormat="1" x14ac:dyDescent="0.15">
      <c r="A3034" s="655"/>
      <c r="B3034" s="591"/>
      <c r="C3034" s="293" t="s">
        <v>1594</v>
      </c>
      <c r="D3034" s="287"/>
      <c r="E3034" s="524"/>
      <c r="F3034" s="381"/>
    </row>
    <row r="3035" spans="1:6" s="295" customFormat="1" x14ac:dyDescent="0.15">
      <c r="A3035" s="655"/>
      <c r="B3035" s="591"/>
      <c r="C3035" s="293" t="s">
        <v>1446</v>
      </c>
      <c r="D3035" s="287"/>
      <c r="E3035" s="524"/>
      <c r="F3035" s="381"/>
    </row>
    <row r="3036" spans="1:6" s="295" customFormat="1" x14ac:dyDescent="0.15">
      <c r="A3036" s="655"/>
      <c r="B3036" s="591"/>
      <c r="C3036" s="386">
        <v>42490</v>
      </c>
      <c r="D3036" s="287"/>
      <c r="E3036" s="524"/>
      <c r="F3036" s="381"/>
    </row>
    <row r="3037" spans="1:6" s="295" customFormat="1" x14ac:dyDescent="0.15">
      <c r="A3037" s="655"/>
      <c r="B3037" s="591"/>
      <c r="C3037" s="287"/>
      <c r="D3037" s="287"/>
      <c r="E3037" s="524"/>
      <c r="F3037" s="381"/>
    </row>
    <row r="3038" spans="1:6" s="295" customFormat="1" ht="14" thickBot="1" x14ac:dyDescent="0.2">
      <c r="A3038" s="663"/>
      <c r="B3038" s="664"/>
      <c r="C3038" s="665" t="s">
        <v>1196</v>
      </c>
      <c r="D3038" s="665"/>
      <c r="E3038" s="666">
        <f>SUM(E3004,E3032)</f>
        <v>169749.5</v>
      </c>
      <c r="F3038" s="667">
        <v>30337.380000000005</v>
      </c>
    </row>
    <row r="3039" spans="1:6" s="295" customFormat="1" x14ac:dyDescent="0.15">
      <c r="A3039" s="655"/>
      <c r="B3039" s="591"/>
      <c r="C3039" s="413"/>
      <c r="D3039" s="413"/>
      <c r="E3039" s="669"/>
      <c r="F3039" s="670"/>
    </row>
    <row r="3040" spans="1:6" s="295" customFormat="1" x14ac:dyDescent="0.15">
      <c r="A3040" s="652" t="s">
        <v>1534</v>
      </c>
      <c r="B3040" s="653" t="s">
        <v>1614</v>
      </c>
      <c r="C3040" s="371" t="s">
        <v>1492</v>
      </c>
      <c r="D3040" s="371" t="s">
        <v>1239</v>
      </c>
      <c r="E3040" s="654">
        <v>8720</v>
      </c>
      <c r="F3040" s="391">
        <v>1348.17</v>
      </c>
    </row>
    <row r="3041" spans="1:6" s="295" customFormat="1" x14ac:dyDescent="0.15">
      <c r="A3041" s="655" t="s">
        <v>1535</v>
      </c>
      <c r="B3041" s="591" t="s">
        <v>1615</v>
      </c>
      <c r="C3041" s="287" t="s">
        <v>1507</v>
      </c>
      <c r="D3041" s="287" t="s">
        <v>1245</v>
      </c>
      <c r="E3041" s="656">
        <v>2640</v>
      </c>
      <c r="F3041" s="381">
        <v>468.86</v>
      </c>
    </row>
    <row r="3042" spans="1:6" s="295" customFormat="1" x14ac:dyDescent="0.15">
      <c r="A3042" s="655" t="s">
        <v>1670</v>
      </c>
      <c r="B3042" s="591" t="s">
        <v>1659</v>
      </c>
      <c r="C3042" s="287" t="s">
        <v>1279</v>
      </c>
      <c r="D3042" s="287" t="s">
        <v>1660</v>
      </c>
      <c r="E3042" s="656">
        <v>7680</v>
      </c>
      <c r="F3042" s="381">
        <v>1135.6300000000001</v>
      </c>
    </row>
    <row r="3043" spans="1:6" s="295" customFormat="1" x14ac:dyDescent="0.15">
      <c r="A3043" s="655" t="s">
        <v>1536</v>
      </c>
      <c r="B3043" s="591" t="s">
        <v>1616</v>
      </c>
      <c r="C3043" s="287" t="s">
        <v>1479</v>
      </c>
      <c r="D3043" s="287" t="s">
        <v>1231</v>
      </c>
      <c r="E3043" s="656">
        <v>3763</v>
      </c>
      <c r="F3043" s="381">
        <v>585.94000000000005</v>
      </c>
    </row>
    <row r="3044" spans="1:6" s="295" customFormat="1" x14ac:dyDescent="0.15">
      <c r="A3044" s="655" t="s">
        <v>1537</v>
      </c>
      <c r="B3044" s="591" t="s">
        <v>1617</v>
      </c>
      <c r="C3044" s="287" t="s">
        <v>1269</v>
      </c>
      <c r="D3044" s="287" t="s">
        <v>1270</v>
      </c>
      <c r="E3044" s="656">
        <v>3628</v>
      </c>
      <c r="F3044" s="381">
        <v>571.86</v>
      </c>
    </row>
    <row r="3045" spans="1:6" s="295" customFormat="1" x14ac:dyDescent="0.15">
      <c r="A3045" s="655" t="s">
        <v>1538</v>
      </c>
      <c r="B3045" s="591" t="s">
        <v>1618</v>
      </c>
      <c r="C3045" s="287" t="s">
        <v>1517</v>
      </c>
      <c r="D3045" s="287" t="s">
        <v>1518</v>
      </c>
      <c r="E3045" s="656">
        <v>3</v>
      </c>
      <c r="F3045" s="381">
        <v>30.33</v>
      </c>
    </row>
    <row r="3046" spans="1:6" s="295" customFormat="1" x14ac:dyDescent="0.15">
      <c r="A3046" s="655" t="s">
        <v>1540</v>
      </c>
      <c r="B3046" s="591" t="s">
        <v>1620</v>
      </c>
      <c r="C3046" s="287" t="s">
        <v>1257</v>
      </c>
      <c r="D3046" s="287" t="s">
        <v>1258</v>
      </c>
      <c r="E3046" s="656">
        <v>19760</v>
      </c>
      <c r="F3046" s="381">
        <v>2833.87</v>
      </c>
    </row>
    <row r="3047" spans="1:6" s="295" customFormat="1" x14ac:dyDescent="0.15">
      <c r="A3047" s="655" t="s">
        <v>1541</v>
      </c>
      <c r="B3047" s="591" t="s">
        <v>1621</v>
      </c>
      <c r="C3047" s="287" t="s">
        <v>1586</v>
      </c>
      <c r="D3047" s="287" t="s">
        <v>1500</v>
      </c>
      <c r="E3047" s="656">
        <v>3200</v>
      </c>
      <c r="F3047" s="381">
        <v>564.42999999999995</v>
      </c>
    </row>
    <row r="3048" spans="1:6" s="295" customFormat="1" x14ac:dyDescent="0.15">
      <c r="A3048" s="655" t="s">
        <v>1542</v>
      </c>
      <c r="B3048" s="591" t="s">
        <v>1622</v>
      </c>
      <c r="C3048" s="287" t="s">
        <v>1240</v>
      </c>
      <c r="D3048" s="287" t="s">
        <v>1467</v>
      </c>
      <c r="E3048" s="656">
        <v>3694</v>
      </c>
      <c r="F3048" s="381">
        <v>556.45000000000005</v>
      </c>
    </row>
    <row r="3049" spans="1:6" s="295" customFormat="1" x14ac:dyDescent="0.15">
      <c r="A3049" s="655" t="s">
        <v>1543</v>
      </c>
      <c r="B3049" s="591" t="s">
        <v>1623</v>
      </c>
      <c r="C3049" s="287" t="s">
        <v>1523</v>
      </c>
      <c r="D3049" s="287" t="s">
        <v>1266</v>
      </c>
      <c r="E3049" s="656">
        <v>555</v>
      </c>
      <c r="F3049" s="381">
        <v>117.63</v>
      </c>
    </row>
    <row r="3050" spans="1:6" s="295" customFormat="1" x14ac:dyDescent="0.15">
      <c r="A3050" s="655" t="s">
        <v>1544</v>
      </c>
      <c r="B3050" s="591" t="s">
        <v>1624</v>
      </c>
      <c r="C3050" s="287" t="s">
        <v>1234</v>
      </c>
      <c r="D3050" s="287" t="s">
        <v>1494</v>
      </c>
      <c r="E3050" s="656">
        <v>3886</v>
      </c>
      <c r="F3050" s="381">
        <v>665.7</v>
      </c>
    </row>
    <row r="3051" spans="1:6" s="295" customFormat="1" x14ac:dyDescent="0.15">
      <c r="A3051" s="655" t="s">
        <v>1601</v>
      </c>
      <c r="B3051" s="591"/>
      <c r="C3051" s="287" t="s">
        <v>1334</v>
      </c>
      <c r="D3051" s="287" t="s">
        <v>1462</v>
      </c>
      <c r="E3051" s="656">
        <v>2528.8000000000002</v>
      </c>
      <c r="F3051" s="381">
        <v>591.42999999999995</v>
      </c>
    </row>
    <row r="3052" spans="1:6" s="295" customFormat="1" x14ac:dyDescent="0.15">
      <c r="A3052" s="655" t="s">
        <v>1545</v>
      </c>
      <c r="B3052" s="591"/>
      <c r="C3052" s="287" t="s">
        <v>1234</v>
      </c>
      <c r="D3052" s="287" t="s">
        <v>1494</v>
      </c>
      <c r="E3052" s="656">
        <v>57.7</v>
      </c>
      <c r="F3052" s="381">
        <v>16.440000000000001</v>
      </c>
    </row>
    <row r="3053" spans="1:6" s="295" customFormat="1" x14ac:dyDescent="0.15">
      <c r="A3053" s="655" t="s">
        <v>1602</v>
      </c>
      <c r="B3053" s="591"/>
      <c r="C3053" s="287" t="s">
        <v>1334</v>
      </c>
      <c r="D3053" s="287" t="s">
        <v>1462</v>
      </c>
      <c r="E3053" s="656">
        <v>141</v>
      </c>
      <c r="F3053" s="381">
        <v>45.63</v>
      </c>
    </row>
    <row r="3054" spans="1:6" s="295" customFormat="1" x14ac:dyDescent="0.15">
      <c r="A3054" s="655" t="s">
        <v>1546</v>
      </c>
      <c r="B3054" s="591"/>
      <c r="C3054" s="287" t="s">
        <v>1586</v>
      </c>
      <c r="D3054" s="287" t="s">
        <v>1500</v>
      </c>
      <c r="E3054" s="656">
        <v>66</v>
      </c>
      <c r="F3054" s="381">
        <v>26.82</v>
      </c>
    </row>
    <row r="3055" spans="1:6" s="295" customFormat="1" x14ac:dyDescent="0.15">
      <c r="A3055" s="655" t="s">
        <v>1549</v>
      </c>
      <c r="B3055" s="591" t="s">
        <v>1625</v>
      </c>
      <c r="C3055" s="287" t="s">
        <v>1459</v>
      </c>
      <c r="D3055" s="287" t="s">
        <v>1251</v>
      </c>
      <c r="E3055" s="656">
        <v>1414</v>
      </c>
      <c r="F3055" s="381">
        <v>236.92</v>
      </c>
    </row>
    <row r="3056" spans="1:6" s="295" customFormat="1" x14ac:dyDescent="0.15">
      <c r="A3056" s="655" t="s">
        <v>1603</v>
      </c>
      <c r="B3056" s="591"/>
      <c r="C3056" s="287" t="s">
        <v>1334</v>
      </c>
      <c r="D3056" s="287" t="s">
        <v>1462</v>
      </c>
      <c r="E3056" s="656">
        <v>1057.5999999999999</v>
      </c>
      <c r="F3056" s="381">
        <v>264.07</v>
      </c>
    </row>
    <row r="3057" spans="1:6" s="295" customFormat="1" x14ac:dyDescent="0.15">
      <c r="A3057" s="655" t="s">
        <v>1597</v>
      </c>
      <c r="B3057" s="591" t="s">
        <v>1626</v>
      </c>
      <c r="C3057" s="287" t="s">
        <v>1454</v>
      </c>
      <c r="D3057" s="287" t="s">
        <v>1247</v>
      </c>
      <c r="E3057" s="656">
        <v>3400</v>
      </c>
      <c r="F3057" s="381">
        <v>555.52</v>
      </c>
    </row>
    <row r="3058" spans="1:6" s="295" customFormat="1" x14ac:dyDescent="0.15">
      <c r="A3058" s="655" t="s">
        <v>1677</v>
      </c>
      <c r="B3058" s="591" t="s">
        <v>1678</v>
      </c>
      <c r="C3058" s="287" t="s">
        <v>1313</v>
      </c>
      <c r="D3058" s="287" t="s">
        <v>1412</v>
      </c>
      <c r="E3058" s="656">
        <v>1033</v>
      </c>
      <c r="F3058" s="381">
        <v>204.63</v>
      </c>
    </row>
    <row r="3059" spans="1:6" s="295" customFormat="1" x14ac:dyDescent="0.15">
      <c r="A3059" s="655" t="s">
        <v>1551</v>
      </c>
      <c r="B3059" s="591" t="s">
        <v>1627</v>
      </c>
      <c r="C3059" s="287" t="s">
        <v>1235</v>
      </c>
      <c r="D3059" s="287" t="s">
        <v>1236</v>
      </c>
      <c r="E3059" s="656">
        <v>7008</v>
      </c>
      <c r="F3059" s="381">
        <v>1058.1199999999999</v>
      </c>
    </row>
    <row r="3060" spans="1:6" s="295" customFormat="1" x14ac:dyDescent="0.15">
      <c r="A3060" s="655" t="s">
        <v>1553</v>
      </c>
      <c r="B3060" s="591" t="s">
        <v>1628</v>
      </c>
      <c r="C3060" s="287" t="s">
        <v>1475</v>
      </c>
      <c r="D3060" s="287" t="s">
        <v>1387</v>
      </c>
      <c r="E3060" s="656">
        <v>755</v>
      </c>
      <c r="F3060" s="381">
        <v>136.86000000000001</v>
      </c>
    </row>
    <row r="3061" spans="1:6" s="295" customFormat="1" x14ac:dyDescent="0.15">
      <c r="A3061" s="655" t="s">
        <v>1554</v>
      </c>
      <c r="B3061" s="591" t="s">
        <v>1629</v>
      </c>
      <c r="C3061" s="287" t="s">
        <v>1399</v>
      </c>
      <c r="D3061" s="287" t="s">
        <v>1276</v>
      </c>
      <c r="E3061" s="656">
        <v>3840</v>
      </c>
      <c r="F3061" s="381">
        <v>623.71</v>
      </c>
    </row>
    <row r="3062" spans="1:6" s="295" customFormat="1" x14ac:dyDescent="0.15">
      <c r="A3062" s="655" t="s">
        <v>1598</v>
      </c>
      <c r="B3062" s="591"/>
      <c r="C3062" s="287" t="s">
        <v>1586</v>
      </c>
      <c r="D3062" s="287" t="s">
        <v>1500</v>
      </c>
      <c r="E3062" s="656">
        <v>33</v>
      </c>
      <c r="F3062" s="381">
        <v>15.28</v>
      </c>
    </row>
    <row r="3063" spans="1:6" s="295" customFormat="1" x14ac:dyDescent="0.15">
      <c r="A3063" s="655" t="s">
        <v>1662</v>
      </c>
      <c r="B3063" s="657">
        <v>892914652</v>
      </c>
      <c r="C3063" s="287" t="s">
        <v>1663</v>
      </c>
      <c r="D3063" s="287" t="s">
        <v>1664</v>
      </c>
      <c r="E3063" s="656">
        <v>10080</v>
      </c>
      <c r="F3063" s="381">
        <v>1719.36</v>
      </c>
    </row>
    <row r="3064" spans="1:6" s="295" customFormat="1" ht="14" thickBot="1" x14ac:dyDescent="0.2">
      <c r="A3064" s="655"/>
      <c r="B3064" s="591"/>
      <c r="C3064" s="291" t="s">
        <v>1653</v>
      </c>
      <c r="D3064" s="287"/>
      <c r="E3064" s="643">
        <f>SUM(E3040:E3063)</f>
        <v>88943.1</v>
      </c>
      <c r="F3064" s="658">
        <v>14373.660000000003</v>
      </c>
    </row>
    <row r="3065" spans="1:6" s="295" customFormat="1" ht="14" thickTop="1" x14ac:dyDescent="0.15">
      <c r="A3065" s="655"/>
      <c r="B3065" s="591"/>
      <c r="C3065" s="287"/>
      <c r="D3065" s="287"/>
      <c r="E3065" s="524"/>
      <c r="F3065" s="381"/>
    </row>
    <row r="3066" spans="1:6" s="295" customFormat="1" x14ac:dyDescent="0.15">
      <c r="A3066" s="655" t="s">
        <v>1556</v>
      </c>
      <c r="B3066" s="591" t="s">
        <v>1631</v>
      </c>
      <c r="C3066" s="287" t="s">
        <v>1248</v>
      </c>
      <c r="D3066" s="287" t="s">
        <v>1482</v>
      </c>
      <c r="E3066" s="656">
        <v>3328</v>
      </c>
      <c r="F3066" s="381">
        <v>585.17999999999995</v>
      </c>
    </row>
    <row r="3067" spans="1:6" s="295" customFormat="1" x14ac:dyDescent="0.15">
      <c r="A3067" s="655" t="s">
        <v>1714</v>
      </c>
      <c r="B3067" s="591"/>
      <c r="C3067" s="287" t="s">
        <v>1267</v>
      </c>
      <c r="D3067" s="287" t="s">
        <v>1268</v>
      </c>
      <c r="E3067" s="656">
        <f>1.2+31.8</f>
        <v>33</v>
      </c>
      <c r="F3067" s="381">
        <v>10.73</v>
      </c>
    </row>
    <row r="3068" spans="1:6" s="295" customFormat="1" x14ac:dyDescent="0.15">
      <c r="A3068" s="655" t="s">
        <v>1558</v>
      </c>
      <c r="B3068" s="591" t="s">
        <v>1633</v>
      </c>
      <c r="C3068" s="287" t="s">
        <v>1469</v>
      </c>
      <c r="D3068" s="287" t="s">
        <v>1470</v>
      </c>
      <c r="E3068" s="656">
        <v>5360</v>
      </c>
      <c r="F3068" s="381">
        <v>878.84</v>
      </c>
    </row>
    <row r="3069" spans="1:6" s="295" customFormat="1" x14ac:dyDescent="0.15">
      <c r="A3069" s="655" t="s">
        <v>1559</v>
      </c>
      <c r="B3069" s="591" t="s">
        <v>1634</v>
      </c>
      <c r="C3069" s="287" t="s">
        <v>1502</v>
      </c>
      <c r="D3069" s="287" t="s">
        <v>1381</v>
      </c>
      <c r="E3069" s="656">
        <v>8256</v>
      </c>
      <c r="F3069" s="381">
        <v>1395.13</v>
      </c>
    </row>
    <row r="3070" spans="1:6" s="295" customFormat="1" x14ac:dyDescent="0.15">
      <c r="A3070" s="655" t="s">
        <v>1560</v>
      </c>
      <c r="B3070" s="591" t="s">
        <v>1635</v>
      </c>
      <c r="C3070" s="287" t="s">
        <v>1504</v>
      </c>
      <c r="D3070" s="287" t="s">
        <v>1505</v>
      </c>
      <c r="E3070" s="656">
        <v>1334</v>
      </c>
      <c r="F3070" s="381">
        <v>198.86</v>
      </c>
    </row>
    <row r="3071" spans="1:6" s="295" customFormat="1" x14ac:dyDescent="0.15">
      <c r="A3071" s="655" t="s">
        <v>1675</v>
      </c>
      <c r="B3071" s="591" t="s">
        <v>1676</v>
      </c>
      <c r="C3071" s="287" t="s">
        <v>1477</v>
      </c>
      <c r="D3071" s="287" t="s">
        <v>1289</v>
      </c>
      <c r="E3071" s="656">
        <v>9570</v>
      </c>
      <c r="F3071" s="381">
        <v>1592.94</v>
      </c>
    </row>
    <row r="3072" spans="1:6" s="295" customFormat="1" x14ac:dyDescent="0.15">
      <c r="A3072" s="655" t="s">
        <v>1564</v>
      </c>
      <c r="B3072" s="591" t="s">
        <v>1636</v>
      </c>
      <c r="C3072" s="287" t="s">
        <v>1485</v>
      </c>
      <c r="D3072" s="287" t="s">
        <v>1486</v>
      </c>
      <c r="E3072" s="656">
        <v>1160</v>
      </c>
      <c r="F3072" s="381">
        <v>240.17</v>
      </c>
    </row>
    <row r="3073" spans="1:6" s="295" customFormat="1" x14ac:dyDescent="0.15">
      <c r="A3073" s="655" t="s">
        <v>1565</v>
      </c>
      <c r="B3073" s="591" t="s">
        <v>1637</v>
      </c>
      <c r="C3073" s="287" t="s">
        <v>1267</v>
      </c>
      <c r="D3073" s="287" t="s">
        <v>1268</v>
      </c>
      <c r="E3073" s="656">
        <v>2024</v>
      </c>
      <c r="F3073" s="381">
        <v>366.87</v>
      </c>
    </row>
    <row r="3074" spans="1:6" s="295" customFormat="1" x14ac:dyDescent="0.15">
      <c r="A3074" s="655" t="s">
        <v>1569</v>
      </c>
      <c r="B3074" s="591" t="s">
        <v>1638</v>
      </c>
      <c r="C3074" s="287" t="s">
        <v>1464</v>
      </c>
      <c r="D3074" s="287" t="s">
        <v>1285</v>
      </c>
      <c r="E3074" s="656">
        <v>519</v>
      </c>
      <c r="F3074" s="381">
        <v>136.16</v>
      </c>
    </row>
    <row r="3075" spans="1:6" s="295" customFormat="1" x14ac:dyDescent="0.15">
      <c r="A3075" s="655" t="s">
        <v>1711</v>
      </c>
      <c r="B3075" s="591" t="s">
        <v>1712</v>
      </c>
      <c r="C3075" s="287" t="s">
        <v>1713</v>
      </c>
      <c r="D3075" s="287" t="s">
        <v>1419</v>
      </c>
      <c r="E3075" s="656">
        <v>811</v>
      </c>
      <c r="F3075" s="381">
        <v>147.01</v>
      </c>
    </row>
    <row r="3076" spans="1:6" s="295" customFormat="1" x14ac:dyDescent="0.15">
      <c r="A3076" s="655" t="s">
        <v>1570</v>
      </c>
      <c r="B3076" s="591" t="s">
        <v>1639</v>
      </c>
      <c r="C3076" s="287" t="s">
        <v>1472</v>
      </c>
      <c r="D3076" s="287" t="s">
        <v>1473</v>
      </c>
      <c r="E3076" s="656">
        <v>112</v>
      </c>
      <c r="F3076" s="381">
        <v>41.69</v>
      </c>
    </row>
    <row r="3077" spans="1:6" s="295" customFormat="1" x14ac:dyDescent="0.15">
      <c r="A3077" s="655" t="s">
        <v>1571</v>
      </c>
      <c r="B3077" s="591" t="s">
        <v>1640</v>
      </c>
      <c r="C3077" s="287" t="s">
        <v>1489</v>
      </c>
      <c r="D3077" s="287" t="s">
        <v>1490</v>
      </c>
      <c r="E3077" s="656">
        <v>116</v>
      </c>
      <c r="F3077" s="381">
        <v>42.11</v>
      </c>
    </row>
    <row r="3078" spans="1:6" s="295" customFormat="1" x14ac:dyDescent="0.15">
      <c r="A3078" s="655" t="s">
        <v>1572</v>
      </c>
      <c r="B3078" s="591" t="s">
        <v>1641</v>
      </c>
      <c r="C3078" s="287" t="s">
        <v>1271</v>
      </c>
      <c r="D3078" s="287" t="s">
        <v>1272</v>
      </c>
      <c r="E3078" s="656">
        <v>4313</v>
      </c>
      <c r="F3078" s="381">
        <v>725.08</v>
      </c>
    </row>
    <row r="3079" spans="1:6" s="295" customFormat="1" x14ac:dyDescent="0.15">
      <c r="A3079" s="655" t="s">
        <v>1573</v>
      </c>
      <c r="B3079" s="591"/>
      <c r="C3079" s="287" t="s">
        <v>1461</v>
      </c>
      <c r="D3079" s="287" t="s">
        <v>1703</v>
      </c>
      <c r="E3079" s="656">
        <v>26</v>
      </c>
      <c r="F3079" s="381">
        <v>16.34</v>
      </c>
    </row>
    <row r="3080" spans="1:6" s="295" customFormat="1" x14ac:dyDescent="0.15">
      <c r="A3080" s="655" t="s">
        <v>1574</v>
      </c>
      <c r="B3080" s="591" t="s">
        <v>1642</v>
      </c>
      <c r="C3080" s="287" t="s">
        <v>1377</v>
      </c>
      <c r="D3080" s="287" t="s">
        <v>1378</v>
      </c>
      <c r="E3080" s="656">
        <v>1314</v>
      </c>
      <c r="F3080" s="381">
        <v>241.37</v>
      </c>
    </row>
    <row r="3081" spans="1:6" s="295" customFormat="1" x14ac:dyDescent="0.15">
      <c r="A3081" s="655" t="s">
        <v>1575</v>
      </c>
      <c r="B3081" s="591" t="s">
        <v>1685</v>
      </c>
      <c r="C3081" s="287" t="s">
        <v>1448</v>
      </c>
      <c r="D3081" s="287" t="s">
        <v>1449</v>
      </c>
      <c r="E3081" s="656">
        <v>245</v>
      </c>
      <c r="F3081" s="381">
        <v>47.94</v>
      </c>
    </row>
    <row r="3082" spans="1:6" s="295" customFormat="1" x14ac:dyDescent="0.15">
      <c r="A3082" s="655" t="s">
        <v>1604</v>
      </c>
      <c r="B3082" s="591"/>
      <c r="C3082" s="287" t="s">
        <v>1334</v>
      </c>
      <c r="D3082" s="287" t="s">
        <v>1462</v>
      </c>
      <c r="E3082" s="656">
        <v>165</v>
      </c>
      <c r="F3082" s="381">
        <v>61.47</v>
      </c>
    </row>
    <row r="3083" spans="1:6" s="295" customFormat="1" x14ac:dyDescent="0.15">
      <c r="A3083" s="655" t="s">
        <v>1576</v>
      </c>
      <c r="B3083" s="591" t="s">
        <v>1644</v>
      </c>
      <c r="C3083" s="287" t="s">
        <v>1401</v>
      </c>
      <c r="D3083" s="287" t="s">
        <v>1316</v>
      </c>
      <c r="E3083" s="656">
        <v>27</v>
      </c>
      <c r="F3083" s="381">
        <v>32.81</v>
      </c>
    </row>
    <row r="3084" spans="1:6" s="295" customFormat="1" x14ac:dyDescent="0.15">
      <c r="A3084" s="655" t="s">
        <v>1605</v>
      </c>
      <c r="B3084" s="591"/>
      <c r="C3084" s="287" t="s">
        <v>1334</v>
      </c>
      <c r="D3084" s="287" t="s">
        <v>1462</v>
      </c>
      <c r="E3084" s="656">
        <v>482</v>
      </c>
      <c r="F3084" s="381">
        <v>181.49</v>
      </c>
    </row>
    <row r="3085" spans="1:6" s="295" customFormat="1" x14ac:dyDescent="0.15">
      <c r="A3085" s="655" t="s">
        <v>1578</v>
      </c>
      <c r="B3085" s="591" t="s">
        <v>1646</v>
      </c>
      <c r="C3085" s="287" t="s">
        <v>1579</v>
      </c>
      <c r="D3085" s="287" t="s">
        <v>1497</v>
      </c>
      <c r="E3085" s="656">
        <v>0</v>
      </c>
      <c r="F3085" s="381">
        <v>0</v>
      </c>
    </row>
    <row r="3086" spans="1:6" s="295" customFormat="1" x14ac:dyDescent="0.15">
      <c r="A3086" s="655" t="s">
        <v>1580</v>
      </c>
      <c r="B3086" s="591" t="s">
        <v>1647</v>
      </c>
      <c r="C3086" s="287" t="s">
        <v>1451</v>
      </c>
      <c r="D3086" s="287" t="s">
        <v>1674</v>
      </c>
      <c r="E3086" s="656">
        <v>3072</v>
      </c>
      <c r="F3086" s="381">
        <v>2067.79</v>
      </c>
    </row>
    <row r="3087" spans="1:6" s="295" customFormat="1" x14ac:dyDescent="0.15">
      <c r="A3087" s="655" t="s">
        <v>1581</v>
      </c>
      <c r="B3087" s="591" t="s">
        <v>1648</v>
      </c>
      <c r="C3087" s="287" t="s">
        <v>1521</v>
      </c>
      <c r="D3087" s="287" t="s">
        <v>1229</v>
      </c>
      <c r="E3087" s="656">
        <v>2149</v>
      </c>
      <c r="F3087" s="381">
        <v>350.73</v>
      </c>
    </row>
    <row r="3088" spans="1:6" s="295" customFormat="1" x14ac:dyDescent="0.15">
      <c r="A3088" s="655" t="s">
        <v>1582</v>
      </c>
      <c r="B3088" s="591" t="s">
        <v>1649</v>
      </c>
      <c r="C3088" s="287" t="s">
        <v>1525</v>
      </c>
      <c r="D3088" s="287" t="s">
        <v>1526</v>
      </c>
      <c r="E3088" s="656">
        <v>10</v>
      </c>
      <c r="F3088" s="381">
        <v>7.73</v>
      </c>
    </row>
    <row r="3089" spans="1:6" s="295" customFormat="1" ht="14" x14ac:dyDescent="0.15">
      <c r="A3089" s="655" t="s">
        <v>1583</v>
      </c>
      <c r="B3089" s="591" t="s">
        <v>1650</v>
      </c>
      <c r="C3089" s="287" t="s">
        <v>1584</v>
      </c>
      <c r="D3089" s="618" t="s">
        <v>1264</v>
      </c>
      <c r="E3089" s="656">
        <v>1520</v>
      </c>
      <c r="F3089" s="381">
        <v>329.76</v>
      </c>
    </row>
    <row r="3090" spans="1:6" s="295" customFormat="1" x14ac:dyDescent="0.15">
      <c r="A3090" s="655" t="s">
        <v>1666</v>
      </c>
      <c r="B3090" s="591" t="s">
        <v>1672</v>
      </c>
      <c r="C3090" s="287" t="s">
        <v>1667</v>
      </c>
      <c r="D3090" s="287" t="s">
        <v>1668</v>
      </c>
      <c r="E3090" s="656">
        <v>16128</v>
      </c>
      <c r="F3090" s="381">
        <v>3458.89</v>
      </c>
    </row>
    <row r="3091" spans="1:6" s="295" customFormat="1" x14ac:dyDescent="0.15">
      <c r="A3091" s="655" t="s">
        <v>1606</v>
      </c>
      <c r="B3091" s="591"/>
      <c r="C3091" s="287" t="s">
        <v>1334</v>
      </c>
      <c r="D3091" s="287" t="s">
        <v>1462</v>
      </c>
      <c r="E3091" s="656">
        <v>57.7</v>
      </c>
      <c r="F3091" s="381">
        <v>12.92</v>
      </c>
    </row>
    <row r="3092" spans="1:6" s="295" customFormat="1" ht="14" thickBot="1" x14ac:dyDescent="0.2">
      <c r="A3092" s="655"/>
      <c r="B3092" s="591"/>
      <c r="C3092" s="291" t="s">
        <v>1654</v>
      </c>
      <c r="D3092" s="287"/>
      <c r="E3092" s="643">
        <f>SUM(E3066:E3091)</f>
        <v>62131.7</v>
      </c>
      <c r="F3092" s="658">
        <v>13170.009999999998</v>
      </c>
    </row>
    <row r="3093" spans="1:6" s="295" customFormat="1" ht="14" thickTop="1" x14ac:dyDescent="0.15">
      <c r="A3093" s="655"/>
      <c r="B3093" s="591"/>
      <c r="C3093" s="287"/>
      <c r="D3093" s="287"/>
      <c r="E3093" s="524"/>
      <c r="F3093" s="381"/>
    </row>
    <row r="3094" spans="1:6" s="295" customFormat="1" x14ac:dyDescent="0.15">
      <c r="A3094" s="655"/>
      <c r="B3094" s="591"/>
      <c r="C3094" s="293" t="s">
        <v>1594</v>
      </c>
      <c r="D3094" s="287"/>
      <c r="E3094" s="524"/>
      <c r="F3094" s="381"/>
    </row>
    <row r="3095" spans="1:6" s="295" customFormat="1" x14ac:dyDescent="0.15">
      <c r="A3095" s="655"/>
      <c r="B3095" s="591"/>
      <c r="C3095" s="293" t="s">
        <v>1446</v>
      </c>
      <c r="D3095" s="287"/>
      <c r="E3095" s="524"/>
      <c r="F3095" s="381"/>
    </row>
    <row r="3096" spans="1:6" s="295" customFormat="1" x14ac:dyDescent="0.15">
      <c r="A3096" s="655"/>
      <c r="B3096" s="591"/>
      <c r="C3096" s="386">
        <v>42155</v>
      </c>
      <c r="D3096" s="287"/>
      <c r="E3096" s="524"/>
      <c r="F3096" s="381"/>
    </row>
    <row r="3097" spans="1:6" s="295" customFormat="1" x14ac:dyDescent="0.15">
      <c r="A3097" s="655"/>
      <c r="B3097" s="591"/>
      <c r="C3097" s="287"/>
      <c r="D3097" s="287"/>
      <c r="E3097" s="524"/>
      <c r="F3097" s="381"/>
    </row>
    <row r="3098" spans="1:6" s="295" customFormat="1" ht="14" thickBot="1" x14ac:dyDescent="0.2">
      <c r="A3098" s="663"/>
      <c r="B3098" s="664"/>
      <c r="C3098" s="665" t="s">
        <v>1173</v>
      </c>
      <c r="D3098" s="665"/>
      <c r="E3098" s="666">
        <f>SUM(E3064,E3092)</f>
        <v>151074.79999999999</v>
      </c>
      <c r="F3098" s="667">
        <v>27543.670000000002</v>
      </c>
    </row>
    <row r="3099" spans="1:6" s="295" customFormat="1" x14ac:dyDescent="0.15">
      <c r="A3099" s="655"/>
      <c r="B3099" s="591"/>
      <c r="C3099" s="413"/>
      <c r="D3099" s="413"/>
      <c r="E3099" s="669"/>
      <c r="F3099" s="670"/>
    </row>
    <row r="3100" spans="1:6" s="295" customFormat="1" x14ac:dyDescent="0.15">
      <c r="A3100" s="652" t="s">
        <v>1534</v>
      </c>
      <c r="B3100" s="653" t="s">
        <v>1614</v>
      </c>
      <c r="C3100" s="371" t="s">
        <v>1492</v>
      </c>
      <c r="D3100" s="371" t="s">
        <v>1239</v>
      </c>
      <c r="E3100" s="654">
        <v>10320</v>
      </c>
      <c r="F3100" s="391">
        <v>1492.69</v>
      </c>
    </row>
    <row r="3101" spans="1:6" s="295" customFormat="1" x14ac:dyDescent="0.15">
      <c r="A3101" s="655" t="s">
        <v>1535</v>
      </c>
      <c r="B3101" s="591" t="s">
        <v>1615</v>
      </c>
      <c r="C3101" s="287" t="s">
        <v>1507</v>
      </c>
      <c r="D3101" s="287" t="s">
        <v>1245</v>
      </c>
      <c r="E3101" s="656">
        <v>3400</v>
      </c>
      <c r="F3101" s="381">
        <v>555.52</v>
      </c>
    </row>
    <row r="3102" spans="1:6" s="295" customFormat="1" x14ac:dyDescent="0.15">
      <c r="A3102" s="655" t="s">
        <v>1670</v>
      </c>
      <c r="B3102" s="591" t="s">
        <v>1659</v>
      </c>
      <c r="C3102" s="287" t="s">
        <v>1279</v>
      </c>
      <c r="D3102" s="287" t="s">
        <v>1660</v>
      </c>
      <c r="E3102" s="656">
        <v>8640</v>
      </c>
      <c r="F3102" s="381">
        <v>1354.71</v>
      </c>
    </row>
    <row r="3103" spans="1:6" s="295" customFormat="1" x14ac:dyDescent="0.15">
      <c r="A3103" s="655" t="s">
        <v>1536</v>
      </c>
      <c r="B3103" s="591" t="s">
        <v>1616</v>
      </c>
      <c r="C3103" s="287" t="s">
        <v>1479</v>
      </c>
      <c r="D3103" s="287" t="s">
        <v>1231</v>
      </c>
      <c r="E3103" s="656">
        <v>2567</v>
      </c>
      <c r="F3103" s="381">
        <v>394.32</v>
      </c>
    </row>
    <row r="3104" spans="1:6" s="295" customFormat="1" x14ac:dyDescent="0.15">
      <c r="A3104" s="655" t="s">
        <v>1537</v>
      </c>
      <c r="B3104" s="591" t="s">
        <v>1617</v>
      </c>
      <c r="C3104" s="287" t="s">
        <v>1269</v>
      </c>
      <c r="D3104" s="287" t="s">
        <v>1270</v>
      </c>
      <c r="E3104" s="656">
        <v>4293</v>
      </c>
      <c r="F3104" s="381">
        <v>715.56</v>
      </c>
    </row>
    <row r="3105" spans="1:6" s="295" customFormat="1" x14ac:dyDescent="0.15">
      <c r="A3105" s="655" t="s">
        <v>1538</v>
      </c>
      <c r="B3105" s="591" t="s">
        <v>1618</v>
      </c>
      <c r="C3105" s="287" t="s">
        <v>1517</v>
      </c>
      <c r="D3105" s="287" t="s">
        <v>1518</v>
      </c>
      <c r="E3105" s="656">
        <v>5</v>
      </c>
      <c r="F3105" s="381">
        <v>30.5</v>
      </c>
    </row>
    <row r="3106" spans="1:6" s="295" customFormat="1" x14ac:dyDescent="0.15">
      <c r="A3106" s="655" t="s">
        <v>1540</v>
      </c>
      <c r="B3106" s="591" t="s">
        <v>1620</v>
      </c>
      <c r="C3106" s="287" t="s">
        <v>1257</v>
      </c>
      <c r="D3106" s="287" t="s">
        <v>1258</v>
      </c>
      <c r="E3106" s="656">
        <v>19600</v>
      </c>
      <c r="F3106" s="381">
        <v>2698.24</v>
      </c>
    </row>
    <row r="3107" spans="1:6" s="295" customFormat="1" x14ac:dyDescent="0.15">
      <c r="A3107" s="655" t="s">
        <v>1541</v>
      </c>
      <c r="B3107" s="591" t="s">
        <v>1621</v>
      </c>
      <c r="C3107" s="287" t="s">
        <v>1586</v>
      </c>
      <c r="D3107" s="287" t="s">
        <v>1500</v>
      </c>
      <c r="E3107" s="656">
        <v>3720</v>
      </c>
      <c r="F3107" s="381">
        <v>588.9</v>
      </c>
    </row>
    <row r="3108" spans="1:6" s="295" customFormat="1" x14ac:dyDescent="0.15">
      <c r="A3108" s="655" t="s">
        <v>1542</v>
      </c>
      <c r="B3108" s="591" t="s">
        <v>1622</v>
      </c>
      <c r="C3108" s="287" t="s">
        <v>1240</v>
      </c>
      <c r="D3108" s="287" t="s">
        <v>1467</v>
      </c>
      <c r="E3108" s="656">
        <v>3425</v>
      </c>
      <c r="F3108" s="381">
        <v>491.22</v>
      </c>
    </row>
    <row r="3109" spans="1:6" s="295" customFormat="1" x14ac:dyDescent="0.15">
      <c r="A3109" s="655" t="s">
        <v>1543</v>
      </c>
      <c r="B3109" s="591" t="s">
        <v>1623</v>
      </c>
      <c r="C3109" s="287" t="s">
        <v>1523</v>
      </c>
      <c r="D3109" s="287" t="s">
        <v>1266</v>
      </c>
      <c r="E3109" s="656">
        <v>1150</v>
      </c>
      <c r="F3109" s="381">
        <v>194.53</v>
      </c>
    </row>
    <row r="3110" spans="1:6" s="295" customFormat="1" x14ac:dyDescent="0.15">
      <c r="A3110" s="655" t="s">
        <v>1544</v>
      </c>
      <c r="B3110" s="591" t="s">
        <v>1624</v>
      </c>
      <c r="C3110" s="287" t="s">
        <v>1234</v>
      </c>
      <c r="D3110" s="287" t="s">
        <v>1494</v>
      </c>
      <c r="E3110" s="656">
        <v>4123</v>
      </c>
      <c r="F3110" s="381">
        <v>653.22</v>
      </c>
    </row>
    <row r="3111" spans="1:6" s="295" customFormat="1" x14ac:dyDescent="0.15">
      <c r="A3111" s="655" t="s">
        <v>1601</v>
      </c>
      <c r="B3111" s="591"/>
      <c r="C3111" s="287" t="s">
        <v>1334</v>
      </c>
      <c r="D3111" s="287" t="s">
        <v>1462</v>
      </c>
      <c r="E3111" s="656">
        <v>2264.9</v>
      </c>
      <c r="F3111" s="381">
        <v>559.02</v>
      </c>
    </row>
    <row r="3112" spans="1:6" s="295" customFormat="1" x14ac:dyDescent="0.15">
      <c r="A3112" s="655" t="s">
        <v>1545</v>
      </c>
      <c r="B3112" s="591"/>
      <c r="C3112" s="287" t="s">
        <v>1234</v>
      </c>
      <c r="D3112" s="287" t="s">
        <v>1494</v>
      </c>
      <c r="E3112" s="656">
        <v>51.7</v>
      </c>
      <c r="F3112" s="381">
        <v>15.73</v>
      </c>
    </row>
    <row r="3113" spans="1:6" s="295" customFormat="1" x14ac:dyDescent="0.15">
      <c r="A3113" s="655" t="s">
        <v>1602</v>
      </c>
      <c r="B3113" s="591"/>
      <c r="C3113" s="287" t="s">
        <v>1334</v>
      </c>
      <c r="D3113" s="287" t="s">
        <v>1462</v>
      </c>
      <c r="E3113" s="656">
        <v>126.6</v>
      </c>
      <c r="F3113" s="381">
        <v>43.86</v>
      </c>
    </row>
    <row r="3114" spans="1:6" s="295" customFormat="1" x14ac:dyDescent="0.15">
      <c r="A3114" s="655" t="s">
        <v>1546</v>
      </c>
      <c r="B3114" s="591"/>
      <c r="C3114" s="287" t="s">
        <v>1586</v>
      </c>
      <c r="D3114" s="287" t="s">
        <v>1500</v>
      </c>
      <c r="E3114" s="656">
        <v>59.2</v>
      </c>
      <c r="F3114" s="381">
        <v>26</v>
      </c>
    </row>
    <row r="3115" spans="1:6" s="295" customFormat="1" x14ac:dyDescent="0.15">
      <c r="A3115" s="655" t="s">
        <v>1549</v>
      </c>
      <c r="B3115" s="591" t="s">
        <v>1625</v>
      </c>
      <c r="C3115" s="287" t="s">
        <v>1459</v>
      </c>
      <c r="D3115" s="287" t="s">
        <v>1251</v>
      </c>
      <c r="E3115" s="656">
        <v>1060</v>
      </c>
      <c r="F3115" s="381">
        <v>192.59</v>
      </c>
    </row>
    <row r="3116" spans="1:6" s="295" customFormat="1" x14ac:dyDescent="0.15">
      <c r="A3116" s="655" t="s">
        <v>1603</v>
      </c>
      <c r="B3116" s="591"/>
      <c r="C3116" s="287" t="s">
        <v>1334</v>
      </c>
      <c r="D3116" s="287" t="s">
        <v>1462</v>
      </c>
      <c r="E3116" s="656">
        <v>948</v>
      </c>
      <c r="F3116" s="381">
        <v>250.62</v>
      </c>
    </row>
    <row r="3117" spans="1:6" s="295" customFormat="1" x14ac:dyDescent="0.15">
      <c r="A3117" s="655" t="s">
        <v>1597</v>
      </c>
      <c r="B3117" s="591" t="s">
        <v>1626</v>
      </c>
      <c r="C3117" s="287" t="s">
        <v>1454</v>
      </c>
      <c r="D3117" s="287" t="s">
        <v>1247</v>
      </c>
      <c r="E3117" s="656">
        <v>2360</v>
      </c>
      <c r="F3117" s="381">
        <v>402.46</v>
      </c>
    </row>
    <row r="3118" spans="1:6" s="295" customFormat="1" x14ac:dyDescent="0.15">
      <c r="A3118" s="655" t="s">
        <v>1677</v>
      </c>
      <c r="B3118" s="591" t="s">
        <v>1678</v>
      </c>
      <c r="C3118" s="287" t="s">
        <v>1313</v>
      </c>
      <c r="D3118" s="287" t="s">
        <v>1412</v>
      </c>
      <c r="E3118" s="656">
        <v>1133</v>
      </c>
      <c r="F3118" s="381">
        <v>222.5</v>
      </c>
    </row>
    <row r="3119" spans="1:6" s="295" customFormat="1" x14ac:dyDescent="0.15">
      <c r="A3119" s="655" t="s">
        <v>1551</v>
      </c>
      <c r="B3119" s="591" t="s">
        <v>1627</v>
      </c>
      <c r="C3119" s="287" t="s">
        <v>1235</v>
      </c>
      <c r="D3119" s="287" t="s">
        <v>1236</v>
      </c>
      <c r="E3119" s="656">
        <v>6230</v>
      </c>
      <c r="F3119" s="381">
        <v>895.22</v>
      </c>
    </row>
    <row r="3120" spans="1:6" s="295" customFormat="1" x14ac:dyDescent="0.15">
      <c r="A3120" s="655" t="s">
        <v>1553</v>
      </c>
      <c r="B3120" s="591" t="s">
        <v>1628</v>
      </c>
      <c r="C3120" s="287" t="s">
        <v>1475</v>
      </c>
      <c r="D3120" s="287" t="s">
        <v>1387</v>
      </c>
      <c r="E3120" s="656">
        <v>841</v>
      </c>
      <c r="F3120" s="381">
        <v>152.44</v>
      </c>
    </row>
    <row r="3121" spans="1:6" s="295" customFormat="1" x14ac:dyDescent="0.15">
      <c r="A3121" s="655" t="s">
        <v>1554</v>
      </c>
      <c r="B3121" s="591" t="s">
        <v>1629</v>
      </c>
      <c r="C3121" s="287" t="s">
        <v>1399</v>
      </c>
      <c r="D3121" s="287" t="s">
        <v>1276</v>
      </c>
      <c r="E3121" s="656">
        <v>4400</v>
      </c>
      <c r="F3121" s="381">
        <v>689.53</v>
      </c>
    </row>
    <row r="3122" spans="1:6" s="295" customFormat="1" x14ac:dyDescent="0.15">
      <c r="A3122" s="655" t="s">
        <v>1598</v>
      </c>
      <c r="B3122" s="591"/>
      <c r="C3122" s="287" t="s">
        <v>1586</v>
      </c>
      <c r="D3122" s="287" t="s">
        <v>1500</v>
      </c>
      <c r="E3122" s="656">
        <v>29.6</v>
      </c>
      <c r="F3122" s="381">
        <v>14.82</v>
      </c>
    </row>
    <row r="3123" spans="1:6" s="295" customFormat="1" x14ac:dyDescent="0.15">
      <c r="A3123" s="655" t="s">
        <v>1662</v>
      </c>
      <c r="B3123" s="657">
        <v>892914652</v>
      </c>
      <c r="C3123" s="287" t="s">
        <v>1663</v>
      </c>
      <c r="D3123" s="287" t="s">
        <v>1664</v>
      </c>
      <c r="E3123" s="656">
        <v>13360</v>
      </c>
      <c r="F3123" s="381">
        <v>2055.64</v>
      </c>
    </row>
    <row r="3124" spans="1:6" s="295" customFormat="1" ht="14" thickBot="1" x14ac:dyDescent="0.2">
      <c r="A3124" s="655"/>
      <c r="B3124" s="591"/>
      <c r="C3124" s="291" t="s">
        <v>1655</v>
      </c>
      <c r="D3124" s="287"/>
      <c r="E3124" s="643">
        <f>SUM(E3100:E3123)</f>
        <v>94107</v>
      </c>
      <c r="F3124" s="658">
        <v>14689.839999999998</v>
      </c>
    </row>
    <row r="3125" spans="1:6" s="295" customFormat="1" ht="14" thickTop="1" x14ac:dyDescent="0.15">
      <c r="A3125" s="655"/>
      <c r="B3125" s="591"/>
      <c r="C3125" s="287"/>
      <c r="D3125" s="287"/>
      <c r="E3125" s="524"/>
      <c r="F3125" s="381"/>
    </row>
    <row r="3126" spans="1:6" s="295" customFormat="1" x14ac:dyDescent="0.15">
      <c r="A3126" s="655" t="s">
        <v>1556</v>
      </c>
      <c r="B3126" s="591" t="s">
        <v>1631</v>
      </c>
      <c r="C3126" s="287" t="s">
        <v>1248</v>
      </c>
      <c r="D3126" s="287" t="s">
        <v>1482</v>
      </c>
      <c r="E3126" s="656">
        <v>4248</v>
      </c>
      <c r="F3126" s="381">
        <v>673.67</v>
      </c>
    </row>
    <row r="3127" spans="1:6" s="295" customFormat="1" x14ac:dyDescent="0.15">
      <c r="A3127" s="655" t="s">
        <v>1714</v>
      </c>
      <c r="B3127" s="591"/>
      <c r="C3127" s="287" t="s">
        <v>1267</v>
      </c>
      <c r="D3127" s="287" t="s">
        <v>1268</v>
      </c>
      <c r="E3127" s="656">
        <f>3.6+26</f>
        <v>29.6</v>
      </c>
      <c r="F3127" s="381">
        <v>10.53</v>
      </c>
    </row>
    <row r="3128" spans="1:6" s="295" customFormat="1" x14ac:dyDescent="0.15">
      <c r="A3128" s="655" t="s">
        <v>1558</v>
      </c>
      <c r="B3128" s="591" t="s">
        <v>1633</v>
      </c>
      <c r="C3128" s="287" t="s">
        <v>1469</v>
      </c>
      <c r="D3128" s="287" t="s">
        <v>1470</v>
      </c>
      <c r="E3128" s="656">
        <v>6960</v>
      </c>
      <c r="F3128" s="381">
        <v>1075.42</v>
      </c>
    </row>
    <row r="3129" spans="1:6" s="295" customFormat="1" x14ac:dyDescent="0.15">
      <c r="A3129" s="655" t="s">
        <v>1559</v>
      </c>
      <c r="B3129" s="591" t="s">
        <v>1634</v>
      </c>
      <c r="C3129" s="287" t="s">
        <v>1502</v>
      </c>
      <c r="D3129" s="287" t="s">
        <v>1381</v>
      </c>
      <c r="E3129" s="656">
        <v>11424</v>
      </c>
      <c r="F3129" s="381">
        <v>1780.33</v>
      </c>
    </row>
    <row r="3130" spans="1:6" s="295" customFormat="1" x14ac:dyDescent="0.15">
      <c r="A3130" s="655" t="s">
        <v>1560</v>
      </c>
      <c r="B3130" s="591" t="s">
        <v>1635</v>
      </c>
      <c r="C3130" s="287" t="s">
        <v>1504</v>
      </c>
      <c r="D3130" s="287" t="s">
        <v>1505</v>
      </c>
      <c r="E3130" s="656">
        <v>1922</v>
      </c>
      <c r="F3130" s="381">
        <v>319.62</v>
      </c>
    </row>
    <row r="3131" spans="1:6" s="295" customFormat="1" x14ac:dyDescent="0.15">
      <c r="A3131" s="655" t="s">
        <v>1675</v>
      </c>
      <c r="B3131" s="591" t="s">
        <v>1676</v>
      </c>
      <c r="C3131" s="287" t="s">
        <v>1477</v>
      </c>
      <c r="D3131" s="287" t="s">
        <v>1289</v>
      </c>
      <c r="E3131" s="656">
        <v>13670</v>
      </c>
      <c r="F3131" s="381">
        <v>1998.13</v>
      </c>
    </row>
    <row r="3132" spans="1:6" s="295" customFormat="1" x14ac:dyDescent="0.15">
      <c r="A3132" s="655" t="s">
        <v>1564</v>
      </c>
      <c r="B3132" s="591" t="s">
        <v>1636</v>
      </c>
      <c r="C3132" s="287" t="s">
        <v>1485</v>
      </c>
      <c r="D3132" s="287" t="s">
        <v>1486</v>
      </c>
      <c r="E3132" s="656">
        <v>1920</v>
      </c>
      <c r="F3132" s="381">
        <v>364.05</v>
      </c>
    </row>
    <row r="3133" spans="1:6" s="295" customFormat="1" x14ac:dyDescent="0.15">
      <c r="A3133" s="655" t="s">
        <v>1565</v>
      </c>
      <c r="B3133" s="591" t="s">
        <v>1637</v>
      </c>
      <c r="C3133" s="287" t="s">
        <v>1267</v>
      </c>
      <c r="D3133" s="287" t="s">
        <v>1268</v>
      </c>
      <c r="E3133" s="656">
        <v>3246</v>
      </c>
      <c r="F3133" s="381">
        <v>588.34</v>
      </c>
    </row>
    <row r="3134" spans="1:6" s="295" customFormat="1" x14ac:dyDescent="0.15">
      <c r="A3134" s="655" t="s">
        <v>1569</v>
      </c>
      <c r="B3134" s="591" t="s">
        <v>1638</v>
      </c>
      <c r="C3134" s="287" t="s">
        <v>1464</v>
      </c>
      <c r="D3134" s="287" t="s">
        <v>1285</v>
      </c>
      <c r="E3134" s="656">
        <v>799</v>
      </c>
      <c r="F3134" s="381">
        <v>187.67</v>
      </c>
    </row>
    <row r="3135" spans="1:6" s="295" customFormat="1" x14ac:dyDescent="0.15">
      <c r="A3135" s="655" t="s">
        <v>1711</v>
      </c>
      <c r="B3135" s="591" t="s">
        <v>1712</v>
      </c>
      <c r="C3135" s="287" t="s">
        <v>1713</v>
      </c>
      <c r="D3135" s="287" t="s">
        <v>1419</v>
      </c>
      <c r="E3135" s="656">
        <v>812</v>
      </c>
      <c r="F3135" s="381">
        <v>147.18</v>
      </c>
    </row>
    <row r="3136" spans="1:6" s="295" customFormat="1" x14ac:dyDescent="0.15">
      <c r="A3136" s="655" t="s">
        <v>1570</v>
      </c>
      <c r="B3136" s="591" t="s">
        <v>1639</v>
      </c>
      <c r="C3136" s="287" t="s">
        <v>1472</v>
      </c>
      <c r="D3136" s="287" t="s">
        <v>1473</v>
      </c>
      <c r="E3136" s="656">
        <v>34</v>
      </c>
      <c r="F3136" s="381">
        <v>33.549999999999997</v>
      </c>
    </row>
    <row r="3137" spans="1:6" s="295" customFormat="1" x14ac:dyDescent="0.15">
      <c r="A3137" s="655" t="s">
        <v>1571</v>
      </c>
      <c r="B3137" s="591" t="s">
        <v>1640</v>
      </c>
      <c r="C3137" s="287" t="s">
        <v>1489</v>
      </c>
      <c r="D3137" s="287" t="s">
        <v>1490</v>
      </c>
      <c r="E3137" s="656">
        <v>114</v>
      </c>
      <c r="F3137" s="381">
        <v>41.88</v>
      </c>
    </row>
    <row r="3138" spans="1:6" s="295" customFormat="1" x14ac:dyDescent="0.15">
      <c r="A3138" s="655" t="s">
        <v>1572</v>
      </c>
      <c r="B3138" s="591" t="s">
        <v>1641</v>
      </c>
      <c r="C3138" s="287" t="s">
        <v>1271</v>
      </c>
      <c r="D3138" s="287" t="s">
        <v>1272</v>
      </c>
      <c r="E3138" s="656">
        <v>7382</v>
      </c>
      <c r="F3138" s="381">
        <v>1082.26</v>
      </c>
    </row>
    <row r="3139" spans="1:6" s="295" customFormat="1" x14ac:dyDescent="0.15">
      <c r="A3139" s="655" t="s">
        <v>1573</v>
      </c>
      <c r="B3139" s="591"/>
      <c r="C3139" s="287" t="s">
        <v>1461</v>
      </c>
      <c r="D3139" s="287" t="s">
        <v>1703</v>
      </c>
      <c r="E3139" s="656">
        <v>26</v>
      </c>
      <c r="F3139" s="381">
        <v>16.34</v>
      </c>
    </row>
    <row r="3140" spans="1:6" s="295" customFormat="1" x14ac:dyDescent="0.15">
      <c r="A3140" s="655" t="s">
        <v>1574</v>
      </c>
      <c r="B3140" s="591" t="s">
        <v>1642</v>
      </c>
      <c r="C3140" s="287" t="s">
        <v>1377</v>
      </c>
      <c r="D3140" s="287" t="s">
        <v>1378</v>
      </c>
      <c r="E3140" s="656">
        <v>1916</v>
      </c>
      <c r="F3140" s="381">
        <v>319</v>
      </c>
    </row>
    <row r="3141" spans="1:6" s="295" customFormat="1" x14ac:dyDescent="0.15">
      <c r="A3141" s="655" t="s">
        <v>1575</v>
      </c>
      <c r="B3141" s="591" t="s">
        <v>1685</v>
      </c>
      <c r="C3141" s="287" t="s">
        <v>1448</v>
      </c>
      <c r="D3141" s="287" t="s">
        <v>1449</v>
      </c>
      <c r="E3141" s="656">
        <v>322</v>
      </c>
      <c r="F3141" s="381">
        <v>61.14</v>
      </c>
    </row>
    <row r="3142" spans="1:6" s="295" customFormat="1" x14ac:dyDescent="0.15">
      <c r="A3142" s="655" t="s">
        <v>1604</v>
      </c>
      <c r="B3142" s="591"/>
      <c r="C3142" s="287" t="s">
        <v>1334</v>
      </c>
      <c r="D3142" s="287" t="s">
        <v>1462</v>
      </c>
      <c r="E3142" s="656">
        <v>148</v>
      </c>
      <c r="F3142" s="381">
        <v>59.37</v>
      </c>
    </row>
    <row r="3143" spans="1:6" s="295" customFormat="1" x14ac:dyDescent="0.15">
      <c r="A3143" s="655" t="s">
        <v>1576</v>
      </c>
      <c r="B3143" s="591" t="s">
        <v>1644</v>
      </c>
      <c r="C3143" s="287" t="s">
        <v>1401</v>
      </c>
      <c r="D3143" s="287" t="s">
        <v>1316</v>
      </c>
      <c r="E3143" s="656">
        <v>28</v>
      </c>
      <c r="F3143" s="381">
        <v>32.909999999999997</v>
      </c>
    </row>
    <row r="3144" spans="1:6" s="295" customFormat="1" x14ac:dyDescent="0.15">
      <c r="A3144" s="655" t="s">
        <v>1605</v>
      </c>
      <c r="B3144" s="591"/>
      <c r="C3144" s="287" t="s">
        <v>1334</v>
      </c>
      <c r="D3144" s="287" t="s">
        <v>1462</v>
      </c>
      <c r="E3144" s="656">
        <v>432</v>
      </c>
      <c r="F3144" s="381">
        <v>175.36</v>
      </c>
    </row>
    <row r="3145" spans="1:6" s="295" customFormat="1" x14ac:dyDescent="0.15">
      <c r="A3145" s="655" t="s">
        <v>1578</v>
      </c>
      <c r="B3145" s="591" t="s">
        <v>1646</v>
      </c>
      <c r="C3145" s="287" t="s">
        <v>1579</v>
      </c>
      <c r="D3145" s="287" t="s">
        <v>1497</v>
      </c>
      <c r="E3145" s="659">
        <f>2+0</f>
        <v>2</v>
      </c>
      <c r="F3145" s="381">
        <v>60.21</v>
      </c>
    </row>
    <row r="3146" spans="1:6" s="295" customFormat="1" x14ac:dyDescent="0.15">
      <c r="A3146" s="655" t="s">
        <v>1580</v>
      </c>
      <c r="B3146" s="591" t="s">
        <v>1647</v>
      </c>
      <c r="C3146" s="287" t="s">
        <v>1451</v>
      </c>
      <c r="D3146" s="287" t="s">
        <v>1674</v>
      </c>
      <c r="E3146" s="676">
        <v>3456</v>
      </c>
      <c r="F3146" s="381">
        <v>-128.48000000000002</v>
      </c>
    </row>
    <row r="3147" spans="1:6" s="295" customFormat="1" x14ac:dyDescent="0.15">
      <c r="A3147" s="655" t="s">
        <v>1581</v>
      </c>
      <c r="B3147" s="591" t="s">
        <v>1648</v>
      </c>
      <c r="C3147" s="287" t="s">
        <v>1521</v>
      </c>
      <c r="D3147" s="287" t="s">
        <v>1229</v>
      </c>
      <c r="E3147" s="656">
        <v>2314</v>
      </c>
      <c r="F3147" s="381">
        <v>345.64</v>
      </c>
    </row>
    <row r="3148" spans="1:6" s="295" customFormat="1" x14ac:dyDescent="0.15">
      <c r="A3148" s="655" t="s">
        <v>1582</v>
      </c>
      <c r="B3148" s="591" t="s">
        <v>1649</v>
      </c>
      <c r="C3148" s="287" t="s">
        <v>1525</v>
      </c>
      <c r="D3148" s="287" t="s">
        <v>1526</v>
      </c>
      <c r="E3148" s="656">
        <v>0</v>
      </c>
      <c r="F3148" s="381">
        <v>6</v>
      </c>
    </row>
    <row r="3149" spans="1:6" s="295" customFormat="1" ht="14" x14ac:dyDescent="0.15">
      <c r="A3149" s="655" t="s">
        <v>1583</v>
      </c>
      <c r="B3149" s="591" t="s">
        <v>1650</v>
      </c>
      <c r="C3149" s="287" t="s">
        <v>1584</v>
      </c>
      <c r="D3149" s="618" t="s">
        <v>1264</v>
      </c>
      <c r="E3149" s="656">
        <v>1800</v>
      </c>
      <c r="F3149" s="381">
        <v>373.81</v>
      </c>
    </row>
    <row r="3150" spans="1:6" s="295" customFormat="1" x14ac:dyDescent="0.15">
      <c r="A3150" s="655" t="s">
        <v>1666</v>
      </c>
      <c r="B3150" s="591" t="s">
        <v>1672</v>
      </c>
      <c r="C3150" s="287" t="s">
        <v>1667</v>
      </c>
      <c r="D3150" s="287" t="s">
        <v>1668</v>
      </c>
      <c r="E3150" s="656">
        <v>15552</v>
      </c>
      <c r="F3150" s="381">
        <v>2395.12</v>
      </c>
    </row>
    <row r="3151" spans="1:6" s="295" customFormat="1" x14ac:dyDescent="0.15">
      <c r="A3151" s="655" t="s">
        <v>1606</v>
      </c>
      <c r="B3151" s="591"/>
      <c r="C3151" s="287" t="s">
        <v>1334</v>
      </c>
      <c r="D3151" s="287" t="s">
        <v>1462</v>
      </c>
      <c r="E3151" s="656">
        <v>51.7</v>
      </c>
      <c r="F3151" s="381">
        <v>12.21</v>
      </c>
    </row>
    <row r="3152" spans="1:6" s="295" customFormat="1" ht="14" thickBot="1" x14ac:dyDescent="0.2">
      <c r="A3152" s="655"/>
      <c r="B3152" s="591"/>
      <c r="C3152" s="291" t="s">
        <v>1656</v>
      </c>
      <c r="D3152" s="287"/>
      <c r="E3152" s="643">
        <f>SUM(E3126:E3151)</f>
        <v>78608.3</v>
      </c>
      <c r="F3152" s="658">
        <v>12031.26</v>
      </c>
    </row>
    <row r="3153" spans="1:10" s="295" customFormat="1" ht="14" thickTop="1" x14ac:dyDescent="0.15">
      <c r="A3153" s="655"/>
      <c r="B3153" s="591"/>
      <c r="C3153" s="287"/>
      <c r="D3153" s="287"/>
      <c r="E3153" s="524"/>
      <c r="F3153" s="381"/>
    </row>
    <row r="3154" spans="1:10" s="295" customFormat="1" x14ac:dyDescent="0.15">
      <c r="A3154" s="655"/>
      <c r="B3154" s="591"/>
      <c r="C3154" s="293" t="s">
        <v>1594</v>
      </c>
      <c r="D3154" s="287"/>
      <c r="E3154" s="524"/>
      <c r="F3154" s="381"/>
    </row>
    <row r="3155" spans="1:10" s="295" customFormat="1" x14ac:dyDescent="0.15">
      <c r="A3155" s="655"/>
      <c r="B3155" s="591"/>
      <c r="C3155" s="293" t="s">
        <v>1446</v>
      </c>
      <c r="D3155" s="287"/>
      <c r="E3155" s="524"/>
      <c r="F3155" s="381"/>
    </row>
    <row r="3156" spans="1:10" s="295" customFormat="1" x14ac:dyDescent="0.15">
      <c r="A3156" s="655"/>
      <c r="B3156" s="591"/>
      <c r="C3156" s="386">
        <v>42551</v>
      </c>
      <c r="D3156" s="287"/>
      <c r="E3156" s="524"/>
      <c r="F3156" s="381"/>
    </row>
    <row r="3157" spans="1:10" s="295" customFormat="1" x14ac:dyDescent="0.15">
      <c r="A3157" s="655"/>
      <c r="B3157" s="591"/>
      <c r="C3157" s="287"/>
      <c r="D3157" s="287"/>
      <c r="E3157" s="524"/>
      <c r="F3157" s="381"/>
    </row>
    <row r="3158" spans="1:10" s="295" customFormat="1" ht="14" thickBot="1" x14ac:dyDescent="0.2">
      <c r="A3158" s="663"/>
      <c r="B3158" s="664"/>
      <c r="C3158" s="665" t="s">
        <v>1174</v>
      </c>
      <c r="D3158" s="665"/>
      <c r="E3158" s="666">
        <f>SUM(E3124,E3152)</f>
        <v>172715.3</v>
      </c>
      <c r="F3158" s="667">
        <v>26721.1</v>
      </c>
    </row>
    <row r="3159" spans="1:10" s="337" customFormat="1" ht="14" thickBot="1" x14ac:dyDescent="0.2">
      <c r="A3159" s="603"/>
      <c r="B3159" s="603"/>
      <c r="E3159" s="677"/>
      <c r="F3159" s="350"/>
    </row>
    <row r="3160" spans="1:10" s="295" customFormat="1" ht="31" thickBot="1" x14ac:dyDescent="0.35">
      <c r="A3160" s="773" t="s">
        <v>1110</v>
      </c>
      <c r="B3160" s="774"/>
      <c r="C3160" s="774"/>
      <c r="D3160" s="774"/>
      <c r="E3160" s="774"/>
      <c r="F3160" s="775"/>
      <c r="G3160" s="527"/>
      <c r="H3160" s="527"/>
      <c r="I3160" s="527"/>
      <c r="J3160" s="527"/>
    </row>
    <row r="3161" spans="1:10" s="295" customFormat="1" x14ac:dyDescent="0.15">
      <c r="A3161" s="640"/>
      <c r="B3161" s="640"/>
      <c r="E3161" s="296"/>
      <c r="F3161" s="298"/>
    </row>
    <row r="3162" spans="1:10" s="295" customFormat="1" x14ac:dyDescent="0.15">
      <c r="A3162" s="652" t="s">
        <v>1534</v>
      </c>
      <c r="B3162" s="653" t="s">
        <v>1614</v>
      </c>
      <c r="C3162" s="371" t="s">
        <v>1492</v>
      </c>
      <c r="D3162" s="371" t="s">
        <v>1239</v>
      </c>
      <c r="E3162" s="654">
        <v>12000</v>
      </c>
      <c r="F3162" s="391">
        <v>1665.16</v>
      </c>
    </row>
    <row r="3163" spans="1:10" s="295" customFormat="1" x14ac:dyDescent="0.15">
      <c r="A3163" s="655" t="s">
        <v>1535</v>
      </c>
      <c r="B3163" s="591" t="s">
        <v>1615</v>
      </c>
      <c r="C3163" s="287" t="s">
        <v>1507</v>
      </c>
      <c r="D3163" s="287" t="s">
        <v>1245</v>
      </c>
      <c r="E3163" s="656">
        <v>3600</v>
      </c>
      <c r="F3163" s="381">
        <v>545.09</v>
      </c>
    </row>
    <row r="3164" spans="1:10" s="295" customFormat="1" x14ac:dyDescent="0.15">
      <c r="A3164" s="655" t="s">
        <v>1670</v>
      </c>
      <c r="B3164" s="591" t="s">
        <v>1659</v>
      </c>
      <c r="C3164" s="287" t="s">
        <v>1279</v>
      </c>
      <c r="D3164" s="287" t="s">
        <v>1660</v>
      </c>
      <c r="E3164" s="656">
        <v>10560</v>
      </c>
      <c r="F3164" s="381">
        <v>1759.5</v>
      </c>
    </row>
    <row r="3165" spans="1:10" s="295" customFormat="1" x14ac:dyDescent="0.15">
      <c r="A3165" s="655" t="s">
        <v>1536</v>
      </c>
      <c r="B3165" s="591" t="s">
        <v>1616</v>
      </c>
      <c r="C3165" s="287" t="s">
        <v>1479</v>
      </c>
      <c r="D3165" s="287" t="s">
        <v>1231</v>
      </c>
      <c r="E3165" s="656">
        <v>2845</v>
      </c>
      <c r="F3165" s="381">
        <v>469.81</v>
      </c>
    </row>
    <row r="3166" spans="1:10" s="295" customFormat="1" x14ac:dyDescent="0.15">
      <c r="A3166" s="655" t="s">
        <v>1537</v>
      </c>
      <c r="B3166" s="591" t="s">
        <v>1617</v>
      </c>
      <c r="C3166" s="287" t="s">
        <v>1269</v>
      </c>
      <c r="D3166" s="287" t="s">
        <v>1270</v>
      </c>
      <c r="E3166" s="656">
        <v>5558</v>
      </c>
      <c r="F3166" s="381">
        <v>822.08</v>
      </c>
    </row>
    <row r="3167" spans="1:10" s="295" customFormat="1" x14ac:dyDescent="0.15">
      <c r="A3167" s="655" t="s">
        <v>1538</v>
      </c>
      <c r="B3167" s="591" t="s">
        <v>1618</v>
      </c>
      <c r="C3167" s="287" t="s">
        <v>1517</v>
      </c>
      <c r="D3167" s="287" t="s">
        <v>1518</v>
      </c>
      <c r="E3167" s="656">
        <v>4</v>
      </c>
      <c r="F3167" s="381">
        <v>30.41</v>
      </c>
    </row>
    <row r="3168" spans="1:10" s="295" customFormat="1" x14ac:dyDescent="0.15">
      <c r="A3168" s="655" t="s">
        <v>1540</v>
      </c>
      <c r="B3168" s="591" t="s">
        <v>1620</v>
      </c>
      <c r="C3168" s="287" t="s">
        <v>1257</v>
      </c>
      <c r="D3168" s="287" t="s">
        <v>1258</v>
      </c>
      <c r="E3168" s="656">
        <v>20640</v>
      </c>
      <c r="F3168" s="381">
        <v>2771.99</v>
      </c>
    </row>
    <row r="3169" spans="1:6" s="295" customFormat="1" x14ac:dyDescent="0.15">
      <c r="A3169" s="655" t="s">
        <v>1541</v>
      </c>
      <c r="B3169" s="591" t="s">
        <v>1621</v>
      </c>
      <c r="C3169" s="287" t="s">
        <v>1586</v>
      </c>
      <c r="D3169" s="287" t="s">
        <v>1500</v>
      </c>
      <c r="E3169" s="656">
        <v>3240</v>
      </c>
      <c r="F3169" s="381">
        <v>531.49</v>
      </c>
    </row>
    <row r="3170" spans="1:6" s="295" customFormat="1" x14ac:dyDescent="0.15">
      <c r="A3170" s="655" t="s">
        <v>1542</v>
      </c>
      <c r="B3170" s="591" t="s">
        <v>1622</v>
      </c>
      <c r="C3170" s="287" t="s">
        <v>1240</v>
      </c>
      <c r="D3170" s="287" t="s">
        <v>1467</v>
      </c>
      <c r="E3170" s="656">
        <v>4953</v>
      </c>
      <c r="F3170" s="381">
        <v>679.99</v>
      </c>
    </row>
    <row r="3171" spans="1:6" s="295" customFormat="1" x14ac:dyDescent="0.15">
      <c r="A3171" s="655" t="s">
        <v>1543</v>
      </c>
      <c r="B3171" s="591" t="s">
        <v>1623</v>
      </c>
      <c r="C3171" s="287" t="s">
        <v>1523</v>
      </c>
      <c r="D3171" s="287" t="s">
        <v>1266</v>
      </c>
      <c r="E3171" s="656">
        <v>1596</v>
      </c>
      <c r="F3171" s="381">
        <v>263.49</v>
      </c>
    </row>
    <row r="3172" spans="1:6" s="295" customFormat="1" x14ac:dyDescent="0.15">
      <c r="A3172" s="655" t="s">
        <v>1544</v>
      </c>
      <c r="B3172" s="591" t="s">
        <v>1624</v>
      </c>
      <c r="C3172" s="287" t="s">
        <v>1234</v>
      </c>
      <c r="D3172" s="287" t="s">
        <v>1494</v>
      </c>
      <c r="E3172" s="656">
        <v>4845</v>
      </c>
      <c r="F3172" s="381">
        <v>751</v>
      </c>
    </row>
    <row r="3173" spans="1:6" s="295" customFormat="1" x14ac:dyDescent="0.15">
      <c r="A3173" s="655" t="s">
        <v>1601</v>
      </c>
      <c r="B3173" s="591"/>
      <c r="C3173" s="287" t="s">
        <v>1334</v>
      </c>
      <c r="D3173" s="287" t="s">
        <v>1462</v>
      </c>
      <c r="E3173" s="656">
        <f>986.2+1441.3</f>
        <v>2427.5</v>
      </c>
      <c r="F3173" s="381">
        <v>572.01</v>
      </c>
    </row>
    <row r="3174" spans="1:6" s="295" customFormat="1" x14ac:dyDescent="0.15">
      <c r="A3174" s="655" t="s">
        <v>1545</v>
      </c>
      <c r="B3174" s="591"/>
      <c r="C3174" s="287" t="s">
        <v>1234</v>
      </c>
      <c r="D3174" s="287" t="s">
        <v>1494</v>
      </c>
      <c r="E3174" s="656">
        <f>1.8+53.6</f>
        <v>55.4</v>
      </c>
      <c r="F3174" s="381">
        <v>15.79</v>
      </c>
    </row>
    <row r="3175" spans="1:6" s="295" customFormat="1" x14ac:dyDescent="0.15">
      <c r="A3175" s="655" t="s">
        <v>1602</v>
      </c>
      <c r="B3175" s="591"/>
      <c r="C3175" s="287" t="s">
        <v>1334</v>
      </c>
      <c r="D3175" s="287" t="s">
        <v>1462</v>
      </c>
      <c r="E3175" s="656">
        <f>55.1+80.5</f>
        <v>135.6</v>
      </c>
      <c r="F3175" s="381">
        <v>44.58</v>
      </c>
    </row>
    <row r="3176" spans="1:6" s="295" customFormat="1" x14ac:dyDescent="0.15">
      <c r="A3176" s="655" t="s">
        <v>1546</v>
      </c>
      <c r="B3176" s="591"/>
      <c r="C3176" s="287" t="s">
        <v>1586</v>
      </c>
      <c r="D3176" s="287" t="s">
        <v>1500</v>
      </c>
      <c r="E3176" s="656">
        <f>2.1+61.3</f>
        <v>63.4</v>
      </c>
      <c r="F3176" s="381">
        <v>25.89</v>
      </c>
    </row>
    <row r="3177" spans="1:6" s="295" customFormat="1" x14ac:dyDescent="0.15">
      <c r="A3177" s="655" t="s">
        <v>1549</v>
      </c>
      <c r="B3177" s="591" t="s">
        <v>1625</v>
      </c>
      <c r="C3177" s="287" t="s">
        <v>1459</v>
      </c>
      <c r="D3177" s="287" t="s">
        <v>1251</v>
      </c>
      <c r="E3177" s="656">
        <v>1126</v>
      </c>
      <c r="F3177" s="381">
        <v>209.2</v>
      </c>
    </row>
    <row r="3178" spans="1:6" s="295" customFormat="1" x14ac:dyDescent="0.15">
      <c r="A3178" s="655" t="s">
        <v>1603</v>
      </c>
      <c r="B3178" s="591"/>
      <c r="C3178" s="287" t="s">
        <v>1334</v>
      </c>
      <c r="D3178" s="287" t="s">
        <v>1462</v>
      </c>
      <c r="E3178" s="656">
        <f>412.8+603.3</f>
        <v>1016.0999999999999</v>
      </c>
      <c r="F3178" s="381">
        <v>255.95999999999998</v>
      </c>
    </row>
    <row r="3179" spans="1:6" s="295" customFormat="1" x14ac:dyDescent="0.15">
      <c r="A3179" s="655" t="s">
        <v>1597</v>
      </c>
      <c r="B3179" s="591" t="s">
        <v>1626</v>
      </c>
      <c r="C3179" s="287" t="s">
        <v>1454</v>
      </c>
      <c r="D3179" s="287" t="s">
        <v>1247</v>
      </c>
      <c r="E3179" s="656">
        <v>2760</v>
      </c>
      <c r="F3179" s="381">
        <v>446.46</v>
      </c>
    </row>
    <row r="3180" spans="1:6" s="295" customFormat="1" x14ac:dyDescent="0.15">
      <c r="A3180" s="655" t="s">
        <v>1677</v>
      </c>
      <c r="B3180" s="591" t="s">
        <v>1678</v>
      </c>
      <c r="C3180" s="287" t="s">
        <v>1313</v>
      </c>
      <c r="D3180" s="287" t="s">
        <v>1412</v>
      </c>
      <c r="E3180" s="656">
        <v>1308</v>
      </c>
      <c r="F3180" s="381">
        <v>249.63</v>
      </c>
    </row>
    <row r="3181" spans="1:6" s="295" customFormat="1" x14ac:dyDescent="0.15">
      <c r="A3181" s="655" t="s">
        <v>1551</v>
      </c>
      <c r="B3181" s="591" t="s">
        <v>1627</v>
      </c>
      <c r="C3181" s="287" t="s">
        <v>1235</v>
      </c>
      <c r="D3181" s="287" t="s">
        <v>1236</v>
      </c>
      <c r="E3181" s="656">
        <v>5671</v>
      </c>
      <c r="F3181" s="381">
        <v>766.44</v>
      </c>
    </row>
    <row r="3182" spans="1:6" s="295" customFormat="1" x14ac:dyDescent="0.15">
      <c r="A3182" s="655" t="s">
        <v>1553</v>
      </c>
      <c r="B3182" s="591" t="s">
        <v>1628</v>
      </c>
      <c r="C3182" s="287" t="s">
        <v>1475</v>
      </c>
      <c r="D3182" s="287" t="s">
        <v>1387</v>
      </c>
      <c r="E3182" s="656">
        <v>969</v>
      </c>
      <c r="F3182" s="381">
        <v>184.59</v>
      </c>
    </row>
    <row r="3183" spans="1:6" s="295" customFormat="1" x14ac:dyDescent="0.15">
      <c r="A3183" s="655" t="s">
        <v>1554</v>
      </c>
      <c r="B3183" s="591" t="s">
        <v>1629</v>
      </c>
      <c r="C3183" s="287" t="s">
        <v>1399</v>
      </c>
      <c r="D3183" s="287" t="s">
        <v>1276</v>
      </c>
      <c r="E3183" s="656">
        <v>4000</v>
      </c>
      <c r="F3183" s="381">
        <v>644.45000000000005</v>
      </c>
    </row>
    <row r="3184" spans="1:6" s="295" customFormat="1" x14ac:dyDescent="0.15">
      <c r="A3184" s="655" t="s">
        <v>1598</v>
      </c>
      <c r="B3184" s="591"/>
      <c r="C3184" s="287" t="s">
        <v>1586</v>
      </c>
      <c r="D3184" s="287" t="s">
        <v>1500</v>
      </c>
      <c r="E3184" s="656">
        <f>1.1+30.6</f>
        <v>31.700000000000003</v>
      </c>
      <c r="F3184" s="381">
        <v>14.850000000000001</v>
      </c>
    </row>
    <row r="3185" spans="1:6" s="295" customFormat="1" x14ac:dyDescent="0.15">
      <c r="A3185" s="655" t="s">
        <v>1662</v>
      </c>
      <c r="B3185" s="657">
        <v>892914652</v>
      </c>
      <c r="C3185" s="287" t="s">
        <v>1663</v>
      </c>
      <c r="D3185" s="287" t="s">
        <v>1664</v>
      </c>
      <c r="E3185" s="656">
        <v>13760</v>
      </c>
      <c r="F3185" s="381">
        <v>2081.21</v>
      </c>
    </row>
    <row r="3186" spans="1:6" s="295" customFormat="1" ht="14" thickBot="1" x14ac:dyDescent="0.2">
      <c r="A3186" s="655"/>
      <c r="B3186" s="591"/>
      <c r="C3186" s="291" t="s">
        <v>1657</v>
      </c>
      <c r="D3186" s="287"/>
      <c r="E3186" s="643">
        <f>SUM(E3162:E3185)</f>
        <v>103164.7</v>
      </c>
      <c r="F3186" s="658">
        <v>15801.070000000002</v>
      </c>
    </row>
    <row r="3187" spans="1:6" s="295" customFormat="1" ht="14" thickTop="1" x14ac:dyDescent="0.15">
      <c r="A3187" s="655"/>
      <c r="B3187" s="591"/>
      <c r="C3187" s="287"/>
      <c r="D3187" s="287"/>
      <c r="E3187" s="524"/>
      <c r="F3187" s="381"/>
    </row>
    <row r="3188" spans="1:6" s="295" customFormat="1" x14ac:dyDescent="0.15">
      <c r="A3188" s="655" t="s">
        <v>1556</v>
      </c>
      <c r="B3188" s="591" t="s">
        <v>1631</v>
      </c>
      <c r="C3188" s="287" t="s">
        <v>1248</v>
      </c>
      <c r="D3188" s="287" t="s">
        <v>1482</v>
      </c>
      <c r="E3188" s="656">
        <v>4629</v>
      </c>
      <c r="F3188" s="381">
        <v>722.03</v>
      </c>
    </row>
    <row r="3189" spans="1:6" s="295" customFormat="1" x14ac:dyDescent="0.15">
      <c r="A3189" s="655" t="s">
        <v>1714</v>
      </c>
      <c r="B3189" s="591"/>
      <c r="C3189" s="287" t="s">
        <v>1267</v>
      </c>
      <c r="D3189" s="287" t="s">
        <v>1268</v>
      </c>
      <c r="E3189" s="656">
        <f>1.1+30.6</f>
        <v>31.700000000000003</v>
      </c>
      <c r="F3189" s="381">
        <v>10.54</v>
      </c>
    </row>
    <row r="3190" spans="1:6" s="295" customFormat="1" x14ac:dyDescent="0.15">
      <c r="A3190" s="655" t="s">
        <v>1558</v>
      </c>
      <c r="B3190" s="591" t="s">
        <v>1633</v>
      </c>
      <c r="C3190" s="287" t="s">
        <v>1469</v>
      </c>
      <c r="D3190" s="287" t="s">
        <v>1470</v>
      </c>
      <c r="E3190" s="656">
        <v>6720</v>
      </c>
      <c r="F3190" s="381">
        <v>1034.6300000000001</v>
      </c>
    </row>
    <row r="3191" spans="1:6" s="295" customFormat="1" x14ac:dyDescent="0.15">
      <c r="A3191" s="655" t="s">
        <v>1559</v>
      </c>
      <c r="B3191" s="591" t="s">
        <v>1634</v>
      </c>
      <c r="C3191" s="287" t="s">
        <v>1502</v>
      </c>
      <c r="D3191" s="287" t="s">
        <v>1381</v>
      </c>
      <c r="E3191" s="656">
        <v>17184</v>
      </c>
      <c r="F3191" s="381">
        <v>2358.3200000000002</v>
      </c>
    </row>
    <row r="3192" spans="1:6" s="295" customFormat="1" x14ac:dyDescent="0.15">
      <c r="A3192" s="655" t="s">
        <v>1560</v>
      </c>
      <c r="B3192" s="591" t="s">
        <v>1635</v>
      </c>
      <c r="C3192" s="287" t="s">
        <v>1504</v>
      </c>
      <c r="D3192" s="287" t="s">
        <v>1505</v>
      </c>
      <c r="E3192" s="656">
        <v>2576</v>
      </c>
      <c r="F3192" s="381">
        <v>405.79</v>
      </c>
    </row>
    <row r="3193" spans="1:6" s="295" customFormat="1" x14ac:dyDescent="0.15">
      <c r="A3193" s="655" t="s">
        <v>1675</v>
      </c>
      <c r="B3193" s="591" t="s">
        <v>1676</v>
      </c>
      <c r="C3193" s="287" t="s">
        <v>1477</v>
      </c>
      <c r="D3193" s="287" t="s">
        <v>1289</v>
      </c>
      <c r="E3193" s="656">
        <v>14390</v>
      </c>
      <c r="F3193" s="381">
        <v>2037.29</v>
      </c>
    </row>
    <row r="3194" spans="1:6" s="295" customFormat="1" x14ac:dyDescent="0.15">
      <c r="A3194" s="655" t="s">
        <v>1564</v>
      </c>
      <c r="B3194" s="591" t="s">
        <v>1636</v>
      </c>
      <c r="C3194" s="287" t="s">
        <v>1485</v>
      </c>
      <c r="D3194" s="287" t="s">
        <v>1486</v>
      </c>
      <c r="E3194" s="656">
        <v>2200</v>
      </c>
      <c r="F3194" s="381">
        <v>375.77</v>
      </c>
    </row>
    <row r="3195" spans="1:6" s="295" customFormat="1" x14ac:dyDescent="0.15">
      <c r="A3195" s="655" t="s">
        <v>1565</v>
      </c>
      <c r="B3195" s="591" t="s">
        <v>1637</v>
      </c>
      <c r="C3195" s="287" t="s">
        <v>1267</v>
      </c>
      <c r="D3195" s="287" t="s">
        <v>1268</v>
      </c>
      <c r="E3195" s="656">
        <v>3817</v>
      </c>
      <c r="F3195" s="381">
        <v>727.15</v>
      </c>
    </row>
    <row r="3196" spans="1:6" s="295" customFormat="1" x14ac:dyDescent="0.15">
      <c r="A3196" s="655" t="s">
        <v>1569</v>
      </c>
      <c r="B3196" s="591" t="s">
        <v>1638</v>
      </c>
      <c r="C3196" s="287" t="s">
        <v>1464</v>
      </c>
      <c r="D3196" s="287" t="s">
        <v>1285</v>
      </c>
      <c r="E3196" s="656">
        <v>1093</v>
      </c>
      <c r="F3196" s="381">
        <v>235.65</v>
      </c>
    </row>
    <row r="3197" spans="1:6" s="295" customFormat="1" x14ac:dyDescent="0.15">
      <c r="A3197" s="655" t="s">
        <v>1711</v>
      </c>
      <c r="B3197" s="591" t="s">
        <v>1712</v>
      </c>
      <c r="C3197" s="287" t="s">
        <v>1713</v>
      </c>
      <c r="D3197" s="287" t="s">
        <v>1419</v>
      </c>
      <c r="E3197" s="656">
        <v>1026</v>
      </c>
      <c r="F3197" s="381">
        <v>195.45</v>
      </c>
    </row>
    <row r="3198" spans="1:6" s="295" customFormat="1" x14ac:dyDescent="0.15">
      <c r="A3198" s="655" t="s">
        <v>1570</v>
      </c>
      <c r="B3198" s="591" t="s">
        <v>1639</v>
      </c>
      <c r="C3198" s="287" t="s">
        <v>1472</v>
      </c>
      <c r="D3198" s="287" t="s">
        <v>1473</v>
      </c>
      <c r="E3198" s="656">
        <v>27</v>
      </c>
      <c r="F3198" s="381">
        <v>32.68</v>
      </c>
    </row>
    <row r="3199" spans="1:6" s="295" customFormat="1" x14ac:dyDescent="0.15">
      <c r="A3199" s="655" t="s">
        <v>1571</v>
      </c>
      <c r="B3199" s="591" t="s">
        <v>1640</v>
      </c>
      <c r="C3199" s="287" t="s">
        <v>1489</v>
      </c>
      <c r="D3199" s="287" t="s">
        <v>1490</v>
      </c>
      <c r="E3199" s="656">
        <v>98</v>
      </c>
      <c r="F3199" s="381">
        <v>39.78</v>
      </c>
    </row>
    <row r="3200" spans="1:6" s="295" customFormat="1" x14ac:dyDescent="0.15">
      <c r="A3200" s="655" t="s">
        <v>1572</v>
      </c>
      <c r="B3200" s="591" t="s">
        <v>1641</v>
      </c>
      <c r="C3200" s="287" t="s">
        <v>1271</v>
      </c>
      <c r="D3200" s="287" t="s">
        <v>1272</v>
      </c>
      <c r="E3200" s="656">
        <v>8421</v>
      </c>
      <c r="F3200" s="381">
        <v>1181.8900000000001</v>
      </c>
    </row>
    <row r="3201" spans="1:6" s="622" customFormat="1" x14ac:dyDescent="0.15">
      <c r="A3201" s="671" t="s">
        <v>1573</v>
      </c>
      <c r="B3201" s="672"/>
      <c r="C3201" s="395" t="s">
        <v>1461</v>
      </c>
      <c r="D3201" s="395" t="s">
        <v>1703</v>
      </c>
      <c r="E3201" s="659">
        <v>0</v>
      </c>
      <c r="F3201" s="673">
        <v>0</v>
      </c>
    </row>
    <row r="3202" spans="1:6" s="295" customFormat="1" x14ac:dyDescent="0.15">
      <c r="A3202" s="655" t="s">
        <v>1574</v>
      </c>
      <c r="B3202" s="591" t="s">
        <v>1642</v>
      </c>
      <c r="C3202" s="287" t="s">
        <v>1377</v>
      </c>
      <c r="D3202" s="287" t="s">
        <v>1378</v>
      </c>
      <c r="E3202" s="656">
        <v>2533</v>
      </c>
      <c r="F3202" s="381">
        <v>431.28</v>
      </c>
    </row>
    <row r="3203" spans="1:6" s="295" customFormat="1" x14ac:dyDescent="0.15">
      <c r="A3203" s="655" t="s">
        <v>1575</v>
      </c>
      <c r="B3203" s="591" t="s">
        <v>1685</v>
      </c>
      <c r="C3203" s="287" t="s">
        <v>1448</v>
      </c>
      <c r="D3203" s="287" t="s">
        <v>1449</v>
      </c>
      <c r="E3203" s="656">
        <v>364</v>
      </c>
      <c r="F3203" s="381">
        <v>71.69</v>
      </c>
    </row>
    <row r="3204" spans="1:6" s="295" customFormat="1" x14ac:dyDescent="0.15">
      <c r="A3204" s="655" t="s">
        <v>1604</v>
      </c>
      <c r="B3204" s="591"/>
      <c r="C3204" s="287" t="s">
        <v>1334</v>
      </c>
      <c r="D3204" s="287" t="s">
        <v>1462</v>
      </c>
      <c r="E3204" s="656">
        <f>64.4+94.1</f>
        <v>158.5</v>
      </c>
      <c r="F3204" s="381">
        <v>60.099999999999994</v>
      </c>
    </row>
    <row r="3205" spans="1:6" s="295" customFormat="1" x14ac:dyDescent="0.15">
      <c r="A3205" s="655" t="s">
        <v>1576</v>
      </c>
      <c r="B3205" s="591" t="s">
        <v>1644</v>
      </c>
      <c r="C3205" s="287" t="s">
        <v>1401</v>
      </c>
      <c r="D3205" s="287" t="s">
        <v>1316</v>
      </c>
      <c r="E3205" s="656">
        <v>23</v>
      </c>
      <c r="F3205" s="381">
        <v>32.299999999999997</v>
      </c>
    </row>
    <row r="3206" spans="1:6" s="295" customFormat="1" x14ac:dyDescent="0.15">
      <c r="A3206" s="655" t="s">
        <v>1605</v>
      </c>
      <c r="B3206" s="591"/>
      <c r="C3206" s="287" t="s">
        <v>1334</v>
      </c>
      <c r="D3206" s="287" t="s">
        <v>1462</v>
      </c>
      <c r="E3206" s="656">
        <f>188.1+274.9</f>
        <v>463</v>
      </c>
      <c r="F3206" s="381">
        <v>177.51</v>
      </c>
    </row>
    <row r="3207" spans="1:6" s="622" customFormat="1" x14ac:dyDescent="0.15">
      <c r="A3207" s="671" t="s">
        <v>1578</v>
      </c>
      <c r="B3207" s="672" t="s">
        <v>1646</v>
      </c>
      <c r="C3207" s="395" t="s">
        <v>1579</v>
      </c>
      <c r="D3207" s="395" t="s">
        <v>1497</v>
      </c>
      <c r="E3207" s="659">
        <v>0</v>
      </c>
      <c r="F3207" s="673">
        <v>0</v>
      </c>
    </row>
    <row r="3208" spans="1:6" s="295" customFormat="1" x14ac:dyDescent="0.15">
      <c r="A3208" s="655" t="s">
        <v>1580</v>
      </c>
      <c r="B3208" s="591" t="s">
        <v>1647</v>
      </c>
      <c r="C3208" s="287" t="s">
        <v>1451</v>
      </c>
      <c r="D3208" s="287" t="s">
        <v>1674</v>
      </c>
      <c r="E3208" s="656">
        <v>2880</v>
      </c>
      <c r="F3208" s="381">
        <v>2056.96</v>
      </c>
    </row>
    <row r="3209" spans="1:6" s="295" customFormat="1" x14ac:dyDescent="0.15">
      <c r="A3209" s="655" t="s">
        <v>1581</v>
      </c>
      <c r="B3209" s="591" t="s">
        <v>1648</v>
      </c>
      <c r="C3209" s="287" t="s">
        <v>1521</v>
      </c>
      <c r="D3209" s="287" t="s">
        <v>1229</v>
      </c>
      <c r="E3209" s="656">
        <v>2637</v>
      </c>
      <c r="F3209" s="381">
        <v>404.45</v>
      </c>
    </row>
    <row r="3210" spans="1:6" s="295" customFormat="1" x14ac:dyDescent="0.15">
      <c r="A3210" s="655" t="s">
        <v>1582</v>
      </c>
      <c r="B3210" s="591" t="s">
        <v>1649</v>
      </c>
      <c r="C3210" s="287" t="s">
        <v>1525</v>
      </c>
      <c r="D3210" s="287" t="s">
        <v>1526</v>
      </c>
      <c r="E3210" s="656">
        <v>20</v>
      </c>
      <c r="F3210" s="381">
        <v>9.61</v>
      </c>
    </row>
    <row r="3211" spans="1:6" s="295" customFormat="1" ht="14" x14ac:dyDescent="0.15">
      <c r="A3211" s="655" t="s">
        <v>1583</v>
      </c>
      <c r="B3211" s="591" t="s">
        <v>1650</v>
      </c>
      <c r="C3211" s="287" t="s">
        <v>1584</v>
      </c>
      <c r="D3211" s="618" t="s">
        <v>1264</v>
      </c>
      <c r="E3211" s="656">
        <v>1480</v>
      </c>
      <c r="F3211" s="381">
        <v>289.10000000000002</v>
      </c>
    </row>
    <row r="3212" spans="1:6" s="295" customFormat="1" x14ac:dyDescent="0.15">
      <c r="A3212" s="655" t="s">
        <v>1666</v>
      </c>
      <c r="B3212" s="591" t="s">
        <v>1672</v>
      </c>
      <c r="C3212" s="287" t="s">
        <v>1667</v>
      </c>
      <c r="D3212" s="287" t="s">
        <v>1668</v>
      </c>
      <c r="E3212" s="656">
        <v>16320</v>
      </c>
      <c r="F3212" s="381">
        <v>3300.37</v>
      </c>
    </row>
    <row r="3213" spans="1:6" s="295" customFormat="1" x14ac:dyDescent="0.15">
      <c r="A3213" s="655" t="s">
        <v>1606</v>
      </c>
      <c r="B3213" s="591"/>
      <c r="C3213" s="287" t="s">
        <v>1334</v>
      </c>
      <c r="D3213" s="287" t="s">
        <v>1462</v>
      </c>
      <c r="E3213" s="656">
        <f>22.5+32.9</f>
        <v>55.4</v>
      </c>
      <c r="F3213" s="381">
        <v>12.49</v>
      </c>
    </row>
    <row r="3214" spans="1:6" s="295" customFormat="1" ht="14" thickBot="1" x14ac:dyDescent="0.2">
      <c r="A3214" s="655"/>
      <c r="B3214" s="591"/>
      <c r="C3214" s="291" t="s">
        <v>1669</v>
      </c>
      <c r="D3214" s="287"/>
      <c r="E3214" s="643">
        <f>SUM(E3188:E3213)</f>
        <v>89146.599999999991</v>
      </c>
      <c r="F3214" s="658">
        <v>16202.830000000002</v>
      </c>
    </row>
    <row r="3215" spans="1:6" s="295" customFormat="1" ht="14" thickTop="1" x14ac:dyDescent="0.15">
      <c r="A3215" s="655"/>
      <c r="B3215" s="591"/>
      <c r="C3215" s="287"/>
      <c r="D3215" s="287"/>
      <c r="E3215" s="524"/>
      <c r="F3215" s="381"/>
    </row>
    <row r="3216" spans="1:6" s="295" customFormat="1" x14ac:dyDescent="0.15">
      <c r="A3216" s="655"/>
      <c r="B3216" s="591"/>
      <c r="C3216" s="293" t="s">
        <v>1441</v>
      </c>
      <c r="D3216" s="287"/>
      <c r="E3216" s="524"/>
      <c r="F3216" s="381"/>
    </row>
    <row r="3217" spans="1:6" s="295" customFormat="1" x14ac:dyDescent="0.15">
      <c r="A3217" s="655"/>
      <c r="B3217" s="591"/>
      <c r="C3217" s="293" t="s">
        <v>1446</v>
      </c>
      <c r="D3217" s="287"/>
      <c r="E3217" s="524"/>
      <c r="F3217" s="381"/>
    </row>
    <row r="3218" spans="1:6" s="295" customFormat="1" x14ac:dyDescent="0.15">
      <c r="A3218" s="655"/>
      <c r="B3218" s="591"/>
      <c r="C3218" s="386">
        <v>42216</v>
      </c>
      <c r="D3218" s="287"/>
      <c r="E3218" s="524"/>
      <c r="F3218" s="381"/>
    </row>
    <row r="3219" spans="1:6" s="295" customFormat="1" x14ac:dyDescent="0.15">
      <c r="A3219" s="655"/>
      <c r="B3219" s="591"/>
      <c r="C3219" s="287"/>
      <c r="D3219" s="287"/>
      <c r="E3219" s="524"/>
      <c r="F3219" s="381"/>
    </row>
    <row r="3220" spans="1:6" s="295" customFormat="1" ht="14" thickBot="1" x14ac:dyDescent="0.2">
      <c r="A3220" s="663"/>
      <c r="B3220" s="664"/>
      <c r="C3220" s="665" t="s">
        <v>1177</v>
      </c>
      <c r="D3220" s="665"/>
      <c r="E3220" s="666">
        <f>SUM(E3186,E3214)</f>
        <v>192311.3</v>
      </c>
      <c r="F3220" s="667">
        <v>32003.9</v>
      </c>
    </row>
    <row r="3221" spans="1:6" s="295" customFormat="1" x14ac:dyDescent="0.15">
      <c r="A3221" s="655"/>
      <c r="B3221" s="591"/>
      <c r="C3221" s="413"/>
      <c r="D3221" s="413"/>
      <c r="E3221" s="669"/>
      <c r="F3221" s="670"/>
    </row>
    <row r="3222" spans="1:6" s="295" customFormat="1" x14ac:dyDescent="0.15">
      <c r="A3222" s="652" t="s">
        <v>1534</v>
      </c>
      <c r="B3222" s="653" t="s">
        <v>1614</v>
      </c>
      <c r="C3222" s="371" t="s">
        <v>1492</v>
      </c>
      <c r="D3222" s="371" t="s">
        <v>1239</v>
      </c>
      <c r="E3222" s="654">
        <v>9920</v>
      </c>
      <c r="F3222" s="391">
        <v>1478.53</v>
      </c>
    </row>
    <row r="3223" spans="1:6" s="295" customFormat="1" x14ac:dyDescent="0.15">
      <c r="A3223" s="655" t="s">
        <v>1535</v>
      </c>
      <c r="B3223" s="591" t="s">
        <v>1615</v>
      </c>
      <c r="C3223" s="287" t="s">
        <v>1507</v>
      </c>
      <c r="D3223" s="287" t="s">
        <v>1245</v>
      </c>
      <c r="E3223" s="656">
        <v>2680</v>
      </c>
      <c r="F3223" s="381">
        <v>460.36</v>
      </c>
    </row>
    <row r="3224" spans="1:6" s="295" customFormat="1" x14ac:dyDescent="0.15">
      <c r="A3224" s="655" t="s">
        <v>1670</v>
      </c>
      <c r="B3224" s="591" t="s">
        <v>1659</v>
      </c>
      <c r="C3224" s="287" t="s">
        <v>1279</v>
      </c>
      <c r="D3224" s="287" t="s">
        <v>1660</v>
      </c>
      <c r="E3224" s="656">
        <v>7680</v>
      </c>
      <c r="F3224" s="381">
        <v>1441.39</v>
      </c>
    </row>
    <row r="3225" spans="1:6" s="295" customFormat="1" x14ac:dyDescent="0.15">
      <c r="A3225" s="655" t="s">
        <v>1536</v>
      </c>
      <c r="B3225" s="591" t="s">
        <v>1616</v>
      </c>
      <c r="C3225" s="287" t="s">
        <v>1479</v>
      </c>
      <c r="D3225" s="287" t="s">
        <v>1231</v>
      </c>
      <c r="E3225" s="656">
        <v>3073</v>
      </c>
      <c r="F3225" s="381">
        <v>469.74</v>
      </c>
    </row>
    <row r="3226" spans="1:6" s="295" customFormat="1" x14ac:dyDescent="0.15">
      <c r="A3226" s="655" t="s">
        <v>1537</v>
      </c>
      <c r="B3226" s="591" t="s">
        <v>1617</v>
      </c>
      <c r="C3226" s="287" t="s">
        <v>1269</v>
      </c>
      <c r="D3226" s="287" t="s">
        <v>1270</v>
      </c>
      <c r="E3226" s="656">
        <v>6071</v>
      </c>
      <c r="F3226" s="381">
        <v>827.68</v>
      </c>
    </row>
    <row r="3227" spans="1:6" s="295" customFormat="1" x14ac:dyDescent="0.15">
      <c r="A3227" s="655" t="s">
        <v>1538</v>
      </c>
      <c r="B3227" s="591" t="s">
        <v>1618</v>
      </c>
      <c r="C3227" s="287" t="s">
        <v>1517</v>
      </c>
      <c r="D3227" s="287" t="s">
        <v>1518</v>
      </c>
      <c r="E3227" s="656">
        <v>5</v>
      </c>
      <c r="F3227" s="381">
        <v>30.47</v>
      </c>
    </row>
    <row r="3228" spans="1:6" s="295" customFormat="1" x14ac:dyDescent="0.15">
      <c r="A3228" s="655" t="s">
        <v>1540</v>
      </c>
      <c r="B3228" s="591" t="s">
        <v>1620</v>
      </c>
      <c r="C3228" s="287" t="s">
        <v>1257</v>
      </c>
      <c r="D3228" s="287" t="s">
        <v>1258</v>
      </c>
      <c r="E3228" s="656">
        <v>18720</v>
      </c>
      <c r="F3228" s="381">
        <v>2458.65</v>
      </c>
    </row>
    <row r="3229" spans="1:6" s="295" customFormat="1" x14ac:dyDescent="0.15">
      <c r="A3229" s="655" t="s">
        <v>1541</v>
      </c>
      <c r="B3229" s="591" t="s">
        <v>1621</v>
      </c>
      <c r="C3229" s="287" t="s">
        <v>1586</v>
      </c>
      <c r="D3229" s="287" t="s">
        <v>1500</v>
      </c>
      <c r="E3229" s="656">
        <v>2840</v>
      </c>
      <c r="F3229" s="381">
        <v>476.29</v>
      </c>
    </row>
    <row r="3230" spans="1:6" s="295" customFormat="1" x14ac:dyDescent="0.15">
      <c r="A3230" s="655" t="s">
        <v>1542</v>
      </c>
      <c r="B3230" s="591" t="s">
        <v>1622</v>
      </c>
      <c r="C3230" s="287" t="s">
        <v>1240</v>
      </c>
      <c r="D3230" s="287" t="s">
        <v>1467</v>
      </c>
      <c r="E3230" s="656">
        <v>3962</v>
      </c>
      <c r="F3230" s="381">
        <v>565.71</v>
      </c>
    </row>
    <row r="3231" spans="1:6" s="295" customFormat="1" x14ac:dyDescent="0.15">
      <c r="A3231" s="655" t="s">
        <v>1543</v>
      </c>
      <c r="B3231" s="591" t="s">
        <v>1623</v>
      </c>
      <c r="C3231" s="287" t="s">
        <v>1523</v>
      </c>
      <c r="D3231" s="287" t="s">
        <v>1266</v>
      </c>
      <c r="E3231" s="656">
        <v>1818</v>
      </c>
      <c r="F3231" s="381">
        <v>263.05</v>
      </c>
    </row>
    <row r="3232" spans="1:6" s="295" customFormat="1" x14ac:dyDescent="0.15">
      <c r="A3232" s="655" t="s">
        <v>1715</v>
      </c>
      <c r="B3232" s="591" t="s">
        <v>1716</v>
      </c>
      <c r="C3232" s="287" t="s">
        <v>1328</v>
      </c>
      <c r="D3232" s="287" t="s">
        <v>1329</v>
      </c>
      <c r="E3232" s="656">
        <v>224</v>
      </c>
      <c r="F3232" s="381">
        <v>45.66</v>
      </c>
    </row>
    <row r="3233" spans="1:6" s="295" customFormat="1" x14ac:dyDescent="0.15">
      <c r="A3233" s="655" t="s">
        <v>1544</v>
      </c>
      <c r="B3233" s="591" t="s">
        <v>1624</v>
      </c>
      <c r="C3233" s="287" t="s">
        <v>1234</v>
      </c>
      <c r="D3233" s="287" t="s">
        <v>1494</v>
      </c>
      <c r="E3233" s="656">
        <v>4638</v>
      </c>
      <c r="F3233" s="381">
        <v>722.2</v>
      </c>
    </row>
    <row r="3234" spans="1:6" s="295" customFormat="1" x14ac:dyDescent="0.15">
      <c r="A3234" s="655" t="s">
        <v>1601</v>
      </c>
      <c r="B3234" s="591"/>
      <c r="C3234" s="287" t="s">
        <v>1334</v>
      </c>
      <c r="D3234" s="287" t="s">
        <v>1462</v>
      </c>
      <c r="E3234" s="656">
        <v>2714.4</v>
      </c>
      <c r="F3234" s="381">
        <v>601.38</v>
      </c>
    </row>
    <row r="3235" spans="1:6" s="295" customFormat="1" x14ac:dyDescent="0.15">
      <c r="A3235" s="655" t="s">
        <v>1545</v>
      </c>
      <c r="B3235" s="591"/>
      <c r="C3235" s="287" t="s">
        <v>1234</v>
      </c>
      <c r="D3235" s="287" t="s">
        <v>1494</v>
      </c>
      <c r="E3235" s="656">
        <f>2.1+59.9</f>
        <v>62</v>
      </c>
      <c r="F3235" s="381">
        <v>16.66</v>
      </c>
    </row>
    <row r="3236" spans="1:6" s="295" customFormat="1" x14ac:dyDescent="0.15">
      <c r="A3236" s="655" t="s">
        <v>1602</v>
      </c>
      <c r="B3236" s="591"/>
      <c r="C3236" s="287" t="s">
        <v>1334</v>
      </c>
      <c r="D3236" s="287" t="s">
        <v>1462</v>
      </c>
      <c r="E3236" s="656">
        <v>151.80000000000001</v>
      </c>
      <c r="F3236" s="381">
        <v>46.25</v>
      </c>
    </row>
    <row r="3237" spans="1:6" s="295" customFormat="1" x14ac:dyDescent="0.15">
      <c r="A3237" s="655" t="s">
        <v>1546</v>
      </c>
      <c r="B3237" s="591"/>
      <c r="C3237" s="287" t="s">
        <v>1586</v>
      </c>
      <c r="D3237" s="287" t="s">
        <v>1500</v>
      </c>
      <c r="E3237" s="656">
        <f>2.4+68.6</f>
        <v>71</v>
      </c>
      <c r="F3237" s="381">
        <v>27.13</v>
      </c>
    </row>
    <row r="3238" spans="1:6" s="295" customFormat="1" x14ac:dyDescent="0.15">
      <c r="A3238" s="655" t="s">
        <v>1549</v>
      </c>
      <c r="B3238" s="591" t="s">
        <v>1625</v>
      </c>
      <c r="C3238" s="287" t="s">
        <v>1459</v>
      </c>
      <c r="D3238" s="287" t="s">
        <v>1251</v>
      </c>
      <c r="E3238" s="656">
        <v>1219</v>
      </c>
      <c r="F3238" s="381">
        <v>233.16</v>
      </c>
    </row>
    <row r="3239" spans="1:6" s="295" customFormat="1" x14ac:dyDescent="0.15">
      <c r="A3239" s="655" t="s">
        <v>1603</v>
      </c>
      <c r="B3239" s="591"/>
      <c r="C3239" s="287" t="s">
        <v>1334</v>
      </c>
      <c r="D3239" s="287" t="s">
        <v>1462</v>
      </c>
      <c r="E3239" s="656">
        <v>1136.8</v>
      </c>
      <c r="F3239" s="381">
        <v>268.42</v>
      </c>
    </row>
    <row r="3240" spans="1:6" s="295" customFormat="1" x14ac:dyDescent="0.15">
      <c r="A3240" s="655" t="s">
        <v>1597</v>
      </c>
      <c r="B3240" s="591" t="s">
        <v>1626</v>
      </c>
      <c r="C3240" s="287" t="s">
        <v>1454</v>
      </c>
      <c r="D3240" s="287" t="s">
        <v>1247</v>
      </c>
      <c r="E3240" s="656">
        <v>2760</v>
      </c>
      <c r="F3240" s="381">
        <v>446.02</v>
      </c>
    </row>
    <row r="3241" spans="1:6" s="295" customFormat="1" x14ac:dyDescent="0.15">
      <c r="A3241" s="655" t="s">
        <v>1677</v>
      </c>
      <c r="B3241" s="591" t="s">
        <v>1678</v>
      </c>
      <c r="C3241" s="287" t="s">
        <v>1313</v>
      </c>
      <c r="D3241" s="287" t="s">
        <v>1412</v>
      </c>
      <c r="E3241" s="656">
        <v>1288</v>
      </c>
      <c r="F3241" s="381">
        <v>240</v>
      </c>
    </row>
    <row r="3242" spans="1:6" s="295" customFormat="1" x14ac:dyDescent="0.15">
      <c r="A3242" s="655" t="s">
        <v>1551</v>
      </c>
      <c r="B3242" s="591" t="s">
        <v>1627</v>
      </c>
      <c r="C3242" s="287" t="s">
        <v>1235</v>
      </c>
      <c r="D3242" s="287" t="s">
        <v>1236</v>
      </c>
      <c r="E3242" s="656">
        <v>5787</v>
      </c>
      <c r="F3242" s="381">
        <v>791.97</v>
      </c>
    </row>
    <row r="3243" spans="1:6" s="295" customFormat="1" x14ac:dyDescent="0.15">
      <c r="A3243" s="655" t="s">
        <v>1553</v>
      </c>
      <c r="B3243" s="591" t="s">
        <v>1628</v>
      </c>
      <c r="C3243" s="287" t="s">
        <v>1475</v>
      </c>
      <c r="D3243" s="287" t="s">
        <v>1387</v>
      </c>
      <c r="E3243" s="656">
        <v>789</v>
      </c>
      <c r="F3243" s="381">
        <v>150.56</v>
      </c>
    </row>
    <row r="3244" spans="1:6" s="295" customFormat="1" x14ac:dyDescent="0.15">
      <c r="A3244" s="655" t="s">
        <v>1554</v>
      </c>
      <c r="B3244" s="591" t="s">
        <v>1629</v>
      </c>
      <c r="C3244" s="287" t="s">
        <v>1399</v>
      </c>
      <c r="D3244" s="287" t="s">
        <v>1276</v>
      </c>
      <c r="E3244" s="656">
        <v>3800</v>
      </c>
      <c r="F3244" s="381">
        <v>586.71</v>
      </c>
    </row>
    <row r="3245" spans="1:6" s="295" customFormat="1" x14ac:dyDescent="0.15">
      <c r="A3245" s="655" t="s">
        <v>1598</v>
      </c>
      <c r="B3245" s="591"/>
      <c r="C3245" s="287" t="s">
        <v>1586</v>
      </c>
      <c r="D3245" s="287" t="s">
        <v>1500</v>
      </c>
      <c r="E3245" s="656">
        <v>35.5</v>
      </c>
      <c r="F3245" s="381">
        <v>15.44</v>
      </c>
    </row>
    <row r="3246" spans="1:6" s="295" customFormat="1" x14ac:dyDescent="0.15">
      <c r="A3246" s="655" t="s">
        <v>1662</v>
      </c>
      <c r="B3246" s="657">
        <v>892914652</v>
      </c>
      <c r="C3246" s="287" t="s">
        <v>1663</v>
      </c>
      <c r="D3246" s="287" t="s">
        <v>1664</v>
      </c>
      <c r="E3246" s="656">
        <v>16960</v>
      </c>
      <c r="F3246" s="381">
        <v>2398.91</v>
      </c>
    </row>
    <row r="3247" spans="1:6" s="295" customFormat="1" ht="14" thickBot="1" x14ac:dyDescent="0.2">
      <c r="A3247" s="655"/>
      <c r="B3247" s="591"/>
      <c r="C3247" s="291" t="s">
        <v>1671</v>
      </c>
      <c r="D3247" s="287"/>
      <c r="E3247" s="643">
        <f>SUM(E3222:E3246)</f>
        <v>98405.500000000015</v>
      </c>
      <c r="F3247" s="658">
        <v>15062.339999999998</v>
      </c>
    </row>
    <row r="3248" spans="1:6" s="295" customFormat="1" ht="14" thickTop="1" x14ac:dyDescent="0.15">
      <c r="A3248" s="655"/>
      <c r="B3248" s="591"/>
      <c r="C3248" s="287"/>
      <c r="D3248" s="287"/>
      <c r="E3248" s="524"/>
      <c r="F3248" s="381"/>
    </row>
    <row r="3249" spans="1:6" s="295" customFormat="1" x14ac:dyDescent="0.15">
      <c r="A3249" s="655" t="s">
        <v>1556</v>
      </c>
      <c r="B3249" s="591" t="s">
        <v>1631</v>
      </c>
      <c r="C3249" s="287" t="s">
        <v>1248</v>
      </c>
      <c r="D3249" s="287" t="s">
        <v>1482</v>
      </c>
      <c r="E3249" s="656">
        <v>4999</v>
      </c>
      <c r="F3249" s="381">
        <v>750.71</v>
      </c>
    </row>
    <row r="3250" spans="1:6" s="295" customFormat="1" x14ac:dyDescent="0.15">
      <c r="A3250" s="655" t="s">
        <v>1714</v>
      </c>
      <c r="B3250" s="591"/>
      <c r="C3250" s="287" t="s">
        <v>1267</v>
      </c>
      <c r="D3250" s="287" t="s">
        <v>1268</v>
      </c>
      <c r="E3250" s="656">
        <f>2.2+33.3</f>
        <v>35.5</v>
      </c>
      <c r="F3250" s="381">
        <v>10.879999999999999</v>
      </c>
    </row>
    <row r="3251" spans="1:6" s="295" customFormat="1" x14ac:dyDescent="0.15">
      <c r="A3251" s="655" t="s">
        <v>1558</v>
      </c>
      <c r="B3251" s="591" t="s">
        <v>1633</v>
      </c>
      <c r="C3251" s="287" t="s">
        <v>1469</v>
      </c>
      <c r="D3251" s="287" t="s">
        <v>1470</v>
      </c>
      <c r="E3251" s="656">
        <v>7200</v>
      </c>
      <c r="F3251" s="381">
        <v>1073.92</v>
      </c>
    </row>
    <row r="3252" spans="1:6" s="295" customFormat="1" x14ac:dyDescent="0.15">
      <c r="A3252" s="655" t="s">
        <v>1559</v>
      </c>
      <c r="B3252" s="591" t="s">
        <v>1634</v>
      </c>
      <c r="C3252" s="287" t="s">
        <v>1502</v>
      </c>
      <c r="D3252" s="287" t="s">
        <v>1381</v>
      </c>
      <c r="E3252" s="656">
        <v>18720</v>
      </c>
      <c r="F3252" s="381">
        <v>2537.13</v>
      </c>
    </row>
    <row r="3253" spans="1:6" s="295" customFormat="1" x14ac:dyDescent="0.15">
      <c r="A3253" s="655" t="s">
        <v>1560</v>
      </c>
      <c r="B3253" s="591" t="s">
        <v>1635</v>
      </c>
      <c r="C3253" s="287" t="s">
        <v>1504</v>
      </c>
      <c r="D3253" s="287" t="s">
        <v>1505</v>
      </c>
      <c r="E3253" s="656">
        <v>2603</v>
      </c>
      <c r="F3253" s="381">
        <v>415.51</v>
      </c>
    </row>
    <row r="3254" spans="1:6" s="295" customFormat="1" x14ac:dyDescent="0.15">
      <c r="A3254" s="655" t="s">
        <v>1675</v>
      </c>
      <c r="B3254" s="591" t="s">
        <v>1676</v>
      </c>
      <c r="C3254" s="287" t="s">
        <v>1477</v>
      </c>
      <c r="D3254" s="287" t="s">
        <v>1289</v>
      </c>
      <c r="E3254" s="656">
        <v>15870</v>
      </c>
      <c r="F3254" s="381">
        <v>2226.9699999999998</v>
      </c>
    </row>
    <row r="3255" spans="1:6" s="295" customFormat="1" x14ac:dyDescent="0.15">
      <c r="A3255" s="655" t="s">
        <v>1564</v>
      </c>
      <c r="B3255" s="591" t="s">
        <v>1636</v>
      </c>
      <c r="C3255" s="287" t="s">
        <v>1485</v>
      </c>
      <c r="D3255" s="287" t="s">
        <v>1486</v>
      </c>
      <c r="E3255" s="656">
        <v>2840</v>
      </c>
      <c r="F3255" s="381">
        <v>461.42</v>
      </c>
    </row>
    <row r="3256" spans="1:6" s="295" customFormat="1" x14ac:dyDescent="0.15">
      <c r="A3256" s="655" t="s">
        <v>1565</v>
      </c>
      <c r="B3256" s="591" t="s">
        <v>1637</v>
      </c>
      <c r="C3256" s="287" t="s">
        <v>1267</v>
      </c>
      <c r="D3256" s="287" t="s">
        <v>1268</v>
      </c>
      <c r="E3256" s="656">
        <v>4165</v>
      </c>
      <c r="F3256" s="381">
        <v>794.76</v>
      </c>
    </row>
    <row r="3257" spans="1:6" s="295" customFormat="1" x14ac:dyDescent="0.15">
      <c r="A3257" s="655" t="s">
        <v>1569</v>
      </c>
      <c r="B3257" s="591" t="s">
        <v>1638</v>
      </c>
      <c r="C3257" s="287" t="s">
        <v>1464</v>
      </c>
      <c r="D3257" s="287" t="s">
        <v>1285</v>
      </c>
      <c r="E3257" s="656">
        <v>1330</v>
      </c>
      <c r="F3257" s="381">
        <v>251.64</v>
      </c>
    </row>
    <row r="3258" spans="1:6" s="295" customFormat="1" x14ac:dyDescent="0.15">
      <c r="A3258" s="655" t="s">
        <v>1711</v>
      </c>
      <c r="B3258" s="591" t="s">
        <v>1712</v>
      </c>
      <c r="C3258" s="287" t="s">
        <v>1713</v>
      </c>
      <c r="D3258" s="287" t="s">
        <v>1419</v>
      </c>
      <c r="E3258" s="656">
        <v>1102</v>
      </c>
      <c r="F3258" s="381">
        <v>210.3</v>
      </c>
    </row>
    <row r="3259" spans="1:6" s="295" customFormat="1" x14ac:dyDescent="0.15">
      <c r="A3259" s="655" t="s">
        <v>1570</v>
      </c>
      <c r="B3259" s="591" t="s">
        <v>1639</v>
      </c>
      <c r="C3259" s="287" t="s">
        <v>1472</v>
      </c>
      <c r="D3259" s="287" t="s">
        <v>1473</v>
      </c>
      <c r="E3259" s="656">
        <v>63</v>
      </c>
      <c r="F3259" s="381">
        <v>36.270000000000003</v>
      </c>
    </row>
    <row r="3260" spans="1:6" s="295" customFormat="1" x14ac:dyDescent="0.15">
      <c r="A3260" s="655" t="s">
        <v>1571</v>
      </c>
      <c r="B3260" s="591" t="s">
        <v>1640</v>
      </c>
      <c r="C3260" s="287" t="s">
        <v>1489</v>
      </c>
      <c r="D3260" s="287" t="s">
        <v>1490</v>
      </c>
      <c r="E3260" s="656">
        <v>130</v>
      </c>
      <c r="F3260" s="381">
        <v>42.96</v>
      </c>
    </row>
    <row r="3261" spans="1:6" s="295" customFormat="1" x14ac:dyDescent="0.15">
      <c r="A3261" s="655" t="s">
        <v>1572</v>
      </c>
      <c r="B3261" s="591" t="s">
        <v>1641</v>
      </c>
      <c r="C3261" s="287" t="s">
        <v>1271</v>
      </c>
      <c r="D3261" s="287" t="s">
        <v>1272</v>
      </c>
      <c r="E3261" s="656">
        <v>8958</v>
      </c>
      <c r="F3261" s="381">
        <v>1226.6099999999999</v>
      </c>
    </row>
    <row r="3262" spans="1:6" s="295" customFormat="1" x14ac:dyDescent="0.15">
      <c r="A3262" s="655" t="s">
        <v>1573</v>
      </c>
      <c r="B3262" s="591"/>
      <c r="C3262" s="287" t="s">
        <v>1461</v>
      </c>
      <c r="D3262" s="287" t="s">
        <v>1703</v>
      </c>
      <c r="E3262" s="656">
        <f>26+26</f>
        <v>52</v>
      </c>
      <c r="F3262" s="381">
        <v>32.56</v>
      </c>
    </row>
    <row r="3263" spans="1:6" s="295" customFormat="1" x14ac:dyDescent="0.15">
      <c r="A3263" s="655" t="s">
        <v>1574</v>
      </c>
      <c r="B3263" s="591" t="s">
        <v>1642</v>
      </c>
      <c r="C3263" s="287" t="s">
        <v>1377</v>
      </c>
      <c r="D3263" s="287" t="s">
        <v>1378</v>
      </c>
      <c r="E3263" s="656">
        <v>2469</v>
      </c>
      <c r="F3263" s="381">
        <v>357.57</v>
      </c>
    </row>
    <row r="3264" spans="1:6" s="295" customFormat="1" x14ac:dyDescent="0.15">
      <c r="A3264" s="655" t="s">
        <v>1575</v>
      </c>
      <c r="B3264" s="591" t="s">
        <v>1685</v>
      </c>
      <c r="C3264" s="287" t="s">
        <v>1448</v>
      </c>
      <c r="D3264" s="287" t="s">
        <v>1449</v>
      </c>
      <c r="E3264" s="656">
        <v>460</v>
      </c>
      <c r="F3264" s="381">
        <v>89.17</v>
      </c>
    </row>
    <row r="3265" spans="1:6" s="295" customFormat="1" x14ac:dyDescent="0.15">
      <c r="A3265" s="655" t="s">
        <v>1604</v>
      </c>
      <c r="B3265" s="591"/>
      <c r="C3265" s="287" t="s">
        <v>1334</v>
      </c>
      <c r="D3265" s="287" t="s">
        <v>1462</v>
      </c>
      <c r="E3265" s="656">
        <v>177.5</v>
      </c>
      <c r="F3265" s="381">
        <v>62.17</v>
      </c>
    </row>
    <row r="3266" spans="1:6" s="295" customFormat="1" x14ac:dyDescent="0.15">
      <c r="A3266" s="655" t="s">
        <v>1576</v>
      </c>
      <c r="B3266" s="591" t="s">
        <v>1644</v>
      </c>
      <c r="C3266" s="287" t="s">
        <v>1401</v>
      </c>
      <c r="D3266" s="287" t="s">
        <v>1316</v>
      </c>
      <c r="E3266" s="656">
        <v>205</v>
      </c>
      <c r="F3266" s="381">
        <v>50.4</v>
      </c>
    </row>
    <row r="3267" spans="1:6" s="295" customFormat="1" x14ac:dyDescent="0.15">
      <c r="A3267" s="655" t="s">
        <v>1605</v>
      </c>
      <c r="B3267" s="591"/>
      <c r="C3267" s="287" t="s">
        <v>1334</v>
      </c>
      <c r="D3267" s="287" t="s">
        <v>1462</v>
      </c>
      <c r="E3267" s="656">
        <v>518</v>
      </c>
      <c r="F3267" s="381">
        <v>183.48</v>
      </c>
    </row>
    <row r="3268" spans="1:6" s="295" customFormat="1" x14ac:dyDescent="0.15">
      <c r="A3268" s="655" t="s">
        <v>1578</v>
      </c>
      <c r="B3268" s="591" t="s">
        <v>1646</v>
      </c>
      <c r="C3268" s="287" t="s">
        <v>1579</v>
      </c>
      <c r="D3268" s="287" t="s">
        <v>1497</v>
      </c>
      <c r="E3268" s="656">
        <v>0</v>
      </c>
      <c r="F3268" s="381">
        <v>30</v>
      </c>
    </row>
    <row r="3269" spans="1:6" s="295" customFormat="1" x14ac:dyDescent="0.15">
      <c r="A3269" s="655" t="s">
        <v>1580</v>
      </c>
      <c r="B3269" s="591" t="s">
        <v>1647</v>
      </c>
      <c r="C3269" s="287" t="s">
        <v>1451</v>
      </c>
      <c r="D3269" s="287" t="s">
        <v>1674</v>
      </c>
      <c r="E3269" s="656">
        <v>384</v>
      </c>
      <c r="F3269" s="381">
        <v>83.1</v>
      </c>
    </row>
    <row r="3270" spans="1:6" s="295" customFormat="1" x14ac:dyDescent="0.15">
      <c r="A3270" s="655" t="s">
        <v>1581</v>
      </c>
      <c r="B3270" s="591" t="s">
        <v>1648</v>
      </c>
      <c r="C3270" s="287" t="s">
        <v>1521</v>
      </c>
      <c r="D3270" s="287" t="s">
        <v>1229</v>
      </c>
      <c r="E3270" s="656">
        <v>2939</v>
      </c>
      <c r="F3270" s="381">
        <v>463.86</v>
      </c>
    </row>
    <row r="3271" spans="1:6" s="295" customFormat="1" x14ac:dyDescent="0.15">
      <c r="A3271" s="655" t="s">
        <v>1582</v>
      </c>
      <c r="B3271" s="591" t="s">
        <v>1649</v>
      </c>
      <c r="C3271" s="287" t="s">
        <v>1525</v>
      </c>
      <c r="D3271" s="287" t="s">
        <v>1526</v>
      </c>
      <c r="E3271" s="656">
        <v>18</v>
      </c>
      <c r="F3271" s="381">
        <v>9.27</v>
      </c>
    </row>
    <row r="3272" spans="1:6" s="295" customFormat="1" ht="14" x14ac:dyDescent="0.15">
      <c r="A3272" s="655" t="s">
        <v>1583</v>
      </c>
      <c r="B3272" s="591" t="s">
        <v>1650</v>
      </c>
      <c r="C3272" s="287" t="s">
        <v>1584</v>
      </c>
      <c r="D3272" s="618" t="s">
        <v>1264</v>
      </c>
      <c r="E3272" s="656">
        <v>2400</v>
      </c>
      <c r="F3272" s="381">
        <v>410.18</v>
      </c>
    </row>
    <row r="3273" spans="1:6" s="295" customFormat="1" x14ac:dyDescent="0.15">
      <c r="A3273" s="655" t="s">
        <v>1666</v>
      </c>
      <c r="B3273" s="591" t="s">
        <v>1672</v>
      </c>
      <c r="C3273" s="287" t="s">
        <v>1667</v>
      </c>
      <c r="D3273" s="287" t="s">
        <v>1668</v>
      </c>
      <c r="E3273" s="656">
        <v>17472</v>
      </c>
      <c r="F3273" s="381">
        <v>2609.4899999999998</v>
      </c>
    </row>
    <row r="3274" spans="1:6" s="295" customFormat="1" x14ac:dyDescent="0.15">
      <c r="A3274" s="655" t="s">
        <v>1606</v>
      </c>
      <c r="B3274" s="591"/>
      <c r="C3274" s="287" t="s">
        <v>1334</v>
      </c>
      <c r="D3274" s="287" t="s">
        <v>1462</v>
      </c>
      <c r="E3274" s="656">
        <f>23.5+38.5</f>
        <v>62</v>
      </c>
      <c r="F3274" s="381">
        <v>13.14</v>
      </c>
    </row>
    <row r="3275" spans="1:6" s="295" customFormat="1" ht="14" thickBot="1" x14ac:dyDescent="0.2">
      <c r="A3275" s="655"/>
      <c r="B3275" s="591"/>
      <c r="C3275" s="291" t="s">
        <v>1673</v>
      </c>
      <c r="D3275" s="287"/>
      <c r="E3275" s="643">
        <f>SUM(E3249:E3274)</f>
        <v>95172</v>
      </c>
      <c r="F3275" s="658">
        <v>14433.47</v>
      </c>
    </row>
    <row r="3276" spans="1:6" s="295" customFormat="1" ht="14" thickTop="1" x14ac:dyDescent="0.15">
      <c r="A3276" s="655"/>
      <c r="B3276" s="591"/>
      <c r="C3276" s="287"/>
      <c r="D3276" s="287"/>
      <c r="E3276" s="524"/>
      <c r="F3276" s="381"/>
    </row>
    <row r="3277" spans="1:6" s="295" customFormat="1" x14ac:dyDescent="0.15">
      <c r="A3277" s="655"/>
      <c r="B3277" s="591"/>
      <c r="C3277" s="293" t="s">
        <v>1441</v>
      </c>
      <c r="D3277" s="287"/>
      <c r="E3277" s="524"/>
      <c r="F3277" s="381"/>
    </row>
    <row r="3278" spans="1:6" s="295" customFormat="1" x14ac:dyDescent="0.15">
      <c r="A3278" s="655"/>
      <c r="B3278" s="591"/>
      <c r="C3278" s="293" t="s">
        <v>1446</v>
      </c>
      <c r="D3278" s="287"/>
      <c r="E3278" s="524"/>
      <c r="F3278" s="381"/>
    </row>
    <row r="3279" spans="1:6" s="295" customFormat="1" x14ac:dyDescent="0.15">
      <c r="A3279" s="655"/>
      <c r="B3279" s="591"/>
      <c r="C3279" s="386">
        <v>42247</v>
      </c>
      <c r="D3279" s="287"/>
      <c r="E3279" s="524"/>
      <c r="F3279" s="381"/>
    </row>
    <row r="3280" spans="1:6" s="295" customFormat="1" x14ac:dyDescent="0.15">
      <c r="A3280" s="655"/>
      <c r="B3280" s="591"/>
      <c r="C3280" s="287"/>
      <c r="D3280" s="287"/>
      <c r="E3280" s="524"/>
      <c r="F3280" s="381"/>
    </row>
    <row r="3281" spans="1:6" s="295" customFormat="1" ht="14" thickBot="1" x14ac:dyDescent="0.2">
      <c r="A3281" s="663"/>
      <c r="B3281" s="664"/>
      <c r="C3281" s="665" t="s">
        <v>1145</v>
      </c>
      <c r="D3281" s="665"/>
      <c r="E3281" s="666">
        <f>SUM(E3247,E3275)</f>
        <v>193577.5</v>
      </c>
      <c r="F3281" s="667">
        <v>29495.809999999998</v>
      </c>
    </row>
    <row r="3282" spans="1:6" s="295" customFormat="1" x14ac:dyDescent="0.15">
      <c r="A3282" s="655"/>
      <c r="B3282" s="591"/>
      <c r="C3282" s="413"/>
      <c r="D3282" s="413"/>
      <c r="E3282" s="669"/>
      <c r="F3282" s="670"/>
    </row>
    <row r="3283" spans="1:6" s="295" customFormat="1" x14ac:dyDescent="0.15">
      <c r="A3283" s="652" t="s">
        <v>1534</v>
      </c>
      <c r="B3283" s="653" t="s">
        <v>1614</v>
      </c>
      <c r="C3283" s="371" t="s">
        <v>1492</v>
      </c>
      <c r="D3283" s="371" t="s">
        <v>1239</v>
      </c>
      <c r="E3283" s="654">
        <v>16560</v>
      </c>
      <c r="F3283" s="391">
        <v>2288.2199999999998</v>
      </c>
    </row>
    <row r="3284" spans="1:6" s="295" customFormat="1" x14ac:dyDescent="0.15">
      <c r="A3284" s="655" t="s">
        <v>1535</v>
      </c>
      <c r="B3284" s="591" t="s">
        <v>1615</v>
      </c>
      <c r="C3284" s="287" t="s">
        <v>1507</v>
      </c>
      <c r="D3284" s="287" t="s">
        <v>1245</v>
      </c>
      <c r="E3284" s="656">
        <v>4680</v>
      </c>
      <c r="F3284" s="381">
        <v>689.2</v>
      </c>
    </row>
    <row r="3285" spans="1:6" s="295" customFormat="1" x14ac:dyDescent="0.15">
      <c r="A3285" s="655" t="s">
        <v>1670</v>
      </c>
      <c r="B3285" s="591" t="s">
        <v>1659</v>
      </c>
      <c r="C3285" s="287" t="s">
        <v>1279</v>
      </c>
      <c r="D3285" s="287" t="s">
        <v>1660</v>
      </c>
      <c r="E3285" s="656">
        <v>8640</v>
      </c>
      <c r="F3285" s="381">
        <v>1239.58</v>
      </c>
    </row>
    <row r="3286" spans="1:6" s="295" customFormat="1" x14ac:dyDescent="0.15">
      <c r="A3286" s="655" t="s">
        <v>1536</v>
      </c>
      <c r="B3286" s="591" t="s">
        <v>1616</v>
      </c>
      <c r="C3286" s="287" t="s">
        <v>1479</v>
      </c>
      <c r="D3286" s="287" t="s">
        <v>1231</v>
      </c>
      <c r="E3286" s="656">
        <v>5352</v>
      </c>
      <c r="F3286" s="381">
        <v>770.96</v>
      </c>
    </row>
    <row r="3287" spans="1:6" s="295" customFormat="1" x14ac:dyDescent="0.15">
      <c r="A3287" s="655" t="s">
        <v>1537</v>
      </c>
      <c r="B3287" s="591" t="s">
        <v>1617</v>
      </c>
      <c r="C3287" s="287" t="s">
        <v>1269</v>
      </c>
      <c r="D3287" s="287" t="s">
        <v>1270</v>
      </c>
      <c r="E3287" s="656">
        <v>4172</v>
      </c>
      <c r="F3287" s="381">
        <v>616.35</v>
      </c>
    </row>
    <row r="3288" spans="1:6" s="295" customFormat="1" x14ac:dyDescent="0.15">
      <c r="A3288" s="655" t="s">
        <v>1538</v>
      </c>
      <c r="B3288" s="591" t="s">
        <v>1618</v>
      </c>
      <c r="C3288" s="287" t="s">
        <v>1517</v>
      </c>
      <c r="D3288" s="287" t="s">
        <v>1518</v>
      </c>
      <c r="E3288" s="656">
        <v>4</v>
      </c>
      <c r="F3288" s="381">
        <v>30.41</v>
      </c>
    </row>
    <row r="3289" spans="1:6" s="295" customFormat="1" x14ac:dyDescent="0.15">
      <c r="A3289" s="655" t="s">
        <v>1540</v>
      </c>
      <c r="B3289" s="591" t="s">
        <v>1620</v>
      </c>
      <c r="C3289" s="287" t="s">
        <v>1257</v>
      </c>
      <c r="D3289" s="287" t="s">
        <v>1258</v>
      </c>
      <c r="E3289" s="656">
        <v>21360</v>
      </c>
      <c r="F3289" s="381">
        <v>2907.31</v>
      </c>
    </row>
    <row r="3290" spans="1:6" s="295" customFormat="1" x14ac:dyDescent="0.15">
      <c r="A3290" s="655" t="s">
        <v>1541</v>
      </c>
      <c r="B3290" s="591" t="s">
        <v>1621</v>
      </c>
      <c r="C3290" s="287" t="s">
        <v>1586</v>
      </c>
      <c r="D3290" s="287" t="s">
        <v>1500</v>
      </c>
      <c r="E3290" s="656">
        <v>4120</v>
      </c>
      <c r="F3290" s="381">
        <v>640.89</v>
      </c>
    </row>
    <row r="3291" spans="1:6" s="295" customFormat="1" x14ac:dyDescent="0.15">
      <c r="A3291" s="655" t="s">
        <v>1542</v>
      </c>
      <c r="B3291" s="591" t="s">
        <v>1622</v>
      </c>
      <c r="C3291" s="287" t="s">
        <v>1240</v>
      </c>
      <c r="D3291" s="287" t="s">
        <v>1467</v>
      </c>
      <c r="E3291" s="656">
        <v>4500</v>
      </c>
      <c r="F3291" s="381">
        <v>626.66999999999996</v>
      </c>
    </row>
    <row r="3292" spans="1:6" s="295" customFormat="1" x14ac:dyDescent="0.15">
      <c r="A3292" s="655" t="s">
        <v>1543</v>
      </c>
      <c r="B3292" s="591" t="s">
        <v>1623</v>
      </c>
      <c r="C3292" s="287" t="s">
        <v>1523</v>
      </c>
      <c r="D3292" s="287" t="s">
        <v>1266</v>
      </c>
      <c r="E3292" s="656">
        <v>1102</v>
      </c>
      <c r="F3292" s="381">
        <v>214.05</v>
      </c>
    </row>
    <row r="3293" spans="1:6" s="295" customFormat="1" x14ac:dyDescent="0.15">
      <c r="A3293" s="655" t="s">
        <v>1715</v>
      </c>
      <c r="B3293" s="591" t="s">
        <v>1716</v>
      </c>
      <c r="C3293" s="287" t="s">
        <v>1328</v>
      </c>
      <c r="D3293" s="287" t="s">
        <v>1329</v>
      </c>
      <c r="E3293" s="656">
        <v>492</v>
      </c>
      <c r="F3293" s="381">
        <v>93.08</v>
      </c>
    </row>
    <row r="3294" spans="1:6" s="295" customFormat="1" x14ac:dyDescent="0.15">
      <c r="A3294" s="655" t="s">
        <v>1544</v>
      </c>
      <c r="B3294" s="591" t="s">
        <v>1624</v>
      </c>
      <c r="C3294" s="287" t="s">
        <v>1234</v>
      </c>
      <c r="D3294" s="287" t="s">
        <v>1494</v>
      </c>
      <c r="E3294" s="656">
        <v>4474</v>
      </c>
      <c r="F3294" s="381">
        <v>705.88</v>
      </c>
    </row>
    <row r="3295" spans="1:6" s="295" customFormat="1" x14ac:dyDescent="0.15">
      <c r="A3295" s="655" t="s">
        <v>1601</v>
      </c>
      <c r="B3295" s="591"/>
      <c r="C3295" s="287" t="s">
        <v>1334</v>
      </c>
      <c r="D3295" s="287" t="s">
        <v>1462</v>
      </c>
      <c r="E3295" s="656">
        <f>1306.8+1709.1</f>
        <v>3015.8999999999996</v>
      </c>
      <c r="F3295" s="381">
        <v>636.98</v>
      </c>
    </row>
    <row r="3296" spans="1:6" s="295" customFormat="1" x14ac:dyDescent="0.15">
      <c r="A3296" s="655" t="s">
        <v>1545</v>
      </c>
      <c r="B3296" s="591"/>
      <c r="C3296" s="287" t="s">
        <v>1234</v>
      </c>
      <c r="D3296" s="287" t="s">
        <v>1494</v>
      </c>
      <c r="E3296" s="656">
        <v>68.8</v>
      </c>
      <c r="F3296" s="381">
        <v>17.48</v>
      </c>
    </row>
    <row r="3297" spans="1:6" s="295" customFormat="1" x14ac:dyDescent="0.15">
      <c r="A3297" s="655" t="s">
        <v>1602</v>
      </c>
      <c r="B3297" s="591"/>
      <c r="C3297" s="287" t="s">
        <v>1334</v>
      </c>
      <c r="D3297" s="287" t="s">
        <v>1462</v>
      </c>
      <c r="E3297" s="656">
        <v>168.6</v>
      </c>
      <c r="F3297" s="381">
        <v>48.22</v>
      </c>
    </row>
    <row r="3298" spans="1:6" s="295" customFormat="1" x14ac:dyDescent="0.15">
      <c r="A3298" s="655" t="s">
        <v>1546</v>
      </c>
      <c r="B3298" s="591"/>
      <c r="C3298" s="287" t="s">
        <v>1586</v>
      </c>
      <c r="D3298" s="287" t="s">
        <v>1500</v>
      </c>
      <c r="E3298" s="656">
        <v>78.8</v>
      </c>
      <c r="F3298" s="381">
        <v>28.03</v>
      </c>
    </row>
    <row r="3299" spans="1:6" s="295" customFormat="1" x14ac:dyDescent="0.15">
      <c r="A3299" s="655" t="s">
        <v>1549</v>
      </c>
      <c r="B3299" s="591" t="s">
        <v>1625</v>
      </c>
      <c r="C3299" s="287" t="s">
        <v>1459</v>
      </c>
      <c r="D3299" s="287" t="s">
        <v>1251</v>
      </c>
      <c r="E3299" s="656">
        <v>1097</v>
      </c>
      <c r="F3299" s="381">
        <v>221</v>
      </c>
    </row>
    <row r="3300" spans="1:6" s="295" customFormat="1" x14ac:dyDescent="0.15">
      <c r="A3300" s="655" t="s">
        <v>1603</v>
      </c>
      <c r="B3300" s="591"/>
      <c r="C3300" s="287" t="s">
        <v>1334</v>
      </c>
      <c r="D3300" s="287" t="s">
        <v>1462</v>
      </c>
      <c r="E3300" s="656">
        <v>1260.8</v>
      </c>
      <c r="F3300" s="381">
        <v>283.04000000000002</v>
      </c>
    </row>
    <row r="3301" spans="1:6" s="295" customFormat="1" x14ac:dyDescent="0.15">
      <c r="A3301" s="655" t="s">
        <v>1597</v>
      </c>
      <c r="B3301" s="591" t="s">
        <v>1626</v>
      </c>
      <c r="C3301" s="287" t="s">
        <v>1454</v>
      </c>
      <c r="D3301" s="287" t="s">
        <v>1247</v>
      </c>
      <c r="E3301" s="656">
        <v>3640</v>
      </c>
      <c r="F3301" s="381">
        <v>570.82000000000005</v>
      </c>
    </row>
    <row r="3302" spans="1:6" s="295" customFormat="1" x14ac:dyDescent="0.15">
      <c r="A3302" s="655" t="s">
        <v>1677</v>
      </c>
      <c r="B3302" s="591" t="s">
        <v>1678</v>
      </c>
      <c r="C3302" s="287" t="s">
        <v>1313</v>
      </c>
      <c r="D3302" s="287" t="s">
        <v>1412</v>
      </c>
      <c r="E3302" s="656">
        <v>1146</v>
      </c>
      <c r="F3302" s="381">
        <v>211</v>
      </c>
    </row>
    <row r="3303" spans="1:6" s="295" customFormat="1" x14ac:dyDescent="0.15">
      <c r="A3303" s="655" t="s">
        <v>1551</v>
      </c>
      <c r="B3303" s="591" t="s">
        <v>1627</v>
      </c>
      <c r="C3303" s="287" t="s">
        <v>1235</v>
      </c>
      <c r="D3303" s="287" t="s">
        <v>1236</v>
      </c>
      <c r="E3303" s="656">
        <v>8738</v>
      </c>
      <c r="F3303" s="381">
        <v>1197.28</v>
      </c>
    </row>
    <row r="3304" spans="1:6" s="295" customFormat="1" x14ac:dyDescent="0.15">
      <c r="A3304" s="655" t="s">
        <v>1553</v>
      </c>
      <c r="B3304" s="591" t="s">
        <v>1628</v>
      </c>
      <c r="C3304" s="287" t="s">
        <v>1475</v>
      </c>
      <c r="D3304" s="287" t="s">
        <v>1387</v>
      </c>
      <c r="E3304" s="656">
        <v>1328</v>
      </c>
      <c r="F3304" s="381">
        <v>253.4</v>
      </c>
    </row>
    <row r="3305" spans="1:6" s="295" customFormat="1" x14ac:dyDescent="0.15">
      <c r="A3305" s="655" t="s">
        <v>1554</v>
      </c>
      <c r="B3305" s="591" t="s">
        <v>1629</v>
      </c>
      <c r="C3305" s="287" t="s">
        <v>1399</v>
      </c>
      <c r="D3305" s="287" t="s">
        <v>1276</v>
      </c>
      <c r="E3305" s="656">
        <v>4080</v>
      </c>
      <c r="F3305" s="381">
        <v>636.89</v>
      </c>
    </row>
    <row r="3306" spans="1:6" s="295" customFormat="1" x14ac:dyDescent="0.15">
      <c r="A3306" s="655" t="s">
        <v>1598</v>
      </c>
      <c r="B3306" s="591"/>
      <c r="C3306" s="287" t="s">
        <v>1586</v>
      </c>
      <c r="D3306" s="287" t="s">
        <v>1500</v>
      </c>
      <c r="E3306" s="656">
        <v>39.4</v>
      </c>
      <c r="F3306" s="381">
        <v>15.91</v>
      </c>
    </row>
    <row r="3307" spans="1:6" s="295" customFormat="1" x14ac:dyDescent="0.15">
      <c r="A3307" s="655" t="s">
        <v>1662</v>
      </c>
      <c r="B3307" s="657">
        <v>892914652</v>
      </c>
      <c r="C3307" s="287" t="s">
        <v>1663</v>
      </c>
      <c r="D3307" s="287" t="s">
        <v>1664</v>
      </c>
      <c r="E3307" s="656">
        <v>15760</v>
      </c>
      <c r="F3307" s="381">
        <v>2251.09</v>
      </c>
    </row>
    <row r="3308" spans="1:6" s="295" customFormat="1" ht="14" thickBot="1" x14ac:dyDescent="0.2">
      <c r="A3308" s="655"/>
      <c r="B3308" s="591"/>
      <c r="C3308" s="291" t="s">
        <v>1692</v>
      </c>
      <c r="D3308" s="287"/>
      <c r="E3308" s="643">
        <f>SUM(E3283:E3307)</f>
        <v>115877.3</v>
      </c>
      <c r="F3308" s="658">
        <v>17193.739999999998</v>
      </c>
    </row>
    <row r="3309" spans="1:6" s="295" customFormat="1" ht="14" thickTop="1" x14ac:dyDescent="0.15">
      <c r="A3309" s="655"/>
      <c r="B3309" s="591"/>
      <c r="C3309" s="287"/>
      <c r="D3309" s="287"/>
      <c r="E3309" s="524"/>
      <c r="F3309" s="381"/>
    </row>
    <row r="3310" spans="1:6" s="295" customFormat="1" x14ac:dyDescent="0.15">
      <c r="A3310" s="655" t="s">
        <v>1556</v>
      </c>
      <c r="B3310" s="591" t="s">
        <v>1631</v>
      </c>
      <c r="C3310" s="287" t="s">
        <v>1248</v>
      </c>
      <c r="D3310" s="287" t="s">
        <v>1482</v>
      </c>
      <c r="E3310" s="656">
        <v>4511</v>
      </c>
      <c r="F3310" s="381">
        <v>694.7</v>
      </c>
    </row>
    <row r="3311" spans="1:6" s="295" customFormat="1" x14ac:dyDescent="0.15">
      <c r="A3311" s="655" t="s">
        <v>1714</v>
      </c>
      <c r="B3311" s="591"/>
      <c r="C3311" s="287" t="s">
        <v>1267</v>
      </c>
      <c r="D3311" s="287" t="s">
        <v>1268</v>
      </c>
      <c r="E3311" s="656">
        <f>1.3+38.1</f>
        <v>39.4</v>
      </c>
      <c r="F3311" s="381">
        <v>11.059999999999999</v>
      </c>
    </row>
    <row r="3312" spans="1:6" s="295" customFormat="1" x14ac:dyDescent="0.15">
      <c r="A3312" s="655" t="s">
        <v>1558</v>
      </c>
      <c r="B3312" s="591" t="s">
        <v>1633</v>
      </c>
      <c r="C3312" s="287" t="s">
        <v>1469</v>
      </c>
      <c r="D3312" s="287" t="s">
        <v>1470</v>
      </c>
      <c r="E3312" s="656">
        <v>6320</v>
      </c>
      <c r="F3312" s="381">
        <v>978.87</v>
      </c>
    </row>
    <row r="3313" spans="1:6" s="295" customFormat="1" x14ac:dyDescent="0.15">
      <c r="A3313" s="655" t="s">
        <v>1559</v>
      </c>
      <c r="B3313" s="591" t="s">
        <v>1634</v>
      </c>
      <c r="C3313" s="287" t="s">
        <v>1502</v>
      </c>
      <c r="D3313" s="287" t="s">
        <v>1381</v>
      </c>
      <c r="E3313" s="656">
        <v>15552</v>
      </c>
      <c r="F3313" s="381">
        <v>2115.71</v>
      </c>
    </row>
    <row r="3314" spans="1:6" s="295" customFormat="1" x14ac:dyDescent="0.15">
      <c r="A3314" s="655" t="s">
        <v>1560</v>
      </c>
      <c r="B3314" s="591" t="s">
        <v>1635</v>
      </c>
      <c r="C3314" s="287" t="s">
        <v>1504</v>
      </c>
      <c r="D3314" s="287" t="s">
        <v>1505</v>
      </c>
      <c r="E3314" s="656">
        <v>1831</v>
      </c>
      <c r="F3314" s="381">
        <v>286.63</v>
      </c>
    </row>
    <row r="3315" spans="1:6" s="295" customFormat="1" x14ac:dyDescent="0.15">
      <c r="A3315" s="655" t="s">
        <v>1675</v>
      </c>
      <c r="B3315" s="591" t="s">
        <v>1676</v>
      </c>
      <c r="C3315" s="287" t="s">
        <v>1477</v>
      </c>
      <c r="D3315" s="287" t="s">
        <v>1289</v>
      </c>
      <c r="E3315" s="656">
        <v>12930</v>
      </c>
      <c r="F3315" s="381">
        <v>1993.78</v>
      </c>
    </row>
    <row r="3316" spans="1:6" s="295" customFormat="1" x14ac:dyDescent="0.15">
      <c r="A3316" s="655" t="s">
        <v>1564</v>
      </c>
      <c r="B3316" s="591" t="s">
        <v>1636</v>
      </c>
      <c r="C3316" s="287" t="s">
        <v>1485</v>
      </c>
      <c r="D3316" s="287" t="s">
        <v>1486</v>
      </c>
      <c r="E3316" s="656">
        <v>1760</v>
      </c>
      <c r="F3316" s="381">
        <v>353.9</v>
      </c>
    </row>
    <row r="3317" spans="1:6" s="295" customFormat="1" x14ac:dyDescent="0.15">
      <c r="A3317" s="655" t="s">
        <v>1565</v>
      </c>
      <c r="B3317" s="591" t="s">
        <v>1637</v>
      </c>
      <c r="C3317" s="287" t="s">
        <v>1267</v>
      </c>
      <c r="D3317" s="287" t="s">
        <v>1268</v>
      </c>
      <c r="E3317" s="656">
        <v>2792</v>
      </c>
      <c r="F3317" s="381">
        <v>532.77</v>
      </c>
    </row>
    <row r="3318" spans="1:6" s="295" customFormat="1" x14ac:dyDescent="0.15">
      <c r="A3318" s="655" t="s">
        <v>1569</v>
      </c>
      <c r="B3318" s="591" t="s">
        <v>1638</v>
      </c>
      <c r="C3318" s="287" t="s">
        <v>1464</v>
      </c>
      <c r="D3318" s="287" t="s">
        <v>1285</v>
      </c>
      <c r="E3318" s="656">
        <v>828</v>
      </c>
      <c r="F3318" s="381">
        <v>186.76</v>
      </c>
    </row>
    <row r="3319" spans="1:6" s="295" customFormat="1" x14ac:dyDescent="0.15">
      <c r="A3319" s="655" t="s">
        <v>1711</v>
      </c>
      <c r="B3319" s="591" t="s">
        <v>1712</v>
      </c>
      <c r="C3319" s="287" t="s">
        <v>1713</v>
      </c>
      <c r="D3319" s="287" t="s">
        <v>1419</v>
      </c>
      <c r="E3319" s="656">
        <v>809</v>
      </c>
      <c r="F3319" s="381">
        <v>154.38999999999999</v>
      </c>
    </row>
    <row r="3320" spans="1:6" s="295" customFormat="1" x14ac:dyDescent="0.15">
      <c r="A3320" s="655" t="s">
        <v>1570</v>
      </c>
      <c r="B3320" s="591" t="s">
        <v>1639</v>
      </c>
      <c r="C3320" s="287" t="s">
        <v>1472</v>
      </c>
      <c r="D3320" s="287" t="s">
        <v>1473</v>
      </c>
      <c r="E3320" s="656">
        <v>41</v>
      </c>
      <c r="F3320" s="381">
        <v>34.07</v>
      </c>
    </row>
    <row r="3321" spans="1:6" s="295" customFormat="1" x14ac:dyDescent="0.15">
      <c r="A3321" s="655" t="s">
        <v>1571</v>
      </c>
      <c r="B3321" s="591" t="s">
        <v>1640</v>
      </c>
      <c r="C3321" s="287" t="s">
        <v>1489</v>
      </c>
      <c r="D3321" s="287" t="s">
        <v>1490</v>
      </c>
      <c r="E3321" s="656">
        <v>139</v>
      </c>
      <c r="F3321" s="381">
        <v>43.85</v>
      </c>
    </row>
    <row r="3322" spans="1:6" s="295" customFormat="1" x14ac:dyDescent="0.15">
      <c r="A3322" s="655" t="s">
        <v>1572</v>
      </c>
      <c r="B3322" s="591" t="s">
        <v>1641</v>
      </c>
      <c r="C3322" s="287" t="s">
        <v>1271</v>
      </c>
      <c r="D3322" s="287" t="s">
        <v>1272</v>
      </c>
      <c r="E3322" s="656">
        <v>7360</v>
      </c>
      <c r="F3322" s="381">
        <v>1082.3800000000001</v>
      </c>
    </row>
    <row r="3323" spans="1:6" s="295" customFormat="1" x14ac:dyDescent="0.15">
      <c r="A3323" s="655" t="s">
        <v>1573</v>
      </c>
      <c r="B3323" s="591"/>
      <c r="C3323" s="287" t="s">
        <v>1461</v>
      </c>
      <c r="D3323" s="287" t="s">
        <v>1703</v>
      </c>
      <c r="E3323" s="656">
        <v>26</v>
      </c>
      <c r="F3323" s="381">
        <v>16.28</v>
      </c>
    </row>
    <row r="3324" spans="1:6" s="295" customFormat="1" x14ac:dyDescent="0.15">
      <c r="A3324" s="655" t="s">
        <v>1574</v>
      </c>
      <c r="B3324" s="591" t="s">
        <v>1642</v>
      </c>
      <c r="C3324" s="287" t="s">
        <v>1377</v>
      </c>
      <c r="D3324" s="287" t="s">
        <v>1378</v>
      </c>
      <c r="E3324" s="656">
        <v>2015</v>
      </c>
      <c r="F3324" s="381">
        <v>312.38</v>
      </c>
    </row>
    <row r="3325" spans="1:6" s="295" customFormat="1" x14ac:dyDescent="0.15">
      <c r="A3325" s="655" t="s">
        <v>1575</v>
      </c>
      <c r="B3325" s="591" t="s">
        <v>1685</v>
      </c>
      <c r="C3325" s="287" t="s">
        <v>1448</v>
      </c>
      <c r="D3325" s="287" t="s">
        <v>1449</v>
      </c>
      <c r="E3325" s="656">
        <v>84</v>
      </c>
      <c r="F3325" s="381">
        <v>21.18</v>
      </c>
    </row>
    <row r="3326" spans="1:6" s="295" customFormat="1" x14ac:dyDescent="0.15">
      <c r="A3326" s="655" t="s">
        <v>1604</v>
      </c>
      <c r="B3326" s="591"/>
      <c r="C3326" s="287" t="s">
        <v>1334</v>
      </c>
      <c r="D3326" s="287" t="s">
        <v>1462</v>
      </c>
      <c r="E3326" s="656">
        <v>197</v>
      </c>
      <c r="F3326" s="381">
        <v>64.45</v>
      </c>
    </row>
    <row r="3327" spans="1:6" s="295" customFormat="1" x14ac:dyDescent="0.15">
      <c r="A3327" s="655" t="s">
        <v>1576</v>
      </c>
      <c r="B3327" s="591" t="s">
        <v>1644</v>
      </c>
      <c r="C3327" s="287" t="s">
        <v>1401</v>
      </c>
      <c r="D3327" s="287" t="s">
        <v>1316</v>
      </c>
      <c r="E3327" s="656">
        <v>576</v>
      </c>
      <c r="F3327" s="381">
        <v>169.11</v>
      </c>
    </row>
    <row r="3328" spans="1:6" s="295" customFormat="1" x14ac:dyDescent="0.15">
      <c r="A3328" s="655" t="s">
        <v>1605</v>
      </c>
      <c r="B3328" s="591"/>
      <c r="C3328" s="287" t="s">
        <v>1334</v>
      </c>
      <c r="D3328" s="287" t="s">
        <v>1462</v>
      </c>
      <c r="E3328" s="656">
        <f>249.1+325.9</f>
        <v>575</v>
      </c>
      <c r="F3328" s="381">
        <v>190.2</v>
      </c>
    </row>
    <row r="3329" spans="1:6" s="295" customFormat="1" x14ac:dyDescent="0.15">
      <c r="A3329" s="655" t="s">
        <v>1578</v>
      </c>
      <c r="B3329" s="591" t="s">
        <v>1646</v>
      </c>
      <c r="C3329" s="287" t="s">
        <v>1579</v>
      </c>
      <c r="D3329" s="287" t="s">
        <v>1497</v>
      </c>
      <c r="E3329" s="656">
        <f>0+17</f>
        <v>17</v>
      </c>
      <c r="F3329" s="381">
        <v>61.71</v>
      </c>
    </row>
    <row r="3330" spans="1:6" s="295" customFormat="1" x14ac:dyDescent="0.15">
      <c r="A3330" s="655" t="s">
        <v>1580</v>
      </c>
      <c r="B3330" s="591" t="s">
        <v>1647</v>
      </c>
      <c r="C3330" s="287" t="s">
        <v>1451</v>
      </c>
      <c r="D3330" s="287" t="s">
        <v>1674</v>
      </c>
      <c r="E3330" s="656">
        <v>4224</v>
      </c>
      <c r="F3330" s="381">
        <v>2175.42</v>
      </c>
    </row>
    <row r="3331" spans="1:6" s="295" customFormat="1" x14ac:dyDescent="0.15">
      <c r="A3331" s="655" t="s">
        <v>1581</v>
      </c>
      <c r="B3331" s="591" t="s">
        <v>1648</v>
      </c>
      <c r="C3331" s="287" t="s">
        <v>1521</v>
      </c>
      <c r="D3331" s="287" t="s">
        <v>1229</v>
      </c>
      <c r="E3331" s="656">
        <v>2588</v>
      </c>
      <c r="F3331" s="381">
        <v>406.59</v>
      </c>
    </row>
    <row r="3332" spans="1:6" s="295" customFormat="1" x14ac:dyDescent="0.15">
      <c r="A3332" s="655" t="s">
        <v>1582</v>
      </c>
      <c r="B3332" s="591" t="s">
        <v>1649</v>
      </c>
      <c r="C3332" s="287" t="s">
        <v>1525</v>
      </c>
      <c r="D3332" s="287" t="s">
        <v>1526</v>
      </c>
      <c r="E3332" s="656">
        <v>18</v>
      </c>
      <c r="F3332" s="381">
        <v>9.27</v>
      </c>
    </row>
    <row r="3333" spans="1:6" s="295" customFormat="1" ht="14" x14ac:dyDescent="0.15">
      <c r="A3333" s="655" t="s">
        <v>1583</v>
      </c>
      <c r="B3333" s="591" t="s">
        <v>1650</v>
      </c>
      <c r="C3333" s="287" t="s">
        <v>1584</v>
      </c>
      <c r="D3333" s="618" t="s">
        <v>1264</v>
      </c>
      <c r="E3333" s="656">
        <v>2200</v>
      </c>
      <c r="F3333" s="381">
        <v>367.99</v>
      </c>
    </row>
    <row r="3334" spans="1:6" s="295" customFormat="1" x14ac:dyDescent="0.15">
      <c r="A3334" s="655" t="s">
        <v>1666</v>
      </c>
      <c r="B3334" s="591" t="s">
        <v>1672</v>
      </c>
      <c r="C3334" s="287" t="s">
        <v>1667</v>
      </c>
      <c r="D3334" s="287" t="s">
        <v>1668</v>
      </c>
      <c r="E3334" s="656">
        <v>20736</v>
      </c>
      <c r="F3334" s="381">
        <v>3938.15</v>
      </c>
    </row>
    <row r="3335" spans="1:6" s="295" customFormat="1" x14ac:dyDescent="0.15">
      <c r="A3335" s="655" t="s">
        <v>1606</v>
      </c>
      <c r="B3335" s="591"/>
      <c r="C3335" s="287" t="s">
        <v>1334</v>
      </c>
      <c r="D3335" s="287" t="s">
        <v>1462</v>
      </c>
      <c r="E3335" s="656">
        <v>68.8</v>
      </c>
      <c r="F3335" s="381">
        <v>13.96</v>
      </c>
    </row>
    <row r="3336" spans="1:6" s="295" customFormat="1" ht="14" thickBot="1" x14ac:dyDescent="0.2">
      <c r="A3336" s="655"/>
      <c r="B3336" s="591"/>
      <c r="C3336" s="291" t="s">
        <v>1693</v>
      </c>
      <c r="D3336" s="287"/>
      <c r="E3336" s="643">
        <f>SUM(E3310:E3335)</f>
        <v>88237.2</v>
      </c>
      <c r="F3336" s="658">
        <v>16215.560000000001</v>
      </c>
    </row>
    <row r="3337" spans="1:6" s="295" customFormat="1" ht="14" thickTop="1" x14ac:dyDescent="0.15">
      <c r="A3337" s="655"/>
      <c r="B3337" s="591"/>
      <c r="C3337" s="287"/>
      <c r="D3337" s="287"/>
      <c r="E3337" s="524"/>
      <c r="F3337" s="381"/>
    </row>
    <row r="3338" spans="1:6" s="295" customFormat="1" x14ac:dyDescent="0.15">
      <c r="A3338" s="655"/>
      <c r="B3338" s="591"/>
      <c r="C3338" s="293" t="s">
        <v>1441</v>
      </c>
      <c r="D3338" s="287"/>
      <c r="E3338" s="524"/>
      <c r="F3338" s="381"/>
    </row>
    <row r="3339" spans="1:6" s="295" customFormat="1" x14ac:dyDescent="0.15">
      <c r="A3339" s="655"/>
      <c r="B3339" s="591"/>
      <c r="C3339" s="293" t="s">
        <v>1446</v>
      </c>
      <c r="D3339" s="287"/>
      <c r="E3339" s="524"/>
      <c r="F3339" s="381"/>
    </row>
    <row r="3340" spans="1:6" s="295" customFormat="1" x14ac:dyDescent="0.15">
      <c r="A3340" s="655"/>
      <c r="B3340" s="591"/>
      <c r="C3340" s="386">
        <v>42643</v>
      </c>
      <c r="D3340" s="287"/>
      <c r="E3340" s="524"/>
      <c r="F3340" s="381"/>
    </row>
    <row r="3341" spans="1:6" s="295" customFormat="1" x14ac:dyDescent="0.15">
      <c r="A3341" s="655"/>
      <c r="B3341" s="591"/>
      <c r="C3341" s="287"/>
      <c r="D3341" s="287"/>
      <c r="E3341" s="524"/>
      <c r="F3341" s="381"/>
    </row>
    <row r="3342" spans="1:6" s="295" customFormat="1" ht="14" thickBot="1" x14ac:dyDescent="0.2">
      <c r="A3342" s="663"/>
      <c r="B3342" s="664"/>
      <c r="C3342" s="665" t="s">
        <v>1187</v>
      </c>
      <c r="D3342" s="665"/>
      <c r="E3342" s="666">
        <f>SUM(E3308,E3336)</f>
        <v>204114.5</v>
      </c>
      <c r="F3342" s="667">
        <v>33409.300000000003</v>
      </c>
    </row>
    <row r="3343" spans="1:6" s="295" customFormat="1" x14ac:dyDescent="0.15">
      <c r="A3343" s="655"/>
      <c r="B3343" s="591"/>
      <c r="C3343" s="413"/>
      <c r="D3343" s="413"/>
      <c r="E3343" s="669"/>
      <c r="F3343" s="670"/>
    </row>
    <row r="3344" spans="1:6" s="295" customFormat="1" x14ac:dyDescent="0.15">
      <c r="A3344" s="652" t="s">
        <v>1534</v>
      </c>
      <c r="B3344" s="653" t="s">
        <v>1614</v>
      </c>
      <c r="C3344" s="371" t="s">
        <v>1492</v>
      </c>
      <c r="D3344" s="371" t="s">
        <v>1239</v>
      </c>
      <c r="E3344" s="654">
        <v>12720</v>
      </c>
      <c r="F3344" s="391">
        <v>1816.74</v>
      </c>
    </row>
    <row r="3345" spans="1:6" s="295" customFormat="1" x14ac:dyDescent="0.15">
      <c r="A3345" s="655" t="s">
        <v>1535</v>
      </c>
      <c r="B3345" s="591" t="s">
        <v>1615</v>
      </c>
      <c r="C3345" s="287" t="s">
        <v>1507</v>
      </c>
      <c r="D3345" s="287" t="s">
        <v>1245</v>
      </c>
      <c r="E3345" s="656">
        <v>3160</v>
      </c>
      <c r="F3345" s="381">
        <v>523.02</v>
      </c>
    </row>
    <row r="3346" spans="1:6" s="295" customFormat="1" x14ac:dyDescent="0.15">
      <c r="A3346" s="655" t="s">
        <v>1670</v>
      </c>
      <c r="B3346" s="591" t="s">
        <v>1659</v>
      </c>
      <c r="C3346" s="287" t="s">
        <v>1279</v>
      </c>
      <c r="D3346" s="287" t="s">
        <v>1660</v>
      </c>
      <c r="E3346" s="656">
        <v>8800</v>
      </c>
      <c r="F3346" s="381">
        <v>1225.73</v>
      </c>
    </row>
    <row r="3347" spans="1:6" s="295" customFormat="1" x14ac:dyDescent="0.15">
      <c r="A3347" s="655" t="s">
        <v>1536</v>
      </c>
      <c r="B3347" s="591" t="s">
        <v>1616</v>
      </c>
      <c r="C3347" s="287" t="s">
        <v>1479</v>
      </c>
      <c r="D3347" s="287" t="s">
        <v>1231</v>
      </c>
      <c r="E3347" s="656">
        <v>4517</v>
      </c>
      <c r="F3347" s="381">
        <v>650.69000000000005</v>
      </c>
    </row>
    <row r="3348" spans="1:6" s="295" customFormat="1" x14ac:dyDescent="0.15">
      <c r="A3348" s="655" t="s">
        <v>1537</v>
      </c>
      <c r="B3348" s="591" t="s">
        <v>1617</v>
      </c>
      <c r="C3348" s="287" t="s">
        <v>1269</v>
      </c>
      <c r="D3348" s="287" t="s">
        <v>1270</v>
      </c>
      <c r="E3348" s="656">
        <v>4047</v>
      </c>
      <c r="F3348" s="381">
        <v>603.89</v>
      </c>
    </row>
    <row r="3349" spans="1:6" s="295" customFormat="1" x14ac:dyDescent="0.15">
      <c r="A3349" s="655" t="s">
        <v>1538</v>
      </c>
      <c r="B3349" s="591" t="s">
        <v>1618</v>
      </c>
      <c r="C3349" s="287" t="s">
        <v>1517</v>
      </c>
      <c r="D3349" s="287" t="s">
        <v>1518</v>
      </c>
      <c r="E3349" s="656">
        <v>4</v>
      </c>
      <c r="F3349" s="381">
        <v>30.41</v>
      </c>
    </row>
    <row r="3350" spans="1:6" s="295" customFormat="1" x14ac:dyDescent="0.15">
      <c r="A3350" s="655" t="s">
        <v>1540</v>
      </c>
      <c r="B3350" s="591" t="s">
        <v>1620</v>
      </c>
      <c r="C3350" s="287" t="s">
        <v>1257</v>
      </c>
      <c r="D3350" s="287" t="s">
        <v>1258</v>
      </c>
      <c r="E3350" s="656">
        <v>22640</v>
      </c>
      <c r="F3350" s="381">
        <v>3034.77</v>
      </c>
    </row>
    <row r="3351" spans="1:6" s="295" customFormat="1" x14ac:dyDescent="0.15">
      <c r="A3351" s="655" t="s">
        <v>1541</v>
      </c>
      <c r="B3351" s="591" t="s">
        <v>1621</v>
      </c>
      <c r="C3351" s="287" t="s">
        <v>1586</v>
      </c>
      <c r="D3351" s="287" t="s">
        <v>1500</v>
      </c>
      <c r="E3351" s="656">
        <v>4240</v>
      </c>
      <c r="F3351" s="381">
        <v>637.98</v>
      </c>
    </row>
    <row r="3352" spans="1:6" s="295" customFormat="1" x14ac:dyDescent="0.15">
      <c r="A3352" s="655" t="s">
        <v>1542</v>
      </c>
      <c r="B3352" s="591" t="s">
        <v>1622</v>
      </c>
      <c r="C3352" s="287" t="s">
        <v>1240</v>
      </c>
      <c r="D3352" s="287" t="s">
        <v>1467</v>
      </c>
      <c r="E3352" s="656">
        <v>4389</v>
      </c>
      <c r="F3352" s="381">
        <v>608.17999999999995</v>
      </c>
    </row>
    <row r="3353" spans="1:6" s="295" customFormat="1" x14ac:dyDescent="0.15">
      <c r="A3353" s="655" t="s">
        <v>1543</v>
      </c>
      <c r="B3353" s="591" t="s">
        <v>1623</v>
      </c>
      <c r="C3353" s="287" t="s">
        <v>1523</v>
      </c>
      <c r="D3353" s="287" t="s">
        <v>1266</v>
      </c>
      <c r="E3353" s="656">
        <v>724</v>
      </c>
      <c r="F3353" s="381">
        <v>154.13</v>
      </c>
    </row>
    <row r="3354" spans="1:6" s="295" customFormat="1" x14ac:dyDescent="0.15">
      <c r="A3354" s="655" t="s">
        <v>1715</v>
      </c>
      <c r="B3354" s="591" t="s">
        <v>1716</v>
      </c>
      <c r="C3354" s="287" t="s">
        <v>1328</v>
      </c>
      <c r="D3354" s="287" t="s">
        <v>1329</v>
      </c>
      <c r="E3354" s="656">
        <v>478</v>
      </c>
      <c r="F3354" s="381">
        <v>90.61</v>
      </c>
    </row>
    <row r="3355" spans="1:6" s="295" customFormat="1" x14ac:dyDescent="0.15">
      <c r="A3355" s="655" t="s">
        <v>1544</v>
      </c>
      <c r="B3355" s="591" t="s">
        <v>1624</v>
      </c>
      <c r="C3355" s="287" t="s">
        <v>1234</v>
      </c>
      <c r="D3355" s="287" t="s">
        <v>1494</v>
      </c>
      <c r="E3355" s="656">
        <v>4584</v>
      </c>
      <c r="F3355" s="381">
        <v>731.7</v>
      </c>
    </row>
    <row r="3356" spans="1:6" s="295" customFormat="1" x14ac:dyDescent="0.15">
      <c r="A3356" s="655" t="s">
        <v>1601</v>
      </c>
      <c r="B3356" s="591"/>
      <c r="C3356" s="287" t="s">
        <v>1334</v>
      </c>
      <c r="D3356" s="287" t="s">
        <v>1462</v>
      </c>
      <c r="E3356" s="656">
        <v>3500.3</v>
      </c>
      <c r="F3356" s="381">
        <v>694.12</v>
      </c>
    </row>
    <row r="3357" spans="1:6" s="295" customFormat="1" x14ac:dyDescent="0.15">
      <c r="A3357" s="655" t="s">
        <v>1545</v>
      </c>
      <c r="B3357" s="591"/>
      <c r="C3357" s="287" t="s">
        <v>1234</v>
      </c>
      <c r="D3357" s="287" t="s">
        <v>1494</v>
      </c>
      <c r="E3357" s="656">
        <v>79.900000000000006</v>
      </c>
      <c r="F3357" s="381">
        <v>18.78</v>
      </c>
    </row>
    <row r="3358" spans="1:6" s="295" customFormat="1" x14ac:dyDescent="0.15">
      <c r="A3358" s="655" t="s">
        <v>1602</v>
      </c>
      <c r="B3358" s="591"/>
      <c r="C3358" s="287" t="s">
        <v>1334</v>
      </c>
      <c r="D3358" s="287" t="s">
        <v>1462</v>
      </c>
      <c r="E3358" s="656">
        <v>195.6</v>
      </c>
      <c r="F3358" s="381">
        <v>51.41</v>
      </c>
    </row>
    <row r="3359" spans="1:6" s="295" customFormat="1" x14ac:dyDescent="0.15">
      <c r="A3359" s="655" t="s">
        <v>1546</v>
      </c>
      <c r="B3359" s="591"/>
      <c r="C3359" s="287" t="s">
        <v>1586</v>
      </c>
      <c r="D3359" s="287" t="s">
        <v>1500</v>
      </c>
      <c r="E3359" s="656">
        <v>91.6</v>
      </c>
      <c r="F3359" s="381">
        <v>29.55</v>
      </c>
    </row>
    <row r="3360" spans="1:6" s="295" customFormat="1" x14ac:dyDescent="0.15">
      <c r="A3360" s="655" t="s">
        <v>1549</v>
      </c>
      <c r="B3360" s="591" t="s">
        <v>1625</v>
      </c>
      <c r="C3360" s="287" t="s">
        <v>1459</v>
      </c>
      <c r="D3360" s="287" t="s">
        <v>1251</v>
      </c>
      <c r="E3360" s="656">
        <v>1314</v>
      </c>
      <c r="F3360" s="381">
        <v>235.17</v>
      </c>
    </row>
    <row r="3361" spans="1:6" s="295" customFormat="1" x14ac:dyDescent="0.15">
      <c r="A3361" s="655" t="s">
        <v>1603</v>
      </c>
      <c r="B3361" s="591"/>
      <c r="C3361" s="287" t="s">
        <v>1334</v>
      </c>
      <c r="D3361" s="287" t="s">
        <v>1462</v>
      </c>
      <c r="E3361" s="656">
        <v>1464.8</v>
      </c>
      <c r="F3361" s="381">
        <v>307.14</v>
      </c>
    </row>
    <row r="3362" spans="1:6" s="295" customFormat="1" x14ac:dyDescent="0.15">
      <c r="A3362" s="655" t="s">
        <v>1597</v>
      </c>
      <c r="B3362" s="591" t="s">
        <v>1626</v>
      </c>
      <c r="C3362" s="287" t="s">
        <v>1454</v>
      </c>
      <c r="D3362" s="287" t="s">
        <v>1247</v>
      </c>
      <c r="E3362" s="656">
        <v>4040</v>
      </c>
      <c r="F3362" s="381">
        <v>610.63</v>
      </c>
    </row>
    <row r="3363" spans="1:6" s="295" customFormat="1" x14ac:dyDescent="0.15">
      <c r="A3363" s="655" t="s">
        <v>1677</v>
      </c>
      <c r="B3363" s="591" t="s">
        <v>1678</v>
      </c>
      <c r="C3363" s="287" t="s">
        <v>1313</v>
      </c>
      <c r="D3363" s="287" t="s">
        <v>1412</v>
      </c>
      <c r="E3363" s="656">
        <v>1178</v>
      </c>
      <c r="F3363" s="381">
        <v>214.19</v>
      </c>
    </row>
    <row r="3364" spans="1:6" s="295" customFormat="1" x14ac:dyDescent="0.15">
      <c r="A3364" s="655" t="s">
        <v>1551</v>
      </c>
      <c r="B3364" s="591" t="s">
        <v>1627</v>
      </c>
      <c r="C3364" s="287" t="s">
        <v>1235</v>
      </c>
      <c r="D3364" s="287" t="s">
        <v>1236</v>
      </c>
      <c r="E3364" s="656">
        <v>8063</v>
      </c>
      <c r="F3364" s="381">
        <v>1159.81</v>
      </c>
    </row>
    <row r="3365" spans="1:6" s="295" customFormat="1" x14ac:dyDescent="0.15">
      <c r="A3365" s="655" t="s">
        <v>1553</v>
      </c>
      <c r="B3365" s="591" t="s">
        <v>1628</v>
      </c>
      <c r="C3365" s="287" t="s">
        <v>1475</v>
      </c>
      <c r="D3365" s="287" t="s">
        <v>1387</v>
      </c>
      <c r="E3365" s="656">
        <v>1065</v>
      </c>
      <c r="F3365" s="381">
        <v>203.24</v>
      </c>
    </row>
    <row r="3366" spans="1:6" s="295" customFormat="1" x14ac:dyDescent="0.15">
      <c r="A3366" s="655" t="s">
        <v>1554</v>
      </c>
      <c r="B3366" s="591" t="s">
        <v>1629</v>
      </c>
      <c r="C3366" s="287" t="s">
        <v>1399</v>
      </c>
      <c r="D3366" s="287" t="s">
        <v>1276</v>
      </c>
      <c r="E3366" s="656">
        <v>3680</v>
      </c>
      <c r="F3366" s="381">
        <v>604.52</v>
      </c>
    </row>
    <row r="3367" spans="1:6" s="295" customFormat="1" x14ac:dyDescent="0.15">
      <c r="A3367" s="655" t="s">
        <v>1598</v>
      </c>
      <c r="B3367" s="591"/>
      <c r="C3367" s="287" t="s">
        <v>1586</v>
      </c>
      <c r="D3367" s="287" t="s">
        <v>1500</v>
      </c>
      <c r="E3367" s="656">
        <v>45.8</v>
      </c>
      <c r="F3367" s="381">
        <v>16.68</v>
      </c>
    </row>
    <row r="3368" spans="1:6" s="295" customFormat="1" x14ac:dyDescent="0.15">
      <c r="A3368" s="655" t="s">
        <v>1662</v>
      </c>
      <c r="B3368" s="657">
        <v>892914652</v>
      </c>
      <c r="C3368" s="287" t="s">
        <v>1663</v>
      </c>
      <c r="D3368" s="287" t="s">
        <v>1664</v>
      </c>
      <c r="E3368" s="656">
        <v>11520</v>
      </c>
      <c r="F3368" s="381">
        <v>1703.48</v>
      </c>
    </row>
    <row r="3369" spans="1:6" s="295" customFormat="1" ht="14" thickBot="1" x14ac:dyDescent="0.2">
      <c r="A3369" s="655"/>
      <c r="B3369" s="591"/>
      <c r="C3369" s="291" t="s">
        <v>1695</v>
      </c>
      <c r="D3369" s="287"/>
      <c r="E3369" s="643">
        <f>SUM(E3344:E3368)</f>
        <v>106541.00000000001</v>
      </c>
      <c r="F3369" s="658">
        <v>15956.57</v>
      </c>
    </row>
    <row r="3370" spans="1:6" s="295" customFormat="1" ht="14" thickTop="1" x14ac:dyDescent="0.15">
      <c r="A3370" s="655"/>
      <c r="B3370" s="591"/>
      <c r="C3370" s="287"/>
      <c r="D3370" s="287"/>
      <c r="E3370" s="524"/>
      <c r="F3370" s="381"/>
    </row>
    <row r="3371" spans="1:6" s="295" customFormat="1" x14ac:dyDescent="0.15">
      <c r="A3371" s="655" t="s">
        <v>1556</v>
      </c>
      <c r="B3371" s="591" t="s">
        <v>1631</v>
      </c>
      <c r="C3371" s="287" t="s">
        <v>1248</v>
      </c>
      <c r="D3371" s="287" t="s">
        <v>1482</v>
      </c>
      <c r="E3371" s="656">
        <v>3431</v>
      </c>
      <c r="F3371" s="381">
        <v>572.33000000000004</v>
      </c>
    </row>
    <row r="3372" spans="1:6" s="295" customFormat="1" x14ac:dyDescent="0.15">
      <c r="A3372" s="655" t="s">
        <v>1714</v>
      </c>
      <c r="B3372" s="591"/>
      <c r="C3372" s="287" t="s">
        <v>1267</v>
      </c>
      <c r="D3372" s="287" t="s">
        <v>1268</v>
      </c>
      <c r="E3372" s="656">
        <f>1.6+44.2</f>
        <v>45.800000000000004</v>
      </c>
      <c r="F3372" s="381">
        <v>11.780000000000001</v>
      </c>
    </row>
    <row r="3373" spans="1:6" s="295" customFormat="1" x14ac:dyDescent="0.15">
      <c r="A3373" s="655" t="s">
        <v>1558</v>
      </c>
      <c r="B3373" s="591" t="s">
        <v>1633</v>
      </c>
      <c r="C3373" s="287" t="s">
        <v>1469</v>
      </c>
      <c r="D3373" s="287" t="s">
        <v>1470</v>
      </c>
      <c r="E3373" s="656">
        <v>4880</v>
      </c>
      <c r="F3373" s="381">
        <v>790.91</v>
      </c>
    </row>
    <row r="3374" spans="1:6" s="295" customFormat="1" x14ac:dyDescent="0.15">
      <c r="A3374" s="655" t="s">
        <v>1559</v>
      </c>
      <c r="B3374" s="591" t="s">
        <v>1634</v>
      </c>
      <c r="C3374" s="287" t="s">
        <v>1502</v>
      </c>
      <c r="D3374" s="287" t="s">
        <v>1381</v>
      </c>
      <c r="E3374" s="656">
        <v>13248</v>
      </c>
      <c r="F3374" s="381">
        <v>1876</v>
      </c>
    </row>
    <row r="3375" spans="1:6" s="295" customFormat="1" x14ac:dyDescent="0.15">
      <c r="A3375" s="655" t="s">
        <v>1560</v>
      </c>
      <c r="B3375" s="591" t="s">
        <v>1635</v>
      </c>
      <c r="C3375" s="287" t="s">
        <v>1504</v>
      </c>
      <c r="D3375" s="287" t="s">
        <v>1505</v>
      </c>
      <c r="E3375" s="656">
        <v>1534</v>
      </c>
      <c r="F3375" s="381">
        <v>219.9</v>
      </c>
    </row>
    <row r="3376" spans="1:6" s="295" customFormat="1" x14ac:dyDescent="0.15">
      <c r="A3376" s="655" t="s">
        <v>1675</v>
      </c>
      <c r="B3376" s="591" t="s">
        <v>1676</v>
      </c>
      <c r="C3376" s="287" t="s">
        <v>1477</v>
      </c>
      <c r="D3376" s="287" t="s">
        <v>1289</v>
      </c>
      <c r="E3376" s="656">
        <v>9680</v>
      </c>
      <c r="F3376" s="381">
        <v>1573.57</v>
      </c>
    </row>
    <row r="3377" spans="1:6" s="295" customFormat="1" x14ac:dyDescent="0.15">
      <c r="A3377" s="655" t="s">
        <v>1564</v>
      </c>
      <c r="B3377" s="591" t="s">
        <v>1636</v>
      </c>
      <c r="C3377" s="287" t="s">
        <v>1485</v>
      </c>
      <c r="D3377" s="287" t="s">
        <v>1486</v>
      </c>
      <c r="E3377" s="656">
        <v>1200</v>
      </c>
      <c r="F3377" s="381">
        <v>253.57</v>
      </c>
    </row>
    <row r="3378" spans="1:6" s="295" customFormat="1" x14ac:dyDescent="0.15">
      <c r="A3378" s="655" t="s">
        <v>1565</v>
      </c>
      <c r="B3378" s="591" t="s">
        <v>1637</v>
      </c>
      <c r="C3378" s="287" t="s">
        <v>1267</v>
      </c>
      <c r="D3378" s="287" t="s">
        <v>1268</v>
      </c>
      <c r="E3378" s="656">
        <v>1799</v>
      </c>
      <c r="F3378" s="381">
        <v>343.3</v>
      </c>
    </row>
    <row r="3379" spans="1:6" s="295" customFormat="1" x14ac:dyDescent="0.15">
      <c r="A3379" s="655" t="s">
        <v>1569</v>
      </c>
      <c r="B3379" s="591" t="s">
        <v>1638</v>
      </c>
      <c r="C3379" s="287" t="s">
        <v>1464</v>
      </c>
      <c r="D3379" s="287" t="s">
        <v>1285</v>
      </c>
      <c r="E3379" s="656">
        <v>557</v>
      </c>
      <c r="F3379" s="381">
        <v>159.79</v>
      </c>
    </row>
    <row r="3380" spans="1:6" s="295" customFormat="1" x14ac:dyDescent="0.15">
      <c r="A3380" s="655" t="s">
        <v>1711</v>
      </c>
      <c r="B3380" s="591" t="s">
        <v>1712</v>
      </c>
      <c r="C3380" s="287" t="s">
        <v>1713</v>
      </c>
      <c r="D3380" s="287" t="s">
        <v>1419</v>
      </c>
      <c r="E3380" s="656">
        <v>1018</v>
      </c>
      <c r="F3380" s="381">
        <v>194.28</v>
      </c>
    </row>
    <row r="3381" spans="1:6" s="295" customFormat="1" x14ac:dyDescent="0.15">
      <c r="A3381" s="655" t="s">
        <v>1570</v>
      </c>
      <c r="B3381" s="591" t="s">
        <v>1639</v>
      </c>
      <c r="C3381" s="287" t="s">
        <v>1472</v>
      </c>
      <c r="D3381" s="287" t="s">
        <v>1473</v>
      </c>
      <c r="E3381" s="656">
        <v>50</v>
      </c>
      <c r="F3381" s="381">
        <v>35</v>
      </c>
    </row>
    <row r="3382" spans="1:6" s="295" customFormat="1" x14ac:dyDescent="0.15">
      <c r="A3382" s="655" t="s">
        <v>1571</v>
      </c>
      <c r="B3382" s="591" t="s">
        <v>1640</v>
      </c>
      <c r="C3382" s="287" t="s">
        <v>1489</v>
      </c>
      <c r="D3382" s="287" t="s">
        <v>1490</v>
      </c>
      <c r="E3382" s="656">
        <v>119</v>
      </c>
      <c r="F3382" s="381">
        <v>41.86</v>
      </c>
    </row>
    <row r="3383" spans="1:6" s="295" customFormat="1" x14ac:dyDescent="0.15">
      <c r="A3383" s="655" t="s">
        <v>1572</v>
      </c>
      <c r="B3383" s="591" t="s">
        <v>1641</v>
      </c>
      <c r="C3383" s="287" t="s">
        <v>1271</v>
      </c>
      <c r="D3383" s="287" t="s">
        <v>1272</v>
      </c>
      <c r="E3383" s="656">
        <v>4574</v>
      </c>
      <c r="F3383" s="381">
        <v>760.47</v>
      </c>
    </row>
    <row r="3384" spans="1:6" s="295" customFormat="1" x14ac:dyDescent="0.15">
      <c r="A3384" s="655" t="s">
        <v>1573</v>
      </c>
      <c r="B3384" s="591"/>
      <c r="C3384" s="287" t="s">
        <v>1461</v>
      </c>
      <c r="D3384" s="287" t="s">
        <v>1703</v>
      </c>
      <c r="E3384" s="656">
        <v>26</v>
      </c>
      <c r="F3384" s="381">
        <v>16.28</v>
      </c>
    </row>
    <row r="3385" spans="1:6" s="295" customFormat="1" x14ac:dyDescent="0.15">
      <c r="A3385" s="655" t="s">
        <v>1574</v>
      </c>
      <c r="B3385" s="591" t="s">
        <v>1642</v>
      </c>
      <c r="C3385" s="287" t="s">
        <v>1377</v>
      </c>
      <c r="D3385" s="287" t="s">
        <v>1378</v>
      </c>
      <c r="E3385" s="656">
        <v>1544</v>
      </c>
      <c r="F3385" s="381">
        <v>287.79000000000002</v>
      </c>
    </row>
    <row r="3386" spans="1:6" s="295" customFormat="1" x14ac:dyDescent="0.15">
      <c r="A3386" s="655" t="s">
        <v>1575</v>
      </c>
      <c r="B3386" s="591" t="s">
        <v>1685</v>
      </c>
      <c r="C3386" s="287" t="s">
        <v>1448</v>
      </c>
      <c r="D3386" s="287" t="s">
        <v>1449</v>
      </c>
      <c r="E3386" s="656">
        <v>68</v>
      </c>
      <c r="F3386" s="381">
        <v>18.29</v>
      </c>
    </row>
    <row r="3387" spans="1:6" s="295" customFormat="1" x14ac:dyDescent="0.15">
      <c r="A3387" s="655" t="s">
        <v>1604</v>
      </c>
      <c r="B3387" s="591"/>
      <c r="C3387" s="287" t="s">
        <v>1334</v>
      </c>
      <c r="D3387" s="287" t="s">
        <v>1462</v>
      </c>
      <c r="E3387" s="656">
        <v>229</v>
      </c>
      <c r="F3387" s="381">
        <v>68.22</v>
      </c>
    </row>
    <row r="3388" spans="1:6" s="295" customFormat="1" x14ac:dyDescent="0.15">
      <c r="A3388" s="655" t="s">
        <v>1576</v>
      </c>
      <c r="B3388" s="591" t="s">
        <v>1644</v>
      </c>
      <c r="C3388" s="287" t="s">
        <v>1401</v>
      </c>
      <c r="D3388" s="287" t="s">
        <v>1316</v>
      </c>
      <c r="E3388" s="656">
        <v>694</v>
      </c>
      <c r="F3388" s="381">
        <v>188.31</v>
      </c>
    </row>
    <row r="3389" spans="1:6" s="295" customFormat="1" x14ac:dyDescent="0.15">
      <c r="A3389" s="655" t="s">
        <v>1605</v>
      </c>
      <c r="B3389" s="591"/>
      <c r="C3389" s="287" t="s">
        <v>1334</v>
      </c>
      <c r="D3389" s="287" t="s">
        <v>1462</v>
      </c>
      <c r="E3389" s="656">
        <v>668</v>
      </c>
      <c r="F3389" s="381">
        <v>201.17</v>
      </c>
    </row>
    <row r="3390" spans="1:6" s="295" customFormat="1" x14ac:dyDescent="0.15">
      <c r="A3390" s="655" t="s">
        <v>1578</v>
      </c>
      <c r="B3390" s="591" t="s">
        <v>1646</v>
      </c>
      <c r="C3390" s="287" t="s">
        <v>1579</v>
      </c>
      <c r="D3390" s="287" t="s">
        <v>1497</v>
      </c>
      <c r="E3390" s="656">
        <v>30</v>
      </c>
      <c r="F3390" s="381">
        <v>32.99</v>
      </c>
    </row>
    <row r="3391" spans="1:6" s="295" customFormat="1" x14ac:dyDescent="0.15">
      <c r="A3391" s="655" t="s">
        <v>1580</v>
      </c>
      <c r="B3391" s="591" t="s">
        <v>1647</v>
      </c>
      <c r="C3391" s="287" t="s">
        <v>1451</v>
      </c>
      <c r="D3391" s="287" t="s">
        <v>1674</v>
      </c>
      <c r="E3391" s="656">
        <v>9600</v>
      </c>
      <c r="F3391" s="381">
        <v>2710.61</v>
      </c>
    </row>
    <row r="3392" spans="1:6" s="295" customFormat="1" x14ac:dyDescent="0.15">
      <c r="A3392" s="655" t="s">
        <v>1581</v>
      </c>
      <c r="B3392" s="591" t="s">
        <v>1648</v>
      </c>
      <c r="C3392" s="287" t="s">
        <v>1521</v>
      </c>
      <c r="D3392" s="287" t="s">
        <v>1229</v>
      </c>
      <c r="E3392" s="656">
        <v>2150</v>
      </c>
      <c r="F3392" s="381">
        <v>340.7</v>
      </c>
    </row>
    <row r="3393" spans="1:6" s="295" customFormat="1" x14ac:dyDescent="0.15">
      <c r="A3393" s="655" t="s">
        <v>1582</v>
      </c>
      <c r="B3393" s="591" t="s">
        <v>1649</v>
      </c>
      <c r="C3393" s="287" t="s">
        <v>1525</v>
      </c>
      <c r="D3393" s="287" t="s">
        <v>1526</v>
      </c>
      <c r="E3393" s="656">
        <v>15</v>
      </c>
      <c r="F3393" s="381">
        <v>8.73</v>
      </c>
    </row>
    <row r="3394" spans="1:6" s="295" customFormat="1" ht="14" x14ac:dyDescent="0.15">
      <c r="A3394" s="655" t="s">
        <v>1583</v>
      </c>
      <c r="B3394" s="591" t="s">
        <v>1650</v>
      </c>
      <c r="C3394" s="287" t="s">
        <v>1584</v>
      </c>
      <c r="D3394" s="618" t="s">
        <v>1264</v>
      </c>
      <c r="E3394" s="656">
        <v>1600</v>
      </c>
      <c r="F3394" s="381">
        <v>352.86</v>
      </c>
    </row>
    <row r="3395" spans="1:6" s="295" customFormat="1" x14ac:dyDescent="0.15">
      <c r="A3395" s="655" t="s">
        <v>1666</v>
      </c>
      <c r="B3395" s="591" t="s">
        <v>1672</v>
      </c>
      <c r="C3395" s="287" t="s">
        <v>1667</v>
      </c>
      <c r="D3395" s="287" t="s">
        <v>1668</v>
      </c>
      <c r="E3395" s="656">
        <v>19776</v>
      </c>
      <c r="F3395" s="381">
        <v>3872.32</v>
      </c>
    </row>
    <row r="3396" spans="1:6" s="295" customFormat="1" x14ac:dyDescent="0.15">
      <c r="A3396" s="655" t="s">
        <v>1606</v>
      </c>
      <c r="B3396" s="591"/>
      <c r="C3396" s="287" t="s">
        <v>1334</v>
      </c>
      <c r="D3396" s="287" t="s">
        <v>1462</v>
      </c>
      <c r="E3396" s="656">
        <v>79.900000000000006</v>
      </c>
      <c r="F3396" s="381">
        <v>15.26</v>
      </c>
    </row>
    <row r="3397" spans="1:6" s="295" customFormat="1" ht="14" thickBot="1" x14ac:dyDescent="0.2">
      <c r="A3397" s="655"/>
      <c r="B3397" s="591"/>
      <c r="C3397" s="291" t="s">
        <v>1696</v>
      </c>
      <c r="D3397" s="287"/>
      <c r="E3397" s="643">
        <f>SUM(E3371:E3396)</f>
        <v>78615.7</v>
      </c>
      <c r="F3397" s="658">
        <v>14946.29</v>
      </c>
    </row>
    <row r="3398" spans="1:6" s="295" customFormat="1" ht="14" thickTop="1" x14ac:dyDescent="0.15">
      <c r="A3398" s="655"/>
      <c r="B3398" s="591"/>
      <c r="C3398" s="287"/>
      <c r="D3398" s="287"/>
      <c r="E3398" s="524"/>
      <c r="F3398" s="381"/>
    </row>
    <row r="3399" spans="1:6" s="295" customFormat="1" x14ac:dyDescent="0.15">
      <c r="A3399" s="655"/>
      <c r="B3399" s="591"/>
      <c r="C3399" s="293" t="s">
        <v>1441</v>
      </c>
      <c r="D3399" s="287"/>
      <c r="E3399" s="524"/>
      <c r="F3399" s="381"/>
    </row>
    <row r="3400" spans="1:6" s="295" customFormat="1" x14ac:dyDescent="0.15">
      <c r="A3400" s="655"/>
      <c r="B3400" s="591"/>
      <c r="C3400" s="293" t="s">
        <v>1446</v>
      </c>
      <c r="D3400" s="287"/>
      <c r="E3400" s="524"/>
      <c r="F3400" s="381"/>
    </row>
    <row r="3401" spans="1:6" s="295" customFormat="1" x14ac:dyDescent="0.15">
      <c r="A3401" s="655"/>
      <c r="B3401" s="591"/>
      <c r="C3401" s="386">
        <v>42674</v>
      </c>
      <c r="D3401" s="287"/>
      <c r="E3401" s="524"/>
      <c r="F3401" s="381"/>
    </row>
    <row r="3402" spans="1:6" s="295" customFormat="1" x14ac:dyDescent="0.15">
      <c r="A3402" s="655"/>
      <c r="B3402" s="591"/>
      <c r="C3402" s="287"/>
      <c r="D3402" s="287"/>
      <c r="E3402" s="524"/>
      <c r="F3402" s="381"/>
    </row>
    <row r="3403" spans="1:6" s="295" customFormat="1" ht="14" thickBot="1" x14ac:dyDescent="0.2">
      <c r="A3403" s="663"/>
      <c r="B3403" s="664"/>
      <c r="C3403" s="665" t="s">
        <v>1190</v>
      </c>
      <c r="D3403" s="665"/>
      <c r="E3403" s="666">
        <f>SUM(E3369,E3397)</f>
        <v>185156.7</v>
      </c>
      <c r="F3403" s="667">
        <v>30902.86</v>
      </c>
    </row>
    <row r="3404" spans="1:6" s="295" customFormat="1" x14ac:dyDescent="0.15">
      <c r="A3404" s="655"/>
      <c r="B3404" s="591"/>
      <c r="C3404" s="413"/>
      <c r="D3404" s="413"/>
      <c r="E3404" s="669"/>
      <c r="F3404" s="670"/>
    </row>
    <row r="3405" spans="1:6" s="295" customFormat="1" x14ac:dyDescent="0.15">
      <c r="A3405" s="652" t="s">
        <v>1534</v>
      </c>
      <c r="B3405" s="653" t="s">
        <v>1614</v>
      </c>
      <c r="C3405" s="371" t="s">
        <v>1492</v>
      </c>
      <c r="D3405" s="371" t="s">
        <v>1239</v>
      </c>
      <c r="E3405" s="654">
        <v>12480</v>
      </c>
      <c r="F3405" s="391">
        <v>1725.92</v>
      </c>
    </row>
    <row r="3406" spans="1:6" s="295" customFormat="1" x14ac:dyDescent="0.15">
      <c r="A3406" s="655" t="s">
        <v>1535</v>
      </c>
      <c r="B3406" s="591" t="s">
        <v>1615</v>
      </c>
      <c r="C3406" s="287" t="s">
        <v>1507</v>
      </c>
      <c r="D3406" s="287" t="s">
        <v>1245</v>
      </c>
      <c r="E3406" s="656">
        <v>4000</v>
      </c>
      <c r="F3406" s="381">
        <v>569.47</v>
      </c>
    </row>
    <row r="3407" spans="1:6" s="295" customFormat="1" x14ac:dyDescent="0.15">
      <c r="A3407" s="655" t="s">
        <v>1670</v>
      </c>
      <c r="B3407" s="591" t="s">
        <v>1659</v>
      </c>
      <c r="C3407" s="287" t="s">
        <v>1279</v>
      </c>
      <c r="D3407" s="287" t="s">
        <v>1660</v>
      </c>
      <c r="E3407" s="656">
        <v>10400</v>
      </c>
      <c r="F3407" s="381">
        <v>1429.63</v>
      </c>
    </row>
    <row r="3408" spans="1:6" s="295" customFormat="1" x14ac:dyDescent="0.15">
      <c r="A3408" s="655" t="s">
        <v>1536</v>
      </c>
      <c r="B3408" s="591" t="s">
        <v>1616</v>
      </c>
      <c r="C3408" s="287" t="s">
        <v>1479</v>
      </c>
      <c r="D3408" s="287" t="s">
        <v>1231</v>
      </c>
      <c r="E3408" s="656">
        <v>4860</v>
      </c>
      <c r="F3408" s="381">
        <v>692.25</v>
      </c>
    </row>
    <row r="3409" spans="1:6" s="295" customFormat="1" x14ac:dyDescent="0.15">
      <c r="A3409" s="655" t="s">
        <v>1537</v>
      </c>
      <c r="B3409" s="591" t="s">
        <v>1617</v>
      </c>
      <c r="C3409" s="287" t="s">
        <v>1269</v>
      </c>
      <c r="D3409" s="287" t="s">
        <v>1270</v>
      </c>
      <c r="E3409" s="656">
        <v>5580</v>
      </c>
      <c r="F3409" s="381">
        <v>771.36</v>
      </c>
    </row>
    <row r="3410" spans="1:6" s="295" customFormat="1" x14ac:dyDescent="0.15">
      <c r="A3410" s="655" t="s">
        <v>1538</v>
      </c>
      <c r="B3410" s="591" t="s">
        <v>1618</v>
      </c>
      <c r="C3410" s="287" t="s">
        <v>1517</v>
      </c>
      <c r="D3410" s="287" t="s">
        <v>1518</v>
      </c>
      <c r="E3410" s="656">
        <v>4</v>
      </c>
      <c r="F3410" s="381">
        <v>30.41</v>
      </c>
    </row>
    <row r="3411" spans="1:6" s="295" customFormat="1" x14ac:dyDescent="0.15">
      <c r="A3411" s="655" t="s">
        <v>1540</v>
      </c>
      <c r="B3411" s="591" t="s">
        <v>1620</v>
      </c>
      <c r="C3411" s="287" t="s">
        <v>1257</v>
      </c>
      <c r="D3411" s="287" t="s">
        <v>1258</v>
      </c>
      <c r="E3411" s="656">
        <v>26480</v>
      </c>
      <c r="F3411" s="381">
        <v>3424.45</v>
      </c>
    </row>
    <row r="3412" spans="1:6" s="295" customFormat="1" x14ac:dyDescent="0.15">
      <c r="A3412" s="655" t="s">
        <v>1541</v>
      </c>
      <c r="B3412" s="591" t="s">
        <v>1621</v>
      </c>
      <c r="C3412" s="287" t="s">
        <v>1586</v>
      </c>
      <c r="D3412" s="287" t="s">
        <v>1500</v>
      </c>
      <c r="E3412" s="656">
        <v>4760</v>
      </c>
      <c r="F3412" s="381">
        <v>704.6</v>
      </c>
    </row>
    <row r="3413" spans="1:6" s="295" customFormat="1" x14ac:dyDescent="0.15">
      <c r="A3413" s="655" t="s">
        <v>1542</v>
      </c>
      <c r="B3413" s="591" t="s">
        <v>1622</v>
      </c>
      <c r="C3413" s="287" t="s">
        <v>1240</v>
      </c>
      <c r="D3413" s="287" t="s">
        <v>1467</v>
      </c>
      <c r="E3413" s="656">
        <v>4918</v>
      </c>
      <c r="F3413" s="381">
        <v>668.28</v>
      </c>
    </row>
    <row r="3414" spans="1:6" s="295" customFormat="1" x14ac:dyDescent="0.15">
      <c r="A3414" s="655" t="s">
        <v>1543</v>
      </c>
      <c r="B3414" s="591" t="s">
        <v>1623</v>
      </c>
      <c r="C3414" s="287" t="s">
        <v>1523</v>
      </c>
      <c r="D3414" s="287" t="s">
        <v>1266</v>
      </c>
      <c r="E3414" s="656">
        <v>836</v>
      </c>
      <c r="F3414" s="381">
        <v>150.41999999999999</v>
      </c>
    </row>
    <row r="3415" spans="1:6" s="295" customFormat="1" x14ac:dyDescent="0.15">
      <c r="A3415" s="655" t="s">
        <v>1715</v>
      </c>
      <c r="B3415" s="591" t="s">
        <v>1716</v>
      </c>
      <c r="C3415" s="287" t="s">
        <v>1328</v>
      </c>
      <c r="D3415" s="287" t="s">
        <v>1329</v>
      </c>
      <c r="E3415" s="656">
        <v>560</v>
      </c>
      <c r="F3415" s="381">
        <v>105.12</v>
      </c>
    </row>
    <row r="3416" spans="1:6" s="295" customFormat="1" x14ac:dyDescent="0.15">
      <c r="A3416" s="655" t="s">
        <v>1544</v>
      </c>
      <c r="B3416" s="591" t="s">
        <v>1624</v>
      </c>
      <c r="C3416" s="287" t="s">
        <v>1234</v>
      </c>
      <c r="D3416" s="287" t="s">
        <v>1494</v>
      </c>
      <c r="E3416" s="656">
        <v>5518</v>
      </c>
      <c r="F3416" s="381">
        <v>854.43</v>
      </c>
    </row>
    <row r="3417" spans="1:6" s="295" customFormat="1" x14ac:dyDescent="0.15">
      <c r="A3417" s="655" t="s">
        <v>1601</v>
      </c>
      <c r="B3417" s="591"/>
      <c r="C3417" s="287" t="s">
        <v>1334</v>
      </c>
      <c r="D3417" s="287" t="s">
        <v>1462</v>
      </c>
      <c r="E3417" s="656">
        <v>3726.5</v>
      </c>
      <c r="F3417" s="381">
        <v>720.82</v>
      </c>
    </row>
    <row r="3418" spans="1:6" s="295" customFormat="1" x14ac:dyDescent="0.15">
      <c r="A3418" s="655" t="s">
        <v>1545</v>
      </c>
      <c r="B3418" s="591"/>
      <c r="C3418" s="287" t="s">
        <v>1234</v>
      </c>
      <c r="D3418" s="287" t="s">
        <v>1494</v>
      </c>
      <c r="E3418" s="656">
        <v>85</v>
      </c>
      <c r="F3418" s="381">
        <v>19.39</v>
      </c>
    </row>
    <row r="3419" spans="1:6" s="295" customFormat="1" x14ac:dyDescent="0.15">
      <c r="A3419" s="655" t="s">
        <v>1602</v>
      </c>
      <c r="B3419" s="591"/>
      <c r="C3419" s="287" t="s">
        <v>1334</v>
      </c>
      <c r="D3419" s="287" t="s">
        <v>1462</v>
      </c>
      <c r="E3419" s="656">
        <v>208.2</v>
      </c>
      <c r="F3419" s="381">
        <v>52.88</v>
      </c>
    </row>
    <row r="3420" spans="1:6" s="295" customFormat="1" x14ac:dyDescent="0.15">
      <c r="A3420" s="655" t="s">
        <v>1546</v>
      </c>
      <c r="B3420" s="591"/>
      <c r="C3420" s="287" t="s">
        <v>1586</v>
      </c>
      <c r="D3420" s="287" t="s">
        <v>1500</v>
      </c>
      <c r="E3420" s="656">
        <v>97.4</v>
      </c>
      <c r="F3420" s="381">
        <v>30.23</v>
      </c>
    </row>
    <row r="3421" spans="1:6" s="295" customFormat="1" x14ac:dyDescent="0.15">
      <c r="A3421" s="655" t="s">
        <v>1549</v>
      </c>
      <c r="B3421" s="591" t="s">
        <v>1625</v>
      </c>
      <c r="C3421" s="287" t="s">
        <v>1459</v>
      </c>
      <c r="D3421" s="287" t="s">
        <v>1251</v>
      </c>
      <c r="E3421" s="656">
        <v>1917</v>
      </c>
      <c r="F3421" s="381">
        <v>295.19</v>
      </c>
    </row>
    <row r="3422" spans="1:6" s="295" customFormat="1" x14ac:dyDescent="0.15">
      <c r="A3422" s="655" t="s">
        <v>1603</v>
      </c>
      <c r="B3422" s="591"/>
      <c r="C3422" s="287" t="s">
        <v>1334</v>
      </c>
      <c r="D3422" s="287" t="s">
        <v>1462</v>
      </c>
      <c r="E3422" s="656">
        <v>1559.2</v>
      </c>
      <c r="F3422" s="381">
        <v>318.3</v>
      </c>
    </row>
    <row r="3423" spans="1:6" s="295" customFormat="1" x14ac:dyDescent="0.15">
      <c r="A3423" s="655" t="s">
        <v>1597</v>
      </c>
      <c r="B3423" s="591" t="s">
        <v>1626</v>
      </c>
      <c r="C3423" s="287" t="s">
        <v>1454</v>
      </c>
      <c r="D3423" s="287" t="s">
        <v>1247</v>
      </c>
      <c r="E3423" s="656">
        <v>4760</v>
      </c>
      <c r="F3423" s="381">
        <v>689.73</v>
      </c>
    </row>
    <row r="3424" spans="1:6" s="295" customFormat="1" x14ac:dyDescent="0.15">
      <c r="A3424" s="655" t="s">
        <v>1677</v>
      </c>
      <c r="B3424" s="591" t="s">
        <v>1678</v>
      </c>
      <c r="C3424" s="287" t="s">
        <v>1313</v>
      </c>
      <c r="D3424" s="287" t="s">
        <v>1412</v>
      </c>
      <c r="E3424" s="656">
        <v>1237</v>
      </c>
      <c r="F3424" s="381">
        <v>212.62</v>
      </c>
    </row>
    <row r="3425" spans="1:6" s="295" customFormat="1" x14ac:dyDescent="0.15">
      <c r="A3425" s="655" t="s">
        <v>1551</v>
      </c>
      <c r="B3425" s="591" t="s">
        <v>1627</v>
      </c>
      <c r="C3425" s="287" t="s">
        <v>1235</v>
      </c>
      <c r="D3425" s="287" t="s">
        <v>1236</v>
      </c>
      <c r="E3425" s="656">
        <v>9481</v>
      </c>
      <c r="F3425" s="381">
        <v>1293.55</v>
      </c>
    </row>
    <row r="3426" spans="1:6" s="295" customFormat="1" x14ac:dyDescent="0.15">
      <c r="A3426" s="655" t="s">
        <v>1553</v>
      </c>
      <c r="B3426" s="591" t="s">
        <v>1628</v>
      </c>
      <c r="C3426" s="287" t="s">
        <v>1475</v>
      </c>
      <c r="D3426" s="287" t="s">
        <v>1387</v>
      </c>
      <c r="E3426" s="656">
        <v>1182</v>
      </c>
      <c r="F3426" s="381">
        <v>225.56</v>
      </c>
    </row>
    <row r="3427" spans="1:6" s="295" customFormat="1" x14ac:dyDescent="0.15">
      <c r="A3427" s="655" t="s">
        <v>1554</v>
      </c>
      <c r="B3427" s="591" t="s">
        <v>1629</v>
      </c>
      <c r="C3427" s="287" t="s">
        <v>1399</v>
      </c>
      <c r="D3427" s="287" t="s">
        <v>1276</v>
      </c>
      <c r="E3427" s="656">
        <v>4440</v>
      </c>
      <c r="F3427" s="381">
        <v>680.18</v>
      </c>
    </row>
    <row r="3428" spans="1:6" s="295" customFormat="1" x14ac:dyDescent="0.15">
      <c r="A3428" s="655" t="s">
        <v>1598</v>
      </c>
      <c r="B3428" s="591"/>
      <c r="C3428" s="287" t="s">
        <v>1586</v>
      </c>
      <c r="D3428" s="287" t="s">
        <v>1500</v>
      </c>
      <c r="E3428" s="656">
        <v>48.7</v>
      </c>
      <c r="F3428" s="381">
        <v>17.05</v>
      </c>
    </row>
    <row r="3429" spans="1:6" s="295" customFormat="1" x14ac:dyDescent="0.15">
      <c r="A3429" s="655" t="s">
        <v>1662</v>
      </c>
      <c r="B3429" s="657">
        <v>892914652</v>
      </c>
      <c r="C3429" s="287" t="s">
        <v>1663</v>
      </c>
      <c r="D3429" s="287" t="s">
        <v>1664</v>
      </c>
      <c r="E3429" s="656">
        <v>10640</v>
      </c>
      <c r="F3429" s="381">
        <v>1618.87</v>
      </c>
    </row>
    <row r="3430" spans="1:6" s="295" customFormat="1" ht="14" thickBot="1" x14ac:dyDescent="0.2">
      <c r="A3430" s="655"/>
      <c r="B3430" s="591"/>
      <c r="C3430" s="291" t="s">
        <v>1698</v>
      </c>
      <c r="D3430" s="287"/>
      <c r="E3430" s="643">
        <f>SUM(E3405:E3429)</f>
        <v>119777.99999999999</v>
      </c>
      <c r="F3430" s="658">
        <v>17300.71</v>
      </c>
    </row>
    <row r="3431" spans="1:6" s="295" customFormat="1" ht="14" thickTop="1" x14ac:dyDescent="0.15">
      <c r="A3431" s="655"/>
      <c r="B3431" s="591"/>
      <c r="C3431" s="287"/>
      <c r="D3431" s="287"/>
      <c r="E3431" s="524"/>
      <c r="F3431" s="381"/>
    </row>
    <row r="3432" spans="1:6" s="295" customFormat="1" x14ac:dyDescent="0.15">
      <c r="A3432" s="655" t="s">
        <v>1556</v>
      </c>
      <c r="B3432" s="591" t="s">
        <v>1631</v>
      </c>
      <c r="C3432" s="287" t="s">
        <v>1248</v>
      </c>
      <c r="D3432" s="287" t="s">
        <v>1482</v>
      </c>
      <c r="E3432" s="656">
        <v>3583</v>
      </c>
      <c r="F3432" s="381">
        <v>542.82000000000005</v>
      </c>
    </row>
    <row r="3433" spans="1:6" s="295" customFormat="1" x14ac:dyDescent="0.15">
      <c r="A3433" s="655" t="s">
        <v>1714</v>
      </c>
      <c r="B3433" s="591"/>
      <c r="C3433" s="287" t="s">
        <v>1267</v>
      </c>
      <c r="D3433" s="287" t="s">
        <v>1268</v>
      </c>
      <c r="E3433" s="656">
        <f>4.4+44.3</f>
        <v>48.699999999999996</v>
      </c>
      <c r="F3433" s="381">
        <v>12.370000000000001</v>
      </c>
    </row>
    <row r="3434" spans="1:6" s="295" customFormat="1" x14ac:dyDescent="0.15">
      <c r="A3434" s="655" t="s">
        <v>1558</v>
      </c>
      <c r="B3434" s="591" t="s">
        <v>1633</v>
      </c>
      <c r="C3434" s="287" t="s">
        <v>1469</v>
      </c>
      <c r="D3434" s="287" t="s">
        <v>1470</v>
      </c>
      <c r="E3434" s="656">
        <v>5760</v>
      </c>
      <c r="F3434" s="381">
        <v>871.06</v>
      </c>
    </row>
    <row r="3435" spans="1:6" s="295" customFormat="1" x14ac:dyDescent="0.15">
      <c r="A3435" s="655" t="s">
        <v>1559</v>
      </c>
      <c r="B3435" s="591" t="s">
        <v>1634</v>
      </c>
      <c r="C3435" s="287" t="s">
        <v>1502</v>
      </c>
      <c r="D3435" s="287" t="s">
        <v>1381</v>
      </c>
      <c r="E3435" s="656">
        <v>13632</v>
      </c>
      <c r="F3435" s="381">
        <v>1905.6</v>
      </c>
    </row>
    <row r="3436" spans="1:6" s="295" customFormat="1" x14ac:dyDescent="0.15">
      <c r="A3436" s="655" t="s">
        <v>1560</v>
      </c>
      <c r="B3436" s="591" t="s">
        <v>1635</v>
      </c>
      <c r="C3436" s="287" t="s">
        <v>1504</v>
      </c>
      <c r="D3436" s="287" t="s">
        <v>1505</v>
      </c>
      <c r="E3436" s="656">
        <v>1078</v>
      </c>
      <c r="F3436" s="381">
        <v>152.19999999999999</v>
      </c>
    </row>
    <row r="3437" spans="1:6" s="295" customFormat="1" x14ac:dyDescent="0.15">
      <c r="A3437" s="655" t="s">
        <v>1675</v>
      </c>
      <c r="B3437" s="591" t="s">
        <v>1676</v>
      </c>
      <c r="C3437" s="287" t="s">
        <v>1477</v>
      </c>
      <c r="D3437" s="287" t="s">
        <v>1289</v>
      </c>
      <c r="E3437" s="656">
        <v>10090</v>
      </c>
      <c r="F3437" s="381">
        <v>1458.28</v>
      </c>
    </row>
    <row r="3438" spans="1:6" s="295" customFormat="1" x14ac:dyDescent="0.15">
      <c r="A3438" s="655" t="s">
        <v>1564</v>
      </c>
      <c r="B3438" s="591" t="s">
        <v>1636</v>
      </c>
      <c r="C3438" s="287" t="s">
        <v>1485</v>
      </c>
      <c r="D3438" s="287" t="s">
        <v>1486</v>
      </c>
      <c r="E3438" s="656">
        <v>1560</v>
      </c>
      <c r="F3438" s="381">
        <v>289.39</v>
      </c>
    </row>
    <row r="3439" spans="1:6" s="295" customFormat="1" x14ac:dyDescent="0.15">
      <c r="A3439" s="655" t="s">
        <v>1565</v>
      </c>
      <c r="B3439" s="591" t="s">
        <v>1637</v>
      </c>
      <c r="C3439" s="287" t="s">
        <v>1267</v>
      </c>
      <c r="D3439" s="287" t="s">
        <v>1268</v>
      </c>
      <c r="E3439" s="656">
        <v>1962</v>
      </c>
      <c r="F3439" s="381">
        <v>374.43</v>
      </c>
    </row>
    <row r="3440" spans="1:6" s="295" customFormat="1" x14ac:dyDescent="0.15">
      <c r="A3440" s="655" t="s">
        <v>1569</v>
      </c>
      <c r="B3440" s="591" t="s">
        <v>1638</v>
      </c>
      <c r="C3440" s="287" t="s">
        <v>1464</v>
      </c>
      <c r="D3440" s="287" t="s">
        <v>1285</v>
      </c>
      <c r="E3440" s="656">
        <v>641</v>
      </c>
      <c r="F3440" s="381">
        <v>153.29</v>
      </c>
    </row>
    <row r="3441" spans="1:6" s="295" customFormat="1" x14ac:dyDescent="0.15">
      <c r="A3441" s="655" t="s">
        <v>1711</v>
      </c>
      <c r="B3441" s="591" t="s">
        <v>1712</v>
      </c>
      <c r="C3441" s="287" t="s">
        <v>1713</v>
      </c>
      <c r="D3441" s="287" t="s">
        <v>1419</v>
      </c>
      <c r="E3441" s="656">
        <v>1312</v>
      </c>
      <c r="F3441" s="381">
        <v>250.37</v>
      </c>
    </row>
    <row r="3442" spans="1:6" s="295" customFormat="1" x14ac:dyDescent="0.15">
      <c r="A3442" s="655" t="s">
        <v>1570</v>
      </c>
      <c r="B3442" s="591" t="s">
        <v>1639</v>
      </c>
      <c r="C3442" s="287" t="s">
        <v>1472</v>
      </c>
      <c r="D3442" s="287" t="s">
        <v>1473</v>
      </c>
      <c r="E3442" s="656">
        <v>49</v>
      </c>
      <c r="F3442" s="381">
        <v>34.880000000000003</v>
      </c>
    </row>
    <row r="3443" spans="1:6" s="295" customFormat="1" x14ac:dyDescent="0.15">
      <c r="A3443" s="655" t="s">
        <v>1571</v>
      </c>
      <c r="B3443" s="591" t="s">
        <v>1640</v>
      </c>
      <c r="C3443" s="287" t="s">
        <v>1489</v>
      </c>
      <c r="D3443" s="287" t="s">
        <v>1490</v>
      </c>
      <c r="E3443" s="656">
        <v>127</v>
      </c>
      <c r="F3443" s="381">
        <v>42.65</v>
      </c>
    </row>
    <row r="3444" spans="1:6" s="295" customFormat="1" x14ac:dyDescent="0.15">
      <c r="A3444" s="655" t="s">
        <v>1572</v>
      </c>
      <c r="B3444" s="591" t="s">
        <v>1641</v>
      </c>
      <c r="C3444" s="287" t="s">
        <v>1271</v>
      </c>
      <c r="D3444" s="287" t="s">
        <v>1272</v>
      </c>
      <c r="E3444" s="656">
        <v>4701</v>
      </c>
      <c r="F3444" s="381">
        <v>676.41</v>
      </c>
    </row>
    <row r="3445" spans="1:6" s="295" customFormat="1" x14ac:dyDescent="0.15">
      <c r="A3445" s="655" t="s">
        <v>1573</v>
      </c>
      <c r="B3445" s="591"/>
      <c r="C3445" s="287" t="s">
        <v>1461</v>
      </c>
      <c r="D3445" s="287" t="s">
        <v>1703</v>
      </c>
      <c r="E3445" s="656">
        <v>26</v>
      </c>
      <c r="F3445" s="381">
        <v>16.28</v>
      </c>
    </row>
    <row r="3446" spans="1:6" s="295" customFormat="1" x14ac:dyDescent="0.15">
      <c r="A3446" s="655" t="s">
        <v>1574</v>
      </c>
      <c r="B3446" s="591" t="s">
        <v>1642</v>
      </c>
      <c r="C3446" s="287" t="s">
        <v>1377</v>
      </c>
      <c r="D3446" s="287" t="s">
        <v>1378</v>
      </c>
      <c r="E3446" s="656">
        <v>1697</v>
      </c>
      <c r="F3446" s="381">
        <v>288.16000000000003</v>
      </c>
    </row>
    <row r="3447" spans="1:6" s="295" customFormat="1" x14ac:dyDescent="0.15">
      <c r="A3447" s="655" t="s">
        <v>1575</v>
      </c>
      <c r="B3447" s="591" t="s">
        <v>1685</v>
      </c>
      <c r="C3447" s="287" t="s">
        <v>1448</v>
      </c>
      <c r="D3447" s="287" t="s">
        <v>1449</v>
      </c>
      <c r="E3447" s="656">
        <v>75</v>
      </c>
      <c r="F3447" s="381">
        <v>19.57</v>
      </c>
    </row>
    <row r="3448" spans="1:6" s="295" customFormat="1" x14ac:dyDescent="0.15">
      <c r="A3448" s="655" t="s">
        <v>1604</v>
      </c>
      <c r="B3448" s="591"/>
      <c r="C3448" s="287" t="s">
        <v>1334</v>
      </c>
      <c r="D3448" s="287" t="s">
        <v>1462</v>
      </c>
      <c r="E3448" s="656">
        <v>243.5</v>
      </c>
      <c r="F3448" s="381">
        <v>69.959999999999994</v>
      </c>
    </row>
    <row r="3449" spans="1:6" s="295" customFormat="1" x14ac:dyDescent="0.15">
      <c r="A3449" s="655" t="s">
        <v>1576</v>
      </c>
      <c r="B3449" s="591" t="s">
        <v>1644</v>
      </c>
      <c r="C3449" s="287" t="s">
        <v>1401</v>
      </c>
      <c r="D3449" s="287" t="s">
        <v>1316</v>
      </c>
      <c r="E3449" s="656">
        <v>755</v>
      </c>
      <c r="F3449" s="381">
        <v>186.95</v>
      </c>
    </row>
    <row r="3450" spans="1:6" s="295" customFormat="1" x14ac:dyDescent="0.15">
      <c r="A3450" s="655" t="s">
        <v>1605</v>
      </c>
      <c r="B3450" s="591"/>
      <c r="C3450" s="287" t="s">
        <v>1334</v>
      </c>
      <c r="D3450" s="287" t="s">
        <v>1462</v>
      </c>
      <c r="E3450" s="656">
        <v>711</v>
      </c>
      <c r="F3450" s="381">
        <v>206.24</v>
      </c>
    </row>
    <row r="3451" spans="1:6" s="295" customFormat="1" x14ac:dyDescent="0.15">
      <c r="A3451" s="655" t="s">
        <v>1578</v>
      </c>
      <c r="B3451" s="591" t="s">
        <v>1646</v>
      </c>
      <c r="C3451" s="287" t="s">
        <v>1579</v>
      </c>
      <c r="D3451" s="287" t="s">
        <v>1497</v>
      </c>
      <c r="E3451" s="656">
        <v>3</v>
      </c>
      <c r="F3451" s="381">
        <v>30.31</v>
      </c>
    </row>
    <row r="3452" spans="1:6" s="295" customFormat="1" x14ac:dyDescent="0.15">
      <c r="A3452" s="655" t="s">
        <v>1580</v>
      </c>
      <c r="B3452" s="591" t="s">
        <v>1647</v>
      </c>
      <c r="C3452" s="287" t="s">
        <v>1451</v>
      </c>
      <c r="D3452" s="287" t="s">
        <v>1674</v>
      </c>
      <c r="E3452" s="656">
        <v>11136</v>
      </c>
      <c r="F3452" s="381">
        <v>2870.93</v>
      </c>
    </row>
    <row r="3453" spans="1:6" s="295" customFormat="1" x14ac:dyDescent="0.15">
      <c r="A3453" s="655" t="s">
        <v>1581</v>
      </c>
      <c r="B3453" s="591" t="s">
        <v>1648</v>
      </c>
      <c r="C3453" s="287" t="s">
        <v>1521</v>
      </c>
      <c r="D3453" s="287" t="s">
        <v>1229</v>
      </c>
      <c r="E3453" s="656">
        <v>2771</v>
      </c>
      <c r="F3453" s="381">
        <v>387.66</v>
      </c>
    </row>
    <row r="3454" spans="1:6" s="295" customFormat="1" x14ac:dyDescent="0.15">
      <c r="A3454" s="655" t="s">
        <v>1582</v>
      </c>
      <c r="B3454" s="591" t="s">
        <v>1649</v>
      </c>
      <c r="C3454" s="287" t="s">
        <v>1525</v>
      </c>
      <c r="D3454" s="287" t="s">
        <v>1526</v>
      </c>
      <c r="E3454" s="656">
        <v>15</v>
      </c>
      <c r="F3454" s="381">
        <v>8.73</v>
      </c>
    </row>
    <row r="3455" spans="1:6" s="295" customFormat="1" ht="14" x14ac:dyDescent="0.15">
      <c r="A3455" s="655" t="s">
        <v>1583</v>
      </c>
      <c r="B3455" s="591" t="s">
        <v>1650</v>
      </c>
      <c r="C3455" s="287" t="s">
        <v>1584</v>
      </c>
      <c r="D3455" s="618" t="s">
        <v>1264</v>
      </c>
      <c r="E3455" s="656">
        <v>1680</v>
      </c>
      <c r="F3455" s="381">
        <v>323.64</v>
      </c>
    </row>
    <row r="3456" spans="1:6" s="295" customFormat="1" x14ac:dyDescent="0.15">
      <c r="A3456" s="655" t="s">
        <v>1666</v>
      </c>
      <c r="B3456" s="591" t="s">
        <v>1672</v>
      </c>
      <c r="C3456" s="287" t="s">
        <v>1667</v>
      </c>
      <c r="D3456" s="287" t="s">
        <v>1668</v>
      </c>
      <c r="E3456" s="656">
        <v>22656</v>
      </c>
      <c r="F3456" s="381">
        <v>4263.13</v>
      </c>
    </row>
    <row r="3457" spans="1:6" s="295" customFormat="1" x14ac:dyDescent="0.15">
      <c r="A3457" s="655" t="s">
        <v>1606</v>
      </c>
      <c r="B3457" s="591"/>
      <c r="C3457" s="287" t="s">
        <v>1334</v>
      </c>
      <c r="D3457" s="287" t="s">
        <v>1462</v>
      </c>
      <c r="E3457" s="656">
        <f>41.1+43.9</f>
        <v>85</v>
      </c>
      <c r="F3457" s="381">
        <v>15.87</v>
      </c>
    </row>
    <row r="3458" spans="1:6" s="295" customFormat="1" ht="14" thickBot="1" x14ac:dyDescent="0.2">
      <c r="A3458" s="655"/>
      <c r="B3458" s="591"/>
      <c r="C3458" s="291" t="s">
        <v>1699</v>
      </c>
      <c r="D3458" s="287"/>
      <c r="E3458" s="643">
        <f>SUM(E3432:E3457)</f>
        <v>86397.2</v>
      </c>
      <c r="F3458" s="658">
        <v>15451.179999999998</v>
      </c>
    </row>
    <row r="3459" spans="1:6" s="295" customFormat="1" ht="14" thickTop="1" x14ac:dyDescent="0.15">
      <c r="A3459" s="655"/>
      <c r="B3459" s="591"/>
      <c r="C3459" s="287"/>
      <c r="D3459" s="287"/>
      <c r="E3459" s="524"/>
      <c r="F3459" s="381"/>
    </row>
    <row r="3460" spans="1:6" s="295" customFormat="1" x14ac:dyDescent="0.15">
      <c r="A3460" s="655"/>
      <c r="B3460" s="591"/>
      <c r="C3460" s="293" t="s">
        <v>1441</v>
      </c>
      <c r="D3460" s="287"/>
      <c r="E3460" s="524"/>
      <c r="F3460" s="381"/>
    </row>
    <row r="3461" spans="1:6" s="295" customFormat="1" x14ac:dyDescent="0.15">
      <c r="A3461" s="655"/>
      <c r="B3461" s="591"/>
      <c r="C3461" s="293" t="s">
        <v>1446</v>
      </c>
      <c r="D3461" s="287"/>
      <c r="E3461" s="524"/>
      <c r="F3461" s="381"/>
    </row>
    <row r="3462" spans="1:6" s="295" customFormat="1" x14ac:dyDescent="0.15">
      <c r="A3462" s="655"/>
      <c r="B3462" s="591"/>
      <c r="C3462" s="386">
        <v>42704</v>
      </c>
      <c r="D3462" s="287"/>
      <c r="E3462" s="524"/>
      <c r="F3462" s="381"/>
    </row>
    <row r="3463" spans="1:6" s="295" customFormat="1" x14ac:dyDescent="0.15">
      <c r="A3463" s="655"/>
      <c r="B3463" s="591"/>
      <c r="C3463" s="287"/>
      <c r="D3463" s="287"/>
      <c r="E3463" s="524"/>
      <c r="F3463" s="381"/>
    </row>
    <row r="3464" spans="1:6" s="295" customFormat="1" ht="14" thickBot="1" x14ac:dyDescent="0.2">
      <c r="A3464" s="663"/>
      <c r="B3464" s="664"/>
      <c r="C3464" s="665" t="s">
        <v>1191</v>
      </c>
      <c r="D3464" s="665"/>
      <c r="E3464" s="666">
        <f>SUM(E3430,E3458)</f>
        <v>206175.19999999998</v>
      </c>
      <c r="F3464" s="667">
        <v>32751.889999999996</v>
      </c>
    </row>
    <row r="3465" spans="1:6" s="295" customFormat="1" x14ac:dyDescent="0.15">
      <c r="A3465" s="655"/>
      <c r="B3465" s="591"/>
      <c r="C3465" s="413"/>
      <c r="D3465" s="413"/>
      <c r="E3465" s="669"/>
      <c r="F3465" s="670"/>
    </row>
    <row r="3466" spans="1:6" s="295" customFormat="1" x14ac:dyDescent="0.15">
      <c r="A3466" s="652" t="s">
        <v>1534</v>
      </c>
      <c r="B3466" s="653" t="s">
        <v>1614</v>
      </c>
      <c r="C3466" s="371" t="s">
        <v>1492</v>
      </c>
      <c r="D3466" s="371" t="s">
        <v>1239</v>
      </c>
      <c r="E3466" s="654">
        <v>10720</v>
      </c>
      <c r="F3466" s="391">
        <v>1565.6</v>
      </c>
    </row>
    <row r="3467" spans="1:6" s="295" customFormat="1" x14ac:dyDescent="0.15">
      <c r="A3467" s="655" t="s">
        <v>1535</v>
      </c>
      <c r="B3467" s="591" t="s">
        <v>1615</v>
      </c>
      <c r="C3467" s="287" t="s">
        <v>1507</v>
      </c>
      <c r="D3467" s="287" t="s">
        <v>1245</v>
      </c>
      <c r="E3467" s="656">
        <v>3360</v>
      </c>
      <c r="F3467" s="381">
        <v>520.61</v>
      </c>
    </row>
    <row r="3468" spans="1:6" s="295" customFormat="1" x14ac:dyDescent="0.15">
      <c r="A3468" s="655" t="s">
        <v>1670</v>
      </c>
      <c r="B3468" s="591" t="s">
        <v>1659</v>
      </c>
      <c r="C3468" s="287" t="s">
        <v>1279</v>
      </c>
      <c r="D3468" s="287" t="s">
        <v>1660</v>
      </c>
      <c r="E3468" s="656">
        <v>8960</v>
      </c>
      <c r="F3468" s="381">
        <v>1278.8399999999999</v>
      </c>
    </row>
    <row r="3469" spans="1:6" s="295" customFormat="1" x14ac:dyDescent="0.15">
      <c r="A3469" s="655" t="s">
        <v>1536</v>
      </c>
      <c r="B3469" s="591" t="s">
        <v>1616</v>
      </c>
      <c r="C3469" s="287" t="s">
        <v>1479</v>
      </c>
      <c r="D3469" s="287" t="s">
        <v>1231</v>
      </c>
      <c r="E3469" s="656">
        <v>4089</v>
      </c>
      <c r="F3469" s="381">
        <v>600.62</v>
      </c>
    </row>
    <row r="3470" spans="1:6" s="295" customFormat="1" x14ac:dyDescent="0.15">
      <c r="A3470" s="655" t="s">
        <v>1537</v>
      </c>
      <c r="B3470" s="591" t="s">
        <v>1617</v>
      </c>
      <c r="C3470" s="287" t="s">
        <v>1269</v>
      </c>
      <c r="D3470" s="287" t="s">
        <v>1270</v>
      </c>
      <c r="E3470" s="656">
        <v>5564</v>
      </c>
      <c r="F3470" s="381">
        <v>792.09</v>
      </c>
    </row>
    <row r="3471" spans="1:6" s="295" customFormat="1" x14ac:dyDescent="0.15">
      <c r="A3471" s="655" t="s">
        <v>1538</v>
      </c>
      <c r="B3471" s="591" t="s">
        <v>1618</v>
      </c>
      <c r="C3471" s="287" t="s">
        <v>1517</v>
      </c>
      <c r="D3471" s="287" t="s">
        <v>1518</v>
      </c>
      <c r="E3471" s="656">
        <v>4</v>
      </c>
      <c r="F3471" s="381">
        <v>30.41</v>
      </c>
    </row>
    <row r="3472" spans="1:6" s="295" customFormat="1" x14ac:dyDescent="0.15">
      <c r="A3472" s="655" t="s">
        <v>1540</v>
      </c>
      <c r="B3472" s="591" t="s">
        <v>1620</v>
      </c>
      <c r="C3472" s="287" t="s">
        <v>1257</v>
      </c>
      <c r="D3472" s="287" t="s">
        <v>1258</v>
      </c>
      <c r="E3472" s="656">
        <v>24000</v>
      </c>
      <c r="F3472" s="381">
        <v>3207.31</v>
      </c>
    </row>
    <row r="3473" spans="1:6" s="295" customFormat="1" x14ac:dyDescent="0.15">
      <c r="A3473" s="655" t="s">
        <v>1541</v>
      </c>
      <c r="B3473" s="591" t="s">
        <v>1621</v>
      </c>
      <c r="C3473" s="287" t="s">
        <v>1586</v>
      </c>
      <c r="D3473" s="287" t="s">
        <v>1500</v>
      </c>
      <c r="E3473" s="656">
        <v>4160</v>
      </c>
      <c r="F3473" s="381">
        <v>630.01</v>
      </c>
    </row>
    <row r="3474" spans="1:6" s="295" customFormat="1" x14ac:dyDescent="0.15">
      <c r="A3474" s="655" t="s">
        <v>1542</v>
      </c>
      <c r="B3474" s="591" t="s">
        <v>1622</v>
      </c>
      <c r="C3474" s="287" t="s">
        <v>1240</v>
      </c>
      <c r="D3474" s="287" t="s">
        <v>1467</v>
      </c>
      <c r="E3474" s="656">
        <v>4419</v>
      </c>
      <c r="F3474" s="381">
        <v>618.61</v>
      </c>
    </row>
    <row r="3475" spans="1:6" s="295" customFormat="1" x14ac:dyDescent="0.15">
      <c r="A3475" s="655" t="s">
        <v>1543</v>
      </c>
      <c r="B3475" s="591" t="s">
        <v>1623</v>
      </c>
      <c r="C3475" s="287" t="s">
        <v>1523</v>
      </c>
      <c r="D3475" s="287" t="s">
        <v>1266</v>
      </c>
      <c r="E3475" s="656">
        <v>730</v>
      </c>
      <c r="F3475" s="381">
        <v>139.85</v>
      </c>
    </row>
    <row r="3476" spans="1:6" s="295" customFormat="1" x14ac:dyDescent="0.15">
      <c r="A3476" s="655" t="s">
        <v>1715</v>
      </c>
      <c r="B3476" s="591" t="s">
        <v>1716</v>
      </c>
      <c r="C3476" s="287" t="s">
        <v>1328</v>
      </c>
      <c r="D3476" s="287" t="s">
        <v>1329</v>
      </c>
      <c r="E3476" s="656">
        <v>640</v>
      </c>
      <c r="F3476" s="381">
        <v>119.67</v>
      </c>
    </row>
    <row r="3477" spans="1:6" s="295" customFormat="1" x14ac:dyDescent="0.15">
      <c r="A3477" s="655" t="s">
        <v>1544</v>
      </c>
      <c r="B3477" s="591" t="s">
        <v>1624</v>
      </c>
      <c r="C3477" s="287" t="s">
        <v>1234</v>
      </c>
      <c r="D3477" s="287" t="s">
        <v>1494</v>
      </c>
      <c r="E3477" s="656">
        <v>4647</v>
      </c>
      <c r="F3477" s="381">
        <v>745.41</v>
      </c>
    </row>
    <row r="3478" spans="1:6" s="295" customFormat="1" x14ac:dyDescent="0.15">
      <c r="A3478" s="655" t="s">
        <v>1601</v>
      </c>
      <c r="B3478" s="591"/>
      <c r="C3478" s="287" t="s">
        <v>1334</v>
      </c>
      <c r="D3478" s="287" t="s">
        <v>1462</v>
      </c>
      <c r="E3478" s="656">
        <v>3987.5</v>
      </c>
      <c r="F3478" s="381">
        <v>751.65</v>
      </c>
    </row>
    <row r="3479" spans="1:6" s="295" customFormat="1" x14ac:dyDescent="0.15">
      <c r="A3479" s="655" t="s">
        <v>1545</v>
      </c>
      <c r="B3479" s="591"/>
      <c r="C3479" s="287" t="s">
        <v>1234</v>
      </c>
      <c r="D3479" s="287" t="s">
        <v>1494</v>
      </c>
      <c r="E3479" s="656">
        <v>91</v>
      </c>
      <c r="F3479" s="381">
        <v>20.09</v>
      </c>
    </row>
    <row r="3480" spans="1:6" s="295" customFormat="1" x14ac:dyDescent="0.15">
      <c r="A3480" s="655" t="s">
        <v>1602</v>
      </c>
      <c r="B3480" s="591"/>
      <c r="C3480" s="287" t="s">
        <v>1334</v>
      </c>
      <c r="D3480" s="287" t="s">
        <v>1462</v>
      </c>
      <c r="E3480" s="656">
        <v>223.2</v>
      </c>
      <c r="F3480" s="381">
        <v>54.66</v>
      </c>
    </row>
    <row r="3481" spans="1:6" s="295" customFormat="1" x14ac:dyDescent="0.15">
      <c r="A3481" s="655" t="s">
        <v>1546</v>
      </c>
      <c r="B3481" s="591"/>
      <c r="C3481" s="287" t="s">
        <v>1586</v>
      </c>
      <c r="D3481" s="287" t="s">
        <v>1500</v>
      </c>
      <c r="E3481" s="656">
        <v>104.2</v>
      </c>
      <c r="F3481" s="381">
        <v>31.03</v>
      </c>
    </row>
    <row r="3482" spans="1:6" s="295" customFormat="1" x14ac:dyDescent="0.15">
      <c r="A3482" s="655" t="s">
        <v>1549</v>
      </c>
      <c r="B3482" s="591" t="s">
        <v>1625</v>
      </c>
      <c r="C3482" s="287" t="s">
        <v>1459</v>
      </c>
      <c r="D3482" s="287" t="s">
        <v>1251</v>
      </c>
      <c r="E3482" s="656">
        <v>2258</v>
      </c>
      <c r="F3482" s="381">
        <v>351.46</v>
      </c>
    </row>
    <row r="3483" spans="1:6" s="295" customFormat="1" x14ac:dyDescent="0.15">
      <c r="A3483" s="655" t="s">
        <v>1603</v>
      </c>
      <c r="B3483" s="591"/>
      <c r="C3483" s="287" t="s">
        <v>1334</v>
      </c>
      <c r="D3483" s="287" t="s">
        <v>1462</v>
      </c>
      <c r="E3483" s="656">
        <v>1668.8</v>
      </c>
      <c r="F3483" s="381">
        <v>331.21</v>
      </c>
    </row>
    <row r="3484" spans="1:6" s="295" customFormat="1" x14ac:dyDescent="0.15">
      <c r="A3484" s="655" t="s">
        <v>1597</v>
      </c>
      <c r="B3484" s="591" t="s">
        <v>1626</v>
      </c>
      <c r="C3484" s="287" t="s">
        <v>1454</v>
      </c>
      <c r="D3484" s="287" t="s">
        <v>1247</v>
      </c>
      <c r="E3484" s="656">
        <v>4720</v>
      </c>
      <c r="F3484" s="381">
        <v>693.2</v>
      </c>
    </row>
    <row r="3485" spans="1:6" s="295" customFormat="1" x14ac:dyDescent="0.15">
      <c r="A3485" s="655" t="s">
        <v>1677</v>
      </c>
      <c r="B3485" s="591" t="s">
        <v>1678</v>
      </c>
      <c r="C3485" s="287" t="s">
        <v>1313</v>
      </c>
      <c r="D3485" s="287" t="s">
        <v>1412</v>
      </c>
      <c r="E3485" s="656">
        <v>1677</v>
      </c>
      <c r="F3485" s="381">
        <v>263.87</v>
      </c>
    </row>
    <row r="3486" spans="1:6" s="295" customFormat="1" x14ac:dyDescent="0.15">
      <c r="A3486" s="655" t="s">
        <v>1551</v>
      </c>
      <c r="B3486" s="591" t="s">
        <v>1627</v>
      </c>
      <c r="C3486" s="287" t="s">
        <v>1235</v>
      </c>
      <c r="D3486" s="287" t="s">
        <v>1236</v>
      </c>
      <c r="E3486" s="656">
        <v>8449</v>
      </c>
      <c r="F3486" s="381">
        <v>1183.3499999999999</v>
      </c>
    </row>
    <row r="3487" spans="1:6" s="295" customFormat="1" x14ac:dyDescent="0.15">
      <c r="A3487" s="655" t="s">
        <v>1553</v>
      </c>
      <c r="B3487" s="591" t="s">
        <v>1628</v>
      </c>
      <c r="C3487" s="287" t="s">
        <v>1475</v>
      </c>
      <c r="D3487" s="287" t="s">
        <v>1387</v>
      </c>
      <c r="E3487" s="656">
        <v>1026</v>
      </c>
      <c r="F3487" s="381">
        <v>195.78</v>
      </c>
    </row>
    <row r="3488" spans="1:6" s="295" customFormat="1" x14ac:dyDescent="0.15">
      <c r="A3488" s="655" t="s">
        <v>1554</v>
      </c>
      <c r="B3488" s="591" t="s">
        <v>1629</v>
      </c>
      <c r="C3488" s="287" t="s">
        <v>1399</v>
      </c>
      <c r="D3488" s="287" t="s">
        <v>1276</v>
      </c>
      <c r="E3488" s="656">
        <v>4520</v>
      </c>
      <c r="F3488" s="381">
        <v>665.85</v>
      </c>
    </row>
    <row r="3489" spans="1:6" s="295" customFormat="1" x14ac:dyDescent="0.15">
      <c r="A3489" s="655" t="s">
        <v>1598</v>
      </c>
      <c r="B3489" s="591"/>
      <c r="C3489" s="287" t="s">
        <v>1586</v>
      </c>
      <c r="D3489" s="287" t="s">
        <v>1500</v>
      </c>
      <c r="E3489" s="656">
        <v>52.1</v>
      </c>
      <c r="F3489" s="381">
        <v>17.46</v>
      </c>
    </row>
    <row r="3490" spans="1:6" s="295" customFormat="1" x14ac:dyDescent="0.15">
      <c r="A3490" s="655" t="s">
        <v>1662</v>
      </c>
      <c r="B3490" s="657">
        <v>892914652</v>
      </c>
      <c r="C3490" s="287" t="s">
        <v>1663</v>
      </c>
      <c r="D3490" s="287" t="s">
        <v>1664</v>
      </c>
      <c r="E3490" s="656">
        <v>9280</v>
      </c>
      <c r="F3490" s="381">
        <v>1387.35</v>
      </c>
    </row>
    <row r="3491" spans="1:6" s="295" customFormat="1" ht="14" thickBot="1" x14ac:dyDescent="0.2">
      <c r="A3491" s="655"/>
      <c r="B3491" s="591"/>
      <c r="C3491" s="291" t="s">
        <v>1700</v>
      </c>
      <c r="D3491" s="287"/>
      <c r="E3491" s="643">
        <f>SUM(E3466:E3490)</f>
        <v>109349.8</v>
      </c>
      <c r="F3491" s="658">
        <v>16195.990000000002</v>
      </c>
    </row>
    <row r="3492" spans="1:6" s="295" customFormat="1" ht="14" thickTop="1" x14ac:dyDescent="0.15">
      <c r="A3492" s="655"/>
      <c r="B3492" s="591"/>
      <c r="C3492" s="287"/>
      <c r="D3492" s="287"/>
      <c r="E3492" s="524"/>
      <c r="F3492" s="381"/>
    </row>
    <row r="3493" spans="1:6" s="295" customFormat="1" x14ac:dyDescent="0.15">
      <c r="A3493" s="655" t="s">
        <v>1556</v>
      </c>
      <c r="B3493" s="591" t="s">
        <v>1631</v>
      </c>
      <c r="C3493" s="287" t="s">
        <v>1248</v>
      </c>
      <c r="D3493" s="287" t="s">
        <v>1482</v>
      </c>
      <c r="E3493" s="656">
        <v>3330</v>
      </c>
      <c r="F3493" s="381">
        <v>495.35</v>
      </c>
    </row>
    <row r="3494" spans="1:6" s="295" customFormat="1" x14ac:dyDescent="0.15">
      <c r="A3494" s="655" t="s">
        <v>1714</v>
      </c>
      <c r="B3494" s="591"/>
      <c r="C3494" s="287" t="s">
        <v>1267</v>
      </c>
      <c r="D3494" s="287" t="s">
        <v>1268</v>
      </c>
      <c r="E3494" s="656">
        <v>52.1</v>
      </c>
      <c r="F3494" s="381">
        <v>13.59</v>
      </c>
    </row>
    <row r="3495" spans="1:6" s="295" customFormat="1" x14ac:dyDescent="0.15">
      <c r="A3495" s="655" t="s">
        <v>1558</v>
      </c>
      <c r="B3495" s="591" t="s">
        <v>1633</v>
      </c>
      <c r="C3495" s="287" t="s">
        <v>1469</v>
      </c>
      <c r="D3495" s="287" t="s">
        <v>1470</v>
      </c>
      <c r="E3495" s="656">
        <v>6080</v>
      </c>
      <c r="F3495" s="381">
        <v>992.12</v>
      </c>
    </row>
    <row r="3496" spans="1:6" s="295" customFormat="1" x14ac:dyDescent="0.15">
      <c r="A3496" s="655" t="s">
        <v>1559</v>
      </c>
      <c r="B3496" s="591" t="s">
        <v>1634</v>
      </c>
      <c r="C3496" s="287" t="s">
        <v>1502</v>
      </c>
      <c r="D3496" s="287" t="s">
        <v>1381</v>
      </c>
      <c r="E3496" s="656">
        <v>10752</v>
      </c>
      <c r="F3496" s="381">
        <v>1603.31</v>
      </c>
    </row>
    <row r="3497" spans="1:6" s="295" customFormat="1" x14ac:dyDescent="0.15">
      <c r="A3497" s="655" t="s">
        <v>1560</v>
      </c>
      <c r="B3497" s="591" t="s">
        <v>1635</v>
      </c>
      <c r="C3497" s="287" t="s">
        <v>1504</v>
      </c>
      <c r="D3497" s="287" t="s">
        <v>1505</v>
      </c>
      <c r="E3497" s="656">
        <v>1105</v>
      </c>
      <c r="F3497" s="381">
        <v>162.31</v>
      </c>
    </row>
    <row r="3498" spans="1:6" s="295" customFormat="1" x14ac:dyDescent="0.15">
      <c r="A3498" s="655" t="s">
        <v>1675</v>
      </c>
      <c r="B3498" s="591" t="s">
        <v>1676</v>
      </c>
      <c r="C3498" s="287" t="s">
        <v>1477</v>
      </c>
      <c r="D3498" s="287" t="s">
        <v>1289</v>
      </c>
      <c r="E3498" s="656">
        <v>10710</v>
      </c>
      <c r="F3498" s="381">
        <v>1534.87</v>
      </c>
    </row>
    <row r="3499" spans="1:6" s="295" customFormat="1" x14ac:dyDescent="0.15">
      <c r="A3499" s="655" t="s">
        <v>1564</v>
      </c>
      <c r="B3499" s="591" t="s">
        <v>1636</v>
      </c>
      <c r="C3499" s="287" t="s">
        <v>1485</v>
      </c>
      <c r="D3499" s="287" t="s">
        <v>1486</v>
      </c>
      <c r="E3499" s="656">
        <v>1800</v>
      </c>
      <c r="F3499" s="381">
        <v>268.64999999999998</v>
      </c>
    </row>
    <row r="3500" spans="1:6" s="295" customFormat="1" x14ac:dyDescent="0.15">
      <c r="A3500" s="655" t="s">
        <v>1565</v>
      </c>
      <c r="B3500" s="591" t="s">
        <v>1637</v>
      </c>
      <c r="C3500" s="287" t="s">
        <v>1267</v>
      </c>
      <c r="D3500" s="287" t="s">
        <v>1268</v>
      </c>
      <c r="E3500" s="656">
        <v>2039</v>
      </c>
      <c r="F3500" s="381">
        <v>389.1</v>
      </c>
    </row>
    <row r="3501" spans="1:6" s="295" customFormat="1" x14ac:dyDescent="0.15">
      <c r="A3501" s="655" t="s">
        <v>1569</v>
      </c>
      <c r="B3501" s="591" t="s">
        <v>1638</v>
      </c>
      <c r="C3501" s="287" t="s">
        <v>1464</v>
      </c>
      <c r="D3501" s="287" t="s">
        <v>1285</v>
      </c>
      <c r="E3501" s="656">
        <v>611</v>
      </c>
      <c r="F3501" s="381">
        <v>135.44999999999999</v>
      </c>
    </row>
    <row r="3502" spans="1:6" s="295" customFormat="1" x14ac:dyDescent="0.15">
      <c r="A3502" s="655" t="s">
        <v>1711</v>
      </c>
      <c r="B3502" s="591" t="s">
        <v>1712</v>
      </c>
      <c r="C3502" s="287" t="s">
        <v>1713</v>
      </c>
      <c r="D3502" s="287" t="s">
        <v>1419</v>
      </c>
      <c r="E3502" s="656">
        <v>1396</v>
      </c>
      <c r="F3502" s="381">
        <v>266.41000000000003</v>
      </c>
    </row>
    <row r="3503" spans="1:6" s="295" customFormat="1" x14ac:dyDescent="0.15">
      <c r="A3503" s="655" t="s">
        <v>1570</v>
      </c>
      <c r="B3503" s="591" t="s">
        <v>1639</v>
      </c>
      <c r="C3503" s="287" t="s">
        <v>1472</v>
      </c>
      <c r="D3503" s="287" t="s">
        <v>1473</v>
      </c>
      <c r="E3503" s="656">
        <v>48</v>
      </c>
      <c r="F3503" s="381">
        <v>34.79</v>
      </c>
    </row>
    <row r="3504" spans="1:6" s="295" customFormat="1" x14ac:dyDescent="0.15">
      <c r="A3504" s="655" t="s">
        <v>1571</v>
      </c>
      <c r="B3504" s="591" t="s">
        <v>1640</v>
      </c>
      <c r="C3504" s="287" t="s">
        <v>1489</v>
      </c>
      <c r="D3504" s="287" t="s">
        <v>1490</v>
      </c>
      <c r="E3504" s="656">
        <v>115</v>
      </c>
      <c r="F3504" s="381">
        <v>41.44</v>
      </c>
    </row>
    <row r="3505" spans="1:6" s="295" customFormat="1" x14ac:dyDescent="0.15">
      <c r="A3505" s="655" t="s">
        <v>1572</v>
      </c>
      <c r="B3505" s="591" t="s">
        <v>1641</v>
      </c>
      <c r="C3505" s="287" t="s">
        <v>1271</v>
      </c>
      <c r="D3505" s="287" t="s">
        <v>1272</v>
      </c>
      <c r="E3505" s="656">
        <v>4838</v>
      </c>
      <c r="F3505" s="381">
        <v>704.93</v>
      </c>
    </row>
    <row r="3506" spans="1:6" s="295" customFormat="1" x14ac:dyDescent="0.15">
      <c r="A3506" s="655" t="s">
        <v>1573</v>
      </c>
      <c r="B3506" s="591"/>
      <c r="C3506" s="287" t="s">
        <v>1461</v>
      </c>
      <c r="D3506" s="287" t="s">
        <v>1703</v>
      </c>
      <c r="E3506" s="656">
        <v>26</v>
      </c>
      <c r="F3506" s="381">
        <v>16.420000000000002</v>
      </c>
    </row>
    <row r="3507" spans="1:6" s="295" customFormat="1" x14ac:dyDescent="0.15">
      <c r="A3507" s="655" t="s">
        <v>1574</v>
      </c>
      <c r="B3507" s="591" t="s">
        <v>1642</v>
      </c>
      <c r="C3507" s="287" t="s">
        <v>1377</v>
      </c>
      <c r="D3507" s="287" t="s">
        <v>1378</v>
      </c>
      <c r="E3507" s="656">
        <v>1541</v>
      </c>
      <c r="F3507" s="381">
        <v>272.62</v>
      </c>
    </row>
    <row r="3508" spans="1:6" s="295" customFormat="1" x14ac:dyDescent="0.15">
      <c r="A3508" s="655" t="s">
        <v>1575</v>
      </c>
      <c r="B3508" s="591" t="s">
        <v>1685</v>
      </c>
      <c r="C3508" s="287" t="s">
        <v>1448</v>
      </c>
      <c r="D3508" s="287" t="s">
        <v>1449</v>
      </c>
      <c r="E3508" s="656">
        <v>71</v>
      </c>
      <c r="F3508" s="381">
        <v>18.850000000000001</v>
      </c>
    </row>
    <row r="3509" spans="1:6" s="295" customFormat="1" x14ac:dyDescent="0.15">
      <c r="A3509" s="655" t="s">
        <v>1604</v>
      </c>
      <c r="B3509" s="591"/>
      <c r="C3509" s="287" t="s">
        <v>1334</v>
      </c>
      <c r="D3509" s="287" t="s">
        <v>1462</v>
      </c>
      <c r="E3509" s="656">
        <v>260.5</v>
      </c>
      <c r="F3509" s="381">
        <v>71.94</v>
      </c>
    </row>
    <row r="3510" spans="1:6" s="295" customFormat="1" x14ac:dyDescent="0.15">
      <c r="A3510" s="655" t="s">
        <v>1576</v>
      </c>
      <c r="B3510" s="591" t="s">
        <v>1644</v>
      </c>
      <c r="C3510" s="287" t="s">
        <v>1401</v>
      </c>
      <c r="D3510" s="287" t="s">
        <v>1316</v>
      </c>
      <c r="E3510" s="656">
        <v>674</v>
      </c>
      <c r="F3510" s="381">
        <v>193.76</v>
      </c>
    </row>
    <row r="3511" spans="1:6" s="295" customFormat="1" x14ac:dyDescent="0.15">
      <c r="A3511" s="655" t="s">
        <v>1605</v>
      </c>
      <c r="B3511" s="591"/>
      <c r="C3511" s="287" t="s">
        <v>1334</v>
      </c>
      <c r="D3511" s="287" t="s">
        <v>1462</v>
      </c>
      <c r="E3511" s="656">
        <v>761</v>
      </c>
      <c r="F3511" s="381">
        <v>212.14</v>
      </c>
    </row>
    <row r="3512" spans="1:6" s="622" customFormat="1" x14ac:dyDescent="0.15">
      <c r="A3512" s="671" t="s">
        <v>1578</v>
      </c>
      <c r="B3512" s="672" t="s">
        <v>1646</v>
      </c>
      <c r="C3512" s="395" t="s">
        <v>1579</v>
      </c>
      <c r="D3512" s="395" t="s">
        <v>1497</v>
      </c>
      <c r="E3512" s="659">
        <v>0</v>
      </c>
      <c r="F3512" s="673">
        <v>0</v>
      </c>
    </row>
    <row r="3513" spans="1:6" s="295" customFormat="1" x14ac:dyDescent="0.15">
      <c r="A3513" s="655" t="s">
        <v>1580</v>
      </c>
      <c r="B3513" s="591" t="s">
        <v>1647</v>
      </c>
      <c r="C3513" s="287" t="s">
        <v>1451</v>
      </c>
      <c r="D3513" s="287" t="s">
        <v>1674</v>
      </c>
      <c r="E3513" s="656">
        <v>3648</v>
      </c>
      <c r="F3513" s="381">
        <v>2118.09</v>
      </c>
    </row>
    <row r="3514" spans="1:6" s="295" customFormat="1" x14ac:dyDescent="0.15">
      <c r="A3514" s="655" t="s">
        <v>1581</v>
      </c>
      <c r="B3514" s="591" t="s">
        <v>1648</v>
      </c>
      <c r="C3514" s="287" t="s">
        <v>1521</v>
      </c>
      <c r="D3514" s="287" t="s">
        <v>1229</v>
      </c>
      <c r="E3514" s="656">
        <v>2970</v>
      </c>
      <c r="F3514" s="381">
        <v>437.21</v>
      </c>
    </row>
    <row r="3515" spans="1:6" s="295" customFormat="1" x14ac:dyDescent="0.15">
      <c r="A3515" s="655" t="s">
        <v>1582</v>
      </c>
      <c r="B3515" s="591" t="s">
        <v>1649</v>
      </c>
      <c r="C3515" s="287" t="s">
        <v>1525</v>
      </c>
      <c r="D3515" s="287" t="s">
        <v>1526</v>
      </c>
      <c r="E3515" s="656">
        <v>11</v>
      </c>
      <c r="F3515" s="381">
        <v>8</v>
      </c>
    </row>
    <row r="3516" spans="1:6" s="295" customFormat="1" ht="14" x14ac:dyDescent="0.15">
      <c r="A3516" s="655" t="s">
        <v>1583</v>
      </c>
      <c r="B3516" s="591" t="s">
        <v>1650</v>
      </c>
      <c r="C3516" s="287" t="s">
        <v>1584</v>
      </c>
      <c r="D3516" s="618" t="s">
        <v>1264</v>
      </c>
      <c r="E3516" s="656">
        <v>1480</v>
      </c>
      <c r="F3516" s="381">
        <v>288.86</v>
      </c>
    </row>
    <row r="3517" spans="1:6" s="295" customFormat="1" x14ac:dyDescent="0.15">
      <c r="A3517" s="655" t="s">
        <v>1666</v>
      </c>
      <c r="B3517" s="591" t="s">
        <v>1672</v>
      </c>
      <c r="C3517" s="287" t="s">
        <v>1667</v>
      </c>
      <c r="D3517" s="287" t="s">
        <v>1668</v>
      </c>
      <c r="E3517" s="656">
        <v>20544</v>
      </c>
      <c r="F3517" s="381">
        <v>2707.13</v>
      </c>
    </row>
    <row r="3518" spans="1:6" s="295" customFormat="1" x14ac:dyDescent="0.15">
      <c r="A3518" s="655" t="s">
        <v>1606</v>
      </c>
      <c r="B3518" s="591"/>
      <c r="C3518" s="287" t="s">
        <v>1334</v>
      </c>
      <c r="D3518" s="287" t="s">
        <v>1462</v>
      </c>
      <c r="E3518" s="656">
        <v>91</v>
      </c>
      <c r="F3518" s="381">
        <v>16.57</v>
      </c>
    </row>
    <row r="3519" spans="1:6" s="295" customFormat="1" ht="14" thickBot="1" x14ac:dyDescent="0.2">
      <c r="A3519" s="655"/>
      <c r="B3519" s="591"/>
      <c r="C3519" s="291" t="s">
        <v>1701</v>
      </c>
      <c r="D3519" s="287"/>
      <c r="E3519" s="643">
        <f>SUM(E3493:E3518)</f>
        <v>74953.600000000006</v>
      </c>
      <c r="F3519" s="658">
        <v>13003.91</v>
      </c>
    </row>
    <row r="3520" spans="1:6" s="295" customFormat="1" ht="14" thickTop="1" x14ac:dyDescent="0.15">
      <c r="A3520" s="655"/>
      <c r="B3520" s="591"/>
      <c r="C3520" s="287"/>
      <c r="D3520" s="287"/>
      <c r="E3520" s="524"/>
      <c r="F3520" s="381"/>
    </row>
    <row r="3521" spans="1:6" s="295" customFormat="1" x14ac:dyDescent="0.15">
      <c r="A3521" s="655"/>
      <c r="B3521" s="591"/>
      <c r="C3521" s="293" t="s">
        <v>1441</v>
      </c>
      <c r="D3521" s="287"/>
      <c r="E3521" s="524"/>
      <c r="F3521" s="381"/>
    </row>
    <row r="3522" spans="1:6" s="295" customFormat="1" x14ac:dyDescent="0.15">
      <c r="A3522" s="655"/>
      <c r="B3522" s="591"/>
      <c r="C3522" s="293" t="s">
        <v>1446</v>
      </c>
      <c r="D3522" s="287"/>
      <c r="E3522" s="524"/>
      <c r="F3522" s="381"/>
    </row>
    <row r="3523" spans="1:6" s="295" customFormat="1" x14ac:dyDescent="0.15">
      <c r="A3523" s="655"/>
      <c r="B3523" s="591"/>
      <c r="C3523" s="386">
        <v>42735</v>
      </c>
      <c r="D3523" s="287"/>
      <c r="E3523" s="524"/>
      <c r="F3523" s="381"/>
    </row>
    <row r="3524" spans="1:6" s="295" customFormat="1" x14ac:dyDescent="0.15">
      <c r="A3524" s="655"/>
      <c r="B3524" s="591"/>
      <c r="C3524" s="287"/>
      <c r="D3524" s="287"/>
      <c r="E3524" s="524"/>
      <c r="F3524" s="381"/>
    </row>
    <row r="3525" spans="1:6" s="295" customFormat="1" ht="14" thickBot="1" x14ac:dyDescent="0.2">
      <c r="A3525" s="663"/>
      <c r="B3525" s="664"/>
      <c r="C3525" s="665" t="s">
        <v>1192</v>
      </c>
      <c r="D3525" s="665"/>
      <c r="E3525" s="666">
        <f>SUM(E3491,E3519)</f>
        <v>184303.40000000002</v>
      </c>
      <c r="F3525" s="667">
        <v>29199.900000000005</v>
      </c>
    </row>
    <row r="3526" spans="1:6" s="295" customFormat="1" x14ac:dyDescent="0.15">
      <c r="A3526" s="655"/>
      <c r="B3526" s="591"/>
      <c r="C3526" s="413"/>
      <c r="D3526" s="413"/>
      <c r="E3526" s="669"/>
      <c r="F3526" s="670"/>
    </row>
    <row r="3527" spans="1:6" s="295" customFormat="1" x14ac:dyDescent="0.15">
      <c r="A3527" s="652" t="s">
        <v>1534</v>
      </c>
      <c r="B3527" s="653" t="s">
        <v>1614</v>
      </c>
      <c r="C3527" s="371" t="s">
        <v>1492</v>
      </c>
      <c r="D3527" s="371" t="s">
        <v>1239</v>
      </c>
      <c r="E3527" s="654">
        <f>307.4+9212.6</f>
        <v>9520</v>
      </c>
      <c r="F3527" s="391">
        <v>1447.98</v>
      </c>
    </row>
    <row r="3528" spans="1:6" s="295" customFormat="1" x14ac:dyDescent="0.15">
      <c r="A3528" s="655" t="s">
        <v>1535</v>
      </c>
      <c r="B3528" s="591" t="s">
        <v>1615</v>
      </c>
      <c r="C3528" s="287" t="s">
        <v>1507</v>
      </c>
      <c r="D3528" s="287" t="s">
        <v>1245</v>
      </c>
      <c r="E3528" s="656">
        <f>95.6+2864.4</f>
        <v>2960</v>
      </c>
      <c r="F3528" s="381">
        <v>473.11</v>
      </c>
    </row>
    <row r="3529" spans="1:6" s="295" customFormat="1" x14ac:dyDescent="0.15">
      <c r="A3529" s="655" t="s">
        <v>1670</v>
      </c>
      <c r="B3529" s="591" t="s">
        <v>1659</v>
      </c>
      <c r="C3529" s="287" t="s">
        <v>1279</v>
      </c>
      <c r="D3529" s="287" t="s">
        <v>1660</v>
      </c>
      <c r="E3529" s="656">
        <f>263.5+7896.5</f>
        <v>8160</v>
      </c>
      <c r="F3529" s="381">
        <v>1214.5</v>
      </c>
    </row>
    <row r="3530" spans="1:6" s="295" customFormat="1" x14ac:dyDescent="0.15">
      <c r="A3530" s="655" t="s">
        <v>1536</v>
      </c>
      <c r="B3530" s="591" t="s">
        <v>1616</v>
      </c>
      <c r="C3530" s="287" t="s">
        <v>1479</v>
      </c>
      <c r="D3530" s="287" t="s">
        <v>1231</v>
      </c>
      <c r="E3530" s="656">
        <f>131.1+3928.9</f>
        <v>4060</v>
      </c>
      <c r="F3530" s="381">
        <v>624.24</v>
      </c>
    </row>
    <row r="3531" spans="1:6" s="295" customFormat="1" x14ac:dyDescent="0.15">
      <c r="A3531" s="655" t="s">
        <v>1537</v>
      </c>
      <c r="B3531" s="591" t="s">
        <v>1617</v>
      </c>
      <c r="C3531" s="287" t="s">
        <v>1269</v>
      </c>
      <c r="D3531" s="287" t="s">
        <v>1270</v>
      </c>
      <c r="E3531" s="656">
        <f>172.9+5183.1</f>
        <v>5356</v>
      </c>
      <c r="F3531" s="381">
        <v>779.15</v>
      </c>
    </row>
    <row r="3532" spans="1:6" s="295" customFormat="1" x14ac:dyDescent="0.15">
      <c r="A3532" s="655" t="s">
        <v>1538</v>
      </c>
      <c r="B3532" s="591" t="s">
        <v>1618</v>
      </c>
      <c r="C3532" s="287" t="s">
        <v>1517</v>
      </c>
      <c r="D3532" s="287" t="s">
        <v>1518</v>
      </c>
      <c r="E3532" s="656">
        <f>0.1+3.9</f>
        <v>4</v>
      </c>
      <c r="F3532" s="381">
        <v>30.42</v>
      </c>
    </row>
    <row r="3533" spans="1:6" s="295" customFormat="1" x14ac:dyDescent="0.15">
      <c r="A3533" s="655" t="s">
        <v>1540</v>
      </c>
      <c r="B3533" s="591" t="s">
        <v>1620</v>
      </c>
      <c r="C3533" s="287" t="s">
        <v>1257</v>
      </c>
      <c r="D3533" s="287" t="s">
        <v>1258</v>
      </c>
      <c r="E3533" s="656">
        <f>731.2+21908.8</f>
        <v>22640</v>
      </c>
      <c r="F3533" s="381">
        <v>3229.48</v>
      </c>
    </row>
    <row r="3534" spans="1:6" s="295" customFormat="1" x14ac:dyDescent="0.15">
      <c r="A3534" s="655" t="s">
        <v>1541</v>
      </c>
      <c r="B3534" s="591" t="s">
        <v>1621</v>
      </c>
      <c r="C3534" s="287" t="s">
        <v>1586</v>
      </c>
      <c r="D3534" s="287" t="s">
        <v>1500</v>
      </c>
      <c r="E3534" s="656">
        <f>107.2+3212.8</f>
        <v>3320</v>
      </c>
      <c r="F3534" s="381">
        <v>517.48</v>
      </c>
    </row>
    <row r="3535" spans="1:6" s="295" customFormat="1" x14ac:dyDescent="0.15">
      <c r="A3535" s="655" t="s">
        <v>1542</v>
      </c>
      <c r="B3535" s="591" t="s">
        <v>1622</v>
      </c>
      <c r="C3535" s="287" t="s">
        <v>1240</v>
      </c>
      <c r="D3535" s="287" t="s">
        <v>1467</v>
      </c>
      <c r="E3535" s="656">
        <f>125.6+3763.4</f>
        <v>3889</v>
      </c>
      <c r="F3535" s="381">
        <v>558.88</v>
      </c>
    </row>
    <row r="3536" spans="1:6" s="295" customFormat="1" x14ac:dyDescent="0.15">
      <c r="A3536" s="655" t="s">
        <v>1543</v>
      </c>
      <c r="B3536" s="591" t="s">
        <v>1623</v>
      </c>
      <c r="C3536" s="287" t="s">
        <v>1523</v>
      </c>
      <c r="D3536" s="287" t="s">
        <v>1266</v>
      </c>
      <c r="E3536" s="656">
        <f>23+690</f>
        <v>713</v>
      </c>
      <c r="F3536" s="381">
        <v>142.05000000000001</v>
      </c>
    </row>
    <row r="3537" spans="1:6" s="295" customFormat="1" x14ac:dyDescent="0.15">
      <c r="A3537" s="655" t="s">
        <v>1715</v>
      </c>
      <c r="B3537" s="591" t="s">
        <v>1716</v>
      </c>
      <c r="C3537" s="287" t="s">
        <v>1328</v>
      </c>
      <c r="D3537" s="287" t="s">
        <v>1329</v>
      </c>
      <c r="E3537" s="656">
        <v>424</v>
      </c>
      <c r="F3537" s="381">
        <v>89.65</v>
      </c>
    </row>
    <row r="3538" spans="1:6" s="295" customFormat="1" x14ac:dyDescent="0.15">
      <c r="A3538" s="655" t="s">
        <v>1544</v>
      </c>
      <c r="B3538" s="591" t="s">
        <v>1624</v>
      </c>
      <c r="C3538" s="287" t="s">
        <v>1234</v>
      </c>
      <c r="D3538" s="287" t="s">
        <v>1494</v>
      </c>
      <c r="E3538" s="656">
        <f>140.8+4219.2</f>
        <v>4360</v>
      </c>
      <c r="F3538" s="381">
        <v>718.62</v>
      </c>
    </row>
    <row r="3539" spans="1:6" s="295" customFormat="1" x14ac:dyDescent="0.15">
      <c r="A3539" s="655" t="s">
        <v>1601</v>
      </c>
      <c r="B3539" s="591"/>
      <c r="C3539" s="287" t="s">
        <v>1334</v>
      </c>
      <c r="D3539" s="287" t="s">
        <v>1462</v>
      </c>
      <c r="E3539" s="656">
        <f>1775.4+2130.9</f>
        <v>3906.3</v>
      </c>
      <c r="F3539" s="381">
        <v>743.84999999999991</v>
      </c>
    </row>
    <row r="3540" spans="1:6" s="295" customFormat="1" x14ac:dyDescent="0.15">
      <c r="A3540" s="655" t="s">
        <v>1545</v>
      </c>
      <c r="B3540" s="591"/>
      <c r="C3540" s="287" t="s">
        <v>1234</v>
      </c>
      <c r="D3540" s="287" t="s">
        <v>1494</v>
      </c>
      <c r="E3540" s="656">
        <f>2.9+86.3</f>
        <v>89.2</v>
      </c>
      <c r="F3540" s="381">
        <v>19.84</v>
      </c>
    </row>
    <row r="3541" spans="1:6" s="295" customFormat="1" x14ac:dyDescent="0.15">
      <c r="A3541" s="655" t="s">
        <v>1602</v>
      </c>
      <c r="B3541" s="591"/>
      <c r="C3541" s="287" t="s">
        <v>1334</v>
      </c>
      <c r="D3541" s="287" t="s">
        <v>1462</v>
      </c>
      <c r="E3541" s="656">
        <f>99.3+119.1</f>
        <v>218.39999999999998</v>
      </c>
      <c r="F3541" s="381">
        <v>54.21</v>
      </c>
    </row>
    <row r="3542" spans="1:6" s="295" customFormat="1" x14ac:dyDescent="0.15">
      <c r="A3542" s="655" t="s">
        <v>1546</v>
      </c>
      <c r="B3542" s="591"/>
      <c r="C3542" s="287" t="s">
        <v>1586</v>
      </c>
      <c r="D3542" s="287" t="s">
        <v>1500</v>
      </c>
      <c r="E3542" s="656">
        <f>3.3+98.9</f>
        <v>102.2</v>
      </c>
      <c r="F3542" s="381">
        <v>30.580000000000002</v>
      </c>
    </row>
    <row r="3543" spans="1:6" s="295" customFormat="1" x14ac:dyDescent="0.15">
      <c r="A3543" s="655" t="s">
        <v>1549</v>
      </c>
      <c r="B3543" s="591" t="s">
        <v>1625</v>
      </c>
      <c r="C3543" s="287" t="s">
        <v>1459</v>
      </c>
      <c r="D3543" s="287" t="s">
        <v>1251</v>
      </c>
      <c r="E3543" s="656">
        <f>75.4+2261.6</f>
        <v>2337</v>
      </c>
      <c r="F3543" s="381">
        <v>378.15</v>
      </c>
    </row>
    <row r="3544" spans="1:6" s="295" customFormat="1" x14ac:dyDescent="0.15">
      <c r="A3544" s="655" t="s">
        <v>1603</v>
      </c>
      <c r="B3544" s="591"/>
      <c r="C3544" s="287" t="s">
        <v>1334</v>
      </c>
      <c r="D3544" s="287" t="s">
        <v>1462</v>
      </c>
      <c r="E3544" s="656">
        <f>743.2+892</f>
        <v>1635.2</v>
      </c>
      <c r="F3544" s="381">
        <v>327.84</v>
      </c>
    </row>
    <row r="3545" spans="1:6" s="295" customFormat="1" x14ac:dyDescent="0.15">
      <c r="A3545" s="655" t="s">
        <v>1597</v>
      </c>
      <c r="B3545" s="591" t="s">
        <v>1626</v>
      </c>
      <c r="C3545" s="287" t="s">
        <v>1454</v>
      </c>
      <c r="D3545" s="287" t="s">
        <v>1247</v>
      </c>
      <c r="E3545" s="656">
        <f>129.2+3870.8</f>
        <v>4000</v>
      </c>
      <c r="F3545" s="381">
        <v>602.13</v>
      </c>
    </row>
    <row r="3546" spans="1:6" s="295" customFormat="1" x14ac:dyDescent="0.15">
      <c r="A3546" s="655" t="s">
        <v>1677</v>
      </c>
      <c r="B3546" s="591" t="s">
        <v>1678</v>
      </c>
      <c r="C3546" s="287" t="s">
        <v>1313</v>
      </c>
      <c r="D3546" s="287" t="s">
        <v>1412</v>
      </c>
      <c r="E3546" s="656">
        <f>55.4+1662.6</f>
        <v>1718</v>
      </c>
      <c r="F3546" s="381">
        <v>291.62</v>
      </c>
    </row>
    <row r="3547" spans="1:6" s="295" customFormat="1" x14ac:dyDescent="0.15">
      <c r="A3547" s="655" t="s">
        <v>1551</v>
      </c>
      <c r="B3547" s="591" t="s">
        <v>1627</v>
      </c>
      <c r="C3547" s="287" t="s">
        <v>1235</v>
      </c>
      <c r="D3547" s="287" t="s">
        <v>1236</v>
      </c>
      <c r="E3547" s="656">
        <f>243.2+7287.8</f>
        <v>7531</v>
      </c>
      <c r="F3547" s="381">
        <v>1094.8899999999999</v>
      </c>
    </row>
    <row r="3548" spans="1:6" s="295" customFormat="1" x14ac:dyDescent="0.15">
      <c r="A3548" s="655" t="s">
        <v>1553</v>
      </c>
      <c r="B3548" s="591" t="s">
        <v>1628</v>
      </c>
      <c r="C3548" s="287" t="s">
        <v>1475</v>
      </c>
      <c r="D3548" s="287" t="s">
        <v>1387</v>
      </c>
      <c r="E3548" s="656">
        <v>1145</v>
      </c>
      <c r="F3548" s="381">
        <v>226.02</v>
      </c>
    </row>
    <row r="3549" spans="1:6" s="295" customFormat="1" x14ac:dyDescent="0.15">
      <c r="A3549" s="655" t="s">
        <v>1554</v>
      </c>
      <c r="B3549" s="591" t="s">
        <v>1629</v>
      </c>
      <c r="C3549" s="287" t="s">
        <v>1399</v>
      </c>
      <c r="D3549" s="287" t="s">
        <v>1276</v>
      </c>
      <c r="E3549" s="656">
        <f>145.9+4374.1</f>
        <v>4520</v>
      </c>
      <c r="F3549" s="381">
        <v>662.67</v>
      </c>
    </row>
    <row r="3550" spans="1:6" s="295" customFormat="1" x14ac:dyDescent="0.15">
      <c r="A3550" s="655" t="s">
        <v>1598</v>
      </c>
      <c r="B3550" s="591"/>
      <c r="C3550" s="287" t="s">
        <v>1586</v>
      </c>
      <c r="D3550" s="287" t="s">
        <v>1500</v>
      </c>
      <c r="E3550" s="656">
        <f>1.7+49.4</f>
        <v>51.1</v>
      </c>
      <c r="F3550" s="381">
        <v>17.259999999999998</v>
      </c>
    </row>
    <row r="3551" spans="1:6" s="295" customFormat="1" x14ac:dyDescent="0.15">
      <c r="A3551" s="655" t="s">
        <v>1662</v>
      </c>
      <c r="B3551" s="657">
        <v>892914652</v>
      </c>
      <c r="C3551" s="287" t="s">
        <v>1663</v>
      </c>
      <c r="D3551" s="287" t="s">
        <v>1664</v>
      </c>
      <c r="E3551" s="656">
        <f>304.9+9135.1</f>
        <v>9440</v>
      </c>
      <c r="F3551" s="381">
        <v>1503.6399999999999</v>
      </c>
    </row>
    <row r="3552" spans="1:6" s="295" customFormat="1" ht="14" thickBot="1" x14ac:dyDescent="0.2">
      <c r="A3552" s="655"/>
      <c r="B3552" s="591"/>
      <c r="C3552" s="291" t="s">
        <v>1702</v>
      </c>
      <c r="D3552" s="287"/>
      <c r="E3552" s="643">
        <f>SUM(E3527:E3551)</f>
        <v>102099.4</v>
      </c>
      <c r="F3552" s="658">
        <v>15778.259999999997</v>
      </c>
    </row>
    <row r="3553" spans="1:6" s="295" customFormat="1" ht="14" thickTop="1" x14ac:dyDescent="0.15">
      <c r="A3553" s="655"/>
      <c r="B3553" s="591"/>
      <c r="C3553" s="287"/>
      <c r="D3553" s="287"/>
      <c r="E3553" s="524"/>
      <c r="F3553" s="381"/>
    </row>
    <row r="3554" spans="1:6" s="295" customFormat="1" x14ac:dyDescent="0.15">
      <c r="A3554" s="655" t="s">
        <v>1556</v>
      </c>
      <c r="B3554" s="591" t="s">
        <v>1631</v>
      </c>
      <c r="C3554" s="287" t="s">
        <v>1248</v>
      </c>
      <c r="D3554" s="287" t="s">
        <v>1482</v>
      </c>
      <c r="E3554" s="656">
        <f>107+3206</f>
        <v>3313</v>
      </c>
      <c r="F3554" s="381">
        <v>516.76</v>
      </c>
    </row>
    <row r="3555" spans="1:6" s="295" customFormat="1" x14ac:dyDescent="0.15">
      <c r="A3555" s="655" t="s">
        <v>1714</v>
      </c>
      <c r="B3555" s="591"/>
      <c r="C3555" s="287" t="s">
        <v>1267</v>
      </c>
      <c r="D3555" s="287" t="s">
        <v>1268</v>
      </c>
      <c r="E3555" s="656">
        <f>1.7+49.4</f>
        <v>51.1</v>
      </c>
      <c r="F3555" s="381">
        <v>14.31</v>
      </c>
    </row>
    <row r="3556" spans="1:6" s="295" customFormat="1" x14ac:dyDescent="0.15">
      <c r="A3556" s="655" t="s">
        <v>1558</v>
      </c>
      <c r="B3556" s="591" t="s">
        <v>1633</v>
      </c>
      <c r="C3556" s="287" t="s">
        <v>1469</v>
      </c>
      <c r="D3556" s="287" t="s">
        <v>1470</v>
      </c>
      <c r="E3556" s="656">
        <f>191.2+5728.8</f>
        <v>5920</v>
      </c>
      <c r="F3556" s="381">
        <v>1004.3199999999999</v>
      </c>
    </row>
    <row r="3557" spans="1:6" s="295" customFormat="1" x14ac:dyDescent="0.15">
      <c r="A3557" s="655" t="s">
        <v>1559</v>
      </c>
      <c r="B3557" s="591" t="s">
        <v>1634</v>
      </c>
      <c r="C3557" s="287" t="s">
        <v>1502</v>
      </c>
      <c r="D3557" s="287" t="s">
        <v>1381</v>
      </c>
      <c r="E3557" s="656">
        <f>359.6+10776.4</f>
        <v>11136</v>
      </c>
      <c r="F3557" s="381">
        <v>1687.31</v>
      </c>
    </row>
    <row r="3558" spans="1:6" s="295" customFormat="1" x14ac:dyDescent="0.15">
      <c r="A3558" s="655" t="s">
        <v>1560</v>
      </c>
      <c r="B3558" s="591" t="s">
        <v>1635</v>
      </c>
      <c r="C3558" s="287" t="s">
        <v>1504</v>
      </c>
      <c r="D3558" s="287" t="s">
        <v>1505</v>
      </c>
      <c r="E3558" s="656">
        <f>34.5+1036.5</f>
        <v>1071</v>
      </c>
      <c r="F3558" s="381">
        <v>154.16</v>
      </c>
    </row>
    <row r="3559" spans="1:6" s="295" customFormat="1" x14ac:dyDescent="0.15">
      <c r="A3559" s="655" t="s">
        <v>1675</v>
      </c>
      <c r="B3559" s="591" t="s">
        <v>1676</v>
      </c>
      <c r="C3559" s="287" t="s">
        <v>1477</v>
      </c>
      <c r="D3559" s="287" t="s">
        <v>1289</v>
      </c>
      <c r="E3559" s="656">
        <f>323.9+9706.1</f>
        <v>10030</v>
      </c>
      <c r="F3559" s="381">
        <v>1523.5</v>
      </c>
    </row>
    <row r="3560" spans="1:6" s="295" customFormat="1" x14ac:dyDescent="0.15">
      <c r="A3560" s="655" t="s">
        <v>1564</v>
      </c>
      <c r="B3560" s="591" t="s">
        <v>1636</v>
      </c>
      <c r="C3560" s="287" t="s">
        <v>1485</v>
      </c>
      <c r="D3560" s="287" t="s">
        <v>1486</v>
      </c>
      <c r="E3560" s="656">
        <f>60.7+1819.3</f>
        <v>1880</v>
      </c>
      <c r="F3560" s="381">
        <v>283.93</v>
      </c>
    </row>
    <row r="3561" spans="1:6" s="295" customFormat="1" x14ac:dyDescent="0.15">
      <c r="A3561" s="655" t="s">
        <v>1565</v>
      </c>
      <c r="B3561" s="591" t="s">
        <v>1637</v>
      </c>
      <c r="C3561" s="287" t="s">
        <v>1267</v>
      </c>
      <c r="D3561" s="287" t="s">
        <v>1268</v>
      </c>
      <c r="E3561" s="656">
        <v>1975</v>
      </c>
      <c r="F3561" s="381">
        <v>389.83</v>
      </c>
    </row>
    <row r="3562" spans="1:6" s="295" customFormat="1" x14ac:dyDescent="0.15">
      <c r="A3562" s="655" t="s">
        <v>1569</v>
      </c>
      <c r="B3562" s="591" t="s">
        <v>1638</v>
      </c>
      <c r="C3562" s="287" t="s">
        <v>1464</v>
      </c>
      <c r="D3562" s="287" t="s">
        <v>1285</v>
      </c>
      <c r="E3562" s="656">
        <f>21.3+639.7</f>
        <v>661</v>
      </c>
      <c r="F3562" s="381">
        <v>160.84</v>
      </c>
    </row>
    <row r="3563" spans="1:6" s="295" customFormat="1" x14ac:dyDescent="0.15">
      <c r="A3563" s="655" t="s">
        <v>1711</v>
      </c>
      <c r="B3563" s="591" t="s">
        <v>1712</v>
      </c>
      <c r="C3563" s="287" t="s">
        <v>1713</v>
      </c>
      <c r="D3563" s="287" t="s">
        <v>1419</v>
      </c>
      <c r="E3563" s="656">
        <v>1017</v>
      </c>
      <c r="F3563" s="381">
        <v>200.75</v>
      </c>
    </row>
    <row r="3564" spans="1:6" s="295" customFormat="1" x14ac:dyDescent="0.15">
      <c r="A3564" s="655" t="s">
        <v>1570</v>
      </c>
      <c r="B3564" s="591" t="s">
        <v>1639</v>
      </c>
      <c r="C3564" s="287" t="s">
        <v>1472</v>
      </c>
      <c r="D3564" s="287" t="s">
        <v>1473</v>
      </c>
      <c r="E3564" s="656">
        <f>1.4+42.6</f>
        <v>44</v>
      </c>
      <c r="F3564" s="381">
        <v>34.440000000000005</v>
      </c>
    </row>
    <row r="3565" spans="1:6" s="295" customFormat="1" x14ac:dyDescent="0.15">
      <c r="A3565" s="655" t="s">
        <v>1571</v>
      </c>
      <c r="B3565" s="591" t="s">
        <v>1640</v>
      </c>
      <c r="C3565" s="287" t="s">
        <v>1489</v>
      </c>
      <c r="D3565" s="287" t="s">
        <v>1490</v>
      </c>
      <c r="E3565" s="656">
        <f>3.8+114.2</f>
        <v>118</v>
      </c>
      <c r="F3565" s="381">
        <v>41.93</v>
      </c>
    </row>
    <row r="3566" spans="1:6" s="295" customFormat="1" x14ac:dyDescent="0.15">
      <c r="A3566" s="655" t="s">
        <v>1572</v>
      </c>
      <c r="B3566" s="591" t="s">
        <v>1641</v>
      </c>
      <c r="C3566" s="287" t="s">
        <v>1271</v>
      </c>
      <c r="D3566" s="287" t="s">
        <v>1272</v>
      </c>
      <c r="E3566" s="656">
        <f>137.9+4134.1</f>
        <v>4272</v>
      </c>
      <c r="F3566" s="381">
        <v>653.67000000000007</v>
      </c>
    </row>
    <row r="3567" spans="1:6" s="295" customFormat="1" x14ac:dyDescent="0.15">
      <c r="A3567" s="655" t="s">
        <v>1573</v>
      </c>
      <c r="B3567" s="591"/>
      <c r="C3567" s="287" t="s">
        <v>1461</v>
      </c>
      <c r="D3567" s="287" t="s">
        <v>1703</v>
      </c>
      <c r="E3567" s="656">
        <f>0.4+12.6</f>
        <v>13</v>
      </c>
      <c r="F3567" s="381">
        <v>16.310000000000002</v>
      </c>
    </row>
    <row r="3568" spans="1:6" s="295" customFormat="1" x14ac:dyDescent="0.15">
      <c r="A3568" s="655" t="s">
        <v>1574</v>
      </c>
      <c r="B3568" s="591" t="s">
        <v>1642</v>
      </c>
      <c r="C3568" s="287" t="s">
        <v>1377</v>
      </c>
      <c r="D3568" s="287" t="s">
        <v>1378</v>
      </c>
      <c r="E3568" s="656">
        <f>55+1650</f>
        <v>1705</v>
      </c>
      <c r="F3568" s="381">
        <v>282.32</v>
      </c>
    </row>
    <row r="3569" spans="1:6" s="295" customFormat="1" x14ac:dyDescent="0.15">
      <c r="A3569" s="655" t="s">
        <v>1575</v>
      </c>
      <c r="B3569" s="591" t="s">
        <v>1685</v>
      </c>
      <c r="C3569" s="287" t="s">
        <v>1448</v>
      </c>
      <c r="D3569" s="287" t="s">
        <v>1449</v>
      </c>
      <c r="E3569" s="656">
        <v>64</v>
      </c>
      <c r="F3569" s="381">
        <v>18</v>
      </c>
    </row>
    <row r="3570" spans="1:6" s="295" customFormat="1" x14ac:dyDescent="0.15">
      <c r="A3570" s="655" t="s">
        <v>1604</v>
      </c>
      <c r="B3570" s="591"/>
      <c r="C3570" s="287" t="s">
        <v>1334</v>
      </c>
      <c r="D3570" s="287" t="s">
        <v>1462</v>
      </c>
      <c r="E3570" s="656">
        <f>116.1+139.4</f>
        <v>255.5</v>
      </c>
      <c r="F3570" s="381">
        <v>71.41</v>
      </c>
    </row>
    <row r="3571" spans="1:6" s="295" customFormat="1" x14ac:dyDescent="0.15">
      <c r="A3571" s="655" t="s">
        <v>1576</v>
      </c>
      <c r="B3571" s="591" t="s">
        <v>1644</v>
      </c>
      <c r="C3571" s="287" t="s">
        <v>1401</v>
      </c>
      <c r="D3571" s="287" t="s">
        <v>1316</v>
      </c>
      <c r="E3571" s="656">
        <f>7.8+236.2</f>
        <v>244</v>
      </c>
      <c r="F3571" s="381">
        <v>54.64</v>
      </c>
    </row>
    <row r="3572" spans="1:6" s="295" customFormat="1" x14ac:dyDescent="0.15">
      <c r="A3572" s="655" t="s">
        <v>1605</v>
      </c>
      <c r="B3572" s="591"/>
      <c r="C3572" s="287" t="s">
        <v>1334</v>
      </c>
      <c r="D3572" s="287" t="s">
        <v>1462</v>
      </c>
      <c r="E3572" s="656">
        <f>338.6+406.4</f>
        <v>745</v>
      </c>
      <c r="F3572" s="381">
        <v>210.29</v>
      </c>
    </row>
    <row r="3573" spans="1:6" s="295" customFormat="1" x14ac:dyDescent="0.15">
      <c r="A3573" s="655" t="s">
        <v>1578</v>
      </c>
      <c r="B3573" s="591" t="s">
        <v>1646</v>
      </c>
      <c r="C3573" s="287" t="s">
        <v>1579</v>
      </c>
      <c r="D3573" s="287" t="s">
        <v>1497</v>
      </c>
      <c r="E3573" s="656">
        <v>0</v>
      </c>
      <c r="F3573" s="381">
        <v>60</v>
      </c>
    </row>
    <row r="3574" spans="1:6" s="295" customFormat="1" x14ac:dyDescent="0.15">
      <c r="A3574" s="655" t="s">
        <v>1580</v>
      </c>
      <c r="B3574" s="591" t="s">
        <v>1647</v>
      </c>
      <c r="C3574" s="287" t="s">
        <v>1451</v>
      </c>
      <c r="D3574" s="287" t="s">
        <v>1674</v>
      </c>
      <c r="E3574" s="656">
        <f>99.2+2972.8</f>
        <v>3072</v>
      </c>
      <c r="F3574" s="381">
        <v>2182.7199999999998</v>
      </c>
    </row>
    <row r="3575" spans="1:6" s="295" customFormat="1" x14ac:dyDescent="0.15">
      <c r="A3575" s="655" t="s">
        <v>1581</v>
      </c>
      <c r="B3575" s="591" t="s">
        <v>1648</v>
      </c>
      <c r="C3575" s="287" t="s">
        <v>1521</v>
      </c>
      <c r="D3575" s="287" t="s">
        <v>1229</v>
      </c>
      <c r="E3575" s="656">
        <f>92.8+2782.2</f>
        <v>2875</v>
      </c>
      <c r="F3575" s="381">
        <v>432.49</v>
      </c>
    </row>
    <row r="3576" spans="1:6" s="295" customFormat="1" x14ac:dyDescent="0.15">
      <c r="A3576" s="655" t="s">
        <v>1582</v>
      </c>
      <c r="B3576" s="591" t="s">
        <v>1649</v>
      </c>
      <c r="C3576" s="287" t="s">
        <v>1525</v>
      </c>
      <c r="D3576" s="287" t="s">
        <v>1526</v>
      </c>
      <c r="E3576" s="656">
        <v>14</v>
      </c>
      <c r="F3576" s="381">
        <v>8.61</v>
      </c>
    </row>
    <row r="3577" spans="1:6" s="295" customFormat="1" ht="14" x14ac:dyDescent="0.15">
      <c r="A3577" s="655" t="s">
        <v>1583</v>
      </c>
      <c r="B3577" s="591" t="s">
        <v>1650</v>
      </c>
      <c r="C3577" s="287" t="s">
        <v>1584</v>
      </c>
      <c r="D3577" s="618" t="s">
        <v>1264</v>
      </c>
      <c r="E3577" s="656">
        <f>41.3+1238.7</f>
        <v>1280</v>
      </c>
      <c r="F3577" s="381">
        <v>311.45999999999998</v>
      </c>
    </row>
    <row r="3578" spans="1:6" s="295" customFormat="1" x14ac:dyDescent="0.15">
      <c r="A3578" s="655" t="s">
        <v>1666</v>
      </c>
      <c r="B3578" s="591" t="s">
        <v>1672</v>
      </c>
      <c r="C3578" s="287" t="s">
        <v>1667</v>
      </c>
      <c r="D3578" s="287" t="s">
        <v>1668</v>
      </c>
      <c r="E3578" s="656">
        <f>706.9+21181.1</f>
        <v>21888</v>
      </c>
      <c r="F3578" s="381">
        <v>4106.8</v>
      </c>
    </row>
    <row r="3579" spans="1:6" s="295" customFormat="1" x14ac:dyDescent="0.15">
      <c r="A3579" s="655" t="s">
        <v>1606</v>
      </c>
      <c r="B3579" s="591"/>
      <c r="C3579" s="287" t="s">
        <v>1334</v>
      </c>
      <c r="D3579" s="287" t="s">
        <v>1462</v>
      </c>
      <c r="E3579" s="656">
        <f>40.5+48.7</f>
        <v>89.2</v>
      </c>
      <c r="F3579" s="381">
        <v>16.399999999999999</v>
      </c>
    </row>
    <row r="3580" spans="1:6" s="295" customFormat="1" ht="14" thickBot="1" x14ac:dyDescent="0.2">
      <c r="A3580" s="655"/>
      <c r="B3580" s="591"/>
      <c r="C3580" s="291" t="s">
        <v>1704</v>
      </c>
      <c r="D3580" s="287"/>
      <c r="E3580" s="643">
        <f>SUM(E3554:E3579)</f>
        <v>73732.800000000003</v>
      </c>
      <c r="F3580" s="658">
        <v>14437.199999999999</v>
      </c>
    </row>
    <row r="3581" spans="1:6" s="295" customFormat="1" ht="14" thickTop="1" x14ac:dyDescent="0.15">
      <c r="A3581" s="655"/>
      <c r="B3581" s="591"/>
      <c r="C3581" s="287"/>
      <c r="D3581" s="287"/>
      <c r="E3581" s="524"/>
      <c r="F3581" s="381"/>
    </row>
    <row r="3582" spans="1:6" s="295" customFormat="1" x14ac:dyDescent="0.15">
      <c r="A3582" s="655"/>
      <c r="B3582" s="591"/>
      <c r="C3582" s="293" t="s">
        <v>1441</v>
      </c>
      <c r="D3582" s="287"/>
      <c r="E3582" s="524"/>
      <c r="F3582" s="381"/>
    </row>
    <row r="3583" spans="1:6" s="295" customFormat="1" x14ac:dyDescent="0.15">
      <c r="A3583" s="655"/>
      <c r="B3583" s="591"/>
      <c r="C3583" s="293" t="s">
        <v>1446</v>
      </c>
      <c r="D3583" s="287"/>
      <c r="E3583" s="524"/>
      <c r="F3583" s="381"/>
    </row>
    <row r="3584" spans="1:6" s="295" customFormat="1" x14ac:dyDescent="0.15">
      <c r="A3584" s="655"/>
      <c r="B3584" s="591"/>
      <c r="C3584" s="386">
        <v>42766</v>
      </c>
      <c r="D3584" s="287"/>
      <c r="E3584" s="524"/>
      <c r="F3584" s="381"/>
    </row>
    <row r="3585" spans="1:7" s="295" customFormat="1" x14ac:dyDescent="0.15">
      <c r="A3585" s="655"/>
      <c r="B3585" s="591"/>
      <c r="C3585" s="287"/>
      <c r="D3585" s="287"/>
      <c r="E3585" s="524"/>
      <c r="F3585" s="381"/>
    </row>
    <row r="3586" spans="1:7" s="295" customFormat="1" ht="14" thickBot="1" x14ac:dyDescent="0.2">
      <c r="A3586" s="663"/>
      <c r="B3586" s="664"/>
      <c r="C3586" s="665" t="s">
        <v>1193</v>
      </c>
      <c r="D3586" s="665"/>
      <c r="E3586" s="666">
        <f>SUM(E3552,E3580)</f>
        <v>175832.2</v>
      </c>
      <c r="F3586" s="667">
        <v>30215.459999999995</v>
      </c>
    </row>
    <row r="3587" spans="1:7" s="295" customFormat="1" x14ac:dyDescent="0.15">
      <c r="A3587" s="655"/>
      <c r="B3587" s="591"/>
      <c r="C3587" s="413"/>
      <c r="D3587" s="413"/>
      <c r="E3587" s="669"/>
      <c r="F3587" s="670"/>
    </row>
    <row r="3588" spans="1:7" s="295" customFormat="1" x14ac:dyDescent="0.15">
      <c r="A3588" s="652" t="s">
        <v>1534</v>
      </c>
      <c r="B3588" s="653" t="s">
        <v>1614</v>
      </c>
      <c r="C3588" s="371" t="s">
        <v>1492</v>
      </c>
      <c r="D3588" s="371" t="s">
        <v>1239</v>
      </c>
      <c r="E3588" s="654">
        <v>11840</v>
      </c>
      <c r="F3588" s="391">
        <v>1757.08</v>
      </c>
      <c r="G3588" s="674">
        <f t="shared" ref="G3588:G3597" si="2">F3588/E3588</f>
        <v>0.14840202702702701</v>
      </c>
    </row>
    <row r="3589" spans="1:7" s="295" customFormat="1" x14ac:dyDescent="0.15">
      <c r="A3589" s="655" t="s">
        <v>1535</v>
      </c>
      <c r="B3589" s="591" t="s">
        <v>1615</v>
      </c>
      <c r="C3589" s="287" t="s">
        <v>1507</v>
      </c>
      <c r="D3589" s="287" t="s">
        <v>1245</v>
      </c>
      <c r="E3589" s="656">
        <v>3280</v>
      </c>
      <c r="F3589" s="381">
        <v>588.67999999999995</v>
      </c>
      <c r="G3589" s="674">
        <f t="shared" si="2"/>
        <v>0.17947560975609755</v>
      </c>
    </row>
    <row r="3590" spans="1:7" s="295" customFormat="1" x14ac:dyDescent="0.15">
      <c r="A3590" s="655" t="s">
        <v>1670</v>
      </c>
      <c r="B3590" s="591" t="s">
        <v>1659</v>
      </c>
      <c r="C3590" s="287" t="s">
        <v>1279</v>
      </c>
      <c r="D3590" s="287" t="s">
        <v>1660</v>
      </c>
      <c r="E3590" s="656">
        <v>8960</v>
      </c>
      <c r="F3590" s="381">
        <v>1327.42</v>
      </c>
      <c r="G3590" s="674">
        <f t="shared" si="2"/>
        <v>0.14814955357142859</v>
      </c>
    </row>
    <row r="3591" spans="1:7" s="295" customFormat="1" x14ac:dyDescent="0.15">
      <c r="A3591" s="655" t="s">
        <v>1536</v>
      </c>
      <c r="B3591" s="591" t="s">
        <v>1616</v>
      </c>
      <c r="C3591" s="287" t="s">
        <v>1479</v>
      </c>
      <c r="D3591" s="287" t="s">
        <v>1231</v>
      </c>
      <c r="E3591" s="656">
        <v>4462</v>
      </c>
      <c r="F3591" s="381">
        <v>668.88</v>
      </c>
      <c r="G3591" s="674">
        <f t="shared" si="2"/>
        <v>0.14990587180636486</v>
      </c>
    </row>
    <row r="3592" spans="1:7" s="295" customFormat="1" x14ac:dyDescent="0.15">
      <c r="A3592" s="655" t="s">
        <v>1537</v>
      </c>
      <c r="B3592" s="591" t="s">
        <v>1617</v>
      </c>
      <c r="C3592" s="287" t="s">
        <v>1269</v>
      </c>
      <c r="D3592" s="287" t="s">
        <v>1270</v>
      </c>
      <c r="E3592" s="656">
        <v>5305</v>
      </c>
      <c r="F3592" s="381">
        <v>786.75</v>
      </c>
      <c r="G3592" s="674">
        <f t="shared" si="2"/>
        <v>0.14830348727615458</v>
      </c>
    </row>
    <row r="3593" spans="1:7" s="295" customFormat="1" x14ac:dyDescent="0.15">
      <c r="A3593" s="655" t="s">
        <v>1538</v>
      </c>
      <c r="B3593" s="591" t="s">
        <v>1618</v>
      </c>
      <c r="C3593" s="287" t="s">
        <v>1517</v>
      </c>
      <c r="D3593" s="287" t="s">
        <v>1518</v>
      </c>
      <c r="E3593" s="656">
        <v>4</v>
      </c>
      <c r="F3593" s="381">
        <v>30.41</v>
      </c>
      <c r="G3593" s="674">
        <f t="shared" si="2"/>
        <v>7.6025</v>
      </c>
    </row>
    <row r="3594" spans="1:7" s="295" customFormat="1" x14ac:dyDescent="0.15">
      <c r="A3594" s="655" t="s">
        <v>1540</v>
      </c>
      <c r="B3594" s="591" t="s">
        <v>1620</v>
      </c>
      <c r="C3594" s="287" t="s">
        <v>1257</v>
      </c>
      <c r="D3594" s="287" t="s">
        <v>1258</v>
      </c>
      <c r="E3594" s="656">
        <v>24080</v>
      </c>
      <c r="F3594" s="381">
        <v>3316.07</v>
      </c>
      <c r="G3594" s="674">
        <f t="shared" si="2"/>
        <v>0.13771054817275749</v>
      </c>
    </row>
    <row r="3595" spans="1:7" s="295" customFormat="1" x14ac:dyDescent="0.15">
      <c r="A3595" s="655" t="s">
        <v>1541</v>
      </c>
      <c r="B3595" s="591" t="s">
        <v>1621</v>
      </c>
      <c r="C3595" s="287" t="s">
        <v>1586</v>
      </c>
      <c r="D3595" s="287" t="s">
        <v>1500</v>
      </c>
      <c r="E3595" s="656">
        <v>3600</v>
      </c>
      <c r="F3595" s="381">
        <v>621.27</v>
      </c>
      <c r="G3595" s="674">
        <f t="shared" si="2"/>
        <v>0.17257500000000001</v>
      </c>
    </row>
    <row r="3596" spans="1:7" s="295" customFormat="1" x14ac:dyDescent="0.15">
      <c r="A3596" s="655" t="s">
        <v>1542</v>
      </c>
      <c r="B3596" s="591" t="s">
        <v>1622</v>
      </c>
      <c r="C3596" s="287" t="s">
        <v>1240</v>
      </c>
      <c r="D3596" s="287" t="s">
        <v>1467</v>
      </c>
      <c r="E3596" s="656">
        <v>4321</v>
      </c>
      <c r="F3596" s="381">
        <v>638.45000000000005</v>
      </c>
      <c r="G3596" s="674">
        <f t="shared" si="2"/>
        <v>0.14775514927100208</v>
      </c>
    </row>
    <row r="3597" spans="1:7" s="295" customFormat="1" x14ac:dyDescent="0.15">
      <c r="A3597" s="655" t="s">
        <v>1543</v>
      </c>
      <c r="B3597" s="591" t="s">
        <v>1623</v>
      </c>
      <c r="C3597" s="287" t="s">
        <v>1523</v>
      </c>
      <c r="D3597" s="287" t="s">
        <v>1266</v>
      </c>
      <c r="E3597" s="656">
        <v>670</v>
      </c>
      <c r="F3597" s="381">
        <v>146.4</v>
      </c>
      <c r="G3597" s="674">
        <f t="shared" si="2"/>
        <v>0.21850746268656718</v>
      </c>
    </row>
    <row r="3598" spans="1:7" s="295" customFormat="1" x14ac:dyDescent="0.15">
      <c r="A3598" s="655" t="s">
        <v>1715</v>
      </c>
      <c r="B3598" s="591" t="s">
        <v>1716</v>
      </c>
      <c r="C3598" s="287" t="s">
        <v>1328</v>
      </c>
      <c r="D3598" s="287" t="s">
        <v>1329</v>
      </c>
      <c r="E3598" s="656">
        <v>314</v>
      </c>
      <c r="F3598" s="381">
        <v>68.459999999999994</v>
      </c>
    </row>
    <row r="3599" spans="1:7" s="295" customFormat="1" x14ac:dyDescent="0.15">
      <c r="A3599" s="655" t="s">
        <v>1544</v>
      </c>
      <c r="B3599" s="591" t="s">
        <v>1624</v>
      </c>
      <c r="C3599" s="287" t="s">
        <v>1234</v>
      </c>
      <c r="D3599" s="287" t="s">
        <v>1494</v>
      </c>
      <c r="E3599" s="656">
        <v>4937</v>
      </c>
      <c r="F3599" s="381">
        <v>789.48</v>
      </c>
      <c r="G3599" s="674">
        <f t="shared" ref="G3599:G3612" si="3">F3599/E3599</f>
        <v>0.15991087705084059</v>
      </c>
    </row>
    <row r="3600" spans="1:7" s="295" customFormat="1" x14ac:dyDescent="0.15">
      <c r="A3600" s="655" t="s">
        <v>1601</v>
      </c>
      <c r="B3600" s="591"/>
      <c r="C3600" s="287" t="s">
        <v>1334</v>
      </c>
      <c r="D3600" s="287" t="s">
        <v>1462</v>
      </c>
      <c r="E3600" s="656">
        <f>1529.6+1764.8</f>
        <v>3294.3999999999996</v>
      </c>
      <c r="F3600" s="381">
        <v>674.22</v>
      </c>
      <c r="G3600" s="674">
        <f t="shared" si="3"/>
        <v>0.2046563865954347</v>
      </c>
    </row>
    <row r="3601" spans="1:7" s="295" customFormat="1" x14ac:dyDescent="0.15">
      <c r="A3601" s="655" t="s">
        <v>1545</v>
      </c>
      <c r="B3601" s="591"/>
      <c r="C3601" s="287" t="s">
        <v>1234</v>
      </c>
      <c r="D3601" s="287" t="s">
        <v>1494</v>
      </c>
      <c r="E3601" s="656">
        <f>2.6+72.6</f>
        <v>75.199999999999989</v>
      </c>
      <c r="F3601" s="381">
        <v>18.260000000000002</v>
      </c>
      <c r="G3601" s="674">
        <f t="shared" si="3"/>
        <v>0.24281914893617026</v>
      </c>
    </row>
    <row r="3602" spans="1:7" s="295" customFormat="1" x14ac:dyDescent="0.15">
      <c r="A3602" s="655" t="s">
        <v>1602</v>
      </c>
      <c r="B3602" s="591"/>
      <c r="C3602" s="287" t="s">
        <v>1334</v>
      </c>
      <c r="D3602" s="287" t="s">
        <v>1462</v>
      </c>
      <c r="E3602" s="656">
        <f>85.5+98.7</f>
        <v>184.2</v>
      </c>
      <c r="F3602" s="381">
        <v>50.3</v>
      </c>
      <c r="G3602" s="674">
        <f t="shared" si="3"/>
        <v>0.2730727470141151</v>
      </c>
    </row>
    <row r="3603" spans="1:7" s="295" customFormat="1" x14ac:dyDescent="0.15">
      <c r="A3603" s="655" t="s">
        <v>1546</v>
      </c>
      <c r="B3603" s="591"/>
      <c r="C3603" s="287" t="s">
        <v>1586</v>
      </c>
      <c r="D3603" s="287" t="s">
        <v>1500</v>
      </c>
      <c r="E3603" s="656">
        <f>3+83</f>
        <v>86</v>
      </c>
      <c r="F3603" s="381">
        <v>28.67</v>
      </c>
      <c r="G3603" s="674">
        <f t="shared" si="3"/>
        <v>0.33337209302325582</v>
      </c>
    </row>
    <row r="3604" spans="1:7" s="295" customFormat="1" x14ac:dyDescent="0.15">
      <c r="A3604" s="655" t="s">
        <v>1549</v>
      </c>
      <c r="B3604" s="591" t="s">
        <v>1625</v>
      </c>
      <c r="C3604" s="287" t="s">
        <v>1459</v>
      </c>
      <c r="D3604" s="287" t="s">
        <v>1251</v>
      </c>
      <c r="E3604" s="656">
        <v>2193</v>
      </c>
      <c r="F3604" s="381">
        <v>365.64</v>
      </c>
      <c r="G3604" s="674">
        <f t="shared" si="3"/>
        <v>0.16673050615595075</v>
      </c>
    </row>
    <row r="3605" spans="1:7" s="295" customFormat="1" x14ac:dyDescent="0.15">
      <c r="A3605" s="655" t="s">
        <v>1603</v>
      </c>
      <c r="B3605" s="591"/>
      <c r="C3605" s="287" t="s">
        <v>1334</v>
      </c>
      <c r="D3605" s="287" t="s">
        <v>1462</v>
      </c>
      <c r="E3605" s="656">
        <f>640+738.4</f>
        <v>1378.4</v>
      </c>
      <c r="F3605" s="381">
        <v>298.68</v>
      </c>
      <c r="G3605" s="674">
        <f t="shared" si="3"/>
        <v>0.21668601276842717</v>
      </c>
    </row>
    <row r="3606" spans="1:7" s="295" customFormat="1" x14ac:dyDescent="0.15">
      <c r="A3606" s="655" t="s">
        <v>1597</v>
      </c>
      <c r="B3606" s="591" t="s">
        <v>1626</v>
      </c>
      <c r="C3606" s="287" t="s">
        <v>1454</v>
      </c>
      <c r="D3606" s="287" t="s">
        <v>1247</v>
      </c>
      <c r="E3606" s="656">
        <v>4280</v>
      </c>
      <c r="F3606" s="381">
        <v>690.46</v>
      </c>
      <c r="G3606" s="674">
        <f t="shared" si="3"/>
        <v>0.16132242990654205</v>
      </c>
    </row>
    <row r="3607" spans="1:7" s="295" customFormat="1" x14ac:dyDescent="0.15">
      <c r="A3607" s="655" t="s">
        <v>1677</v>
      </c>
      <c r="B3607" s="591" t="s">
        <v>1678</v>
      </c>
      <c r="C3607" s="287" t="s">
        <v>1313</v>
      </c>
      <c r="D3607" s="287" t="s">
        <v>1412</v>
      </c>
      <c r="E3607" s="656">
        <v>1747</v>
      </c>
      <c r="F3607" s="381">
        <v>280.10000000000002</v>
      </c>
      <c r="G3607" s="674">
        <f t="shared" si="3"/>
        <v>0.16033199771036064</v>
      </c>
    </row>
    <row r="3608" spans="1:7" s="295" customFormat="1" x14ac:dyDescent="0.15">
      <c r="A3608" s="655" t="s">
        <v>1551</v>
      </c>
      <c r="B3608" s="591" t="s">
        <v>1627</v>
      </c>
      <c r="C3608" s="287" t="s">
        <v>1235</v>
      </c>
      <c r="D3608" s="287" t="s">
        <v>1236</v>
      </c>
      <c r="E3608" s="656">
        <v>8081</v>
      </c>
      <c r="F3608" s="381">
        <v>1189.75</v>
      </c>
      <c r="G3608" s="674">
        <f t="shared" si="3"/>
        <v>0.14722806583343645</v>
      </c>
    </row>
    <row r="3609" spans="1:7" s="295" customFormat="1" x14ac:dyDescent="0.15">
      <c r="A3609" s="655" t="s">
        <v>1553</v>
      </c>
      <c r="B3609" s="591" t="s">
        <v>1628</v>
      </c>
      <c r="C3609" s="287" t="s">
        <v>1475</v>
      </c>
      <c r="D3609" s="287" t="s">
        <v>1387</v>
      </c>
      <c r="E3609" s="656">
        <v>1073</v>
      </c>
      <c r="F3609" s="381">
        <v>212.97</v>
      </c>
      <c r="G3609" s="674">
        <f t="shared" si="3"/>
        <v>0.19848089468779123</v>
      </c>
    </row>
    <row r="3610" spans="1:7" s="295" customFormat="1" x14ac:dyDescent="0.15">
      <c r="A3610" s="655" t="s">
        <v>1554</v>
      </c>
      <c r="B3610" s="591" t="s">
        <v>1629</v>
      </c>
      <c r="C3610" s="287" t="s">
        <v>1399</v>
      </c>
      <c r="D3610" s="287" t="s">
        <v>1276</v>
      </c>
      <c r="E3610" s="656">
        <v>4680</v>
      </c>
      <c r="F3610" s="381">
        <v>747.25</v>
      </c>
      <c r="G3610" s="674">
        <f t="shared" si="3"/>
        <v>0.15966880341880341</v>
      </c>
    </row>
    <row r="3611" spans="1:7" s="295" customFormat="1" x14ac:dyDescent="0.15">
      <c r="A3611" s="655" t="s">
        <v>1598</v>
      </c>
      <c r="B3611" s="591"/>
      <c r="C3611" s="287" t="s">
        <v>1586</v>
      </c>
      <c r="D3611" s="287" t="s">
        <v>1500</v>
      </c>
      <c r="E3611" s="656">
        <f>1.5+41.5</f>
        <v>43</v>
      </c>
      <c r="F3611" s="381">
        <v>16.34</v>
      </c>
      <c r="G3611" s="674">
        <f t="shared" si="3"/>
        <v>0.38</v>
      </c>
    </row>
    <row r="3612" spans="1:7" s="295" customFormat="1" x14ac:dyDescent="0.15">
      <c r="A3612" s="655" t="s">
        <v>1662</v>
      </c>
      <c r="B3612" s="657">
        <v>892914652</v>
      </c>
      <c r="C3612" s="287" t="s">
        <v>1663</v>
      </c>
      <c r="D3612" s="287" t="s">
        <v>1664</v>
      </c>
      <c r="E3612" s="656">
        <v>9600</v>
      </c>
      <c r="F3612" s="381">
        <v>1537.47</v>
      </c>
      <c r="G3612" s="674">
        <f t="shared" si="3"/>
        <v>0.16015312500000001</v>
      </c>
    </row>
    <row r="3613" spans="1:7" s="295" customFormat="1" ht="14" thickBot="1" x14ac:dyDescent="0.2">
      <c r="A3613" s="655"/>
      <c r="B3613" s="591"/>
      <c r="C3613" s="291" t="s">
        <v>1705</v>
      </c>
      <c r="D3613" s="287"/>
      <c r="E3613" s="643">
        <f>SUM(E3588:E3612)</f>
        <v>108488.19999999998</v>
      </c>
      <c r="F3613" s="658">
        <v>16849.46</v>
      </c>
    </row>
    <row r="3614" spans="1:7" s="295" customFormat="1" ht="14" thickTop="1" x14ac:dyDescent="0.15">
      <c r="A3614" s="655"/>
      <c r="B3614" s="591"/>
      <c r="C3614" s="287"/>
      <c r="D3614" s="287"/>
      <c r="E3614" s="524"/>
      <c r="F3614" s="381"/>
    </row>
    <row r="3615" spans="1:7" s="295" customFormat="1" x14ac:dyDescent="0.15">
      <c r="A3615" s="655" t="s">
        <v>1556</v>
      </c>
      <c r="B3615" s="591" t="s">
        <v>1631</v>
      </c>
      <c r="C3615" s="287" t="s">
        <v>1248</v>
      </c>
      <c r="D3615" s="287" t="s">
        <v>1482</v>
      </c>
      <c r="E3615" s="656">
        <v>3326</v>
      </c>
      <c r="F3615" s="381">
        <v>513.07000000000005</v>
      </c>
      <c r="G3615" s="674">
        <f>F3615/E3615</f>
        <v>0.15426037282020447</v>
      </c>
    </row>
    <row r="3616" spans="1:7" s="295" customFormat="1" x14ac:dyDescent="0.15">
      <c r="A3616" s="655" t="s">
        <v>1714</v>
      </c>
      <c r="B3616" s="591"/>
      <c r="C3616" s="287" t="s">
        <v>1267</v>
      </c>
      <c r="D3616" s="287" t="s">
        <v>1268</v>
      </c>
      <c r="E3616" s="656">
        <f>1.5+41.5</f>
        <v>43</v>
      </c>
      <c r="F3616" s="381">
        <v>13.24</v>
      </c>
    </row>
    <row r="3617" spans="1:7" s="295" customFormat="1" x14ac:dyDescent="0.15">
      <c r="A3617" s="655" t="s">
        <v>1558</v>
      </c>
      <c r="B3617" s="591" t="s">
        <v>1633</v>
      </c>
      <c r="C3617" s="287" t="s">
        <v>1469</v>
      </c>
      <c r="D3617" s="287" t="s">
        <v>1470</v>
      </c>
      <c r="E3617" s="656">
        <v>6000</v>
      </c>
      <c r="F3617" s="381">
        <v>961.9</v>
      </c>
      <c r="G3617" s="674">
        <f t="shared" ref="G3617:G3641" si="4">F3617/E3617</f>
        <v>0.16031666666666666</v>
      </c>
    </row>
    <row r="3618" spans="1:7" s="295" customFormat="1" x14ac:dyDescent="0.15">
      <c r="A3618" s="655" t="s">
        <v>1559</v>
      </c>
      <c r="B3618" s="591" t="s">
        <v>1634</v>
      </c>
      <c r="C3618" s="287" t="s">
        <v>1502</v>
      </c>
      <c r="D3618" s="287" t="s">
        <v>1381</v>
      </c>
      <c r="E3618" s="656">
        <v>10560</v>
      </c>
      <c r="F3618" s="381">
        <v>1621.26</v>
      </c>
      <c r="G3618" s="674">
        <f t="shared" si="4"/>
        <v>0.15352840909090909</v>
      </c>
    </row>
    <row r="3619" spans="1:7" s="295" customFormat="1" x14ac:dyDescent="0.15">
      <c r="A3619" s="655" t="s">
        <v>1560</v>
      </c>
      <c r="B3619" s="591" t="s">
        <v>1635</v>
      </c>
      <c r="C3619" s="287" t="s">
        <v>1504</v>
      </c>
      <c r="D3619" s="287" t="s">
        <v>1505</v>
      </c>
      <c r="E3619" s="656">
        <v>966</v>
      </c>
      <c r="F3619" s="381">
        <v>136.37</v>
      </c>
      <c r="G3619" s="674">
        <f t="shared" si="4"/>
        <v>0.14116977225672878</v>
      </c>
    </row>
    <row r="3620" spans="1:7" s="295" customFormat="1" x14ac:dyDescent="0.15">
      <c r="A3620" s="655" t="s">
        <v>1675</v>
      </c>
      <c r="B3620" s="591" t="s">
        <v>1676</v>
      </c>
      <c r="C3620" s="287" t="s">
        <v>1477</v>
      </c>
      <c r="D3620" s="287" t="s">
        <v>1289</v>
      </c>
      <c r="E3620" s="656">
        <v>9480</v>
      </c>
      <c r="F3620" s="381">
        <v>1500.8</v>
      </c>
      <c r="G3620" s="674">
        <f t="shared" si="4"/>
        <v>0.15831223628691982</v>
      </c>
    </row>
    <row r="3621" spans="1:7" s="295" customFormat="1" x14ac:dyDescent="0.15">
      <c r="A3621" s="655" t="s">
        <v>1564</v>
      </c>
      <c r="B3621" s="591" t="s">
        <v>1636</v>
      </c>
      <c r="C3621" s="287" t="s">
        <v>1485</v>
      </c>
      <c r="D3621" s="287" t="s">
        <v>1486</v>
      </c>
      <c r="E3621" s="656">
        <v>1720</v>
      </c>
      <c r="F3621" s="381">
        <v>277.36</v>
      </c>
      <c r="G3621" s="674">
        <f t="shared" si="4"/>
        <v>0.16125581395348837</v>
      </c>
    </row>
    <row r="3622" spans="1:7" s="295" customFormat="1" x14ac:dyDescent="0.15">
      <c r="A3622" s="655" t="s">
        <v>1565</v>
      </c>
      <c r="B3622" s="591" t="s">
        <v>1637</v>
      </c>
      <c r="C3622" s="287" t="s">
        <v>1267</v>
      </c>
      <c r="D3622" s="287" t="s">
        <v>1268</v>
      </c>
      <c r="E3622" s="656">
        <v>1764</v>
      </c>
      <c r="F3622" s="381">
        <v>350.14</v>
      </c>
      <c r="G3622" s="674">
        <f t="shared" si="4"/>
        <v>0.1984920634920635</v>
      </c>
    </row>
    <row r="3623" spans="1:7" s="295" customFormat="1" x14ac:dyDescent="0.15">
      <c r="A3623" s="655" t="s">
        <v>1569</v>
      </c>
      <c r="B3623" s="591" t="s">
        <v>1638</v>
      </c>
      <c r="C3623" s="287" t="s">
        <v>1464</v>
      </c>
      <c r="D3623" s="287" t="s">
        <v>1285</v>
      </c>
      <c r="E3623" s="656">
        <v>808</v>
      </c>
      <c r="F3623" s="381">
        <v>168.45</v>
      </c>
      <c r="G3623" s="674">
        <f t="shared" si="4"/>
        <v>0.20847772277227722</v>
      </c>
    </row>
    <row r="3624" spans="1:7" s="295" customFormat="1" x14ac:dyDescent="0.15">
      <c r="A3624" s="655" t="s">
        <v>1711</v>
      </c>
      <c r="B3624" s="591" t="s">
        <v>1712</v>
      </c>
      <c r="C3624" s="287" t="s">
        <v>1713</v>
      </c>
      <c r="D3624" s="287" t="s">
        <v>1419</v>
      </c>
      <c r="E3624" s="656">
        <v>1206</v>
      </c>
      <c r="F3624" s="381">
        <v>239.4</v>
      </c>
      <c r="G3624" s="674">
        <f t="shared" si="4"/>
        <v>0.19850746268656716</v>
      </c>
    </row>
    <row r="3625" spans="1:7" s="295" customFormat="1" x14ac:dyDescent="0.15">
      <c r="A3625" s="655" t="s">
        <v>1570</v>
      </c>
      <c r="B3625" s="591" t="s">
        <v>1639</v>
      </c>
      <c r="C3625" s="287" t="s">
        <v>1472</v>
      </c>
      <c r="D3625" s="287" t="s">
        <v>1473</v>
      </c>
      <c r="E3625" s="656">
        <v>71</v>
      </c>
      <c r="F3625" s="381">
        <v>37.24</v>
      </c>
      <c r="G3625" s="674">
        <f t="shared" si="4"/>
        <v>0.52450704225352118</v>
      </c>
    </row>
    <row r="3626" spans="1:7" s="295" customFormat="1" x14ac:dyDescent="0.15">
      <c r="A3626" s="655" t="s">
        <v>1571</v>
      </c>
      <c r="B3626" s="591" t="s">
        <v>1640</v>
      </c>
      <c r="C3626" s="287" t="s">
        <v>1489</v>
      </c>
      <c r="D3626" s="287" t="s">
        <v>1490</v>
      </c>
      <c r="E3626" s="656">
        <v>105</v>
      </c>
      <c r="F3626" s="381">
        <v>40.68</v>
      </c>
      <c r="G3626" s="674">
        <f t="shared" si="4"/>
        <v>0.3874285714285714</v>
      </c>
    </row>
    <row r="3627" spans="1:7" s="295" customFormat="1" x14ac:dyDescent="0.15">
      <c r="A3627" s="655" t="s">
        <v>1572</v>
      </c>
      <c r="B3627" s="591" t="s">
        <v>1641</v>
      </c>
      <c r="C3627" s="287" t="s">
        <v>1271</v>
      </c>
      <c r="D3627" s="287" t="s">
        <v>1272</v>
      </c>
      <c r="E3627" s="656">
        <v>4550</v>
      </c>
      <c r="F3627" s="381">
        <v>701.92</v>
      </c>
      <c r="G3627" s="674">
        <f t="shared" si="4"/>
        <v>0.15426813186813185</v>
      </c>
    </row>
    <row r="3628" spans="1:7" s="295" customFormat="1" x14ac:dyDescent="0.15">
      <c r="A3628" s="655" t="s">
        <v>1573</v>
      </c>
      <c r="B3628" s="591"/>
      <c r="C3628" s="287" t="s">
        <v>1461</v>
      </c>
      <c r="D3628" s="287" t="s">
        <v>1703</v>
      </c>
      <c r="E3628" s="656">
        <v>26</v>
      </c>
      <c r="F3628" s="381">
        <v>16.34</v>
      </c>
      <c r="G3628" s="674">
        <f t="shared" si="4"/>
        <v>0.6284615384615384</v>
      </c>
    </row>
    <row r="3629" spans="1:7" s="295" customFormat="1" x14ac:dyDescent="0.15">
      <c r="A3629" s="655" t="s">
        <v>1574</v>
      </c>
      <c r="B3629" s="591" t="s">
        <v>1642</v>
      </c>
      <c r="C3629" s="287" t="s">
        <v>1377</v>
      </c>
      <c r="D3629" s="287" t="s">
        <v>1378</v>
      </c>
      <c r="E3629" s="656">
        <v>1458</v>
      </c>
      <c r="F3629" s="381">
        <v>298.88</v>
      </c>
      <c r="G3629" s="674">
        <f t="shared" si="4"/>
        <v>0.20499314128943757</v>
      </c>
    </row>
    <row r="3630" spans="1:7" s="295" customFormat="1" x14ac:dyDescent="0.15">
      <c r="A3630" s="655" t="s">
        <v>1575</v>
      </c>
      <c r="B3630" s="591" t="s">
        <v>1685</v>
      </c>
      <c r="C3630" s="287" t="s">
        <v>1448</v>
      </c>
      <c r="D3630" s="287" t="s">
        <v>1449</v>
      </c>
      <c r="E3630" s="656">
        <v>61</v>
      </c>
      <c r="F3630" s="381">
        <v>17.5</v>
      </c>
      <c r="G3630" s="674">
        <f t="shared" si="4"/>
        <v>0.28688524590163933</v>
      </c>
    </row>
    <row r="3631" spans="1:7" s="295" customFormat="1" x14ac:dyDescent="0.15">
      <c r="A3631" s="655" t="s">
        <v>1604</v>
      </c>
      <c r="B3631" s="591"/>
      <c r="C3631" s="287" t="s">
        <v>1334</v>
      </c>
      <c r="D3631" s="287" t="s">
        <v>1462</v>
      </c>
      <c r="E3631" s="656">
        <f>99.8+115.2</f>
        <v>215</v>
      </c>
      <c r="F3631" s="381">
        <v>66.790000000000006</v>
      </c>
      <c r="G3631" s="674">
        <f t="shared" si="4"/>
        <v>0.31065116279069771</v>
      </c>
    </row>
    <row r="3632" spans="1:7" s="295" customFormat="1" x14ac:dyDescent="0.15">
      <c r="A3632" s="655" t="s">
        <v>1576</v>
      </c>
      <c r="B3632" s="591" t="s">
        <v>1644</v>
      </c>
      <c r="C3632" s="287" t="s">
        <v>1401</v>
      </c>
      <c r="D3632" s="287" t="s">
        <v>1316</v>
      </c>
      <c r="E3632" s="656">
        <v>185</v>
      </c>
      <c r="F3632" s="381">
        <v>48.83</v>
      </c>
      <c r="G3632" s="674">
        <f t="shared" si="4"/>
        <v>0.26394594594594595</v>
      </c>
    </row>
    <row r="3633" spans="1:7" s="295" customFormat="1" x14ac:dyDescent="0.15">
      <c r="A3633" s="655" t="s">
        <v>1605</v>
      </c>
      <c r="B3633" s="591"/>
      <c r="C3633" s="287" t="s">
        <v>1334</v>
      </c>
      <c r="D3633" s="287" t="s">
        <v>1462</v>
      </c>
      <c r="E3633" s="656">
        <f>291.6+336.4</f>
        <v>628</v>
      </c>
      <c r="F3633" s="381">
        <v>196.98</v>
      </c>
      <c r="G3633" s="674">
        <f t="shared" si="4"/>
        <v>0.31366242038216557</v>
      </c>
    </row>
    <row r="3634" spans="1:7" s="295" customFormat="1" x14ac:dyDescent="0.15">
      <c r="A3634" s="655" t="s">
        <v>1578</v>
      </c>
      <c r="B3634" s="591" t="s">
        <v>1646</v>
      </c>
      <c r="C3634" s="287" t="s">
        <v>1579</v>
      </c>
      <c r="D3634" s="287" t="s">
        <v>1497</v>
      </c>
      <c r="E3634" s="656">
        <v>2</v>
      </c>
      <c r="F3634" s="381">
        <v>30.2</v>
      </c>
      <c r="G3634" s="674">
        <f t="shared" si="4"/>
        <v>15.1</v>
      </c>
    </row>
    <row r="3635" spans="1:7" s="295" customFormat="1" x14ac:dyDescent="0.15">
      <c r="A3635" s="655" t="s">
        <v>1580</v>
      </c>
      <c r="B3635" s="591" t="s">
        <v>1647</v>
      </c>
      <c r="C3635" s="287" t="s">
        <v>1451</v>
      </c>
      <c r="D3635" s="287" t="s">
        <v>1674</v>
      </c>
      <c r="E3635" s="656">
        <v>7680</v>
      </c>
      <c r="F3635" s="381">
        <v>2666.64</v>
      </c>
      <c r="G3635" s="674">
        <f t="shared" si="4"/>
        <v>0.34721874999999996</v>
      </c>
    </row>
    <row r="3636" spans="1:7" s="295" customFormat="1" x14ac:dyDescent="0.15">
      <c r="A3636" s="655" t="s">
        <v>1581</v>
      </c>
      <c r="B3636" s="591" t="s">
        <v>1648</v>
      </c>
      <c r="C3636" s="287" t="s">
        <v>1521</v>
      </c>
      <c r="D3636" s="287" t="s">
        <v>1229</v>
      </c>
      <c r="E3636" s="656">
        <v>2812</v>
      </c>
      <c r="F3636" s="381">
        <v>436.67</v>
      </c>
      <c r="G3636" s="674">
        <f t="shared" si="4"/>
        <v>0.15528805120910386</v>
      </c>
    </row>
    <row r="3637" spans="1:7" s="295" customFormat="1" x14ac:dyDescent="0.15">
      <c r="A3637" s="655" t="s">
        <v>1717</v>
      </c>
      <c r="B3637" s="591" t="s">
        <v>1718</v>
      </c>
      <c r="C3637" s="287" t="s">
        <v>1719</v>
      </c>
      <c r="D3637" s="287" t="s">
        <v>1720</v>
      </c>
      <c r="E3637" s="656">
        <v>646</v>
      </c>
      <c r="F3637" s="381">
        <v>150.68</v>
      </c>
      <c r="G3637" s="674">
        <f t="shared" si="4"/>
        <v>0.23325077399380806</v>
      </c>
    </row>
    <row r="3638" spans="1:7" s="295" customFormat="1" x14ac:dyDescent="0.15">
      <c r="A3638" s="655" t="s">
        <v>1582</v>
      </c>
      <c r="B3638" s="591" t="s">
        <v>1649</v>
      </c>
      <c r="C3638" s="287" t="s">
        <v>1525</v>
      </c>
      <c r="D3638" s="287" t="s">
        <v>1526</v>
      </c>
      <c r="E3638" s="656">
        <v>19</v>
      </c>
      <c r="F3638" s="381">
        <v>9.56</v>
      </c>
      <c r="G3638" s="674">
        <f t="shared" si="4"/>
        <v>0.50315789473684214</v>
      </c>
    </row>
    <row r="3639" spans="1:7" s="295" customFormat="1" ht="14" x14ac:dyDescent="0.15">
      <c r="A3639" s="655" t="s">
        <v>1583</v>
      </c>
      <c r="B3639" s="591" t="s">
        <v>1650</v>
      </c>
      <c r="C3639" s="287" t="s">
        <v>1584</v>
      </c>
      <c r="D3639" s="618" t="s">
        <v>1264</v>
      </c>
      <c r="E3639" s="656">
        <v>1240</v>
      </c>
      <c r="F3639" s="381">
        <v>284.69</v>
      </c>
      <c r="G3639" s="674">
        <f t="shared" si="4"/>
        <v>0.22958870967741934</v>
      </c>
    </row>
    <row r="3640" spans="1:7" s="295" customFormat="1" x14ac:dyDescent="0.15">
      <c r="A3640" s="655" t="s">
        <v>1666</v>
      </c>
      <c r="B3640" s="591" t="s">
        <v>1672</v>
      </c>
      <c r="C3640" s="287" t="s">
        <v>1667</v>
      </c>
      <c r="D3640" s="287" t="s">
        <v>1668</v>
      </c>
      <c r="E3640" s="656">
        <v>24576</v>
      </c>
      <c r="F3640" s="381">
        <v>4611.2</v>
      </c>
      <c r="G3640" s="674">
        <f t="shared" si="4"/>
        <v>0.18763020833333333</v>
      </c>
    </row>
    <row r="3641" spans="1:7" s="295" customFormat="1" x14ac:dyDescent="0.15">
      <c r="A3641" s="655" t="s">
        <v>1606</v>
      </c>
      <c r="B3641" s="591"/>
      <c r="C3641" s="287" t="s">
        <v>1334</v>
      </c>
      <c r="D3641" s="287" t="s">
        <v>1462</v>
      </c>
      <c r="E3641" s="656">
        <f>34.9+40.3</f>
        <v>75.199999999999989</v>
      </c>
      <c r="F3641" s="381">
        <v>14.83</v>
      </c>
      <c r="G3641" s="674">
        <f t="shared" si="4"/>
        <v>0.19720744680851066</v>
      </c>
    </row>
    <row r="3642" spans="1:7" s="295" customFormat="1" ht="14" thickBot="1" x14ac:dyDescent="0.2">
      <c r="A3642" s="655"/>
      <c r="B3642" s="591"/>
      <c r="C3642" s="291" t="s">
        <v>1706</v>
      </c>
      <c r="D3642" s="287"/>
      <c r="E3642" s="643">
        <f>SUM(E3615:E3641)</f>
        <v>80222.2</v>
      </c>
      <c r="F3642" s="658">
        <v>15411.62</v>
      </c>
    </row>
    <row r="3643" spans="1:7" s="295" customFormat="1" ht="14" thickTop="1" x14ac:dyDescent="0.15">
      <c r="A3643" s="655"/>
      <c r="B3643" s="591"/>
      <c r="C3643" s="287"/>
      <c r="D3643" s="287"/>
      <c r="E3643" s="524"/>
      <c r="F3643" s="381"/>
    </row>
    <row r="3644" spans="1:7" s="295" customFormat="1" x14ac:dyDescent="0.15">
      <c r="A3644" s="655"/>
      <c r="B3644" s="591"/>
      <c r="C3644" s="293" t="s">
        <v>1441</v>
      </c>
      <c r="D3644" s="287"/>
      <c r="E3644" s="524"/>
      <c r="F3644" s="381"/>
    </row>
    <row r="3645" spans="1:7" s="295" customFormat="1" x14ac:dyDescent="0.15">
      <c r="A3645" s="655"/>
      <c r="B3645" s="591"/>
      <c r="C3645" s="293" t="s">
        <v>1446</v>
      </c>
      <c r="D3645" s="287"/>
      <c r="E3645" s="524"/>
      <c r="F3645" s="381"/>
    </row>
    <row r="3646" spans="1:7" s="295" customFormat="1" x14ac:dyDescent="0.15">
      <c r="A3646" s="655"/>
      <c r="B3646" s="591"/>
      <c r="C3646" s="386">
        <v>42794</v>
      </c>
      <c r="D3646" s="287"/>
      <c r="E3646" s="524"/>
      <c r="F3646" s="381"/>
    </row>
    <row r="3647" spans="1:7" s="295" customFormat="1" x14ac:dyDescent="0.15">
      <c r="A3647" s="655"/>
      <c r="B3647" s="591"/>
      <c r="C3647" s="287"/>
      <c r="D3647" s="287"/>
      <c r="E3647" s="524"/>
      <c r="F3647" s="381"/>
    </row>
    <row r="3648" spans="1:7" s="295" customFormat="1" ht="14" thickBot="1" x14ac:dyDescent="0.2">
      <c r="A3648" s="663"/>
      <c r="B3648" s="664"/>
      <c r="C3648" s="665" t="s">
        <v>1194</v>
      </c>
      <c r="D3648" s="665"/>
      <c r="E3648" s="666">
        <f>SUM(E3613,E3642)</f>
        <v>188710.39999999997</v>
      </c>
      <c r="F3648" s="667">
        <v>32261.079999999998</v>
      </c>
      <c r="G3648" s="675">
        <f>F3648/E3648</f>
        <v>0.17095549582852881</v>
      </c>
    </row>
    <row r="3649" spans="1:6" s="295" customFormat="1" x14ac:dyDescent="0.15">
      <c r="A3649" s="655"/>
      <c r="B3649" s="591"/>
      <c r="C3649" s="413"/>
      <c r="D3649" s="413"/>
      <c r="E3649" s="669"/>
      <c r="F3649" s="670"/>
    </row>
    <row r="3650" spans="1:6" s="295" customFormat="1" x14ac:dyDescent="0.15">
      <c r="A3650" s="652" t="s">
        <v>1534</v>
      </c>
      <c r="B3650" s="653" t="s">
        <v>1614</v>
      </c>
      <c r="C3650" s="371" t="s">
        <v>1492</v>
      </c>
      <c r="D3650" s="371" t="s">
        <v>1239</v>
      </c>
      <c r="E3650" s="654">
        <v>9840</v>
      </c>
      <c r="F3650" s="391">
        <v>1513.63</v>
      </c>
    </row>
    <row r="3651" spans="1:6" s="295" customFormat="1" x14ac:dyDescent="0.15">
      <c r="A3651" s="655" t="s">
        <v>1535</v>
      </c>
      <c r="B3651" s="591" t="s">
        <v>1615</v>
      </c>
      <c r="C3651" s="287" t="s">
        <v>1507</v>
      </c>
      <c r="D3651" s="287" t="s">
        <v>1245</v>
      </c>
      <c r="E3651" s="656">
        <v>2920</v>
      </c>
      <c r="F3651" s="381">
        <v>536.04999999999995</v>
      </c>
    </row>
    <row r="3652" spans="1:6" s="295" customFormat="1" x14ac:dyDescent="0.15">
      <c r="A3652" s="655" t="s">
        <v>1670</v>
      </c>
      <c r="B3652" s="591" t="s">
        <v>1659</v>
      </c>
      <c r="C3652" s="287" t="s">
        <v>1279</v>
      </c>
      <c r="D3652" s="287" t="s">
        <v>1660</v>
      </c>
      <c r="E3652" s="656">
        <v>8480</v>
      </c>
      <c r="F3652" s="381">
        <v>1262.72</v>
      </c>
    </row>
    <row r="3653" spans="1:6" s="295" customFormat="1" x14ac:dyDescent="0.15">
      <c r="A3653" s="655" t="s">
        <v>1536</v>
      </c>
      <c r="B3653" s="591" t="s">
        <v>1616</v>
      </c>
      <c r="C3653" s="287" t="s">
        <v>1479</v>
      </c>
      <c r="D3653" s="287" t="s">
        <v>1231</v>
      </c>
      <c r="E3653" s="656">
        <v>3956</v>
      </c>
      <c r="F3653" s="381">
        <v>617.45000000000005</v>
      </c>
    </row>
    <row r="3654" spans="1:6" s="295" customFormat="1" x14ac:dyDescent="0.15">
      <c r="A3654" s="655" t="s">
        <v>1537</v>
      </c>
      <c r="B3654" s="591" t="s">
        <v>1617</v>
      </c>
      <c r="C3654" s="287" t="s">
        <v>1269</v>
      </c>
      <c r="D3654" s="287" t="s">
        <v>1270</v>
      </c>
      <c r="E3654" s="656">
        <v>4961</v>
      </c>
      <c r="F3654" s="381">
        <v>759.91</v>
      </c>
    </row>
    <row r="3655" spans="1:6" s="295" customFormat="1" x14ac:dyDescent="0.15">
      <c r="A3655" s="655" t="s">
        <v>1538</v>
      </c>
      <c r="B3655" s="591" t="s">
        <v>1618</v>
      </c>
      <c r="C3655" s="287" t="s">
        <v>1517</v>
      </c>
      <c r="D3655" s="287" t="s">
        <v>1518</v>
      </c>
      <c r="E3655" s="656">
        <v>3</v>
      </c>
      <c r="F3655" s="381">
        <v>30.31</v>
      </c>
    </row>
    <row r="3656" spans="1:6" s="295" customFormat="1" x14ac:dyDescent="0.15">
      <c r="A3656" s="655" t="s">
        <v>1540</v>
      </c>
      <c r="B3656" s="591" t="s">
        <v>1620</v>
      </c>
      <c r="C3656" s="287" t="s">
        <v>1257</v>
      </c>
      <c r="D3656" s="287" t="s">
        <v>1258</v>
      </c>
      <c r="E3656" s="656">
        <v>22000</v>
      </c>
      <c r="F3656" s="381">
        <v>3072.82</v>
      </c>
    </row>
    <row r="3657" spans="1:6" s="295" customFormat="1" x14ac:dyDescent="0.15">
      <c r="A3657" s="655" t="s">
        <v>1541</v>
      </c>
      <c r="B3657" s="591" t="s">
        <v>1621</v>
      </c>
      <c r="C3657" s="287" t="s">
        <v>1586</v>
      </c>
      <c r="D3657" s="287" t="s">
        <v>1500</v>
      </c>
      <c r="E3657" s="656">
        <v>3400</v>
      </c>
      <c r="F3657" s="381">
        <v>544.78</v>
      </c>
    </row>
    <row r="3658" spans="1:6" s="295" customFormat="1" x14ac:dyDescent="0.15">
      <c r="A3658" s="655" t="s">
        <v>1542</v>
      </c>
      <c r="B3658" s="591" t="s">
        <v>1622</v>
      </c>
      <c r="C3658" s="287" t="s">
        <v>1240</v>
      </c>
      <c r="D3658" s="287" t="s">
        <v>1467</v>
      </c>
      <c r="E3658" s="656">
        <v>4229</v>
      </c>
      <c r="F3658" s="381">
        <v>621.15</v>
      </c>
    </row>
    <row r="3659" spans="1:6" s="295" customFormat="1" x14ac:dyDescent="0.15">
      <c r="A3659" s="655" t="s">
        <v>1543</v>
      </c>
      <c r="B3659" s="591" t="s">
        <v>1623</v>
      </c>
      <c r="C3659" s="287" t="s">
        <v>1523</v>
      </c>
      <c r="D3659" s="287" t="s">
        <v>1266</v>
      </c>
      <c r="E3659" s="656">
        <v>628</v>
      </c>
      <c r="F3659" s="381">
        <v>126.06</v>
      </c>
    </row>
    <row r="3660" spans="1:6" s="295" customFormat="1" x14ac:dyDescent="0.15">
      <c r="A3660" s="655" t="s">
        <v>1715</v>
      </c>
      <c r="B3660" s="591" t="s">
        <v>1716</v>
      </c>
      <c r="C3660" s="287" t="s">
        <v>1328</v>
      </c>
      <c r="D3660" s="287" t="s">
        <v>1329</v>
      </c>
      <c r="E3660" s="656">
        <v>205</v>
      </c>
      <c r="F3660" s="381">
        <v>46.77</v>
      </c>
    </row>
    <row r="3661" spans="1:6" s="295" customFormat="1" x14ac:dyDescent="0.15">
      <c r="A3661" s="655" t="s">
        <v>1544</v>
      </c>
      <c r="B3661" s="591" t="s">
        <v>1624</v>
      </c>
      <c r="C3661" s="287" t="s">
        <v>1234</v>
      </c>
      <c r="D3661" s="287" t="s">
        <v>1494</v>
      </c>
      <c r="E3661" s="656">
        <v>4360</v>
      </c>
      <c r="F3661" s="381">
        <v>746.92</v>
      </c>
    </row>
    <row r="3662" spans="1:6" s="295" customFormat="1" x14ac:dyDescent="0.15">
      <c r="A3662" s="655" t="s">
        <v>1601</v>
      </c>
      <c r="B3662" s="591"/>
      <c r="C3662" s="287" t="s">
        <v>1334</v>
      </c>
      <c r="D3662" s="287" t="s">
        <v>1462</v>
      </c>
      <c r="E3662" s="656">
        <v>3282.8</v>
      </c>
      <c r="F3662" s="381">
        <v>674.44</v>
      </c>
    </row>
    <row r="3663" spans="1:6" s="295" customFormat="1" x14ac:dyDescent="0.15">
      <c r="A3663" s="655" t="s">
        <v>1545</v>
      </c>
      <c r="B3663" s="591"/>
      <c r="C3663" s="287" t="s">
        <v>1234</v>
      </c>
      <c r="D3663" s="287" t="s">
        <v>1494</v>
      </c>
      <c r="E3663" s="656">
        <v>75</v>
      </c>
      <c r="F3663" s="381">
        <v>18.34</v>
      </c>
    </row>
    <row r="3664" spans="1:6" s="295" customFormat="1" x14ac:dyDescent="0.15">
      <c r="A3664" s="655" t="s">
        <v>1602</v>
      </c>
      <c r="B3664" s="591"/>
      <c r="C3664" s="287" t="s">
        <v>1334</v>
      </c>
      <c r="D3664" s="287" t="s">
        <v>1462</v>
      </c>
      <c r="E3664" s="656">
        <v>183.6</v>
      </c>
      <c r="F3664" s="381">
        <v>50.33</v>
      </c>
    </row>
    <row r="3665" spans="1:6" s="295" customFormat="1" x14ac:dyDescent="0.15">
      <c r="A3665" s="655" t="s">
        <v>1546</v>
      </c>
      <c r="B3665" s="591"/>
      <c r="C3665" s="287" t="s">
        <v>1586</v>
      </c>
      <c r="D3665" s="287" t="s">
        <v>1500</v>
      </c>
      <c r="E3665" s="656">
        <v>85.8</v>
      </c>
      <c r="F3665" s="381">
        <v>29.02</v>
      </c>
    </row>
    <row r="3666" spans="1:6" s="295" customFormat="1" x14ac:dyDescent="0.15">
      <c r="A3666" s="655" t="s">
        <v>1549</v>
      </c>
      <c r="B3666" s="591" t="s">
        <v>1625</v>
      </c>
      <c r="C3666" s="287" t="s">
        <v>1459</v>
      </c>
      <c r="D3666" s="287" t="s">
        <v>1251</v>
      </c>
      <c r="E3666" s="656">
        <v>2165</v>
      </c>
      <c r="F3666" s="381">
        <v>354.82</v>
      </c>
    </row>
    <row r="3667" spans="1:6" s="295" customFormat="1" x14ac:dyDescent="0.15">
      <c r="A3667" s="655" t="s">
        <v>1603</v>
      </c>
      <c r="B3667" s="591"/>
      <c r="C3667" s="287" t="s">
        <v>1334</v>
      </c>
      <c r="D3667" s="287" t="s">
        <v>1462</v>
      </c>
      <c r="E3667" s="656">
        <v>1374.4</v>
      </c>
      <c r="F3667" s="381">
        <v>298.97000000000003</v>
      </c>
    </row>
    <row r="3668" spans="1:6" s="295" customFormat="1" x14ac:dyDescent="0.15">
      <c r="A3668" s="655" t="s">
        <v>1597</v>
      </c>
      <c r="B3668" s="591" t="s">
        <v>1626</v>
      </c>
      <c r="C3668" s="287" t="s">
        <v>1454</v>
      </c>
      <c r="D3668" s="287" t="s">
        <v>1247</v>
      </c>
      <c r="E3668" s="656">
        <v>4080</v>
      </c>
      <c r="F3668" s="381">
        <v>638.12</v>
      </c>
    </row>
    <row r="3669" spans="1:6" s="295" customFormat="1" x14ac:dyDescent="0.15">
      <c r="A3669" s="655" t="s">
        <v>1677</v>
      </c>
      <c r="B3669" s="591" t="s">
        <v>1678</v>
      </c>
      <c r="C3669" s="287" t="s">
        <v>1313</v>
      </c>
      <c r="D3669" s="287" t="s">
        <v>1412</v>
      </c>
      <c r="E3669" s="656">
        <v>1477</v>
      </c>
      <c r="F3669" s="381">
        <v>252.66</v>
      </c>
    </row>
    <row r="3670" spans="1:6" s="295" customFormat="1" x14ac:dyDescent="0.15">
      <c r="A3670" s="655" t="s">
        <v>1551</v>
      </c>
      <c r="B3670" s="591" t="s">
        <v>1627</v>
      </c>
      <c r="C3670" s="287" t="s">
        <v>1235</v>
      </c>
      <c r="D3670" s="287" t="s">
        <v>1236</v>
      </c>
      <c r="E3670" s="656">
        <v>7396</v>
      </c>
      <c r="F3670" s="381">
        <v>1104.2</v>
      </c>
    </row>
    <row r="3671" spans="1:6" s="295" customFormat="1" x14ac:dyDescent="0.15">
      <c r="A3671" s="655" t="s">
        <v>1553</v>
      </c>
      <c r="B3671" s="591" t="s">
        <v>1628</v>
      </c>
      <c r="C3671" s="287" t="s">
        <v>1475</v>
      </c>
      <c r="D3671" s="287" t="s">
        <v>1387</v>
      </c>
      <c r="E3671" s="656">
        <v>1078</v>
      </c>
      <c r="F3671" s="381">
        <v>214.03</v>
      </c>
    </row>
    <row r="3672" spans="1:6" s="295" customFormat="1" x14ac:dyDescent="0.15">
      <c r="A3672" s="655" t="s">
        <v>1554</v>
      </c>
      <c r="B3672" s="591" t="s">
        <v>1629</v>
      </c>
      <c r="C3672" s="287" t="s">
        <v>1399</v>
      </c>
      <c r="D3672" s="287" t="s">
        <v>1276</v>
      </c>
      <c r="E3672" s="656">
        <v>4320</v>
      </c>
      <c r="F3672" s="381">
        <v>718.76</v>
      </c>
    </row>
    <row r="3673" spans="1:6" s="295" customFormat="1" x14ac:dyDescent="0.15">
      <c r="A3673" s="655" t="s">
        <v>1598</v>
      </c>
      <c r="B3673" s="591"/>
      <c r="C3673" s="287" t="s">
        <v>1586</v>
      </c>
      <c r="D3673" s="287" t="s">
        <v>1500</v>
      </c>
      <c r="E3673" s="656">
        <v>42.9</v>
      </c>
      <c r="F3673" s="381">
        <v>16.41</v>
      </c>
    </row>
    <row r="3674" spans="1:6" s="295" customFormat="1" x14ac:dyDescent="0.15">
      <c r="A3674" s="655" t="s">
        <v>1662</v>
      </c>
      <c r="B3674" s="657">
        <v>892914652</v>
      </c>
      <c r="C3674" s="287" t="s">
        <v>1663</v>
      </c>
      <c r="D3674" s="287" t="s">
        <v>1664</v>
      </c>
      <c r="E3674" s="656">
        <v>9120</v>
      </c>
      <c r="F3674" s="381">
        <v>1542.65</v>
      </c>
    </row>
    <row r="3675" spans="1:6" s="295" customFormat="1" ht="14" thickBot="1" x14ac:dyDescent="0.2">
      <c r="A3675" s="655"/>
      <c r="B3675" s="591"/>
      <c r="C3675" s="291" t="s">
        <v>1707</v>
      </c>
      <c r="D3675" s="287"/>
      <c r="E3675" s="643">
        <f>SUM(E3650:E3674)</f>
        <v>99662.5</v>
      </c>
      <c r="F3675" s="658">
        <v>15791.320000000003</v>
      </c>
    </row>
    <row r="3676" spans="1:6" s="295" customFormat="1" ht="14" thickTop="1" x14ac:dyDescent="0.15">
      <c r="A3676" s="655"/>
      <c r="B3676" s="591"/>
      <c r="C3676" s="287"/>
      <c r="D3676" s="287"/>
      <c r="E3676" s="524"/>
      <c r="F3676" s="381"/>
    </row>
    <row r="3677" spans="1:6" s="295" customFormat="1" x14ac:dyDescent="0.15">
      <c r="A3677" s="655" t="s">
        <v>1556</v>
      </c>
      <c r="B3677" s="591" t="s">
        <v>1631</v>
      </c>
      <c r="C3677" s="287" t="s">
        <v>1248</v>
      </c>
      <c r="D3677" s="287" t="s">
        <v>1482</v>
      </c>
      <c r="E3677" s="656">
        <v>3186</v>
      </c>
      <c r="F3677" s="381">
        <v>506.94</v>
      </c>
    </row>
    <row r="3678" spans="1:6" s="295" customFormat="1" x14ac:dyDescent="0.15">
      <c r="A3678" s="655" t="s">
        <v>1714</v>
      </c>
      <c r="B3678" s="591"/>
      <c r="C3678" s="287" t="s">
        <v>1267</v>
      </c>
      <c r="D3678" s="287" t="s">
        <v>1268</v>
      </c>
      <c r="E3678" s="656">
        <v>42.9</v>
      </c>
      <c r="F3678" s="381">
        <v>12.28</v>
      </c>
    </row>
    <row r="3679" spans="1:6" s="295" customFormat="1" x14ac:dyDescent="0.15">
      <c r="A3679" s="655" t="s">
        <v>1558</v>
      </c>
      <c r="B3679" s="591" t="s">
        <v>1633</v>
      </c>
      <c r="C3679" s="287" t="s">
        <v>1469</v>
      </c>
      <c r="D3679" s="287" t="s">
        <v>1470</v>
      </c>
      <c r="E3679" s="656">
        <v>5280</v>
      </c>
      <c r="F3679" s="381">
        <v>888.75</v>
      </c>
    </row>
    <row r="3680" spans="1:6" s="295" customFormat="1" x14ac:dyDescent="0.15">
      <c r="A3680" s="655" t="s">
        <v>1559</v>
      </c>
      <c r="B3680" s="591" t="s">
        <v>1634</v>
      </c>
      <c r="C3680" s="287" t="s">
        <v>1502</v>
      </c>
      <c r="D3680" s="287" t="s">
        <v>1381</v>
      </c>
      <c r="E3680" s="656">
        <v>10464</v>
      </c>
      <c r="F3680" s="381">
        <v>1611.97</v>
      </c>
    </row>
    <row r="3681" spans="1:6" s="295" customFormat="1" x14ac:dyDescent="0.15">
      <c r="A3681" s="655" t="s">
        <v>1560</v>
      </c>
      <c r="B3681" s="591" t="s">
        <v>1635</v>
      </c>
      <c r="C3681" s="287" t="s">
        <v>1504</v>
      </c>
      <c r="D3681" s="287" t="s">
        <v>1505</v>
      </c>
      <c r="E3681" s="656">
        <v>1127</v>
      </c>
      <c r="F3681" s="381">
        <v>192.93</v>
      </c>
    </row>
    <row r="3682" spans="1:6" s="295" customFormat="1" x14ac:dyDescent="0.15">
      <c r="A3682" s="655" t="s">
        <v>1675</v>
      </c>
      <c r="B3682" s="591" t="s">
        <v>1676</v>
      </c>
      <c r="C3682" s="287" t="s">
        <v>1477</v>
      </c>
      <c r="D3682" s="287" t="s">
        <v>1289</v>
      </c>
      <c r="E3682" s="656">
        <v>9130</v>
      </c>
      <c r="F3682" s="381">
        <v>1417.25</v>
      </c>
    </row>
    <row r="3683" spans="1:6" s="295" customFormat="1" x14ac:dyDescent="0.15">
      <c r="A3683" s="655" t="s">
        <v>1564</v>
      </c>
      <c r="B3683" s="591" t="s">
        <v>1636</v>
      </c>
      <c r="C3683" s="287" t="s">
        <v>1485</v>
      </c>
      <c r="D3683" s="287" t="s">
        <v>1486</v>
      </c>
      <c r="E3683" s="656">
        <v>1560</v>
      </c>
      <c r="F3683" s="381">
        <v>245.05</v>
      </c>
    </row>
    <row r="3684" spans="1:6" s="295" customFormat="1" x14ac:dyDescent="0.15">
      <c r="A3684" s="655" t="s">
        <v>1565</v>
      </c>
      <c r="B3684" s="591" t="s">
        <v>1637</v>
      </c>
      <c r="C3684" s="287" t="s">
        <v>1267</v>
      </c>
      <c r="D3684" s="287" t="s">
        <v>1268</v>
      </c>
      <c r="E3684" s="656">
        <v>1802</v>
      </c>
      <c r="F3684" s="381">
        <v>357.74</v>
      </c>
    </row>
    <row r="3685" spans="1:6" s="295" customFormat="1" x14ac:dyDescent="0.15">
      <c r="A3685" s="655" t="s">
        <v>1569</v>
      </c>
      <c r="B3685" s="591" t="s">
        <v>1638</v>
      </c>
      <c r="C3685" s="287" t="s">
        <v>1464</v>
      </c>
      <c r="D3685" s="287" t="s">
        <v>1285</v>
      </c>
      <c r="E3685" s="656">
        <v>872</v>
      </c>
      <c r="F3685" s="381">
        <v>183</v>
      </c>
    </row>
    <row r="3686" spans="1:6" s="295" customFormat="1" x14ac:dyDescent="0.15">
      <c r="A3686" s="655" t="s">
        <v>1711</v>
      </c>
      <c r="B3686" s="591" t="s">
        <v>1712</v>
      </c>
      <c r="C3686" s="287" t="s">
        <v>1713</v>
      </c>
      <c r="D3686" s="287" t="s">
        <v>1419</v>
      </c>
      <c r="E3686" s="656">
        <v>1512</v>
      </c>
      <c r="F3686" s="381">
        <v>300.18</v>
      </c>
    </row>
    <row r="3687" spans="1:6" s="295" customFormat="1" x14ac:dyDescent="0.15">
      <c r="A3687" s="655" t="s">
        <v>1570</v>
      </c>
      <c r="B3687" s="591" t="s">
        <v>1639</v>
      </c>
      <c r="C3687" s="287" t="s">
        <v>1472</v>
      </c>
      <c r="D3687" s="287" t="s">
        <v>1473</v>
      </c>
      <c r="E3687" s="656">
        <v>75</v>
      </c>
      <c r="F3687" s="381">
        <v>37.64</v>
      </c>
    </row>
    <row r="3688" spans="1:6" s="295" customFormat="1" x14ac:dyDescent="0.15">
      <c r="A3688" s="655" t="s">
        <v>1571</v>
      </c>
      <c r="B3688" s="591" t="s">
        <v>1640</v>
      </c>
      <c r="C3688" s="287" t="s">
        <v>1489</v>
      </c>
      <c r="D3688" s="287" t="s">
        <v>1490</v>
      </c>
      <c r="E3688" s="656">
        <v>98</v>
      </c>
      <c r="F3688" s="381">
        <v>39.97</v>
      </c>
    </row>
    <row r="3689" spans="1:6" s="295" customFormat="1" x14ac:dyDescent="0.15">
      <c r="A3689" s="655" t="s">
        <v>1572</v>
      </c>
      <c r="B3689" s="591" t="s">
        <v>1641</v>
      </c>
      <c r="C3689" s="287" t="s">
        <v>1271</v>
      </c>
      <c r="D3689" s="287" t="s">
        <v>1272</v>
      </c>
      <c r="E3689" s="656">
        <v>4026</v>
      </c>
      <c r="F3689" s="381">
        <v>608.51</v>
      </c>
    </row>
    <row r="3690" spans="1:6" s="295" customFormat="1" x14ac:dyDescent="0.15">
      <c r="A3690" s="655" t="s">
        <v>1573</v>
      </c>
      <c r="B3690" s="591"/>
      <c r="C3690" s="287" t="s">
        <v>1461</v>
      </c>
      <c r="D3690" s="287" t="s">
        <v>1703</v>
      </c>
      <c r="E3690" s="656">
        <v>26</v>
      </c>
      <c r="F3690" s="381">
        <v>16.34</v>
      </c>
    </row>
    <row r="3691" spans="1:6" s="295" customFormat="1" x14ac:dyDescent="0.15">
      <c r="A3691" s="655" t="s">
        <v>1574</v>
      </c>
      <c r="B3691" s="591" t="s">
        <v>1642</v>
      </c>
      <c r="C3691" s="287" t="s">
        <v>1377</v>
      </c>
      <c r="D3691" s="287" t="s">
        <v>1378</v>
      </c>
      <c r="E3691" s="656">
        <v>1181</v>
      </c>
      <c r="F3691" s="381">
        <v>230.54</v>
      </c>
    </row>
    <row r="3692" spans="1:6" s="295" customFormat="1" x14ac:dyDescent="0.15">
      <c r="A3692" s="655" t="s">
        <v>1575</v>
      </c>
      <c r="B3692" s="591" t="s">
        <v>1685</v>
      </c>
      <c r="C3692" s="287" t="s">
        <v>1448</v>
      </c>
      <c r="D3692" s="287" t="s">
        <v>1449</v>
      </c>
      <c r="E3692" s="656">
        <v>106</v>
      </c>
      <c r="F3692" s="381">
        <v>25.98</v>
      </c>
    </row>
    <row r="3693" spans="1:6" s="295" customFormat="1" x14ac:dyDescent="0.15">
      <c r="A3693" s="655" t="s">
        <v>1604</v>
      </c>
      <c r="B3693" s="591"/>
      <c r="C3693" s="287" t="s">
        <v>1334</v>
      </c>
      <c r="D3693" s="287" t="s">
        <v>1462</v>
      </c>
      <c r="E3693" s="656">
        <v>214.5</v>
      </c>
      <c r="F3693" s="381">
        <v>66.930000000000007</v>
      </c>
    </row>
    <row r="3694" spans="1:6" s="295" customFormat="1" x14ac:dyDescent="0.15">
      <c r="A3694" s="655" t="s">
        <v>1576</v>
      </c>
      <c r="B3694" s="591" t="s">
        <v>1644</v>
      </c>
      <c r="C3694" s="287" t="s">
        <v>1401</v>
      </c>
      <c r="D3694" s="287" t="s">
        <v>1316</v>
      </c>
      <c r="E3694" s="656">
        <v>173</v>
      </c>
      <c r="F3694" s="381">
        <v>47.63</v>
      </c>
    </row>
    <row r="3695" spans="1:6" s="295" customFormat="1" x14ac:dyDescent="0.15">
      <c r="A3695" s="655" t="s">
        <v>1605</v>
      </c>
      <c r="B3695" s="591"/>
      <c r="C3695" s="287" t="s">
        <v>1334</v>
      </c>
      <c r="D3695" s="287" t="s">
        <v>1462</v>
      </c>
      <c r="E3695" s="656">
        <v>626</v>
      </c>
      <c r="F3695" s="381">
        <v>197.35</v>
      </c>
    </row>
    <row r="3696" spans="1:6" s="295" customFormat="1" x14ac:dyDescent="0.15">
      <c r="A3696" s="655" t="s">
        <v>1578</v>
      </c>
      <c r="B3696" s="591" t="s">
        <v>1646</v>
      </c>
      <c r="C3696" s="287" t="s">
        <v>1579</v>
      </c>
      <c r="D3696" s="287" t="s">
        <v>1497</v>
      </c>
      <c r="E3696" s="656">
        <v>0</v>
      </c>
      <c r="F3696" s="381">
        <v>0</v>
      </c>
    </row>
    <row r="3697" spans="1:7" s="295" customFormat="1" x14ac:dyDescent="0.15">
      <c r="A3697" s="655" t="s">
        <v>1580</v>
      </c>
      <c r="B3697" s="591" t="s">
        <v>1647</v>
      </c>
      <c r="C3697" s="287" t="s">
        <v>1451</v>
      </c>
      <c r="D3697" s="287" t="s">
        <v>1674</v>
      </c>
      <c r="E3697" s="656">
        <v>5760</v>
      </c>
      <c r="F3697" s="381">
        <v>2479.38</v>
      </c>
    </row>
    <row r="3698" spans="1:7" s="295" customFormat="1" x14ac:dyDescent="0.15">
      <c r="A3698" s="655" t="s">
        <v>1581</v>
      </c>
      <c r="B3698" s="591" t="s">
        <v>1648</v>
      </c>
      <c r="C3698" s="287" t="s">
        <v>1521</v>
      </c>
      <c r="D3698" s="287" t="s">
        <v>1229</v>
      </c>
      <c r="E3698" s="656">
        <v>2570</v>
      </c>
      <c r="F3698" s="381">
        <v>396.05</v>
      </c>
    </row>
    <row r="3699" spans="1:7" s="295" customFormat="1" x14ac:dyDescent="0.15">
      <c r="A3699" s="655" t="s">
        <v>1717</v>
      </c>
      <c r="B3699" s="591" t="s">
        <v>1718</v>
      </c>
      <c r="C3699" s="287" t="s">
        <v>1719</v>
      </c>
      <c r="D3699" s="287" t="s">
        <v>1720</v>
      </c>
      <c r="E3699" s="656">
        <v>429</v>
      </c>
      <c r="F3699" s="381">
        <v>81.790000000000006</v>
      </c>
      <c r="G3699" s="674">
        <f>F3699/E3699</f>
        <v>0.19065268065268068</v>
      </c>
    </row>
    <row r="3700" spans="1:7" s="295" customFormat="1" x14ac:dyDescent="0.15">
      <c r="A3700" s="655" t="s">
        <v>1582</v>
      </c>
      <c r="B3700" s="591" t="s">
        <v>1649</v>
      </c>
      <c r="C3700" s="287" t="s">
        <v>1525</v>
      </c>
      <c r="D3700" s="287" t="s">
        <v>1526</v>
      </c>
      <c r="E3700" s="656">
        <v>37</v>
      </c>
      <c r="F3700" s="381">
        <v>12.97</v>
      </c>
    </row>
    <row r="3701" spans="1:7" s="295" customFormat="1" ht="12" customHeight="1" x14ac:dyDescent="0.15">
      <c r="A3701" s="655" t="s">
        <v>1583</v>
      </c>
      <c r="B3701" s="591" t="s">
        <v>1650</v>
      </c>
      <c r="C3701" s="287" t="s">
        <v>1584</v>
      </c>
      <c r="D3701" s="618" t="s">
        <v>1264</v>
      </c>
      <c r="E3701" s="656">
        <v>1360</v>
      </c>
      <c r="F3701" s="381">
        <v>288.93</v>
      </c>
    </row>
    <row r="3702" spans="1:7" s="295" customFormat="1" x14ac:dyDescent="0.15">
      <c r="A3702" s="655" t="s">
        <v>1666</v>
      </c>
      <c r="B3702" s="591" t="s">
        <v>1672</v>
      </c>
      <c r="C3702" s="287" t="s">
        <v>1667</v>
      </c>
      <c r="D3702" s="287" t="s">
        <v>1668</v>
      </c>
      <c r="E3702" s="656">
        <v>25344</v>
      </c>
      <c r="F3702" s="381">
        <v>5533.19</v>
      </c>
    </row>
    <row r="3703" spans="1:7" s="295" customFormat="1" x14ac:dyDescent="0.15">
      <c r="A3703" s="655" t="s">
        <v>1606</v>
      </c>
      <c r="B3703" s="591"/>
      <c r="C3703" s="287" t="s">
        <v>1334</v>
      </c>
      <c r="D3703" s="287" t="s">
        <v>1462</v>
      </c>
      <c r="E3703" s="656">
        <v>75</v>
      </c>
      <c r="F3703" s="381">
        <v>14.82</v>
      </c>
    </row>
    <row r="3704" spans="1:7" s="295" customFormat="1" ht="14" thickBot="1" x14ac:dyDescent="0.2">
      <c r="A3704" s="655"/>
      <c r="B3704" s="591"/>
      <c r="C3704" s="291" t="s">
        <v>1708</v>
      </c>
      <c r="D3704" s="287"/>
      <c r="E3704" s="643">
        <f>SUM(E3677:E3703)</f>
        <v>77076.399999999994</v>
      </c>
      <c r="F3704" s="658">
        <v>15794.11</v>
      </c>
    </row>
    <row r="3705" spans="1:7" s="295" customFormat="1" ht="14" thickTop="1" x14ac:dyDescent="0.15">
      <c r="A3705" s="655"/>
      <c r="B3705" s="591"/>
      <c r="C3705" s="287"/>
      <c r="D3705" s="287"/>
      <c r="E3705" s="524"/>
      <c r="F3705" s="381"/>
    </row>
    <row r="3706" spans="1:7" s="295" customFormat="1" x14ac:dyDescent="0.15">
      <c r="A3706" s="655"/>
      <c r="B3706" s="591"/>
      <c r="C3706" s="293" t="s">
        <v>1441</v>
      </c>
      <c r="D3706" s="287"/>
      <c r="E3706" s="524"/>
      <c r="F3706" s="381"/>
    </row>
    <row r="3707" spans="1:7" s="295" customFormat="1" x14ac:dyDescent="0.15">
      <c r="A3707" s="655"/>
      <c r="B3707" s="591"/>
      <c r="C3707" s="293" t="s">
        <v>1446</v>
      </c>
      <c r="D3707" s="287"/>
      <c r="E3707" s="524"/>
      <c r="F3707" s="381"/>
    </row>
    <row r="3708" spans="1:7" s="295" customFormat="1" x14ac:dyDescent="0.15">
      <c r="A3708" s="655"/>
      <c r="B3708" s="591"/>
      <c r="C3708" s="386">
        <v>42825</v>
      </c>
      <c r="D3708" s="287"/>
      <c r="E3708" s="524"/>
      <c r="F3708" s="381"/>
    </row>
    <row r="3709" spans="1:7" s="295" customFormat="1" x14ac:dyDescent="0.15">
      <c r="A3709" s="655"/>
      <c r="B3709" s="591"/>
      <c r="C3709" s="287"/>
      <c r="D3709" s="287"/>
      <c r="E3709" s="524"/>
      <c r="F3709" s="381"/>
    </row>
    <row r="3710" spans="1:7" s="295" customFormat="1" ht="14" thickBot="1" x14ac:dyDescent="0.2">
      <c r="A3710" s="663"/>
      <c r="B3710" s="664"/>
      <c r="C3710" s="665" t="s">
        <v>1195</v>
      </c>
      <c r="D3710" s="665"/>
      <c r="E3710" s="666">
        <f>SUM(E3675,E3704)</f>
        <v>176738.9</v>
      </c>
      <c r="F3710" s="667">
        <v>31585.430000000004</v>
      </c>
    </row>
    <row r="3711" spans="1:7" s="295" customFormat="1" x14ac:dyDescent="0.15">
      <c r="A3711" s="655"/>
      <c r="B3711" s="591"/>
      <c r="C3711" s="413"/>
      <c r="D3711" s="413"/>
      <c r="E3711" s="669"/>
      <c r="F3711" s="670"/>
    </row>
    <row r="3712" spans="1:7" s="295" customFormat="1" x14ac:dyDescent="0.15">
      <c r="A3712" s="652" t="s">
        <v>1534</v>
      </c>
      <c r="B3712" s="653" t="s">
        <v>1614</v>
      </c>
      <c r="C3712" s="371" t="s">
        <v>1492</v>
      </c>
      <c r="D3712" s="371" t="s">
        <v>1239</v>
      </c>
      <c r="E3712" s="654">
        <v>12000</v>
      </c>
      <c r="F3712" s="391">
        <v>1741.56</v>
      </c>
    </row>
    <row r="3713" spans="1:6" s="295" customFormat="1" x14ac:dyDescent="0.15">
      <c r="A3713" s="655" t="s">
        <v>1535</v>
      </c>
      <c r="B3713" s="591" t="s">
        <v>1615</v>
      </c>
      <c r="C3713" s="287" t="s">
        <v>1507</v>
      </c>
      <c r="D3713" s="287" t="s">
        <v>1245</v>
      </c>
      <c r="E3713" s="656">
        <v>2760</v>
      </c>
      <c r="F3713" s="381">
        <v>487.65</v>
      </c>
    </row>
    <row r="3714" spans="1:6" s="295" customFormat="1" x14ac:dyDescent="0.15">
      <c r="A3714" s="655" t="s">
        <v>1670</v>
      </c>
      <c r="B3714" s="591" t="s">
        <v>1659</v>
      </c>
      <c r="C3714" s="287" t="s">
        <v>1279</v>
      </c>
      <c r="D3714" s="287" t="s">
        <v>1660</v>
      </c>
      <c r="E3714" s="656">
        <v>8800</v>
      </c>
      <c r="F3714" s="381">
        <v>1255.1600000000001</v>
      </c>
    </row>
    <row r="3715" spans="1:6" s="295" customFormat="1" x14ac:dyDescent="0.15">
      <c r="A3715" s="655" t="s">
        <v>1536</v>
      </c>
      <c r="B3715" s="591" t="s">
        <v>1616</v>
      </c>
      <c r="C3715" s="287" t="s">
        <v>1479</v>
      </c>
      <c r="D3715" s="287" t="s">
        <v>1231</v>
      </c>
      <c r="E3715" s="656">
        <v>4611</v>
      </c>
      <c r="F3715" s="381">
        <v>692.16</v>
      </c>
    </row>
    <row r="3716" spans="1:6" s="295" customFormat="1" x14ac:dyDescent="0.15">
      <c r="A3716" s="655" t="s">
        <v>1537</v>
      </c>
      <c r="B3716" s="591" t="s">
        <v>1617</v>
      </c>
      <c r="C3716" s="287" t="s">
        <v>1269</v>
      </c>
      <c r="D3716" s="287" t="s">
        <v>1270</v>
      </c>
      <c r="E3716" s="656">
        <v>4473</v>
      </c>
      <c r="F3716" s="381">
        <v>662.05</v>
      </c>
    </row>
    <row r="3717" spans="1:6" s="295" customFormat="1" x14ac:dyDescent="0.15">
      <c r="A3717" s="655" t="s">
        <v>1538</v>
      </c>
      <c r="B3717" s="591" t="s">
        <v>1618</v>
      </c>
      <c r="C3717" s="287" t="s">
        <v>1517</v>
      </c>
      <c r="D3717" s="287" t="s">
        <v>1518</v>
      </c>
      <c r="E3717" s="656">
        <v>4</v>
      </c>
      <c r="F3717" s="381">
        <v>30.41</v>
      </c>
    </row>
    <row r="3718" spans="1:6" s="295" customFormat="1" x14ac:dyDescent="0.15">
      <c r="A3718" s="655" t="s">
        <v>1540</v>
      </c>
      <c r="B3718" s="591" t="s">
        <v>1620</v>
      </c>
      <c r="C3718" s="287" t="s">
        <v>1257</v>
      </c>
      <c r="D3718" s="287" t="s">
        <v>1258</v>
      </c>
      <c r="E3718" s="656">
        <v>23200</v>
      </c>
      <c r="F3718" s="381">
        <v>3275.3</v>
      </c>
    </row>
    <row r="3719" spans="1:6" s="295" customFormat="1" x14ac:dyDescent="0.15">
      <c r="A3719" s="655" t="s">
        <v>1541</v>
      </c>
      <c r="B3719" s="591" t="s">
        <v>1621</v>
      </c>
      <c r="C3719" s="287" t="s">
        <v>1586</v>
      </c>
      <c r="D3719" s="287" t="s">
        <v>1500</v>
      </c>
      <c r="E3719" s="656">
        <v>3240</v>
      </c>
      <c r="F3719" s="381">
        <v>568.65</v>
      </c>
    </row>
    <row r="3720" spans="1:6" s="295" customFormat="1" x14ac:dyDescent="0.15">
      <c r="A3720" s="655" t="s">
        <v>1542</v>
      </c>
      <c r="B3720" s="591" t="s">
        <v>1622</v>
      </c>
      <c r="C3720" s="287" t="s">
        <v>1240</v>
      </c>
      <c r="D3720" s="287" t="s">
        <v>1467</v>
      </c>
      <c r="E3720" s="656">
        <v>4327</v>
      </c>
      <c r="F3720" s="381">
        <v>623.12</v>
      </c>
    </row>
    <row r="3721" spans="1:6" s="295" customFormat="1" x14ac:dyDescent="0.15">
      <c r="A3721" s="655" t="s">
        <v>1543</v>
      </c>
      <c r="B3721" s="591" t="s">
        <v>1623</v>
      </c>
      <c r="C3721" s="287" t="s">
        <v>1523</v>
      </c>
      <c r="D3721" s="287" t="s">
        <v>1266</v>
      </c>
      <c r="E3721" s="656">
        <v>655</v>
      </c>
      <c r="F3721" s="381">
        <v>144.88</v>
      </c>
    </row>
    <row r="3722" spans="1:6" s="295" customFormat="1" x14ac:dyDescent="0.15">
      <c r="A3722" s="655" t="s">
        <v>1715</v>
      </c>
      <c r="B3722" s="591" t="s">
        <v>1716</v>
      </c>
      <c r="C3722" s="287" t="s">
        <v>1328</v>
      </c>
      <c r="D3722" s="287" t="s">
        <v>1329</v>
      </c>
      <c r="E3722" s="656">
        <v>158</v>
      </c>
      <c r="F3722" s="381">
        <v>37.44</v>
      </c>
    </row>
    <row r="3723" spans="1:6" s="295" customFormat="1" x14ac:dyDescent="0.15">
      <c r="A3723" s="655" t="s">
        <v>1544</v>
      </c>
      <c r="B3723" s="591" t="s">
        <v>1624</v>
      </c>
      <c r="C3723" s="287" t="s">
        <v>1234</v>
      </c>
      <c r="D3723" s="287" t="s">
        <v>1494</v>
      </c>
      <c r="E3723" s="656">
        <v>4535</v>
      </c>
      <c r="F3723" s="381">
        <v>740.64</v>
      </c>
    </row>
    <row r="3724" spans="1:6" s="295" customFormat="1" x14ac:dyDescent="0.15">
      <c r="A3724" s="655" t="s">
        <v>1601</v>
      </c>
      <c r="B3724" s="591"/>
      <c r="C3724" s="287" t="s">
        <v>1334</v>
      </c>
      <c r="D3724" s="287" t="s">
        <v>1462</v>
      </c>
      <c r="E3724" s="656">
        <v>2798.5</v>
      </c>
      <c r="F3724" s="381">
        <v>616.41</v>
      </c>
    </row>
    <row r="3725" spans="1:6" s="295" customFormat="1" x14ac:dyDescent="0.15">
      <c r="A3725" s="655" t="s">
        <v>1545</v>
      </c>
      <c r="B3725" s="591"/>
      <c r="C3725" s="287" t="s">
        <v>1234</v>
      </c>
      <c r="D3725" s="287" t="s">
        <v>1494</v>
      </c>
      <c r="E3725" s="656">
        <v>63.8</v>
      </c>
      <c r="F3725" s="381">
        <v>17.010000000000002</v>
      </c>
    </row>
    <row r="3726" spans="1:6" s="295" customFormat="1" x14ac:dyDescent="0.15">
      <c r="A3726" s="655" t="s">
        <v>1602</v>
      </c>
      <c r="B3726" s="591"/>
      <c r="C3726" s="287" t="s">
        <v>1334</v>
      </c>
      <c r="D3726" s="287" t="s">
        <v>1462</v>
      </c>
      <c r="E3726" s="656">
        <v>156.6</v>
      </c>
      <c r="F3726" s="381">
        <v>47.09</v>
      </c>
    </row>
    <row r="3727" spans="1:6" s="295" customFormat="1" x14ac:dyDescent="0.15">
      <c r="A3727" s="655" t="s">
        <v>1546</v>
      </c>
      <c r="B3727" s="591"/>
      <c r="C3727" s="287" t="s">
        <v>1586</v>
      </c>
      <c r="D3727" s="287" t="s">
        <v>1500</v>
      </c>
      <c r="E3727" s="656">
        <v>73.2</v>
      </c>
      <c r="F3727" s="381">
        <v>27.51</v>
      </c>
    </row>
    <row r="3728" spans="1:6" s="295" customFormat="1" x14ac:dyDescent="0.15">
      <c r="A3728" s="655" t="s">
        <v>1549</v>
      </c>
      <c r="B3728" s="591" t="s">
        <v>1625</v>
      </c>
      <c r="C3728" s="287" t="s">
        <v>1459</v>
      </c>
      <c r="D3728" s="287" t="s">
        <v>1251</v>
      </c>
      <c r="E3728" s="656">
        <v>2089</v>
      </c>
      <c r="F3728" s="381">
        <v>347.07</v>
      </c>
    </row>
    <row r="3729" spans="1:6" s="295" customFormat="1" x14ac:dyDescent="0.15">
      <c r="A3729" s="655" t="s">
        <v>1603</v>
      </c>
      <c r="B3729" s="591"/>
      <c r="C3729" s="287" t="s">
        <v>1334</v>
      </c>
      <c r="D3729" s="287" t="s">
        <v>1462</v>
      </c>
      <c r="E3729" s="656">
        <v>1170.4000000000001</v>
      </c>
      <c r="F3729" s="381">
        <v>274.56</v>
      </c>
    </row>
    <row r="3730" spans="1:6" s="295" customFormat="1" x14ac:dyDescent="0.15">
      <c r="A3730" s="655" t="s">
        <v>1597</v>
      </c>
      <c r="B3730" s="591" t="s">
        <v>1626</v>
      </c>
      <c r="C3730" s="287" t="s">
        <v>1454</v>
      </c>
      <c r="D3730" s="287" t="s">
        <v>1247</v>
      </c>
      <c r="E3730" s="656">
        <v>4600</v>
      </c>
      <c r="F3730" s="381">
        <v>707.12</v>
      </c>
    </row>
    <row r="3731" spans="1:6" s="295" customFormat="1" x14ac:dyDescent="0.15">
      <c r="A3731" s="655" t="s">
        <v>1677</v>
      </c>
      <c r="B3731" s="591" t="s">
        <v>1678</v>
      </c>
      <c r="C3731" s="287" t="s">
        <v>1313</v>
      </c>
      <c r="D3731" s="287" t="s">
        <v>1412</v>
      </c>
      <c r="E3731" s="656">
        <v>1302</v>
      </c>
      <c r="F3731" s="381">
        <v>226.79</v>
      </c>
    </row>
    <row r="3732" spans="1:6" s="295" customFormat="1" x14ac:dyDescent="0.15">
      <c r="A3732" s="655" t="s">
        <v>1551</v>
      </c>
      <c r="B3732" s="591" t="s">
        <v>1627</v>
      </c>
      <c r="C3732" s="287" t="s">
        <v>1235</v>
      </c>
      <c r="D3732" s="287" t="s">
        <v>1236</v>
      </c>
      <c r="E3732" s="656">
        <v>8100</v>
      </c>
      <c r="F3732" s="381">
        <v>1175.8599999999999</v>
      </c>
    </row>
    <row r="3733" spans="1:6" s="295" customFormat="1" x14ac:dyDescent="0.15">
      <c r="A3733" s="655" t="s">
        <v>1553</v>
      </c>
      <c r="B3733" s="591" t="s">
        <v>1628</v>
      </c>
      <c r="C3733" s="287" t="s">
        <v>1475</v>
      </c>
      <c r="D3733" s="287" t="s">
        <v>1387</v>
      </c>
      <c r="E3733" s="656">
        <v>1154</v>
      </c>
      <c r="F3733" s="381">
        <v>229.12</v>
      </c>
    </row>
    <row r="3734" spans="1:6" s="295" customFormat="1" x14ac:dyDescent="0.15">
      <c r="A3734" s="655" t="s">
        <v>1554</v>
      </c>
      <c r="B3734" s="591" t="s">
        <v>1629</v>
      </c>
      <c r="C3734" s="287" t="s">
        <v>1399</v>
      </c>
      <c r="D3734" s="287" t="s">
        <v>1276</v>
      </c>
      <c r="E3734" s="656">
        <v>4160</v>
      </c>
      <c r="F3734" s="381">
        <v>694.41</v>
      </c>
    </row>
    <row r="3735" spans="1:6" s="295" customFormat="1" x14ac:dyDescent="0.15">
      <c r="A3735" s="655" t="s">
        <v>1598</v>
      </c>
      <c r="B3735" s="591"/>
      <c r="C3735" s="287" t="s">
        <v>1586</v>
      </c>
      <c r="D3735" s="287" t="s">
        <v>1500</v>
      </c>
      <c r="E3735" s="656">
        <v>36.6</v>
      </c>
      <c r="F3735" s="381">
        <v>15.64</v>
      </c>
    </row>
    <row r="3736" spans="1:6" s="295" customFormat="1" x14ac:dyDescent="0.15">
      <c r="A3736" s="655" t="s">
        <v>1662</v>
      </c>
      <c r="B3736" s="657">
        <v>892914652</v>
      </c>
      <c r="C3736" s="287" t="s">
        <v>1663</v>
      </c>
      <c r="D3736" s="287" t="s">
        <v>1664</v>
      </c>
      <c r="E3736" s="656">
        <v>11840</v>
      </c>
      <c r="F3736" s="381">
        <v>1897.58</v>
      </c>
    </row>
    <row r="3737" spans="1:6" s="295" customFormat="1" ht="14" thickBot="1" x14ac:dyDescent="0.2">
      <c r="A3737" s="655"/>
      <c r="B3737" s="591"/>
      <c r="C3737" s="291" t="s">
        <v>1709</v>
      </c>
      <c r="D3737" s="287"/>
      <c r="E3737" s="643">
        <f>SUM(E3712:E3736)</f>
        <v>106307.1</v>
      </c>
      <c r="F3737" s="658">
        <v>16535.190000000002</v>
      </c>
    </row>
    <row r="3738" spans="1:6" s="295" customFormat="1" ht="14" thickTop="1" x14ac:dyDescent="0.15">
      <c r="A3738" s="655"/>
      <c r="B3738" s="591"/>
      <c r="C3738" s="287"/>
      <c r="D3738" s="287"/>
      <c r="E3738" s="524"/>
      <c r="F3738" s="381"/>
    </row>
    <row r="3739" spans="1:6" s="295" customFormat="1" x14ac:dyDescent="0.15">
      <c r="A3739" s="655" t="s">
        <v>1556</v>
      </c>
      <c r="B3739" s="591" t="s">
        <v>1631</v>
      </c>
      <c r="C3739" s="287" t="s">
        <v>1248</v>
      </c>
      <c r="D3739" s="287" t="s">
        <v>1482</v>
      </c>
      <c r="E3739" s="656">
        <v>3631</v>
      </c>
      <c r="F3739" s="381">
        <v>592.4</v>
      </c>
    </row>
    <row r="3740" spans="1:6" s="295" customFormat="1" x14ac:dyDescent="0.15">
      <c r="A3740" s="655" t="s">
        <v>1714</v>
      </c>
      <c r="B3740" s="591"/>
      <c r="C3740" s="287" t="s">
        <v>1267</v>
      </c>
      <c r="D3740" s="287" t="s">
        <v>1268</v>
      </c>
      <c r="E3740" s="656">
        <f>3.5+33.1</f>
        <v>36.6</v>
      </c>
      <c r="F3740" s="381">
        <v>11.11</v>
      </c>
    </row>
    <row r="3741" spans="1:6" s="295" customFormat="1" x14ac:dyDescent="0.15">
      <c r="A3741" s="655" t="s">
        <v>1558</v>
      </c>
      <c r="B3741" s="591" t="s">
        <v>1633</v>
      </c>
      <c r="C3741" s="287" t="s">
        <v>1469</v>
      </c>
      <c r="D3741" s="287" t="s">
        <v>1470</v>
      </c>
      <c r="E3741" s="656">
        <v>5600</v>
      </c>
      <c r="F3741" s="381">
        <v>865.15</v>
      </c>
    </row>
    <row r="3742" spans="1:6" s="295" customFormat="1" x14ac:dyDescent="0.15">
      <c r="A3742" s="655" t="s">
        <v>1559</v>
      </c>
      <c r="B3742" s="591" t="s">
        <v>1634</v>
      </c>
      <c r="C3742" s="287" t="s">
        <v>1502</v>
      </c>
      <c r="D3742" s="287" t="s">
        <v>1381</v>
      </c>
      <c r="E3742" s="656">
        <v>12768</v>
      </c>
      <c r="F3742" s="381">
        <v>1935.22</v>
      </c>
    </row>
    <row r="3743" spans="1:6" s="295" customFormat="1" x14ac:dyDescent="0.15">
      <c r="A3743" s="655" t="s">
        <v>1560</v>
      </c>
      <c r="B3743" s="591" t="s">
        <v>1635</v>
      </c>
      <c r="C3743" s="287" t="s">
        <v>1504</v>
      </c>
      <c r="D3743" s="287" t="s">
        <v>1505</v>
      </c>
      <c r="E3743" s="656">
        <v>1390</v>
      </c>
      <c r="F3743" s="381">
        <v>211.68</v>
      </c>
    </row>
    <row r="3744" spans="1:6" s="295" customFormat="1" x14ac:dyDescent="0.15">
      <c r="A3744" s="655" t="s">
        <v>1675</v>
      </c>
      <c r="B3744" s="591" t="s">
        <v>1676</v>
      </c>
      <c r="C3744" s="287" t="s">
        <v>1477</v>
      </c>
      <c r="D3744" s="287" t="s">
        <v>1289</v>
      </c>
      <c r="E3744" s="656">
        <v>10650</v>
      </c>
      <c r="F3744" s="381">
        <v>1692.46</v>
      </c>
    </row>
    <row r="3745" spans="1:6" s="295" customFormat="1" x14ac:dyDescent="0.15">
      <c r="A3745" s="655" t="s">
        <v>1564</v>
      </c>
      <c r="B3745" s="591" t="s">
        <v>1636</v>
      </c>
      <c r="C3745" s="287" t="s">
        <v>1485</v>
      </c>
      <c r="D3745" s="287" t="s">
        <v>1486</v>
      </c>
      <c r="E3745" s="656">
        <v>1640</v>
      </c>
      <c r="F3745" s="381">
        <v>253.18</v>
      </c>
    </row>
    <row r="3746" spans="1:6" s="295" customFormat="1" x14ac:dyDescent="0.15">
      <c r="A3746" s="655" t="s">
        <v>1565</v>
      </c>
      <c r="B3746" s="591" t="s">
        <v>1637</v>
      </c>
      <c r="C3746" s="287" t="s">
        <v>1267</v>
      </c>
      <c r="D3746" s="287" t="s">
        <v>1268</v>
      </c>
      <c r="E3746" s="656">
        <v>1871</v>
      </c>
      <c r="F3746" s="381">
        <v>371.43</v>
      </c>
    </row>
    <row r="3747" spans="1:6" s="295" customFormat="1" x14ac:dyDescent="0.15">
      <c r="A3747" s="655" t="s">
        <v>1569</v>
      </c>
      <c r="B3747" s="591" t="s">
        <v>1638</v>
      </c>
      <c r="C3747" s="287" t="s">
        <v>1464</v>
      </c>
      <c r="D3747" s="287" t="s">
        <v>1285</v>
      </c>
      <c r="E3747" s="656">
        <v>906</v>
      </c>
      <c r="F3747" s="381">
        <v>186.48</v>
      </c>
    </row>
    <row r="3748" spans="1:6" s="295" customFormat="1" x14ac:dyDescent="0.15">
      <c r="A3748" s="655" t="s">
        <v>1711</v>
      </c>
      <c r="B3748" s="591" t="s">
        <v>1712</v>
      </c>
      <c r="C3748" s="287" t="s">
        <v>1713</v>
      </c>
      <c r="D3748" s="287" t="s">
        <v>1419</v>
      </c>
      <c r="E3748" s="656">
        <v>943</v>
      </c>
      <c r="F3748" s="381">
        <v>187.22</v>
      </c>
    </row>
    <row r="3749" spans="1:6" s="295" customFormat="1" x14ac:dyDescent="0.15">
      <c r="A3749" s="655" t="s">
        <v>1570</v>
      </c>
      <c r="B3749" s="591" t="s">
        <v>1639</v>
      </c>
      <c r="C3749" s="287" t="s">
        <v>1472</v>
      </c>
      <c r="D3749" s="287" t="s">
        <v>1473</v>
      </c>
      <c r="E3749" s="656">
        <v>94</v>
      </c>
      <c r="F3749" s="381">
        <v>39.58</v>
      </c>
    </row>
    <row r="3750" spans="1:6" s="295" customFormat="1" x14ac:dyDescent="0.15">
      <c r="A3750" s="655" t="s">
        <v>1571</v>
      </c>
      <c r="B3750" s="591" t="s">
        <v>1640</v>
      </c>
      <c r="C3750" s="287" t="s">
        <v>1489</v>
      </c>
      <c r="D3750" s="287" t="s">
        <v>1490</v>
      </c>
      <c r="E3750" s="656">
        <v>119</v>
      </c>
      <c r="F3750" s="381">
        <v>42.12</v>
      </c>
    </row>
    <row r="3751" spans="1:6" s="295" customFormat="1" x14ac:dyDescent="0.15">
      <c r="A3751" s="655" t="s">
        <v>1572</v>
      </c>
      <c r="B3751" s="591" t="s">
        <v>1641</v>
      </c>
      <c r="C3751" s="287" t="s">
        <v>1271</v>
      </c>
      <c r="D3751" s="287" t="s">
        <v>1272</v>
      </c>
      <c r="E3751" s="656">
        <v>4448</v>
      </c>
      <c r="F3751" s="381">
        <v>651.49</v>
      </c>
    </row>
    <row r="3752" spans="1:6" s="295" customFormat="1" x14ac:dyDescent="0.15">
      <c r="A3752" s="655" t="s">
        <v>1573</v>
      </c>
      <c r="B3752" s="591"/>
      <c r="C3752" s="287" t="s">
        <v>1461</v>
      </c>
      <c r="D3752" s="287" t="s">
        <v>1703</v>
      </c>
      <c r="E3752" s="656">
        <v>26</v>
      </c>
      <c r="F3752" s="381">
        <v>16.34</v>
      </c>
    </row>
    <row r="3753" spans="1:6" s="295" customFormat="1" x14ac:dyDescent="0.15">
      <c r="A3753" s="655" t="s">
        <v>1574</v>
      </c>
      <c r="B3753" s="591" t="s">
        <v>1642</v>
      </c>
      <c r="C3753" s="287" t="s">
        <v>1377</v>
      </c>
      <c r="D3753" s="287" t="s">
        <v>1378</v>
      </c>
      <c r="E3753" s="656">
        <v>1540</v>
      </c>
      <c r="F3753" s="381">
        <v>267.08</v>
      </c>
    </row>
    <row r="3754" spans="1:6" s="295" customFormat="1" x14ac:dyDescent="0.15">
      <c r="A3754" s="655" t="s">
        <v>1575</v>
      </c>
      <c r="B3754" s="591" t="s">
        <v>1685</v>
      </c>
      <c r="C3754" s="287" t="s">
        <v>1448</v>
      </c>
      <c r="D3754" s="287" t="s">
        <v>1449</v>
      </c>
      <c r="E3754" s="656">
        <v>10</v>
      </c>
      <c r="F3754" s="381">
        <v>7.92</v>
      </c>
    </row>
    <row r="3755" spans="1:6" s="295" customFormat="1" x14ac:dyDescent="0.15">
      <c r="A3755" s="655" t="s">
        <v>1604</v>
      </c>
      <c r="B3755" s="591"/>
      <c r="C3755" s="287" t="s">
        <v>1334</v>
      </c>
      <c r="D3755" s="287" t="s">
        <v>1462</v>
      </c>
      <c r="E3755" s="656">
        <v>183</v>
      </c>
      <c r="F3755" s="381">
        <v>63.17</v>
      </c>
    </row>
    <row r="3756" spans="1:6" s="295" customFormat="1" x14ac:dyDescent="0.15">
      <c r="A3756" s="655" t="s">
        <v>1576</v>
      </c>
      <c r="B3756" s="591" t="s">
        <v>1644</v>
      </c>
      <c r="C3756" s="287" t="s">
        <v>1401</v>
      </c>
      <c r="D3756" s="287" t="s">
        <v>1316</v>
      </c>
      <c r="E3756" s="656">
        <v>120</v>
      </c>
      <c r="F3756" s="381">
        <v>42.23</v>
      </c>
    </row>
    <row r="3757" spans="1:6" s="295" customFormat="1" x14ac:dyDescent="0.15">
      <c r="A3757" s="655" t="s">
        <v>1605</v>
      </c>
      <c r="B3757" s="591"/>
      <c r="C3757" s="287" t="s">
        <v>1334</v>
      </c>
      <c r="D3757" s="287" t="s">
        <v>1462</v>
      </c>
      <c r="E3757" s="656">
        <v>534</v>
      </c>
      <c r="F3757" s="381">
        <v>186.33</v>
      </c>
    </row>
    <row r="3758" spans="1:6" s="295" customFormat="1" x14ac:dyDescent="0.15">
      <c r="A3758" s="655" t="s">
        <v>1578</v>
      </c>
      <c r="B3758" s="591" t="s">
        <v>1646</v>
      </c>
      <c r="C3758" s="287" t="s">
        <v>1579</v>
      </c>
      <c r="D3758" s="287" t="s">
        <v>1497</v>
      </c>
      <c r="E3758" s="656">
        <f>15+19</f>
        <v>34</v>
      </c>
      <c r="F3758" s="381">
        <v>63.47</v>
      </c>
    </row>
    <row r="3759" spans="1:6" s="295" customFormat="1" x14ac:dyDescent="0.15">
      <c r="A3759" s="655" t="s">
        <v>1580</v>
      </c>
      <c r="B3759" s="591" t="s">
        <v>1647</v>
      </c>
      <c r="C3759" s="287" t="s">
        <v>1451</v>
      </c>
      <c r="D3759" s="287" t="s">
        <v>1674</v>
      </c>
      <c r="E3759" s="656">
        <v>8256</v>
      </c>
      <c r="F3759" s="381">
        <v>2749.57</v>
      </c>
    </row>
    <row r="3760" spans="1:6" s="295" customFormat="1" x14ac:dyDescent="0.15">
      <c r="A3760" s="655" t="s">
        <v>1581</v>
      </c>
      <c r="B3760" s="591" t="s">
        <v>1648</v>
      </c>
      <c r="C3760" s="287" t="s">
        <v>1521</v>
      </c>
      <c r="D3760" s="287" t="s">
        <v>1229</v>
      </c>
      <c r="E3760" s="656">
        <v>2392</v>
      </c>
      <c r="F3760" s="381">
        <v>377.94</v>
      </c>
    </row>
    <row r="3761" spans="1:7" s="295" customFormat="1" x14ac:dyDescent="0.15">
      <c r="A3761" s="655" t="s">
        <v>1717</v>
      </c>
      <c r="B3761" s="591" t="s">
        <v>1718</v>
      </c>
      <c r="C3761" s="287" t="s">
        <v>1719</v>
      </c>
      <c r="D3761" s="287" t="s">
        <v>1720</v>
      </c>
      <c r="E3761" s="656">
        <v>581</v>
      </c>
      <c r="F3761" s="381">
        <v>100.13</v>
      </c>
      <c r="G3761" s="674">
        <f>F3761/E3761</f>
        <v>0.1723407917383821</v>
      </c>
    </row>
    <row r="3762" spans="1:7" s="295" customFormat="1" x14ac:dyDescent="0.15">
      <c r="A3762" s="655" t="s">
        <v>1582</v>
      </c>
      <c r="B3762" s="591" t="s">
        <v>1649</v>
      </c>
      <c r="C3762" s="287" t="s">
        <v>1525</v>
      </c>
      <c r="D3762" s="287" t="s">
        <v>1526</v>
      </c>
      <c r="E3762" s="656">
        <v>39</v>
      </c>
      <c r="F3762" s="381">
        <v>13.36</v>
      </c>
    </row>
    <row r="3763" spans="1:7" s="295" customFormat="1" ht="14" x14ac:dyDescent="0.15">
      <c r="A3763" s="655" t="s">
        <v>1583</v>
      </c>
      <c r="B3763" s="591" t="s">
        <v>1650</v>
      </c>
      <c r="C3763" s="287" t="s">
        <v>1584</v>
      </c>
      <c r="D3763" s="618" t="s">
        <v>1264</v>
      </c>
      <c r="E3763" s="656">
        <v>1240</v>
      </c>
      <c r="F3763" s="381">
        <v>292.77</v>
      </c>
    </row>
    <row r="3764" spans="1:7" s="295" customFormat="1" x14ac:dyDescent="0.15">
      <c r="A3764" s="655" t="s">
        <v>1666</v>
      </c>
      <c r="B3764" s="591" t="s">
        <v>1672</v>
      </c>
      <c r="C3764" s="287" t="s">
        <v>1667</v>
      </c>
      <c r="D3764" s="287" t="s">
        <v>1668</v>
      </c>
      <c r="E3764" s="656">
        <v>21696</v>
      </c>
      <c r="F3764" s="381">
        <v>5314.38</v>
      </c>
    </row>
    <row r="3765" spans="1:7" s="295" customFormat="1" x14ac:dyDescent="0.15">
      <c r="A3765" s="655" t="s">
        <v>1606</v>
      </c>
      <c r="B3765" s="591"/>
      <c r="C3765" s="287" t="s">
        <v>1334</v>
      </c>
      <c r="D3765" s="287" t="s">
        <v>1462</v>
      </c>
      <c r="E3765" s="656">
        <v>63.8</v>
      </c>
      <c r="F3765" s="381">
        <v>13.49</v>
      </c>
    </row>
    <row r="3766" spans="1:7" s="295" customFormat="1" ht="14" thickBot="1" x14ac:dyDescent="0.2">
      <c r="A3766" s="655"/>
      <c r="B3766" s="591"/>
      <c r="C3766" s="291" t="s">
        <v>1710</v>
      </c>
      <c r="D3766" s="287"/>
      <c r="E3766" s="643">
        <f>SUM(E3739:E3765)</f>
        <v>80811.400000000009</v>
      </c>
      <c r="F3766" s="658">
        <v>16547.700000000004</v>
      </c>
    </row>
    <row r="3767" spans="1:7" s="295" customFormat="1" ht="14" thickTop="1" x14ac:dyDescent="0.15">
      <c r="A3767" s="655"/>
      <c r="B3767" s="591"/>
      <c r="C3767" s="287"/>
      <c r="D3767" s="287"/>
      <c r="E3767" s="524"/>
      <c r="F3767" s="381"/>
    </row>
    <row r="3768" spans="1:7" s="295" customFormat="1" x14ac:dyDescent="0.15">
      <c r="A3768" s="655"/>
      <c r="B3768" s="591"/>
      <c r="C3768" s="293" t="s">
        <v>1441</v>
      </c>
      <c r="D3768" s="287"/>
      <c r="E3768" s="524"/>
      <c r="F3768" s="381"/>
    </row>
    <row r="3769" spans="1:7" s="295" customFormat="1" x14ac:dyDescent="0.15">
      <c r="A3769" s="655"/>
      <c r="B3769" s="591"/>
      <c r="C3769" s="293" t="s">
        <v>1446</v>
      </c>
      <c r="D3769" s="287"/>
      <c r="E3769" s="524"/>
      <c r="F3769" s="381"/>
    </row>
    <row r="3770" spans="1:7" s="295" customFormat="1" x14ac:dyDescent="0.15">
      <c r="A3770" s="655"/>
      <c r="B3770" s="591"/>
      <c r="C3770" s="386">
        <v>42855</v>
      </c>
      <c r="D3770" s="287"/>
      <c r="E3770" s="524"/>
      <c r="F3770" s="381"/>
    </row>
    <row r="3771" spans="1:7" s="295" customFormat="1" x14ac:dyDescent="0.15">
      <c r="A3771" s="655"/>
      <c r="B3771" s="591"/>
      <c r="C3771" s="287"/>
      <c r="D3771" s="287"/>
      <c r="E3771" s="524"/>
      <c r="F3771" s="381"/>
    </row>
    <row r="3772" spans="1:7" s="295" customFormat="1" ht="14" thickBot="1" x14ac:dyDescent="0.2">
      <c r="A3772" s="663"/>
      <c r="B3772" s="664"/>
      <c r="C3772" s="665" t="s">
        <v>1196</v>
      </c>
      <c r="D3772" s="665"/>
      <c r="E3772" s="666">
        <f>SUM(E3737,E3766)</f>
        <v>187118.5</v>
      </c>
      <c r="F3772" s="667">
        <v>33082.890000000007</v>
      </c>
    </row>
    <row r="3773" spans="1:7" s="295" customFormat="1" x14ac:dyDescent="0.15">
      <c r="A3773" s="655"/>
      <c r="B3773" s="591"/>
      <c r="C3773" s="413"/>
      <c r="D3773" s="413"/>
      <c r="E3773" s="669"/>
      <c r="F3773" s="670"/>
    </row>
    <row r="3774" spans="1:7" s="295" customFormat="1" x14ac:dyDescent="0.15">
      <c r="A3774" s="652" t="s">
        <v>1534</v>
      </c>
      <c r="B3774" s="653" t="s">
        <v>1614</v>
      </c>
      <c r="C3774" s="371" t="s">
        <v>1492</v>
      </c>
      <c r="D3774" s="371" t="s">
        <v>1239</v>
      </c>
      <c r="E3774" s="654">
        <v>10160</v>
      </c>
      <c r="F3774" s="391">
        <v>1530.11</v>
      </c>
    </row>
    <row r="3775" spans="1:7" s="295" customFormat="1" x14ac:dyDescent="0.15">
      <c r="A3775" s="655" t="s">
        <v>1535</v>
      </c>
      <c r="B3775" s="591" t="s">
        <v>1615</v>
      </c>
      <c r="C3775" s="287" t="s">
        <v>1507</v>
      </c>
      <c r="D3775" s="287" t="s">
        <v>1245</v>
      </c>
      <c r="E3775" s="656">
        <v>2440</v>
      </c>
      <c r="F3775" s="381">
        <v>406.89</v>
      </c>
    </row>
    <row r="3776" spans="1:7" s="295" customFormat="1" x14ac:dyDescent="0.15">
      <c r="A3776" s="655" t="s">
        <v>1670</v>
      </c>
      <c r="B3776" s="591" t="s">
        <v>1659</v>
      </c>
      <c r="C3776" s="287" t="s">
        <v>1279</v>
      </c>
      <c r="D3776" s="287" t="s">
        <v>1660</v>
      </c>
      <c r="E3776" s="656">
        <v>7840</v>
      </c>
      <c r="F3776" s="381">
        <v>1157.45</v>
      </c>
    </row>
    <row r="3777" spans="1:6" s="295" customFormat="1" x14ac:dyDescent="0.15">
      <c r="A3777" s="655" t="s">
        <v>1536</v>
      </c>
      <c r="B3777" s="591" t="s">
        <v>1616</v>
      </c>
      <c r="C3777" s="287" t="s">
        <v>1479</v>
      </c>
      <c r="D3777" s="287" t="s">
        <v>1231</v>
      </c>
      <c r="E3777" s="656">
        <v>3973</v>
      </c>
      <c r="F3777" s="381">
        <v>611.16</v>
      </c>
    </row>
    <row r="3778" spans="1:6" s="295" customFormat="1" x14ac:dyDescent="0.15">
      <c r="A3778" s="655" t="s">
        <v>1537</v>
      </c>
      <c r="B3778" s="591" t="s">
        <v>1617</v>
      </c>
      <c r="C3778" s="287" t="s">
        <v>1269</v>
      </c>
      <c r="D3778" s="287" t="s">
        <v>1270</v>
      </c>
      <c r="E3778" s="656">
        <v>3045</v>
      </c>
      <c r="F3778" s="381">
        <v>508.65</v>
      </c>
    </row>
    <row r="3779" spans="1:6" s="295" customFormat="1" x14ac:dyDescent="0.15">
      <c r="A3779" s="655" t="s">
        <v>1538</v>
      </c>
      <c r="B3779" s="591" t="s">
        <v>1618</v>
      </c>
      <c r="C3779" s="287" t="s">
        <v>1517</v>
      </c>
      <c r="D3779" s="287" t="s">
        <v>1518</v>
      </c>
      <c r="E3779" s="656">
        <v>4</v>
      </c>
      <c r="F3779" s="381">
        <v>30.41</v>
      </c>
    </row>
    <row r="3780" spans="1:6" s="295" customFormat="1" x14ac:dyDescent="0.15">
      <c r="A3780" s="655" t="s">
        <v>1540</v>
      </c>
      <c r="B3780" s="591" t="s">
        <v>1620</v>
      </c>
      <c r="C3780" s="287" t="s">
        <v>1257</v>
      </c>
      <c r="D3780" s="287" t="s">
        <v>1258</v>
      </c>
      <c r="E3780" s="656">
        <v>19200</v>
      </c>
      <c r="F3780" s="381">
        <v>2747.62</v>
      </c>
    </row>
    <row r="3781" spans="1:6" s="295" customFormat="1" x14ac:dyDescent="0.15">
      <c r="A3781" s="655" t="s">
        <v>1541</v>
      </c>
      <c r="B3781" s="591" t="s">
        <v>1621</v>
      </c>
      <c r="C3781" s="287" t="s">
        <v>1586</v>
      </c>
      <c r="D3781" s="287" t="s">
        <v>1500</v>
      </c>
      <c r="E3781" s="656">
        <v>2960</v>
      </c>
      <c r="F3781" s="381">
        <v>548.17999999999995</v>
      </c>
    </row>
    <row r="3782" spans="1:6" s="295" customFormat="1" x14ac:dyDescent="0.15">
      <c r="A3782" s="655" t="s">
        <v>1542</v>
      </c>
      <c r="B3782" s="591" t="s">
        <v>1622</v>
      </c>
      <c r="C3782" s="287" t="s">
        <v>1240</v>
      </c>
      <c r="D3782" s="287" t="s">
        <v>1467</v>
      </c>
      <c r="E3782" s="656">
        <v>3373</v>
      </c>
      <c r="F3782" s="381">
        <v>517.92999999999995</v>
      </c>
    </row>
    <row r="3783" spans="1:6" s="295" customFormat="1" x14ac:dyDescent="0.15">
      <c r="A3783" s="655" t="s">
        <v>1543</v>
      </c>
      <c r="B3783" s="591" t="s">
        <v>1623</v>
      </c>
      <c r="C3783" s="287" t="s">
        <v>1523</v>
      </c>
      <c r="D3783" s="287" t="s">
        <v>1266</v>
      </c>
      <c r="E3783" s="656">
        <v>704</v>
      </c>
      <c r="F3783" s="381">
        <v>157.88999999999999</v>
      </c>
    </row>
    <row r="3784" spans="1:6" s="295" customFormat="1" x14ac:dyDescent="0.15">
      <c r="A3784" s="655" t="s">
        <v>1715</v>
      </c>
      <c r="B3784" s="591" t="s">
        <v>1716</v>
      </c>
      <c r="C3784" s="287" t="s">
        <v>1328</v>
      </c>
      <c r="D3784" s="287" t="s">
        <v>1329</v>
      </c>
      <c r="E3784" s="656">
        <v>111</v>
      </c>
      <c r="F3784" s="381">
        <v>28.09</v>
      </c>
    </row>
    <row r="3785" spans="1:6" s="295" customFormat="1" x14ac:dyDescent="0.15">
      <c r="A3785" s="655" t="s">
        <v>1544</v>
      </c>
      <c r="B3785" s="591" t="s">
        <v>1624</v>
      </c>
      <c r="C3785" s="287" t="s">
        <v>1234</v>
      </c>
      <c r="D3785" s="287" t="s">
        <v>1494</v>
      </c>
      <c r="E3785" s="656">
        <v>3594</v>
      </c>
      <c r="F3785" s="381">
        <v>652.87</v>
      </c>
    </row>
    <row r="3786" spans="1:6" s="295" customFormat="1" x14ac:dyDescent="0.15">
      <c r="A3786" s="655" t="s">
        <v>1601</v>
      </c>
      <c r="B3786" s="591"/>
      <c r="C3786" s="287" t="s">
        <v>1334</v>
      </c>
      <c r="D3786" s="287" t="s">
        <v>1462</v>
      </c>
      <c r="E3786" s="656">
        <v>2528.8000000000002</v>
      </c>
      <c r="F3786" s="381">
        <v>584.07000000000005</v>
      </c>
    </row>
    <row r="3787" spans="1:6" s="295" customFormat="1" x14ac:dyDescent="0.15">
      <c r="A3787" s="655" t="s">
        <v>1545</v>
      </c>
      <c r="B3787" s="591"/>
      <c r="C3787" s="287" t="s">
        <v>1234</v>
      </c>
      <c r="D3787" s="287" t="s">
        <v>1494</v>
      </c>
      <c r="E3787" s="656">
        <v>57.7</v>
      </c>
      <c r="F3787" s="381">
        <v>16.260000000000002</v>
      </c>
    </row>
    <row r="3788" spans="1:6" s="295" customFormat="1" x14ac:dyDescent="0.15">
      <c r="A3788" s="655" t="s">
        <v>1602</v>
      </c>
      <c r="B3788" s="591"/>
      <c r="C3788" s="287" t="s">
        <v>1334</v>
      </c>
      <c r="D3788" s="287" t="s">
        <v>1462</v>
      </c>
      <c r="E3788" s="656">
        <v>141</v>
      </c>
      <c r="F3788" s="381">
        <v>45.21</v>
      </c>
    </row>
    <row r="3789" spans="1:6" s="295" customFormat="1" x14ac:dyDescent="0.15">
      <c r="A3789" s="655" t="s">
        <v>1546</v>
      </c>
      <c r="B3789" s="591"/>
      <c r="C3789" s="287" t="s">
        <v>1586</v>
      </c>
      <c r="D3789" s="287" t="s">
        <v>1500</v>
      </c>
      <c r="E3789" s="656">
        <v>66</v>
      </c>
      <c r="F3789" s="381">
        <v>26.66</v>
      </c>
    </row>
    <row r="3790" spans="1:6" s="295" customFormat="1" x14ac:dyDescent="0.15">
      <c r="A3790" s="655" t="s">
        <v>1549</v>
      </c>
      <c r="B3790" s="591" t="s">
        <v>1625</v>
      </c>
      <c r="C3790" s="287" t="s">
        <v>1459</v>
      </c>
      <c r="D3790" s="287" t="s">
        <v>1251</v>
      </c>
      <c r="E3790" s="656">
        <v>1396</v>
      </c>
      <c r="F3790" s="381">
        <v>252.44</v>
      </c>
    </row>
    <row r="3791" spans="1:6" s="295" customFormat="1" x14ac:dyDescent="0.15">
      <c r="A3791" s="655" t="s">
        <v>1603</v>
      </c>
      <c r="B3791" s="591"/>
      <c r="C3791" s="287" t="s">
        <v>1334</v>
      </c>
      <c r="D3791" s="287" t="s">
        <v>1462</v>
      </c>
      <c r="E3791" s="656">
        <v>1057.5999999999999</v>
      </c>
      <c r="F3791" s="381">
        <v>261</v>
      </c>
    </row>
    <row r="3792" spans="1:6" s="295" customFormat="1" x14ac:dyDescent="0.15">
      <c r="A3792" s="655" t="s">
        <v>1597</v>
      </c>
      <c r="B3792" s="591" t="s">
        <v>1626</v>
      </c>
      <c r="C3792" s="287" t="s">
        <v>1454</v>
      </c>
      <c r="D3792" s="287" t="s">
        <v>1247</v>
      </c>
      <c r="E3792" s="656">
        <v>3920</v>
      </c>
      <c r="F3792" s="381">
        <v>653.91999999999996</v>
      </c>
    </row>
    <row r="3793" spans="1:6" s="295" customFormat="1" x14ac:dyDescent="0.15">
      <c r="A3793" s="655" t="s">
        <v>1677</v>
      </c>
      <c r="B3793" s="591" t="s">
        <v>1678</v>
      </c>
      <c r="C3793" s="287" t="s">
        <v>1313</v>
      </c>
      <c r="D3793" s="287" t="s">
        <v>1412</v>
      </c>
      <c r="E3793" s="656">
        <v>1070</v>
      </c>
      <c r="F3793" s="381">
        <v>211.22</v>
      </c>
    </row>
    <row r="3794" spans="1:6" s="295" customFormat="1" x14ac:dyDescent="0.15">
      <c r="A3794" s="655" t="s">
        <v>1551</v>
      </c>
      <c r="B3794" s="591" t="s">
        <v>1627</v>
      </c>
      <c r="C3794" s="287" t="s">
        <v>1235</v>
      </c>
      <c r="D3794" s="287" t="s">
        <v>1236</v>
      </c>
      <c r="E3794" s="656">
        <v>6972</v>
      </c>
      <c r="F3794" s="381">
        <v>1053.01</v>
      </c>
    </row>
    <row r="3795" spans="1:6" s="295" customFormat="1" x14ac:dyDescent="0.15">
      <c r="A3795" s="655" t="s">
        <v>1553</v>
      </c>
      <c r="B3795" s="591" t="s">
        <v>1628</v>
      </c>
      <c r="C3795" s="287" t="s">
        <v>1475</v>
      </c>
      <c r="D3795" s="287" t="s">
        <v>1387</v>
      </c>
      <c r="E3795" s="656">
        <v>901</v>
      </c>
      <c r="F3795" s="381">
        <v>178.87</v>
      </c>
    </row>
    <row r="3796" spans="1:6" s="295" customFormat="1" x14ac:dyDescent="0.15">
      <c r="A3796" s="655" t="s">
        <v>1554</v>
      </c>
      <c r="B3796" s="591" t="s">
        <v>1629</v>
      </c>
      <c r="C3796" s="287" t="s">
        <v>1399</v>
      </c>
      <c r="D3796" s="287" t="s">
        <v>1276</v>
      </c>
      <c r="E3796" s="656">
        <v>3280</v>
      </c>
      <c r="F3796" s="381">
        <v>580.75</v>
      </c>
    </row>
    <row r="3797" spans="1:6" s="295" customFormat="1" x14ac:dyDescent="0.15">
      <c r="A3797" s="655" t="s">
        <v>1598</v>
      </c>
      <c r="B3797" s="591"/>
      <c r="C3797" s="287" t="s">
        <v>1586</v>
      </c>
      <c r="D3797" s="287" t="s">
        <v>1500</v>
      </c>
      <c r="E3797" s="656">
        <v>33</v>
      </c>
      <c r="F3797" s="381">
        <v>15.19</v>
      </c>
    </row>
    <row r="3798" spans="1:6" s="295" customFormat="1" x14ac:dyDescent="0.15">
      <c r="A3798" s="655" t="s">
        <v>1662</v>
      </c>
      <c r="B3798" s="657">
        <v>892914652</v>
      </c>
      <c r="C3798" s="287" t="s">
        <v>1663</v>
      </c>
      <c r="D3798" s="287" t="s">
        <v>1664</v>
      </c>
      <c r="E3798" s="656">
        <v>12800</v>
      </c>
      <c r="F3798" s="381">
        <v>2024.22</v>
      </c>
    </row>
    <row r="3799" spans="1:6" s="295" customFormat="1" ht="14" thickBot="1" x14ac:dyDescent="0.2">
      <c r="A3799" s="655"/>
      <c r="B3799" s="591"/>
      <c r="C3799" s="291" t="s">
        <v>1653</v>
      </c>
      <c r="D3799" s="287"/>
      <c r="E3799" s="643">
        <f>SUM(E3774:E3798)</f>
        <v>91627.1</v>
      </c>
      <c r="F3799" s="658">
        <v>14800.070000000002</v>
      </c>
    </row>
    <row r="3800" spans="1:6" s="295" customFormat="1" ht="14" thickTop="1" x14ac:dyDescent="0.15">
      <c r="A3800" s="655"/>
      <c r="B3800" s="591"/>
      <c r="C3800" s="287"/>
      <c r="D3800" s="287"/>
      <c r="E3800" s="524"/>
      <c r="F3800" s="381"/>
    </row>
    <row r="3801" spans="1:6" s="295" customFormat="1" x14ac:dyDescent="0.15">
      <c r="A3801" s="655" t="s">
        <v>1556</v>
      </c>
      <c r="B3801" s="591" t="s">
        <v>1631</v>
      </c>
      <c r="C3801" s="287" t="s">
        <v>1248</v>
      </c>
      <c r="D3801" s="287" t="s">
        <v>1482</v>
      </c>
      <c r="E3801" s="656">
        <v>3389</v>
      </c>
      <c r="F3801" s="381">
        <v>640.04</v>
      </c>
    </row>
    <row r="3802" spans="1:6" s="295" customFormat="1" x14ac:dyDescent="0.15">
      <c r="A3802" s="655" t="s">
        <v>1714</v>
      </c>
      <c r="B3802" s="591"/>
      <c r="C3802" s="287" t="s">
        <v>1267</v>
      </c>
      <c r="D3802" s="287" t="s">
        <v>1268</v>
      </c>
      <c r="E3802" s="656">
        <f>2.4+30.6</f>
        <v>33</v>
      </c>
      <c r="F3802" s="381">
        <v>10.549999999999999</v>
      </c>
    </row>
    <row r="3803" spans="1:6" s="295" customFormat="1" x14ac:dyDescent="0.15">
      <c r="A3803" s="655" t="s">
        <v>1558</v>
      </c>
      <c r="B3803" s="591" t="s">
        <v>1633</v>
      </c>
      <c r="C3803" s="287" t="s">
        <v>1469</v>
      </c>
      <c r="D3803" s="287" t="s">
        <v>1470</v>
      </c>
      <c r="E3803" s="656">
        <v>4640</v>
      </c>
      <c r="F3803" s="381">
        <v>863.75</v>
      </c>
    </row>
    <row r="3804" spans="1:6" s="295" customFormat="1" x14ac:dyDescent="0.15">
      <c r="A3804" s="655" t="s">
        <v>1559</v>
      </c>
      <c r="B3804" s="591" t="s">
        <v>1634</v>
      </c>
      <c r="C3804" s="287" t="s">
        <v>1502</v>
      </c>
      <c r="D3804" s="287" t="s">
        <v>1381</v>
      </c>
      <c r="E3804" s="656">
        <v>10752</v>
      </c>
      <c r="F3804" s="381">
        <v>1677.92</v>
      </c>
    </row>
    <row r="3805" spans="1:6" s="295" customFormat="1" x14ac:dyDescent="0.15">
      <c r="A3805" s="655" t="s">
        <v>1560</v>
      </c>
      <c r="B3805" s="591" t="s">
        <v>1635</v>
      </c>
      <c r="C3805" s="287" t="s">
        <v>1504</v>
      </c>
      <c r="D3805" s="287" t="s">
        <v>1505</v>
      </c>
      <c r="E3805" s="656">
        <v>1548</v>
      </c>
      <c r="F3805" s="381">
        <v>291.99</v>
      </c>
    </row>
    <row r="3806" spans="1:6" s="295" customFormat="1" x14ac:dyDescent="0.15">
      <c r="A3806" s="655" t="s">
        <v>1675</v>
      </c>
      <c r="B3806" s="591" t="s">
        <v>1676</v>
      </c>
      <c r="C3806" s="287" t="s">
        <v>1477</v>
      </c>
      <c r="D3806" s="287" t="s">
        <v>1289</v>
      </c>
      <c r="E3806" s="656">
        <v>9910</v>
      </c>
      <c r="F3806" s="381">
        <v>1681.36</v>
      </c>
    </row>
    <row r="3807" spans="1:6" s="295" customFormat="1" x14ac:dyDescent="0.15">
      <c r="A3807" s="655" t="s">
        <v>1564</v>
      </c>
      <c r="B3807" s="591" t="s">
        <v>1636</v>
      </c>
      <c r="C3807" s="287" t="s">
        <v>1485</v>
      </c>
      <c r="D3807" s="287" t="s">
        <v>1486</v>
      </c>
      <c r="E3807" s="656">
        <v>1200</v>
      </c>
      <c r="F3807" s="381">
        <v>280.66000000000003</v>
      </c>
    </row>
    <row r="3808" spans="1:6" s="295" customFormat="1" x14ac:dyDescent="0.15">
      <c r="A3808" s="655" t="s">
        <v>1565</v>
      </c>
      <c r="B3808" s="591" t="s">
        <v>1637</v>
      </c>
      <c r="C3808" s="287" t="s">
        <v>1267</v>
      </c>
      <c r="D3808" s="287" t="s">
        <v>1268</v>
      </c>
      <c r="E3808" s="656">
        <v>1846</v>
      </c>
      <c r="F3808" s="381">
        <v>366.45</v>
      </c>
    </row>
    <row r="3809" spans="1:7" s="295" customFormat="1" x14ac:dyDescent="0.15">
      <c r="A3809" s="655" t="s">
        <v>1569</v>
      </c>
      <c r="B3809" s="591" t="s">
        <v>1638</v>
      </c>
      <c r="C3809" s="287" t="s">
        <v>1464</v>
      </c>
      <c r="D3809" s="287" t="s">
        <v>1285</v>
      </c>
      <c r="E3809" s="656">
        <v>897</v>
      </c>
      <c r="F3809" s="381">
        <v>201.61</v>
      </c>
    </row>
    <row r="3810" spans="1:7" s="295" customFormat="1" x14ac:dyDescent="0.15">
      <c r="A3810" s="655" t="s">
        <v>1711</v>
      </c>
      <c r="B3810" s="591" t="s">
        <v>1712</v>
      </c>
      <c r="C3810" s="287" t="s">
        <v>1713</v>
      </c>
      <c r="D3810" s="287" t="s">
        <v>1419</v>
      </c>
      <c r="E3810" s="656">
        <v>699</v>
      </c>
      <c r="F3810" s="381">
        <v>138.75</v>
      </c>
    </row>
    <row r="3811" spans="1:7" s="295" customFormat="1" x14ac:dyDescent="0.15">
      <c r="A3811" s="655" t="s">
        <v>1570</v>
      </c>
      <c r="B3811" s="591" t="s">
        <v>1639</v>
      </c>
      <c r="C3811" s="287" t="s">
        <v>1472</v>
      </c>
      <c r="D3811" s="287" t="s">
        <v>1473</v>
      </c>
      <c r="E3811" s="656">
        <v>109</v>
      </c>
      <c r="F3811" s="381">
        <v>41.1</v>
      </c>
    </row>
    <row r="3812" spans="1:7" s="295" customFormat="1" x14ac:dyDescent="0.15">
      <c r="A3812" s="655" t="s">
        <v>1571</v>
      </c>
      <c r="B3812" s="591" t="s">
        <v>1640</v>
      </c>
      <c r="C3812" s="287" t="s">
        <v>1489</v>
      </c>
      <c r="D3812" s="287" t="s">
        <v>1490</v>
      </c>
      <c r="E3812" s="656">
        <v>158</v>
      </c>
      <c r="F3812" s="381">
        <v>46.08</v>
      </c>
    </row>
    <row r="3813" spans="1:7" s="295" customFormat="1" x14ac:dyDescent="0.15">
      <c r="A3813" s="655" t="s">
        <v>1572</v>
      </c>
      <c r="B3813" s="591" t="s">
        <v>1641</v>
      </c>
      <c r="C3813" s="287" t="s">
        <v>1271</v>
      </c>
      <c r="D3813" s="287" t="s">
        <v>1272</v>
      </c>
      <c r="E3813" s="656">
        <v>4454</v>
      </c>
      <c r="F3813" s="381">
        <v>772.56</v>
      </c>
    </row>
    <row r="3814" spans="1:7" s="295" customFormat="1" x14ac:dyDescent="0.15">
      <c r="A3814" s="655" t="s">
        <v>1573</v>
      </c>
      <c r="B3814" s="591"/>
      <c r="C3814" s="287" t="s">
        <v>1461</v>
      </c>
      <c r="D3814" s="287" t="s">
        <v>1703</v>
      </c>
      <c r="E3814" s="656">
        <v>26</v>
      </c>
      <c r="F3814" s="381">
        <v>16.34</v>
      </c>
    </row>
    <row r="3815" spans="1:7" s="295" customFormat="1" x14ac:dyDescent="0.15">
      <c r="A3815" s="655" t="s">
        <v>1574</v>
      </c>
      <c r="B3815" s="591" t="s">
        <v>1642</v>
      </c>
      <c r="C3815" s="287" t="s">
        <v>1377</v>
      </c>
      <c r="D3815" s="287" t="s">
        <v>1378</v>
      </c>
      <c r="E3815" s="656">
        <v>1417</v>
      </c>
      <c r="F3815" s="381">
        <v>270.64</v>
      </c>
    </row>
    <row r="3816" spans="1:7" s="295" customFormat="1" x14ac:dyDescent="0.15">
      <c r="A3816" s="655" t="s">
        <v>1575</v>
      </c>
      <c r="B3816" s="591" t="s">
        <v>1685</v>
      </c>
      <c r="C3816" s="287" t="s">
        <v>1448</v>
      </c>
      <c r="D3816" s="287" t="s">
        <v>1449</v>
      </c>
      <c r="E3816" s="656">
        <v>9</v>
      </c>
      <c r="F3816" s="381">
        <v>7.7</v>
      </c>
    </row>
    <row r="3817" spans="1:7" s="295" customFormat="1" x14ac:dyDescent="0.15">
      <c r="A3817" s="655" t="s">
        <v>1604</v>
      </c>
      <c r="B3817" s="591"/>
      <c r="C3817" s="287" t="s">
        <v>1334</v>
      </c>
      <c r="D3817" s="287" t="s">
        <v>1462</v>
      </c>
      <c r="E3817" s="656">
        <v>165</v>
      </c>
      <c r="F3817" s="381">
        <v>60.97</v>
      </c>
    </row>
    <row r="3818" spans="1:7" s="295" customFormat="1" x14ac:dyDescent="0.15">
      <c r="A3818" s="655" t="s">
        <v>1576</v>
      </c>
      <c r="B3818" s="591" t="s">
        <v>1644</v>
      </c>
      <c r="C3818" s="287" t="s">
        <v>1401</v>
      </c>
      <c r="D3818" s="287" t="s">
        <v>1316</v>
      </c>
      <c r="E3818" s="656">
        <v>76</v>
      </c>
      <c r="F3818" s="381">
        <v>37.74</v>
      </c>
    </row>
    <row r="3819" spans="1:7" s="295" customFormat="1" x14ac:dyDescent="0.15">
      <c r="A3819" s="655" t="s">
        <v>1605</v>
      </c>
      <c r="B3819" s="591"/>
      <c r="C3819" s="287" t="s">
        <v>1334</v>
      </c>
      <c r="D3819" s="287" t="s">
        <v>1462</v>
      </c>
      <c r="E3819" s="656">
        <v>438.6</v>
      </c>
      <c r="F3819" s="381">
        <v>161.36000000000001</v>
      </c>
    </row>
    <row r="3820" spans="1:7" s="295" customFormat="1" x14ac:dyDescent="0.15">
      <c r="A3820" s="655" t="s">
        <v>1578</v>
      </c>
      <c r="B3820" s="591" t="s">
        <v>1646</v>
      </c>
      <c r="C3820" s="287" t="s">
        <v>1579</v>
      </c>
      <c r="D3820" s="287" t="s">
        <v>1497</v>
      </c>
      <c r="E3820" s="656">
        <v>0</v>
      </c>
      <c r="F3820" s="381">
        <v>0</v>
      </c>
    </row>
    <row r="3821" spans="1:7" s="295" customFormat="1" x14ac:dyDescent="0.15">
      <c r="A3821" s="655" t="s">
        <v>1580</v>
      </c>
      <c r="B3821" s="591" t="s">
        <v>1647</v>
      </c>
      <c r="C3821" s="287" t="s">
        <v>1451</v>
      </c>
      <c r="D3821" s="287" t="s">
        <v>1674</v>
      </c>
      <c r="E3821" s="656">
        <v>1920</v>
      </c>
      <c r="F3821" s="381">
        <v>2088.42</v>
      </c>
    </row>
    <row r="3822" spans="1:7" s="295" customFormat="1" x14ac:dyDescent="0.15">
      <c r="A3822" s="655" t="s">
        <v>1581</v>
      </c>
      <c r="B3822" s="591" t="s">
        <v>1648</v>
      </c>
      <c r="C3822" s="287" t="s">
        <v>1521</v>
      </c>
      <c r="D3822" s="287" t="s">
        <v>1229</v>
      </c>
      <c r="E3822" s="656">
        <v>1737</v>
      </c>
      <c r="F3822" s="381">
        <v>279.13</v>
      </c>
    </row>
    <row r="3823" spans="1:7" s="295" customFormat="1" x14ac:dyDescent="0.15">
      <c r="A3823" s="655" t="s">
        <v>1717</v>
      </c>
      <c r="B3823" s="591" t="s">
        <v>1718</v>
      </c>
      <c r="C3823" s="287" t="s">
        <v>1719</v>
      </c>
      <c r="D3823" s="287" t="s">
        <v>1720</v>
      </c>
      <c r="E3823" s="656">
        <v>457</v>
      </c>
      <c r="F3823" s="381">
        <v>102.25</v>
      </c>
      <c r="G3823" s="674">
        <f>F3823/E3823</f>
        <v>0.22374179431072211</v>
      </c>
    </row>
    <row r="3824" spans="1:7" s="295" customFormat="1" x14ac:dyDescent="0.15">
      <c r="A3824" s="655" t="s">
        <v>1582</v>
      </c>
      <c r="B3824" s="591" t="s">
        <v>1649</v>
      </c>
      <c r="C3824" s="287" t="s">
        <v>1525</v>
      </c>
      <c r="D3824" s="287" t="s">
        <v>1526</v>
      </c>
      <c r="E3824" s="656">
        <v>26</v>
      </c>
      <c r="F3824" s="381">
        <v>10.89</v>
      </c>
    </row>
    <row r="3825" spans="1:6" s="295" customFormat="1" ht="14" x14ac:dyDescent="0.15">
      <c r="A3825" s="655" t="s">
        <v>1583</v>
      </c>
      <c r="B3825" s="591" t="s">
        <v>1650</v>
      </c>
      <c r="C3825" s="287" t="s">
        <v>1584</v>
      </c>
      <c r="D3825" s="618" t="s">
        <v>1264</v>
      </c>
      <c r="E3825" s="656">
        <v>1280</v>
      </c>
      <c r="F3825" s="381">
        <v>256.67</v>
      </c>
    </row>
    <row r="3826" spans="1:6" s="295" customFormat="1" x14ac:dyDescent="0.15">
      <c r="A3826" s="655" t="s">
        <v>1666</v>
      </c>
      <c r="B3826" s="591" t="s">
        <v>1672</v>
      </c>
      <c r="C3826" s="287" t="s">
        <v>1667</v>
      </c>
      <c r="D3826" s="287" t="s">
        <v>1668</v>
      </c>
      <c r="E3826" s="656">
        <v>12864</v>
      </c>
      <c r="F3826" s="381">
        <v>3941.41</v>
      </c>
    </row>
    <row r="3827" spans="1:6" s="295" customFormat="1" x14ac:dyDescent="0.15">
      <c r="A3827" s="655" t="s">
        <v>1606</v>
      </c>
      <c r="B3827" s="591"/>
      <c r="C3827" s="287" t="s">
        <v>1334</v>
      </c>
      <c r="D3827" s="287" t="s">
        <v>1462</v>
      </c>
      <c r="E3827" s="656">
        <v>57.7</v>
      </c>
      <c r="F3827" s="381">
        <v>12.74</v>
      </c>
    </row>
    <row r="3828" spans="1:6" s="295" customFormat="1" ht="14" thickBot="1" x14ac:dyDescent="0.2">
      <c r="A3828" s="655"/>
      <c r="B3828" s="591"/>
      <c r="C3828" s="291" t="s">
        <v>1654</v>
      </c>
      <c r="D3828" s="287"/>
      <c r="E3828" s="643">
        <f>SUM(E3801:E3827)</f>
        <v>60108.299999999996</v>
      </c>
      <c r="F3828" s="658">
        <v>14259.079999999998</v>
      </c>
    </row>
    <row r="3829" spans="1:6" s="295" customFormat="1" ht="14" thickTop="1" x14ac:dyDescent="0.15">
      <c r="A3829" s="655"/>
      <c r="B3829" s="591"/>
      <c r="C3829" s="287"/>
      <c r="D3829" s="287"/>
      <c r="E3829" s="524"/>
      <c r="F3829" s="381"/>
    </row>
    <row r="3830" spans="1:6" s="295" customFormat="1" x14ac:dyDescent="0.15">
      <c r="A3830" s="655"/>
      <c r="B3830" s="591"/>
      <c r="C3830" s="293" t="s">
        <v>1441</v>
      </c>
      <c r="D3830" s="287"/>
      <c r="E3830" s="524"/>
      <c r="F3830" s="381"/>
    </row>
    <row r="3831" spans="1:6" s="295" customFormat="1" x14ac:dyDescent="0.15">
      <c r="A3831" s="655"/>
      <c r="B3831" s="591"/>
      <c r="C3831" s="293" t="s">
        <v>1446</v>
      </c>
      <c r="D3831" s="287"/>
      <c r="E3831" s="524"/>
      <c r="F3831" s="381"/>
    </row>
    <row r="3832" spans="1:6" s="295" customFormat="1" x14ac:dyDescent="0.15">
      <c r="A3832" s="655"/>
      <c r="B3832" s="591"/>
      <c r="C3832" s="386">
        <v>42155</v>
      </c>
      <c r="D3832" s="287"/>
      <c r="E3832" s="524"/>
      <c r="F3832" s="381"/>
    </row>
    <row r="3833" spans="1:6" s="295" customFormat="1" x14ac:dyDescent="0.15">
      <c r="A3833" s="655"/>
      <c r="B3833" s="591"/>
      <c r="C3833" s="287"/>
      <c r="D3833" s="287"/>
      <c r="E3833" s="524"/>
      <c r="F3833" s="381"/>
    </row>
    <row r="3834" spans="1:6" s="295" customFormat="1" ht="14" thickBot="1" x14ac:dyDescent="0.2">
      <c r="A3834" s="663"/>
      <c r="B3834" s="664"/>
      <c r="C3834" s="665" t="s">
        <v>1173</v>
      </c>
      <c r="D3834" s="665"/>
      <c r="E3834" s="666">
        <f>SUM(E3799,E3828)</f>
        <v>151735.4</v>
      </c>
      <c r="F3834" s="667">
        <v>29059.15</v>
      </c>
    </row>
    <row r="3835" spans="1:6" s="295" customFormat="1" x14ac:dyDescent="0.15">
      <c r="A3835" s="655"/>
      <c r="B3835" s="591"/>
      <c r="C3835" s="413"/>
      <c r="D3835" s="413"/>
      <c r="E3835" s="669"/>
      <c r="F3835" s="670"/>
    </row>
    <row r="3836" spans="1:6" s="295" customFormat="1" x14ac:dyDescent="0.15">
      <c r="A3836" s="652" t="s">
        <v>1534</v>
      </c>
      <c r="B3836" s="653" t="s">
        <v>1614</v>
      </c>
      <c r="C3836" s="371" t="s">
        <v>1492</v>
      </c>
      <c r="D3836" s="371" t="s">
        <v>1239</v>
      </c>
      <c r="E3836" s="654">
        <v>11360</v>
      </c>
      <c r="F3836" s="391">
        <v>1652.31</v>
      </c>
    </row>
    <row r="3837" spans="1:6" s="295" customFormat="1" x14ac:dyDescent="0.15">
      <c r="A3837" s="655" t="s">
        <v>1535</v>
      </c>
      <c r="B3837" s="591" t="s">
        <v>1615</v>
      </c>
      <c r="C3837" s="287" t="s">
        <v>1507</v>
      </c>
      <c r="D3837" s="287" t="s">
        <v>1245</v>
      </c>
      <c r="E3837" s="656">
        <v>1960</v>
      </c>
      <c r="F3837" s="381">
        <v>358.03</v>
      </c>
    </row>
    <row r="3838" spans="1:6" s="295" customFormat="1" x14ac:dyDescent="0.15">
      <c r="A3838" s="655" t="s">
        <v>1670</v>
      </c>
      <c r="B3838" s="591" t="s">
        <v>1659</v>
      </c>
      <c r="C3838" s="287" t="s">
        <v>1279</v>
      </c>
      <c r="D3838" s="287" t="s">
        <v>1660</v>
      </c>
      <c r="E3838" s="656">
        <v>7040</v>
      </c>
      <c r="F3838" s="381">
        <v>1493.54</v>
      </c>
    </row>
    <row r="3839" spans="1:6" s="295" customFormat="1" x14ac:dyDescent="0.15">
      <c r="A3839" s="655" t="s">
        <v>1536</v>
      </c>
      <c r="B3839" s="591" t="s">
        <v>1616</v>
      </c>
      <c r="C3839" s="287" t="s">
        <v>1479</v>
      </c>
      <c r="D3839" s="287" t="s">
        <v>1231</v>
      </c>
      <c r="E3839" s="656">
        <v>2915</v>
      </c>
      <c r="F3839" s="381">
        <v>447.23</v>
      </c>
    </row>
    <row r="3840" spans="1:6" s="295" customFormat="1" x14ac:dyDescent="0.15">
      <c r="A3840" s="655" t="s">
        <v>1537</v>
      </c>
      <c r="B3840" s="591" t="s">
        <v>1617</v>
      </c>
      <c r="C3840" s="287" t="s">
        <v>1269</v>
      </c>
      <c r="D3840" s="287" t="s">
        <v>1270</v>
      </c>
      <c r="E3840" s="656">
        <v>4034</v>
      </c>
      <c r="F3840" s="381">
        <v>673.58</v>
      </c>
    </row>
    <row r="3841" spans="1:6" s="295" customFormat="1" x14ac:dyDescent="0.15">
      <c r="A3841" s="655" t="s">
        <v>1538</v>
      </c>
      <c r="B3841" s="591" t="s">
        <v>1618</v>
      </c>
      <c r="C3841" s="287" t="s">
        <v>1517</v>
      </c>
      <c r="D3841" s="287" t="s">
        <v>1518</v>
      </c>
      <c r="E3841" s="656">
        <v>5</v>
      </c>
      <c r="F3841" s="381">
        <v>30.49</v>
      </c>
    </row>
    <row r="3842" spans="1:6" s="295" customFormat="1" x14ac:dyDescent="0.15">
      <c r="A3842" s="655" t="s">
        <v>1540</v>
      </c>
      <c r="B3842" s="591" t="s">
        <v>1620</v>
      </c>
      <c r="C3842" s="287" t="s">
        <v>1257</v>
      </c>
      <c r="D3842" s="287" t="s">
        <v>1258</v>
      </c>
      <c r="E3842" s="656">
        <v>19440</v>
      </c>
      <c r="F3842" s="381">
        <v>2635.52</v>
      </c>
    </row>
    <row r="3843" spans="1:6" s="295" customFormat="1" x14ac:dyDescent="0.15">
      <c r="A3843" s="655" t="s">
        <v>1541</v>
      </c>
      <c r="B3843" s="591" t="s">
        <v>1621</v>
      </c>
      <c r="C3843" s="287" t="s">
        <v>1586</v>
      </c>
      <c r="D3843" s="287" t="s">
        <v>1500</v>
      </c>
      <c r="E3843" s="656">
        <v>3560</v>
      </c>
      <c r="F3843" s="381">
        <v>601.23</v>
      </c>
    </row>
    <row r="3844" spans="1:6" s="295" customFormat="1" x14ac:dyDescent="0.15">
      <c r="A3844" s="655" t="s">
        <v>1542</v>
      </c>
      <c r="B3844" s="591" t="s">
        <v>1622</v>
      </c>
      <c r="C3844" s="287" t="s">
        <v>1240</v>
      </c>
      <c r="D3844" s="287" t="s">
        <v>1467</v>
      </c>
      <c r="E3844" s="656">
        <v>3338</v>
      </c>
      <c r="F3844" s="381">
        <v>474.23</v>
      </c>
    </row>
    <row r="3845" spans="1:6" s="295" customFormat="1" x14ac:dyDescent="0.15">
      <c r="A3845" s="655" t="s">
        <v>1543</v>
      </c>
      <c r="B3845" s="591" t="s">
        <v>1623</v>
      </c>
      <c r="C3845" s="287" t="s">
        <v>1523</v>
      </c>
      <c r="D3845" s="287" t="s">
        <v>1266</v>
      </c>
      <c r="E3845" s="656">
        <v>1063</v>
      </c>
      <c r="F3845" s="381">
        <v>186.39</v>
      </c>
    </row>
    <row r="3846" spans="1:6" s="295" customFormat="1" x14ac:dyDescent="0.15">
      <c r="A3846" s="655" t="s">
        <v>1544</v>
      </c>
      <c r="B3846" s="591" t="s">
        <v>1624</v>
      </c>
      <c r="C3846" s="287" t="s">
        <v>1234</v>
      </c>
      <c r="D3846" s="287" t="s">
        <v>1494</v>
      </c>
      <c r="E3846" s="656">
        <v>4380</v>
      </c>
      <c r="F3846" s="381">
        <v>716.84</v>
      </c>
    </row>
    <row r="3847" spans="1:6" s="295" customFormat="1" x14ac:dyDescent="0.15">
      <c r="A3847" s="655" t="s">
        <v>1601</v>
      </c>
      <c r="B3847" s="591"/>
      <c r="C3847" s="287" t="s">
        <v>1334</v>
      </c>
      <c r="D3847" s="287" t="s">
        <v>1462</v>
      </c>
      <c r="E3847" s="656">
        <v>2264.9</v>
      </c>
      <c r="F3847" s="381">
        <v>552.45000000000005</v>
      </c>
    </row>
    <row r="3848" spans="1:6" s="295" customFormat="1" x14ac:dyDescent="0.15">
      <c r="A3848" s="655" t="s">
        <v>1545</v>
      </c>
      <c r="B3848" s="591"/>
      <c r="C3848" s="287" t="s">
        <v>1234</v>
      </c>
      <c r="D3848" s="287" t="s">
        <v>1494</v>
      </c>
      <c r="E3848" s="656">
        <v>51.7</v>
      </c>
      <c r="F3848" s="381">
        <v>15.54</v>
      </c>
    </row>
    <row r="3849" spans="1:6" s="295" customFormat="1" x14ac:dyDescent="0.15">
      <c r="A3849" s="655" t="s">
        <v>1602</v>
      </c>
      <c r="B3849" s="591"/>
      <c r="C3849" s="287" t="s">
        <v>1334</v>
      </c>
      <c r="D3849" s="287" t="s">
        <v>1462</v>
      </c>
      <c r="E3849" s="656">
        <v>126.6</v>
      </c>
      <c r="F3849" s="381">
        <v>43.5</v>
      </c>
    </row>
    <row r="3850" spans="1:6" s="295" customFormat="1" x14ac:dyDescent="0.15">
      <c r="A3850" s="655" t="s">
        <v>1546</v>
      </c>
      <c r="B3850" s="591"/>
      <c r="C3850" s="287" t="s">
        <v>1586</v>
      </c>
      <c r="D3850" s="287" t="s">
        <v>1500</v>
      </c>
      <c r="E3850" s="656">
        <v>59.2</v>
      </c>
      <c r="F3850" s="381">
        <v>25.84</v>
      </c>
    </row>
    <row r="3851" spans="1:6" s="295" customFormat="1" x14ac:dyDescent="0.15">
      <c r="A3851" s="655" t="s">
        <v>1549</v>
      </c>
      <c r="B3851" s="591" t="s">
        <v>1625</v>
      </c>
      <c r="C3851" s="287" t="s">
        <v>1459</v>
      </c>
      <c r="D3851" s="287" t="s">
        <v>1251</v>
      </c>
      <c r="E3851" s="656">
        <v>1301</v>
      </c>
      <c r="F3851" s="381">
        <v>242.75</v>
      </c>
    </row>
    <row r="3852" spans="1:6" s="295" customFormat="1" x14ac:dyDescent="0.15">
      <c r="A3852" s="655" t="s">
        <v>1603</v>
      </c>
      <c r="B3852" s="591"/>
      <c r="C3852" s="287" t="s">
        <v>1334</v>
      </c>
      <c r="D3852" s="287" t="s">
        <v>1462</v>
      </c>
      <c r="E3852" s="656">
        <v>948</v>
      </c>
      <c r="F3852" s="381">
        <v>247.88</v>
      </c>
    </row>
    <row r="3853" spans="1:6" s="295" customFormat="1" x14ac:dyDescent="0.15">
      <c r="A3853" s="655" t="s">
        <v>1597</v>
      </c>
      <c r="B3853" s="591" t="s">
        <v>1626</v>
      </c>
      <c r="C3853" s="287" t="s">
        <v>1454</v>
      </c>
      <c r="D3853" s="287" t="s">
        <v>1247</v>
      </c>
      <c r="E3853" s="656">
        <v>2680</v>
      </c>
      <c r="F3853" s="381">
        <v>447.39</v>
      </c>
    </row>
    <row r="3854" spans="1:6" s="295" customFormat="1" x14ac:dyDescent="0.15">
      <c r="A3854" s="655" t="s">
        <v>1677</v>
      </c>
      <c r="B3854" s="591" t="s">
        <v>1678</v>
      </c>
      <c r="C3854" s="287" t="s">
        <v>1313</v>
      </c>
      <c r="D3854" s="287" t="s">
        <v>1412</v>
      </c>
      <c r="E3854" s="656">
        <v>1091</v>
      </c>
      <c r="F3854" s="381">
        <v>197.28</v>
      </c>
    </row>
    <row r="3855" spans="1:6" s="295" customFormat="1" x14ac:dyDescent="0.15">
      <c r="A3855" s="655" t="s">
        <v>1551</v>
      </c>
      <c r="B3855" s="591" t="s">
        <v>1627</v>
      </c>
      <c r="C3855" s="287" t="s">
        <v>1235</v>
      </c>
      <c r="D3855" s="287" t="s">
        <v>1236</v>
      </c>
      <c r="E3855" s="656">
        <v>6143</v>
      </c>
      <c r="F3855" s="381">
        <v>848.15</v>
      </c>
    </row>
    <row r="3856" spans="1:6" s="295" customFormat="1" x14ac:dyDescent="0.15">
      <c r="A3856" s="655" t="s">
        <v>1553</v>
      </c>
      <c r="B3856" s="591" t="s">
        <v>1628</v>
      </c>
      <c r="C3856" s="287" t="s">
        <v>1475</v>
      </c>
      <c r="D3856" s="287" t="s">
        <v>1387</v>
      </c>
      <c r="E3856" s="656">
        <v>1319</v>
      </c>
      <c r="F3856" s="381">
        <v>261.86</v>
      </c>
    </row>
    <row r="3857" spans="1:6" s="295" customFormat="1" x14ac:dyDescent="0.15">
      <c r="A3857" s="655" t="s">
        <v>1554</v>
      </c>
      <c r="B3857" s="591" t="s">
        <v>1629</v>
      </c>
      <c r="C3857" s="287" t="s">
        <v>1399</v>
      </c>
      <c r="D3857" s="287" t="s">
        <v>1276</v>
      </c>
      <c r="E3857" s="656">
        <v>3165</v>
      </c>
      <c r="F3857" s="381">
        <v>569.04999999999995</v>
      </c>
    </row>
    <row r="3858" spans="1:6" s="295" customFormat="1" x14ac:dyDescent="0.15">
      <c r="A3858" s="655" t="s">
        <v>1598</v>
      </c>
      <c r="B3858" s="591"/>
      <c r="C3858" s="287" t="s">
        <v>1586</v>
      </c>
      <c r="D3858" s="287" t="s">
        <v>1500</v>
      </c>
      <c r="E3858" s="656">
        <v>29.6</v>
      </c>
      <c r="F3858" s="381">
        <v>14.74</v>
      </c>
    </row>
    <row r="3859" spans="1:6" s="295" customFormat="1" x14ac:dyDescent="0.15">
      <c r="A3859" s="655" t="s">
        <v>1662</v>
      </c>
      <c r="B3859" s="657">
        <v>892914652</v>
      </c>
      <c r="C3859" s="287" t="s">
        <v>1663</v>
      </c>
      <c r="D3859" s="287" t="s">
        <v>1664</v>
      </c>
      <c r="E3859" s="656">
        <v>17600</v>
      </c>
      <c r="F3859" s="381">
        <v>2585.38</v>
      </c>
    </row>
    <row r="3860" spans="1:6" s="295" customFormat="1" ht="14" thickBot="1" x14ac:dyDescent="0.2">
      <c r="A3860" s="655"/>
      <c r="B3860" s="591"/>
      <c r="C3860" s="291" t="s">
        <v>1655</v>
      </c>
      <c r="D3860" s="287"/>
      <c r="E3860" s="643">
        <f>SUM(E3836:E3859)</f>
        <v>95874</v>
      </c>
      <c r="F3860" s="658">
        <v>15321.2</v>
      </c>
    </row>
    <row r="3861" spans="1:6" s="295" customFormat="1" ht="14" thickTop="1" x14ac:dyDescent="0.15">
      <c r="A3861" s="655"/>
      <c r="B3861" s="591"/>
      <c r="C3861" s="287"/>
      <c r="D3861" s="287"/>
      <c r="E3861" s="524"/>
      <c r="F3861" s="381"/>
    </row>
    <row r="3862" spans="1:6" s="295" customFormat="1" x14ac:dyDescent="0.15">
      <c r="A3862" s="655" t="s">
        <v>1556</v>
      </c>
      <c r="B3862" s="591" t="s">
        <v>1631</v>
      </c>
      <c r="C3862" s="287" t="s">
        <v>1248</v>
      </c>
      <c r="D3862" s="287" t="s">
        <v>1482</v>
      </c>
      <c r="E3862" s="656">
        <v>4683</v>
      </c>
      <c r="F3862" s="381">
        <v>755.71</v>
      </c>
    </row>
    <row r="3863" spans="1:6" s="295" customFormat="1" x14ac:dyDescent="0.15">
      <c r="A3863" s="655" t="s">
        <v>1714</v>
      </c>
      <c r="B3863" s="591"/>
      <c r="C3863" s="287" t="s">
        <v>1267</v>
      </c>
      <c r="D3863" s="287" t="s">
        <v>1268</v>
      </c>
      <c r="E3863" s="656">
        <f>4.5+25.1</f>
        <v>29.6</v>
      </c>
      <c r="F3863" s="381">
        <v>10.25</v>
      </c>
    </row>
    <row r="3864" spans="1:6" s="295" customFormat="1" x14ac:dyDescent="0.15">
      <c r="A3864" s="655" t="s">
        <v>1558</v>
      </c>
      <c r="B3864" s="591" t="s">
        <v>1633</v>
      </c>
      <c r="C3864" s="287" t="s">
        <v>1469</v>
      </c>
      <c r="D3864" s="287" t="s">
        <v>1470</v>
      </c>
      <c r="E3864" s="656">
        <v>5600</v>
      </c>
      <c r="F3864" s="381">
        <v>953.47</v>
      </c>
    </row>
    <row r="3865" spans="1:6" s="295" customFormat="1" x14ac:dyDescent="0.15">
      <c r="A3865" s="655" t="s">
        <v>1559</v>
      </c>
      <c r="B3865" s="591" t="s">
        <v>1634</v>
      </c>
      <c r="C3865" s="287" t="s">
        <v>1502</v>
      </c>
      <c r="D3865" s="287" t="s">
        <v>1381</v>
      </c>
      <c r="E3865" s="656">
        <v>14496</v>
      </c>
      <c r="F3865" s="381">
        <v>2084.9</v>
      </c>
    </row>
    <row r="3866" spans="1:6" s="295" customFormat="1" x14ac:dyDescent="0.15">
      <c r="A3866" s="655" t="s">
        <v>1560</v>
      </c>
      <c r="B3866" s="591" t="s">
        <v>1635</v>
      </c>
      <c r="C3866" s="287" t="s">
        <v>1504</v>
      </c>
      <c r="D3866" s="287" t="s">
        <v>1505</v>
      </c>
      <c r="E3866" s="656">
        <v>1889</v>
      </c>
      <c r="F3866" s="381">
        <v>310.64999999999998</v>
      </c>
    </row>
    <row r="3867" spans="1:6" s="295" customFormat="1" x14ac:dyDescent="0.15">
      <c r="A3867" s="655" t="s">
        <v>1675</v>
      </c>
      <c r="B3867" s="591" t="s">
        <v>1676</v>
      </c>
      <c r="C3867" s="287" t="s">
        <v>1477</v>
      </c>
      <c r="D3867" s="287" t="s">
        <v>1289</v>
      </c>
      <c r="E3867" s="656">
        <v>13190</v>
      </c>
      <c r="F3867" s="381">
        <v>1999.22</v>
      </c>
    </row>
    <row r="3868" spans="1:6" s="295" customFormat="1" x14ac:dyDescent="0.15">
      <c r="A3868" s="655" t="s">
        <v>1564</v>
      </c>
      <c r="B3868" s="591" t="s">
        <v>1636</v>
      </c>
      <c r="C3868" s="287" t="s">
        <v>1485</v>
      </c>
      <c r="D3868" s="287" t="s">
        <v>1486</v>
      </c>
      <c r="E3868" s="656">
        <v>1920</v>
      </c>
      <c r="F3868" s="381">
        <v>402.12</v>
      </c>
    </row>
    <row r="3869" spans="1:6" s="295" customFormat="1" x14ac:dyDescent="0.15">
      <c r="A3869" s="655" t="s">
        <v>1565</v>
      </c>
      <c r="B3869" s="591" t="s">
        <v>1637</v>
      </c>
      <c r="C3869" s="287" t="s">
        <v>1267</v>
      </c>
      <c r="D3869" s="287" t="s">
        <v>1268</v>
      </c>
      <c r="E3869" s="656">
        <v>2668</v>
      </c>
      <c r="F3869" s="381">
        <v>529.65</v>
      </c>
    </row>
    <row r="3870" spans="1:6" s="295" customFormat="1" x14ac:dyDescent="0.15">
      <c r="A3870" s="655" t="s">
        <v>1569</v>
      </c>
      <c r="B3870" s="591" t="s">
        <v>1638</v>
      </c>
      <c r="C3870" s="287" t="s">
        <v>1464</v>
      </c>
      <c r="D3870" s="287" t="s">
        <v>1285</v>
      </c>
      <c r="E3870" s="656">
        <v>1215</v>
      </c>
      <c r="F3870" s="381">
        <v>274.16000000000003</v>
      </c>
    </row>
    <row r="3871" spans="1:6" s="295" customFormat="1" x14ac:dyDescent="0.15">
      <c r="A3871" s="655" t="s">
        <v>1711</v>
      </c>
      <c r="B3871" s="591" t="s">
        <v>1712</v>
      </c>
      <c r="C3871" s="287" t="s">
        <v>1713</v>
      </c>
      <c r="D3871" s="287" t="s">
        <v>1419</v>
      </c>
      <c r="E3871" s="656">
        <v>783</v>
      </c>
      <c r="F3871" s="381">
        <v>155.43</v>
      </c>
    </row>
    <row r="3872" spans="1:6" s="295" customFormat="1" x14ac:dyDescent="0.15">
      <c r="A3872" s="655" t="s">
        <v>1570</v>
      </c>
      <c r="B3872" s="591" t="s">
        <v>1639</v>
      </c>
      <c r="C3872" s="287" t="s">
        <v>1472</v>
      </c>
      <c r="D3872" s="287" t="s">
        <v>1473</v>
      </c>
      <c r="E3872" s="656">
        <v>113</v>
      </c>
      <c r="F3872" s="381">
        <v>41.49</v>
      </c>
    </row>
    <row r="3873" spans="1:7" s="295" customFormat="1" x14ac:dyDescent="0.15">
      <c r="A3873" s="655" t="s">
        <v>1571</v>
      </c>
      <c r="B3873" s="591" t="s">
        <v>1640</v>
      </c>
      <c r="C3873" s="287" t="s">
        <v>1489</v>
      </c>
      <c r="D3873" s="287" t="s">
        <v>1490</v>
      </c>
      <c r="E3873" s="656">
        <v>164</v>
      </c>
      <c r="F3873" s="381">
        <v>46.71</v>
      </c>
    </row>
    <row r="3874" spans="1:7" s="295" customFormat="1" x14ac:dyDescent="0.15">
      <c r="A3874" s="655" t="s">
        <v>1572</v>
      </c>
      <c r="B3874" s="591" t="s">
        <v>1641</v>
      </c>
      <c r="C3874" s="287" t="s">
        <v>1271</v>
      </c>
      <c r="D3874" s="287" t="s">
        <v>1272</v>
      </c>
      <c r="E3874" s="656">
        <v>6864</v>
      </c>
      <c r="F3874" s="381">
        <v>1042.01</v>
      </c>
    </row>
    <row r="3875" spans="1:7" s="295" customFormat="1" x14ac:dyDescent="0.15">
      <c r="A3875" s="655" t="s">
        <v>1573</v>
      </c>
      <c r="B3875" s="591"/>
      <c r="C3875" s="287" t="s">
        <v>1461</v>
      </c>
      <c r="D3875" s="287" t="s">
        <v>1703</v>
      </c>
      <c r="E3875" s="656">
        <v>26</v>
      </c>
      <c r="F3875" s="381">
        <v>16.34</v>
      </c>
    </row>
    <row r="3876" spans="1:7" s="295" customFormat="1" x14ac:dyDescent="0.15">
      <c r="A3876" s="655" t="s">
        <v>1574</v>
      </c>
      <c r="B3876" s="591" t="s">
        <v>1642</v>
      </c>
      <c r="C3876" s="287" t="s">
        <v>1377</v>
      </c>
      <c r="D3876" s="287" t="s">
        <v>1378</v>
      </c>
      <c r="E3876" s="656">
        <v>1946</v>
      </c>
      <c r="F3876" s="381">
        <v>316.47000000000003</v>
      </c>
    </row>
    <row r="3877" spans="1:7" s="295" customFormat="1" x14ac:dyDescent="0.15">
      <c r="A3877" s="655" t="s">
        <v>1575</v>
      </c>
      <c r="B3877" s="591" t="s">
        <v>1685</v>
      </c>
      <c r="C3877" s="287" t="s">
        <v>1448</v>
      </c>
      <c r="D3877" s="287" t="s">
        <v>1449</v>
      </c>
      <c r="E3877" s="656">
        <v>322</v>
      </c>
      <c r="F3877" s="381">
        <v>66.709999999999994</v>
      </c>
    </row>
    <row r="3878" spans="1:7" s="295" customFormat="1" x14ac:dyDescent="0.15">
      <c r="A3878" s="655" t="s">
        <v>1604</v>
      </c>
      <c r="B3878" s="591"/>
      <c r="C3878" s="287" t="s">
        <v>1334</v>
      </c>
      <c r="D3878" s="287" t="s">
        <v>1462</v>
      </c>
      <c r="E3878" s="656">
        <v>148</v>
      </c>
      <c r="F3878" s="381">
        <v>58.95</v>
      </c>
    </row>
    <row r="3879" spans="1:7" s="295" customFormat="1" x14ac:dyDescent="0.15">
      <c r="A3879" s="655" t="s">
        <v>1576</v>
      </c>
      <c r="B3879" s="591" t="s">
        <v>1644</v>
      </c>
      <c r="C3879" s="287" t="s">
        <v>1401</v>
      </c>
      <c r="D3879" s="287" t="s">
        <v>1316</v>
      </c>
      <c r="E3879" s="656">
        <v>86</v>
      </c>
      <c r="F3879" s="381">
        <v>38.76</v>
      </c>
    </row>
    <row r="3880" spans="1:7" s="295" customFormat="1" x14ac:dyDescent="0.15">
      <c r="A3880" s="655" t="s">
        <v>1605</v>
      </c>
      <c r="B3880" s="591"/>
      <c r="C3880" s="287" t="s">
        <v>1334</v>
      </c>
      <c r="D3880" s="287" t="s">
        <v>1462</v>
      </c>
      <c r="E3880" s="656">
        <v>388.8</v>
      </c>
      <c r="F3880" s="381">
        <v>153.88999999999999</v>
      </c>
    </row>
    <row r="3881" spans="1:7" s="295" customFormat="1" x14ac:dyDescent="0.15">
      <c r="A3881" s="655" t="s">
        <v>1578</v>
      </c>
      <c r="B3881" s="591" t="s">
        <v>1646</v>
      </c>
      <c r="C3881" s="287" t="s">
        <v>1579</v>
      </c>
      <c r="D3881" s="287" t="s">
        <v>1497</v>
      </c>
      <c r="E3881" s="656">
        <v>6</v>
      </c>
      <c r="F3881" s="381">
        <v>60.61</v>
      </c>
    </row>
    <row r="3882" spans="1:7" s="295" customFormat="1" x14ac:dyDescent="0.15">
      <c r="A3882" s="655" t="s">
        <v>1580</v>
      </c>
      <c r="B3882" s="591" t="s">
        <v>1647</v>
      </c>
      <c r="C3882" s="287" t="s">
        <v>1451</v>
      </c>
      <c r="D3882" s="287" t="s">
        <v>1674</v>
      </c>
      <c r="E3882" s="656">
        <v>768</v>
      </c>
      <c r="F3882" s="381">
        <v>1963.12</v>
      </c>
    </row>
    <row r="3883" spans="1:7" s="295" customFormat="1" x14ac:dyDescent="0.15">
      <c r="A3883" s="655" t="s">
        <v>1581</v>
      </c>
      <c r="B3883" s="591" t="s">
        <v>1648</v>
      </c>
      <c r="C3883" s="287" t="s">
        <v>1521</v>
      </c>
      <c r="D3883" s="287" t="s">
        <v>1229</v>
      </c>
      <c r="E3883" s="656">
        <v>2025</v>
      </c>
      <c r="F3883" s="381">
        <v>308.42</v>
      </c>
    </row>
    <row r="3884" spans="1:7" s="295" customFormat="1" x14ac:dyDescent="0.15">
      <c r="A3884" s="655" t="s">
        <v>1717</v>
      </c>
      <c r="B3884" s="591" t="s">
        <v>1718</v>
      </c>
      <c r="C3884" s="287" t="s">
        <v>1719</v>
      </c>
      <c r="D3884" s="287" t="s">
        <v>1720</v>
      </c>
      <c r="E3884" s="656">
        <v>810</v>
      </c>
      <c r="F3884" s="381">
        <v>144.88</v>
      </c>
      <c r="G3884" s="674">
        <f>F3884/E3884</f>
        <v>0.17886419753086419</v>
      </c>
    </row>
    <row r="3885" spans="1:7" s="295" customFormat="1" x14ac:dyDescent="0.15">
      <c r="A3885" s="655" t="s">
        <v>1582</v>
      </c>
      <c r="B3885" s="591" t="s">
        <v>1649</v>
      </c>
      <c r="C3885" s="287" t="s">
        <v>1525</v>
      </c>
      <c r="D3885" s="287" t="s">
        <v>1526</v>
      </c>
      <c r="E3885" s="656">
        <v>41</v>
      </c>
      <c r="F3885" s="381">
        <v>13.72</v>
      </c>
    </row>
    <row r="3886" spans="1:7" s="295" customFormat="1" ht="14" x14ac:dyDescent="0.15">
      <c r="A3886" s="655" t="s">
        <v>1583</v>
      </c>
      <c r="B3886" s="591" t="s">
        <v>1650</v>
      </c>
      <c r="C3886" s="287" t="s">
        <v>1584</v>
      </c>
      <c r="D3886" s="618" t="s">
        <v>1264</v>
      </c>
      <c r="E3886" s="656">
        <v>2400</v>
      </c>
      <c r="F3886" s="381">
        <v>370.69</v>
      </c>
    </row>
    <row r="3887" spans="1:7" s="295" customFormat="1" x14ac:dyDescent="0.15">
      <c r="A3887" s="655" t="s">
        <v>1666</v>
      </c>
      <c r="B3887" s="591" t="s">
        <v>1672</v>
      </c>
      <c r="C3887" s="287" t="s">
        <v>1667</v>
      </c>
      <c r="D3887" s="287" t="s">
        <v>1668</v>
      </c>
      <c r="E3887" s="656">
        <v>12096</v>
      </c>
      <c r="F3887" s="381">
        <v>2160.83</v>
      </c>
    </row>
    <row r="3888" spans="1:7" s="295" customFormat="1" x14ac:dyDescent="0.15">
      <c r="A3888" s="655" t="s">
        <v>1606</v>
      </c>
      <c r="B3888" s="591"/>
      <c r="C3888" s="287" t="s">
        <v>1334</v>
      </c>
      <c r="D3888" s="287" t="s">
        <v>1462</v>
      </c>
      <c r="E3888" s="656">
        <v>51.7</v>
      </c>
      <c r="F3888" s="381">
        <v>12.02</v>
      </c>
    </row>
    <row r="3889" spans="1:10" s="295" customFormat="1" ht="14" thickBot="1" x14ac:dyDescent="0.2">
      <c r="A3889" s="655"/>
      <c r="B3889" s="591"/>
      <c r="C3889" s="291" t="s">
        <v>1656</v>
      </c>
      <c r="D3889" s="287"/>
      <c r="E3889" s="643">
        <f>SUM(E3862:E3888)</f>
        <v>74729.099999999991</v>
      </c>
      <c r="F3889" s="658">
        <v>14291.179999999998</v>
      </c>
    </row>
    <row r="3890" spans="1:10" s="295" customFormat="1" ht="14" thickTop="1" x14ac:dyDescent="0.15">
      <c r="A3890" s="655"/>
      <c r="B3890" s="591"/>
      <c r="C3890" s="287"/>
      <c r="D3890" s="287"/>
      <c r="E3890" s="524"/>
      <c r="F3890" s="381"/>
    </row>
    <row r="3891" spans="1:10" s="295" customFormat="1" x14ac:dyDescent="0.15">
      <c r="A3891" s="655"/>
      <c r="B3891" s="591"/>
      <c r="C3891" s="293" t="s">
        <v>1441</v>
      </c>
      <c r="D3891" s="287"/>
      <c r="E3891" s="524"/>
      <c r="F3891" s="381"/>
    </row>
    <row r="3892" spans="1:10" s="295" customFormat="1" x14ac:dyDescent="0.15">
      <c r="A3892" s="655"/>
      <c r="B3892" s="591"/>
      <c r="C3892" s="293" t="s">
        <v>1446</v>
      </c>
      <c r="D3892" s="287"/>
      <c r="E3892" s="524"/>
      <c r="F3892" s="381"/>
    </row>
    <row r="3893" spans="1:10" s="295" customFormat="1" x14ac:dyDescent="0.15">
      <c r="A3893" s="655"/>
      <c r="B3893" s="591"/>
      <c r="C3893" s="386">
        <v>42916</v>
      </c>
      <c r="D3893" s="287"/>
      <c r="E3893" s="524"/>
      <c r="F3893" s="381"/>
    </row>
    <row r="3894" spans="1:10" s="295" customFormat="1" x14ac:dyDescent="0.15">
      <c r="A3894" s="655"/>
      <c r="B3894" s="591"/>
      <c r="C3894" s="287"/>
      <c r="D3894" s="287"/>
      <c r="E3894" s="524"/>
      <c r="F3894" s="381"/>
    </row>
    <row r="3895" spans="1:10" s="295" customFormat="1" ht="14" thickBot="1" x14ac:dyDescent="0.2">
      <c r="A3895" s="663"/>
      <c r="B3895" s="664"/>
      <c r="C3895" s="665" t="s">
        <v>1174</v>
      </c>
      <c r="D3895" s="665"/>
      <c r="E3895" s="666">
        <f>SUM(E3860,E3889)</f>
        <v>170603.09999999998</v>
      </c>
      <c r="F3895" s="667">
        <v>29612.38</v>
      </c>
    </row>
    <row r="3896" spans="1:10" ht="14" thickBot="1" x14ac:dyDescent="0.2"/>
    <row r="3897" spans="1:10" s="310" customFormat="1" ht="31" thickBot="1" x14ac:dyDescent="0.35">
      <c r="A3897" s="776" t="s">
        <v>1112</v>
      </c>
      <c r="B3897" s="777"/>
      <c r="C3897" s="777"/>
      <c r="D3897" s="777"/>
      <c r="E3897" s="777"/>
      <c r="F3897" s="778"/>
      <c r="G3897" s="678"/>
      <c r="H3897" s="678"/>
      <c r="I3897" s="678"/>
      <c r="J3897" s="678"/>
    </row>
    <row r="3898" spans="1:10" s="310" customFormat="1" x14ac:dyDescent="0.15">
      <c r="A3898" s="679"/>
      <c r="B3898" s="679"/>
      <c r="E3898" s="680"/>
      <c r="F3898" s="336"/>
    </row>
    <row r="3899" spans="1:10" s="310" customFormat="1" x14ac:dyDescent="0.15">
      <c r="A3899" s="681" t="s">
        <v>1534</v>
      </c>
      <c r="B3899" s="682" t="s">
        <v>1614</v>
      </c>
      <c r="C3899" s="420" t="s">
        <v>1492</v>
      </c>
      <c r="D3899" s="420" t="s">
        <v>1239</v>
      </c>
      <c r="E3899" s="683">
        <v>9200</v>
      </c>
      <c r="F3899" s="422">
        <v>1437.97</v>
      </c>
    </row>
    <row r="3900" spans="1:10" s="310" customFormat="1" x14ac:dyDescent="0.15">
      <c r="A3900" s="684" t="s">
        <v>1535</v>
      </c>
      <c r="B3900" s="603" t="s">
        <v>1615</v>
      </c>
      <c r="C3900" s="337" t="s">
        <v>1507</v>
      </c>
      <c r="D3900" s="337" t="s">
        <v>1245</v>
      </c>
      <c r="E3900" s="677">
        <v>1600</v>
      </c>
      <c r="F3900" s="425">
        <v>276.97000000000003</v>
      </c>
    </row>
    <row r="3901" spans="1:10" s="310" customFormat="1" x14ac:dyDescent="0.15">
      <c r="A3901" s="684" t="s">
        <v>1670</v>
      </c>
      <c r="B3901" s="603" t="s">
        <v>1659</v>
      </c>
      <c r="C3901" s="337" t="s">
        <v>1279</v>
      </c>
      <c r="D3901" s="337" t="s">
        <v>1660</v>
      </c>
      <c r="E3901" s="677">
        <v>8160</v>
      </c>
      <c r="F3901" s="425">
        <v>1626.74</v>
      </c>
    </row>
    <row r="3902" spans="1:10" s="310" customFormat="1" x14ac:dyDescent="0.15">
      <c r="A3902" s="684" t="s">
        <v>1536</v>
      </c>
      <c r="B3902" s="603" t="s">
        <v>1616</v>
      </c>
      <c r="C3902" s="337" t="s">
        <v>1479</v>
      </c>
      <c r="D3902" s="337" t="s">
        <v>1231</v>
      </c>
      <c r="E3902" s="677">
        <v>2800</v>
      </c>
      <c r="F3902" s="425">
        <v>482.25</v>
      </c>
    </row>
    <row r="3903" spans="1:10" s="310" customFormat="1" x14ac:dyDescent="0.15">
      <c r="A3903" s="684" t="s">
        <v>1537</v>
      </c>
      <c r="B3903" s="603" t="s">
        <v>1617</v>
      </c>
      <c r="C3903" s="337" t="s">
        <v>1269</v>
      </c>
      <c r="D3903" s="337" t="s">
        <v>1270</v>
      </c>
      <c r="E3903" s="677">
        <v>5459</v>
      </c>
      <c r="F3903" s="425">
        <v>831.5</v>
      </c>
    </row>
    <row r="3904" spans="1:10" s="310" customFormat="1" x14ac:dyDescent="0.15">
      <c r="A3904" s="684" t="s">
        <v>1538</v>
      </c>
      <c r="B3904" s="603" t="s">
        <v>1618</v>
      </c>
      <c r="C3904" s="337" t="s">
        <v>1517</v>
      </c>
      <c r="D3904" s="337" t="s">
        <v>1518</v>
      </c>
      <c r="E3904" s="677">
        <v>5</v>
      </c>
      <c r="F3904" s="425">
        <v>30.5</v>
      </c>
    </row>
    <row r="3905" spans="1:6" s="310" customFormat="1" x14ac:dyDescent="0.15">
      <c r="A3905" s="684" t="s">
        <v>1540</v>
      </c>
      <c r="B3905" s="603" t="s">
        <v>1620</v>
      </c>
      <c r="C3905" s="337" t="s">
        <v>1257</v>
      </c>
      <c r="D3905" s="337" t="s">
        <v>1258</v>
      </c>
      <c r="E3905" s="677">
        <v>18000</v>
      </c>
      <c r="F3905" s="425">
        <v>2515.1999999999998</v>
      </c>
    </row>
    <row r="3906" spans="1:6" s="310" customFormat="1" x14ac:dyDescent="0.15">
      <c r="A3906" s="684" t="s">
        <v>1541</v>
      </c>
      <c r="B3906" s="603" t="s">
        <v>1621</v>
      </c>
      <c r="C3906" s="337" t="s">
        <v>1586</v>
      </c>
      <c r="D3906" s="337" t="s">
        <v>1500</v>
      </c>
      <c r="E3906" s="677">
        <v>3000</v>
      </c>
      <c r="F3906" s="425">
        <v>543.25</v>
      </c>
    </row>
    <row r="3907" spans="1:6" s="310" customFormat="1" x14ac:dyDescent="0.15">
      <c r="A3907" s="684" t="s">
        <v>1542</v>
      </c>
      <c r="B3907" s="603" t="s">
        <v>1622</v>
      </c>
      <c r="C3907" s="337" t="s">
        <v>1240</v>
      </c>
      <c r="D3907" s="337" t="s">
        <v>1467</v>
      </c>
      <c r="E3907" s="677">
        <v>4806</v>
      </c>
      <c r="F3907" s="425">
        <v>731.38</v>
      </c>
    </row>
    <row r="3908" spans="1:6" s="310" customFormat="1" x14ac:dyDescent="0.15">
      <c r="A3908" s="684" t="s">
        <v>1543</v>
      </c>
      <c r="B3908" s="603" t="s">
        <v>1623</v>
      </c>
      <c r="C3908" s="337" t="s">
        <v>1523</v>
      </c>
      <c r="D3908" s="337" t="s">
        <v>1266</v>
      </c>
      <c r="E3908" s="677">
        <v>1299</v>
      </c>
      <c r="F3908" s="425">
        <v>253.65</v>
      </c>
    </row>
    <row r="3909" spans="1:6" s="310" customFormat="1" x14ac:dyDescent="0.15">
      <c r="A3909" s="684" t="s">
        <v>1544</v>
      </c>
      <c r="B3909" s="603" t="s">
        <v>1624</v>
      </c>
      <c r="C3909" s="337" t="s">
        <v>1234</v>
      </c>
      <c r="D3909" s="337" t="s">
        <v>1494</v>
      </c>
      <c r="E3909" s="677">
        <v>2811</v>
      </c>
      <c r="F3909" s="425">
        <v>539.62</v>
      </c>
    </row>
    <row r="3910" spans="1:6" s="310" customFormat="1" x14ac:dyDescent="0.15">
      <c r="A3910" s="684" t="s">
        <v>1601</v>
      </c>
      <c r="B3910" s="603"/>
      <c r="C3910" s="337" t="s">
        <v>1334</v>
      </c>
      <c r="D3910" s="337" t="s">
        <v>1462</v>
      </c>
      <c r="E3910" s="677">
        <f>1061.9+1365.3</f>
        <v>2427.1999999999998</v>
      </c>
      <c r="F3910" s="425">
        <f>250.13+325</f>
        <v>575.13</v>
      </c>
    </row>
    <row r="3911" spans="1:6" s="310" customFormat="1" x14ac:dyDescent="0.15">
      <c r="A3911" s="684" t="s">
        <v>1545</v>
      </c>
      <c r="B3911" s="603"/>
      <c r="C3911" s="337" t="s">
        <v>1234</v>
      </c>
      <c r="D3911" s="337" t="s">
        <v>1494</v>
      </c>
      <c r="E3911" s="677">
        <f>3.7+51.7</f>
        <v>55.400000000000006</v>
      </c>
      <c r="F3911" s="425">
        <f>1.08+14.93</f>
        <v>16.009999999999998</v>
      </c>
    </row>
    <row r="3912" spans="1:6" s="310" customFormat="1" x14ac:dyDescent="0.15">
      <c r="A3912" s="684" t="s">
        <v>1602</v>
      </c>
      <c r="B3912" s="603"/>
      <c r="C3912" s="337" t="s">
        <v>1334</v>
      </c>
      <c r="D3912" s="337" t="s">
        <v>1462</v>
      </c>
      <c r="E3912" s="677">
        <f>59.3+76.3</f>
        <v>135.6</v>
      </c>
      <c r="F3912" s="425">
        <f>19.5+25.25</f>
        <v>44.75</v>
      </c>
    </row>
    <row r="3913" spans="1:6" s="310" customFormat="1" x14ac:dyDescent="0.15">
      <c r="A3913" s="684" t="s">
        <v>1546</v>
      </c>
      <c r="B3913" s="603"/>
      <c r="C3913" s="337" t="s">
        <v>1586</v>
      </c>
      <c r="D3913" s="337" t="s">
        <v>1500</v>
      </c>
      <c r="E3913" s="677">
        <f>4.2+59.2</f>
        <v>63.400000000000006</v>
      </c>
      <c r="F3913" s="425">
        <f>1.75+24.39</f>
        <v>26.14</v>
      </c>
    </row>
    <row r="3914" spans="1:6" s="310" customFormat="1" x14ac:dyDescent="0.15">
      <c r="A3914" s="684" t="s">
        <v>1549</v>
      </c>
      <c r="B3914" s="603" t="s">
        <v>1625</v>
      </c>
      <c r="C3914" s="337" t="s">
        <v>1459</v>
      </c>
      <c r="D3914" s="337" t="s">
        <v>1251</v>
      </c>
      <c r="E3914" s="677">
        <v>1278</v>
      </c>
      <c r="F3914" s="425">
        <v>243.41</v>
      </c>
    </row>
    <row r="3915" spans="1:6" s="310" customFormat="1" x14ac:dyDescent="0.15">
      <c r="A3915" s="684" t="s">
        <v>1603</v>
      </c>
      <c r="B3915" s="603"/>
      <c r="C3915" s="337" t="s">
        <v>1334</v>
      </c>
      <c r="D3915" s="337" t="s">
        <v>1462</v>
      </c>
      <c r="E3915" s="677">
        <f>444.5+571.5</f>
        <v>1016</v>
      </c>
      <c r="F3915" s="425">
        <f>111.93+145.31</f>
        <v>257.24</v>
      </c>
    </row>
    <row r="3916" spans="1:6" s="310" customFormat="1" x14ac:dyDescent="0.15">
      <c r="A3916" s="684" t="s">
        <v>1597</v>
      </c>
      <c r="B3916" s="603" t="s">
        <v>1626</v>
      </c>
      <c r="C3916" s="337" t="s">
        <v>1454</v>
      </c>
      <c r="D3916" s="337" t="s">
        <v>1247</v>
      </c>
      <c r="E3916" s="677">
        <v>2640</v>
      </c>
      <c r="F3916" s="425">
        <v>449.51</v>
      </c>
    </row>
    <row r="3917" spans="1:6" s="310" customFormat="1" x14ac:dyDescent="0.15">
      <c r="A3917" s="684" t="s">
        <v>1677</v>
      </c>
      <c r="B3917" s="603" t="s">
        <v>1678</v>
      </c>
      <c r="C3917" s="337" t="s">
        <v>1313</v>
      </c>
      <c r="D3917" s="337" t="s">
        <v>1412</v>
      </c>
      <c r="E3917" s="677">
        <v>1139</v>
      </c>
      <c r="F3917" s="425">
        <v>228.97</v>
      </c>
    </row>
    <row r="3918" spans="1:6" s="310" customFormat="1" x14ac:dyDescent="0.15">
      <c r="A3918" s="684" t="s">
        <v>1551</v>
      </c>
      <c r="B3918" s="603" t="s">
        <v>1627</v>
      </c>
      <c r="C3918" s="337" t="s">
        <v>1235</v>
      </c>
      <c r="D3918" s="337" t="s">
        <v>1236</v>
      </c>
      <c r="E3918" s="677">
        <v>5449</v>
      </c>
      <c r="F3918" s="425">
        <v>822.39</v>
      </c>
    </row>
    <row r="3919" spans="1:6" s="310" customFormat="1" x14ac:dyDescent="0.15">
      <c r="A3919" s="684" t="s">
        <v>1553</v>
      </c>
      <c r="B3919" s="603" t="s">
        <v>1628</v>
      </c>
      <c r="C3919" s="337" t="s">
        <v>1475</v>
      </c>
      <c r="D3919" s="337" t="s">
        <v>1387</v>
      </c>
      <c r="E3919" s="677">
        <v>509</v>
      </c>
      <c r="F3919" s="425">
        <v>99.51</v>
      </c>
    </row>
    <row r="3920" spans="1:6" s="310" customFormat="1" x14ac:dyDescent="0.15">
      <c r="A3920" s="684" t="s">
        <v>1554</v>
      </c>
      <c r="B3920" s="603" t="s">
        <v>1629</v>
      </c>
      <c r="C3920" s="337" t="s">
        <v>1399</v>
      </c>
      <c r="D3920" s="337" t="s">
        <v>1276</v>
      </c>
      <c r="E3920" s="677">
        <v>1930</v>
      </c>
      <c r="F3920" s="425">
        <v>423.77</v>
      </c>
    </row>
    <row r="3921" spans="1:6" s="310" customFormat="1" x14ac:dyDescent="0.15">
      <c r="A3921" s="684" t="s">
        <v>1598</v>
      </c>
      <c r="B3921" s="603"/>
      <c r="C3921" s="337" t="s">
        <v>1586</v>
      </c>
      <c r="D3921" s="337" t="s">
        <v>1500</v>
      </c>
      <c r="E3921" s="677">
        <f>2.1+29.6</f>
        <v>31.700000000000003</v>
      </c>
      <c r="F3921" s="425">
        <f>1.01+13.96</f>
        <v>14.97</v>
      </c>
    </row>
    <row r="3922" spans="1:6" s="310" customFormat="1" x14ac:dyDescent="0.15">
      <c r="A3922" s="684" t="s">
        <v>1662</v>
      </c>
      <c r="B3922" s="685">
        <v>892914652</v>
      </c>
      <c r="C3922" s="337" t="s">
        <v>1663</v>
      </c>
      <c r="D3922" s="337" t="s">
        <v>1664</v>
      </c>
      <c r="E3922" s="677">
        <v>18240</v>
      </c>
      <c r="F3922" s="425">
        <v>2656.52</v>
      </c>
    </row>
    <row r="3923" spans="1:6" s="310" customFormat="1" ht="14" thickBot="1" x14ac:dyDescent="0.2">
      <c r="A3923" s="684"/>
      <c r="B3923" s="603"/>
      <c r="C3923" s="340" t="s">
        <v>1657</v>
      </c>
      <c r="D3923" s="337"/>
      <c r="E3923" s="686">
        <f>SUM(E3899:E3922)</f>
        <v>92054.3</v>
      </c>
      <c r="F3923" s="687">
        <f>SUM(F3899:F3922)</f>
        <v>15127.349999999999</v>
      </c>
    </row>
    <row r="3924" spans="1:6" s="310" customFormat="1" ht="14" thickTop="1" x14ac:dyDescent="0.15">
      <c r="A3924" s="684"/>
      <c r="B3924" s="603"/>
      <c r="C3924" s="337"/>
      <c r="D3924" s="337"/>
      <c r="E3924" s="608"/>
      <c r="F3924" s="425"/>
    </row>
    <row r="3925" spans="1:6" s="310" customFormat="1" x14ac:dyDescent="0.15">
      <c r="A3925" s="684" t="s">
        <v>1556</v>
      </c>
      <c r="B3925" s="603" t="s">
        <v>1631</v>
      </c>
      <c r="C3925" s="337" t="s">
        <v>1248</v>
      </c>
      <c r="D3925" s="337" t="s">
        <v>1482</v>
      </c>
      <c r="E3925" s="677">
        <v>4589</v>
      </c>
      <c r="F3925" s="425">
        <v>797.08</v>
      </c>
    </row>
    <row r="3926" spans="1:6" s="310" customFormat="1" x14ac:dyDescent="0.15">
      <c r="A3926" s="684" t="s">
        <v>1714</v>
      </c>
      <c r="B3926" s="603"/>
      <c r="C3926" s="337" t="s">
        <v>1267</v>
      </c>
      <c r="D3926" s="337" t="s">
        <v>1268</v>
      </c>
      <c r="E3926" s="677">
        <f>2.1+29.6</f>
        <v>31.700000000000003</v>
      </c>
      <c r="F3926" s="425">
        <f>0.71+10</f>
        <v>10.71</v>
      </c>
    </row>
    <row r="3927" spans="1:6" s="310" customFormat="1" x14ac:dyDescent="0.15">
      <c r="A3927" s="684" t="s">
        <v>1558</v>
      </c>
      <c r="B3927" s="603" t="s">
        <v>1633</v>
      </c>
      <c r="C3927" s="337" t="s">
        <v>1469</v>
      </c>
      <c r="D3927" s="337" t="s">
        <v>1470</v>
      </c>
      <c r="E3927" s="677">
        <v>5440</v>
      </c>
      <c r="F3927" s="425">
        <v>941.94</v>
      </c>
    </row>
    <row r="3928" spans="1:6" s="310" customFormat="1" x14ac:dyDescent="0.15">
      <c r="A3928" s="684" t="s">
        <v>1559</v>
      </c>
      <c r="B3928" s="603" t="s">
        <v>1634</v>
      </c>
      <c r="C3928" s="337" t="s">
        <v>1502</v>
      </c>
      <c r="D3928" s="337" t="s">
        <v>1381</v>
      </c>
      <c r="E3928" s="677">
        <v>15936</v>
      </c>
      <c r="F3928" s="425">
        <v>2306.19</v>
      </c>
    </row>
    <row r="3929" spans="1:6" s="310" customFormat="1" x14ac:dyDescent="0.15">
      <c r="A3929" s="684" t="s">
        <v>1560</v>
      </c>
      <c r="B3929" s="603" t="s">
        <v>1635</v>
      </c>
      <c r="C3929" s="337" t="s">
        <v>1504</v>
      </c>
      <c r="D3929" s="337" t="s">
        <v>1505</v>
      </c>
      <c r="E3929" s="677">
        <v>1797</v>
      </c>
      <c r="F3929" s="425">
        <v>297.48</v>
      </c>
    </row>
    <row r="3930" spans="1:6" s="310" customFormat="1" x14ac:dyDescent="0.15">
      <c r="A3930" s="684" t="s">
        <v>1675</v>
      </c>
      <c r="B3930" s="603" t="s">
        <v>1676</v>
      </c>
      <c r="C3930" s="337" t="s">
        <v>1477</v>
      </c>
      <c r="D3930" s="337" t="s">
        <v>1289</v>
      </c>
      <c r="E3930" s="677">
        <v>13800</v>
      </c>
      <c r="F3930" s="425">
        <v>2109.83</v>
      </c>
    </row>
    <row r="3931" spans="1:6" s="310" customFormat="1" x14ac:dyDescent="0.15">
      <c r="A3931" s="684" t="s">
        <v>1564</v>
      </c>
      <c r="B3931" s="603" t="s">
        <v>1636</v>
      </c>
      <c r="C3931" s="337" t="s">
        <v>1485</v>
      </c>
      <c r="D3931" s="337" t="s">
        <v>1486</v>
      </c>
      <c r="E3931" s="677">
        <v>2040</v>
      </c>
      <c r="F3931" s="425">
        <v>411.12</v>
      </c>
    </row>
    <row r="3932" spans="1:6" s="310" customFormat="1" x14ac:dyDescent="0.15">
      <c r="A3932" s="684" t="s">
        <v>1565</v>
      </c>
      <c r="B3932" s="603" t="s">
        <v>1637</v>
      </c>
      <c r="C3932" s="337" t="s">
        <v>1267</v>
      </c>
      <c r="D3932" s="337" t="s">
        <v>1268</v>
      </c>
      <c r="E3932" s="677">
        <v>2830</v>
      </c>
      <c r="F3932" s="425">
        <v>548.22</v>
      </c>
    </row>
    <row r="3933" spans="1:6" s="310" customFormat="1" x14ac:dyDescent="0.15">
      <c r="A3933" s="684" t="s">
        <v>1569</v>
      </c>
      <c r="B3933" s="603" t="s">
        <v>1638</v>
      </c>
      <c r="C3933" s="337" t="s">
        <v>1464</v>
      </c>
      <c r="D3933" s="337" t="s">
        <v>1285</v>
      </c>
      <c r="E3933" s="677">
        <v>1238</v>
      </c>
      <c r="F3933" s="425">
        <v>287.44</v>
      </c>
    </row>
    <row r="3934" spans="1:6" s="310" customFormat="1" x14ac:dyDescent="0.15">
      <c r="A3934" s="684" t="s">
        <v>1711</v>
      </c>
      <c r="B3934" s="603" t="s">
        <v>1712</v>
      </c>
      <c r="C3934" s="337" t="s">
        <v>1713</v>
      </c>
      <c r="D3934" s="337" t="s">
        <v>1419</v>
      </c>
      <c r="E3934" s="677">
        <v>784</v>
      </c>
      <c r="F3934" s="425">
        <v>151.88</v>
      </c>
    </row>
    <row r="3935" spans="1:6" s="310" customFormat="1" x14ac:dyDescent="0.15">
      <c r="A3935" s="684" t="s">
        <v>1570</v>
      </c>
      <c r="B3935" s="603" t="s">
        <v>1639</v>
      </c>
      <c r="C3935" s="337" t="s">
        <v>1472</v>
      </c>
      <c r="D3935" s="337" t="s">
        <v>1473</v>
      </c>
      <c r="E3935" s="677">
        <v>110</v>
      </c>
      <c r="F3935" s="425">
        <v>41.46</v>
      </c>
    </row>
    <row r="3936" spans="1:6" s="310" customFormat="1" x14ac:dyDescent="0.15">
      <c r="A3936" s="684" t="s">
        <v>1571</v>
      </c>
      <c r="B3936" s="603" t="s">
        <v>1640</v>
      </c>
      <c r="C3936" s="337" t="s">
        <v>1489</v>
      </c>
      <c r="D3936" s="337" t="s">
        <v>1490</v>
      </c>
      <c r="E3936" s="677">
        <v>149</v>
      </c>
      <c r="F3936" s="425">
        <v>45.52</v>
      </c>
    </row>
    <row r="3937" spans="1:7" s="310" customFormat="1" x14ac:dyDescent="0.15">
      <c r="A3937" s="684" t="s">
        <v>1572</v>
      </c>
      <c r="B3937" s="603" t="s">
        <v>1641</v>
      </c>
      <c r="C3937" s="337" t="s">
        <v>1271</v>
      </c>
      <c r="D3937" s="337" t="s">
        <v>1272</v>
      </c>
      <c r="E3937" s="677">
        <v>7548</v>
      </c>
      <c r="F3937" s="425">
        <v>1161.5</v>
      </c>
    </row>
    <row r="3938" spans="1:7" s="310" customFormat="1" x14ac:dyDescent="0.15">
      <c r="A3938" s="684" t="s">
        <v>1573</v>
      </c>
      <c r="B3938" s="603"/>
      <c r="C3938" s="337" t="s">
        <v>1461</v>
      </c>
      <c r="D3938" s="337" t="s">
        <v>1703</v>
      </c>
      <c r="E3938" s="677">
        <f>0.4+12.6</f>
        <v>13</v>
      </c>
      <c r="F3938" s="425">
        <f>0.5+15.85</f>
        <v>16.350000000000001</v>
      </c>
    </row>
    <row r="3939" spans="1:7" s="310" customFormat="1" x14ac:dyDescent="0.15">
      <c r="A3939" s="684" t="s">
        <v>1574</v>
      </c>
      <c r="B3939" s="603" t="s">
        <v>1642</v>
      </c>
      <c r="C3939" s="337" t="s">
        <v>1377</v>
      </c>
      <c r="D3939" s="337" t="s">
        <v>1378</v>
      </c>
      <c r="E3939" s="677">
        <v>2144</v>
      </c>
      <c r="F3939" s="425">
        <v>341.68</v>
      </c>
    </row>
    <row r="3940" spans="1:7" s="310" customFormat="1" x14ac:dyDescent="0.15">
      <c r="A3940" s="684" t="s">
        <v>1575</v>
      </c>
      <c r="B3940" s="603" t="s">
        <v>1685</v>
      </c>
      <c r="C3940" s="337" t="s">
        <v>1448</v>
      </c>
      <c r="D3940" s="337" t="s">
        <v>1449</v>
      </c>
      <c r="E3940" s="677">
        <v>0</v>
      </c>
      <c r="F3940" s="425">
        <v>0</v>
      </c>
    </row>
    <row r="3941" spans="1:7" s="310" customFormat="1" x14ac:dyDescent="0.15">
      <c r="A3941" s="684" t="s">
        <v>1604</v>
      </c>
      <c r="B3941" s="603"/>
      <c r="C3941" s="337" t="s">
        <v>1334</v>
      </c>
      <c r="D3941" s="337" t="s">
        <v>1462</v>
      </c>
      <c r="E3941" s="677">
        <f>69.3+89.2</f>
        <v>158.5</v>
      </c>
      <c r="F3941" s="425">
        <f>26.32+33.99</f>
        <v>60.31</v>
      </c>
    </row>
    <row r="3942" spans="1:7" s="310" customFormat="1" x14ac:dyDescent="0.15">
      <c r="A3942" s="684" t="s">
        <v>1576</v>
      </c>
      <c r="B3942" s="603" t="s">
        <v>1644</v>
      </c>
      <c r="C3942" s="337" t="s">
        <v>1401</v>
      </c>
      <c r="D3942" s="337" t="s">
        <v>1316</v>
      </c>
      <c r="E3942" s="677">
        <v>81</v>
      </c>
      <c r="F3942" s="425">
        <v>38.43</v>
      </c>
    </row>
    <row r="3943" spans="1:7" s="310" customFormat="1" x14ac:dyDescent="0.15">
      <c r="A3943" s="684" t="s">
        <v>1605</v>
      </c>
      <c r="B3943" s="603"/>
      <c r="C3943" s="337" t="s">
        <v>1334</v>
      </c>
      <c r="D3943" s="337" t="s">
        <v>1462</v>
      </c>
      <c r="E3943" s="677">
        <f>182.3+234.4</f>
        <v>416.70000000000005</v>
      </c>
      <c r="F3943" s="425">
        <f>68.67+88.82</f>
        <v>157.49</v>
      </c>
    </row>
    <row r="3944" spans="1:7" s="310" customFormat="1" x14ac:dyDescent="0.15">
      <c r="A3944" s="684" t="s">
        <v>1578</v>
      </c>
      <c r="B3944" s="603" t="s">
        <v>1646</v>
      </c>
      <c r="C3944" s="337" t="s">
        <v>1579</v>
      </c>
      <c r="D3944" s="337" t="s">
        <v>1497</v>
      </c>
      <c r="E3944" s="677">
        <v>0</v>
      </c>
      <c r="F3944" s="425">
        <v>30</v>
      </c>
    </row>
    <row r="3945" spans="1:7" s="310" customFormat="1" x14ac:dyDescent="0.15">
      <c r="A3945" s="684" t="s">
        <v>1580</v>
      </c>
      <c r="B3945" s="603" t="s">
        <v>1647</v>
      </c>
      <c r="C3945" s="337" t="s">
        <v>1451</v>
      </c>
      <c r="D3945" s="337" t="s">
        <v>1674</v>
      </c>
      <c r="E3945" s="677">
        <v>1152</v>
      </c>
      <c r="F3945" s="425">
        <v>2004.96</v>
      </c>
    </row>
    <row r="3946" spans="1:7" s="310" customFormat="1" x14ac:dyDescent="0.15">
      <c r="A3946" s="684" t="s">
        <v>1581</v>
      </c>
      <c r="B3946" s="603" t="s">
        <v>1648</v>
      </c>
      <c r="C3946" s="337" t="s">
        <v>1521</v>
      </c>
      <c r="D3946" s="337" t="s">
        <v>1229</v>
      </c>
      <c r="E3946" s="677">
        <v>1831</v>
      </c>
      <c r="F3946" s="425">
        <v>276.95999999999998</v>
      </c>
    </row>
    <row r="3947" spans="1:7" s="310" customFormat="1" x14ac:dyDescent="0.15">
      <c r="A3947" s="684" t="s">
        <v>1717</v>
      </c>
      <c r="B3947" s="603" t="s">
        <v>1718</v>
      </c>
      <c r="C3947" s="337" t="s">
        <v>1719</v>
      </c>
      <c r="D3947" s="337" t="s">
        <v>1720</v>
      </c>
      <c r="E3947" s="677">
        <v>620</v>
      </c>
      <c r="F3947" s="425">
        <v>131.79</v>
      </c>
      <c r="G3947" s="688">
        <f>F3947/E3947</f>
        <v>0.21256451612903224</v>
      </c>
    </row>
    <row r="3948" spans="1:7" s="310" customFormat="1" x14ac:dyDescent="0.15">
      <c r="A3948" s="684" t="s">
        <v>1582</v>
      </c>
      <c r="B3948" s="603" t="s">
        <v>1649</v>
      </c>
      <c r="C3948" s="337" t="s">
        <v>1525</v>
      </c>
      <c r="D3948" s="337" t="s">
        <v>1526</v>
      </c>
      <c r="E3948" s="677">
        <v>18</v>
      </c>
      <c r="F3948" s="425">
        <v>9.31</v>
      </c>
    </row>
    <row r="3949" spans="1:7" s="310" customFormat="1" ht="14" x14ac:dyDescent="0.15">
      <c r="A3949" s="684" t="s">
        <v>1583</v>
      </c>
      <c r="B3949" s="603" t="s">
        <v>1650</v>
      </c>
      <c r="C3949" s="337" t="s">
        <v>1584</v>
      </c>
      <c r="D3949" s="689" t="s">
        <v>1264</v>
      </c>
      <c r="E3949" s="677">
        <v>2240</v>
      </c>
      <c r="F3949" s="425">
        <v>383.79</v>
      </c>
    </row>
    <row r="3950" spans="1:7" s="310" customFormat="1" x14ac:dyDescent="0.15">
      <c r="A3950" s="684" t="s">
        <v>1666</v>
      </c>
      <c r="B3950" s="603" t="s">
        <v>1672</v>
      </c>
      <c r="C3950" s="337" t="s">
        <v>1667</v>
      </c>
      <c r="D3950" s="337" t="s">
        <v>1668</v>
      </c>
      <c r="E3950" s="677">
        <v>11904</v>
      </c>
      <c r="F3950" s="425">
        <v>3100.8</v>
      </c>
    </row>
    <row r="3951" spans="1:7" s="310" customFormat="1" x14ac:dyDescent="0.15">
      <c r="A3951" s="684" t="s">
        <v>1606</v>
      </c>
      <c r="B3951" s="603"/>
      <c r="C3951" s="337" t="s">
        <v>1334</v>
      </c>
      <c r="D3951" s="337" t="s">
        <v>1462</v>
      </c>
      <c r="E3951" s="677">
        <f>24.2+31.2</f>
        <v>55.4</v>
      </c>
      <c r="F3951" s="425">
        <f>5.45+7.12</f>
        <v>12.57</v>
      </c>
    </row>
    <row r="3952" spans="1:7" s="310" customFormat="1" ht="14" thickBot="1" x14ac:dyDescent="0.2">
      <c r="A3952" s="684"/>
      <c r="B3952" s="603"/>
      <c r="C3952" s="340" t="s">
        <v>1669</v>
      </c>
      <c r="D3952" s="337"/>
      <c r="E3952" s="686">
        <f>SUM(E3925:E3951)</f>
        <v>76926.299999999988</v>
      </c>
      <c r="F3952" s="687">
        <f>SUM(F3925:F3951)</f>
        <v>15674.810000000001</v>
      </c>
    </row>
    <row r="3953" spans="1:6" s="310" customFormat="1" ht="14" thickTop="1" x14ac:dyDescent="0.15">
      <c r="A3953" s="684"/>
      <c r="B3953" s="603"/>
      <c r="C3953" s="337"/>
      <c r="D3953" s="337"/>
      <c r="E3953" s="608"/>
      <c r="F3953" s="425"/>
    </row>
    <row r="3954" spans="1:6" s="310" customFormat="1" x14ac:dyDescent="0.15">
      <c r="A3954" s="684"/>
      <c r="B3954" s="603"/>
      <c r="C3954" s="261" t="s">
        <v>1441</v>
      </c>
      <c r="D3954" s="337"/>
      <c r="E3954" s="608"/>
      <c r="F3954" s="425"/>
    </row>
    <row r="3955" spans="1:6" s="310" customFormat="1" x14ac:dyDescent="0.15">
      <c r="A3955" s="684"/>
      <c r="B3955" s="603"/>
      <c r="C3955" s="261" t="s">
        <v>1446</v>
      </c>
      <c r="D3955" s="337"/>
      <c r="E3955" s="608"/>
      <c r="F3955" s="425"/>
    </row>
    <row r="3956" spans="1:6" s="310" customFormat="1" x14ac:dyDescent="0.15">
      <c r="A3956" s="684"/>
      <c r="B3956" s="603"/>
      <c r="C3956" s="431">
        <v>42947</v>
      </c>
      <c r="D3956" s="337"/>
      <c r="E3956" s="608"/>
      <c r="F3956" s="425"/>
    </row>
    <row r="3957" spans="1:6" s="310" customFormat="1" x14ac:dyDescent="0.15">
      <c r="A3957" s="684"/>
      <c r="B3957" s="603"/>
      <c r="C3957" s="337"/>
      <c r="D3957" s="337"/>
      <c r="E3957" s="608"/>
      <c r="F3957" s="425"/>
    </row>
    <row r="3958" spans="1:6" s="310" customFormat="1" ht="14" thickBot="1" x14ac:dyDescent="0.2">
      <c r="A3958" s="690"/>
      <c r="B3958" s="691"/>
      <c r="C3958" s="692" t="s">
        <v>1177</v>
      </c>
      <c r="D3958" s="692"/>
      <c r="E3958" s="693">
        <f>SUM(E3923,E3952)</f>
        <v>168980.59999999998</v>
      </c>
      <c r="F3958" s="694">
        <f>SUM(F3923,F3952)</f>
        <v>30802.16</v>
      </c>
    </row>
    <row r="3959" spans="1:6" s="310" customFormat="1" x14ac:dyDescent="0.15">
      <c r="A3959" s="684"/>
      <c r="B3959" s="603"/>
      <c r="C3959" s="695"/>
      <c r="D3959" s="695"/>
      <c r="E3959" s="696"/>
      <c r="F3959" s="697"/>
    </row>
    <row r="3960" spans="1:6" s="310" customFormat="1" x14ac:dyDescent="0.15">
      <c r="A3960" s="681" t="s">
        <v>1534</v>
      </c>
      <c r="B3960" s="682" t="s">
        <v>1614</v>
      </c>
      <c r="C3960" s="420" t="s">
        <v>1492</v>
      </c>
      <c r="D3960" s="420" t="s">
        <v>1239</v>
      </c>
      <c r="E3960" s="683">
        <v>6560</v>
      </c>
      <c r="F3960" s="422">
        <v>987.43</v>
      </c>
    </row>
    <row r="3961" spans="1:6" s="310" customFormat="1" x14ac:dyDescent="0.15">
      <c r="A3961" s="684" t="s">
        <v>1535</v>
      </c>
      <c r="B3961" s="603" t="s">
        <v>1615</v>
      </c>
      <c r="C3961" s="337" t="s">
        <v>1507</v>
      </c>
      <c r="D3961" s="337" t="s">
        <v>1245</v>
      </c>
      <c r="E3961" s="677">
        <v>2240</v>
      </c>
      <c r="F3961" s="425">
        <v>496.58</v>
      </c>
    </row>
    <row r="3962" spans="1:6" s="310" customFormat="1" x14ac:dyDescent="0.15">
      <c r="A3962" s="684" t="s">
        <v>1670</v>
      </c>
      <c r="B3962" s="603" t="s">
        <v>1659</v>
      </c>
      <c r="C3962" s="337" t="s">
        <v>1279</v>
      </c>
      <c r="D3962" s="337" t="s">
        <v>1660</v>
      </c>
      <c r="E3962" s="677">
        <v>6560</v>
      </c>
      <c r="F3962" s="425">
        <v>1123.95</v>
      </c>
    </row>
    <row r="3963" spans="1:6" s="310" customFormat="1" x14ac:dyDescent="0.15">
      <c r="A3963" s="684" t="s">
        <v>1536</v>
      </c>
      <c r="B3963" s="603" t="s">
        <v>1616</v>
      </c>
      <c r="C3963" s="337" t="s">
        <v>1479</v>
      </c>
      <c r="D3963" s="337" t="s">
        <v>1231</v>
      </c>
      <c r="E3963" s="677">
        <v>2698</v>
      </c>
      <c r="F3963" s="425">
        <v>431.96</v>
      </c>
    </row>
    <row r="3964" spans="1:6" s="310" customFormat="1" x14ac:dyDescent="0.15">
      <c r="A3964" s="684" t="s">
        <v>1537</v>
      </c>
      <c r="B3964" s="603" t="s">
        <v>1617</v>
      </c>
      <c r="C3964" s="337" t="s">
        <v>1269</v>
      </c>
      <c r="D3964" s="337" t="s">
        <v>1270</v>
      </c>
      <c r="E3964" s="677">
        <v>4334</v>
      </c>
      <c r="F3964" s="425">
        <v>658.82</v>
      </c>
    </row>
    <row r="3965" spans="1:6" s="310" customFormat="1" x14ac:dyDescent="0.15">
      <c r="A3965" s="684" t="s">
        <v>1538</v>
      </c>
      <c r="B3965" s="603" t="s">
        <v>1618</v>
      </c>
      <c r="C3965" s="337" t="s">
        <v>1517</v>
      </c>
      <c r="D3965" s="337" t="s">
        <v>1518</v>
      </c>
      <c r="E3965" s="677">
        <v>5</v>
      </c>
      <c r="F3965" s="425">
        <v>30.51</v>
      </c>
    </row>
    <row r="3966" spans="1:6" s="310" customFormat="1" x14ac:dyDescent="0.15">
      <c r="A3966" s="684" t="s">
        <v>1540</v>
      </c>
      <c r="B3966" s="603" t="s">
        <v>1620</v>
      </c>
      <c r="C3966" s="337" t="s">
        <v>1257</v>
      </c>
      <c r="D3966" s="337" t="s">
        <v>1258</v>
      </c>
      <c r="E3966" s="677">
        <v>16320</v>
      </c>
      <c r="F3966" s="425">
        <v>2262.65</v>
      </c>
    </row>
    <row r="3967" spans="1:6" s="310" customFormat="1" x14ac:dyDescent="0.15">
      <c r="A3967" s="684" t="s">
        <v>1541</v>
      </c>
      <c r="B3967" s="603" t="s">
        <v>1621</v>
      </c>
      <c r="C3967" s="337" t="s">
        <v>1586</v>
      </c>
      <c r="D3967" s="337" t="s">
        <v>1500</v>
      </c>
      <c r="E3967" s="677">
        <v>2120</v>
      </c>
      <c r="F3967" s="425">
        <v>355.59</v>
      </c>
    </row>
    <row r="3968" spans="1:6" s="310" customFormat="1" x14ac:dyDescent="0.15">
      <c r="A3968" s="684" t="s">
        <v>1542</v>
      </c>
      <c r="B3968" s="603" t="s">
        <v>1622</v>
      </c>
      <c r="C3968" s="337" t="s">
        <v>1240</v>
      </c>
      <c r="D3968" s="337" t="s">
        <v>1467</v>
      </c>
      <c r="E3968" s="677">
        <v>3876</v>
      </c>
      <c r="F3968" s="425">
        <v>562.88</v>
      </c>
    </row>
    <row r="3969" spans="1:6" s="310" customFormat="1" x14ac:dyDescent="0.15">
      <c r="A3969" s="684" t="s">
        <v>1543</v>
      </c>
      <c r="B3969" s="603" t="s">
        <v>1623</v>
      </c>
      <c r="C3969" s="337" t="s">
        <v>1523</v>
      </c>
      <c r="D3969" s="337" t="s">
        <v>1266</v>
      </c>
      <c r="E3969" s="677">
        <v>1220</v>
      </c>
      <c r="F3969" s="425">
        <v>213.52</v>
      </c>
    </row>
    <row r="3970" spans="1:6" s="310" customFormat="1" x14ac:dyDescent="0.15">
      <c r="A3970" s="684" t="s">
        <v>1544</v>
      </c>
      <c r="B3970" s="603" t="s">
        <v>1624</v>
      </c>
      <c r="C3970" s="337" t="s">
        <v>1234</v>
      </c>
      <c r="D3970" s="337" t="s">
        <v>1494</v>
      </c>
      <c r="E3970" s="677">
        <v>2895</v>
      </c>
      <c r="F3970" s="425">
        <v>524.77</v>
      </c>
    </row>
    <row r="3971" spans="1:6" s="310" customFormat="1" x14ac:dyDescent="0.15">
      <c r="A3971" s="684" t="s">
        <v>1601</v>
      </c>
      <c r="B3971" s="603"/>
      <c r="C3971" s="337" t="s">
        <v>1334</v>
      </c>
      <c r="D3971" s="337" t="s">
        <v>1462</v>
      </c>
      <c r="E3971" s="677">
        <v>2714.4</v>
      </c>
      <c r="F3971" s="425">
        <v>613.17999999999995</v>
      </c>
    </row>
    <row r="3972" spans="1:6" s="310" customFormat="1" x14ac:dyDescent="0.15">
      <c r="A3972" s="684" t="s">
        <v>1545</v>
      </c>
      <c r="B3972" s="603"/>
      <c r="C3972" s="337" t="s">
        <v>1234</v>
      </c>
      <c r="D3972" s="337" t="s">
        <v>1494</v>
      </c>
      <c r="E3972" s="677">
        <v>62</v>
      </c>
      <c r="F3972" s="425">
        <v>16.95</v>
      </c>
    </row>
    <row r="3973" spans="1:6" s="310" customFormat="1" x14ac:dyDescent="0.15">
      <c r="A3973" s="684" t="s">
        <v>1602</v>
      </c>
      <c r="B3973" s="603"/>
      <c r="C3973" s="337" t="s">
        <v>1334</v>
      </c>
      <c r="D3973" s="337" t="s">
        <v>1462</v>
      </c>
      <c r="E3973" s="677">
        <v>151.80000000000001</v>
      </c>
      <c r="F3973" s="425">
        <v>46.9</v>
      </c>
    </row>
    <row r="3974" spans="1:6" s="310" customFormat="1" x14ac:dyDescent="0.15">
      <c r="A3974" s="684" t="s">
        <v>1546</v>
      </c>
      <c r="B3974" s="603"/>
      <c r="C3974" s="337" t="s">
        <v>1586</v>
      </c>
      <c r="D3974" s="337" t="s">
        <v>1500</v>
      </c>
      <c r="E3974" s="677">
        <v>71</v>
      </c>
      <c r="F3974" s="425">
        <v>27.44</v>
      </c>
    </row>
    <row r="3975" spans="1:6" s="310" customFormat="1" x14ac:dyDescent="0.15">
      <c r="A3975" s="684" t="s">
        <v>1549</v>
      </c>
      <c r="B3975" s="603" t="s">
        <v>1625</v>
      </c>
      <c r="C3975" s="337" t="s">
        <v>1459</v>
      </c>
      <c r="D3975" s="337" t="s">
        <v>1251</v>
      </c>
      <c r="E3975" s="677">
        <v>1358</v>
      </c>
      <c r="F3975" s="425">
        <v>276.10000000000002</v>
      </c>
    </row>
    <row r="3976" spans="1:6" s="310" customFormat="1" x14ac:dyDescent="0.15">
      <c r="A3976" s="684" t="s">
        <v>1603</v>
      </c>
      <c r="B3976" s="603"/>
      <c r="C3976" s="337" t="s">
        <v>1334</v>
      </c>
      <c r="D3976" s="337" t="s">
        <v>1462</v>
      </c>
      <c r="E3976" s="677">
        <v>1136.8</v>
      </c>
      <c r="F3976" s="425">
        <v>273.36</v>
      </c>
    </row>
    <row r="3977" spans="1:6" s="310" customFormat="1" x14ac:dyDescent="0.15">
      <c r="A3977" s="684" t="s">
        <v>1597</v>
      </c>
      <c r="B3977" s="603" t="s">
        <v>1626</v>
      </c>
      <c r="C3977" s="337" t="s">
        <v>1454</v>
      </c>
      <c r="D3977" s="337" t="s">
        <v>1247</v>
      </c>
      <c r="E3977" s="677">
        <v>2600</v>
      </c>
      <c r="F3977" s="425">
        <v>437.79</v>
      </c>
    </row>
    <row r="3978" spans="1:6" s="310" customFormat="1" x14ac:dyDescent="0.15">
      <c r="A3978" s="684" t="s">
        <v>1677</v>
      </c>
      <c r="B3978" s="603" t="s">
        <v>1678</v>
      </c>
      <c r="C3978" s="337" t="s">
        <v>1313</v>
      </c>
      <c r="D3978" s="337" t="s">
        <v>1412</v>
      </c>
      <c r="E3978" s="677">
        <v>1075</v>
      </c>
      <c r="F3978" s="425">
        <v>214.44</v>
      </c>
    </row>
    <row r="3979" spans="1:6" s="310" customFormat="1" x14ac:dyDescent="0.15">
      <c r="A3979" s="684" t="s">
        <v>1551</v>
      </c>
      <c r="B3979" s="603" t="s">
        <v>1627</v>
      </c>
      <c r="C3979" s="337" t="s">
        <v>1235</v>
      </c>
      <c r="D3979" s="337" t="s">
        <v>1236</v>
      </c>
      <c r="E3979" s="677">
        <v>5358</v>
      </c>
      <c r="F3979" s="425">
        <v>805.84</v>
      </c>
    </row>
    <row r="3980" spans="1:6" s="310" customFormat="1" x14ac:dyDescent="0.15">
      <c r="A3980" s="684" t="s">
        <v>1553</v>
      </c>
      <c r="B3980" s="603" t="s">
        <v>1628</v>
      </c>
      <c r="C3980" s="337" t="s">
        <v>1475</v>
      </c>
      <c r="D3980" s="337" t="s">
        <v>1387</v>
      </c>
      <c r="E3980" s="677">
        <v>430</v>
      </c>
      <c r="F3980" s="425">
        <v>84.86</v>
      </c>
    </row>
    <row r="3981" spans="1:6" s="310" customFormat="1" x14ac:dyDescent="0.15">
      <c r="A3981" s="684" t="s">
        <v>1554</v>
      </c>
      <c r="B3981" s="603" t="s">
        <v>1629</v>
      </c>
      <c r="C3981" s="337" t="s">
        <v>1399</v>
      </c>
      <c r="D3981" s="337" t="s">
        <v>1276</v>
      </c>
      <c r="E3981" s="677">
        <v>3743</v>
      </c>
      <c r="F3981" s="425">
        <v>597.16</v>
      </c>
    </row>
    <row r="3982" spans="1:6" s="310" customFormat="1" x14ac:dyDescent="0.15">
      <c r="A3982" s="684" t="s">
        <v>1598</v>
      </c>
      <c r="B3982" s="603"/>
      <c r="C3982" s="337" t="s">
        <v>1586</v>
      </c>
      <c r="D3982" s="337" t="s">
        <v>1500</v>
      </c>
      <c r="E3982" s="677">
        <v>35.5</v>
      </c>
      <c r="F3982" s="425">
        <v>15.59</v>
      </c>
    </row>
    <row r="3983" spans="1:6" s="310" customFormat="1" x14ac:dyDescent="0.15">
      <c r="A3983" s="684" t="s">
        <v>1662</v>
      </c>
      <c r="B3983" s="685">
        <v>892914652</v>
      </c>
      <c r="C3983" s="337" t="s">
        <v>1663</v>
      </c>
      <c r="D3983" s="337" t="s">
        <v>1664</v>
      </c>
      <c r="E3983" s="677">
        <v>18880</v>
      </c>
      <c r="F3983" s="425">
        <f>2697.46-34.65</f>
        <v>2662.81</v>
      </c>
    </row>
    <row r="3984" spans="1:6" s="310" customFormat="1" ht="14" thickBot="1" x14ac:dyDescent="0.2">
      <c r="A3984" s="684"/>
      <c r="B3984" s="603"/>
      <c r="C3984" s="340" t="s">
        <v>1671</v>
      </c>
      <c r="D3984" s="337"/>
      <c r="E3984" s="686">
        <f>SUM(E3960:E3983)</f>
        <v>86443.5</v>
      </c>
      <c r="F3984" s="687">
        <f>SUM(F3960:F3983)</f>
        <v>13721.080000000005</v>
      </c>
    </row>
    <row r="3985" spans="1:6" s="310" customFormat="1" ht="14" thickTop="1" x14ac:dyDescent="0.15">
      <c r="A3985" s="684"/>
      <c r="B3985" s="603"/>
      <c r="C3985" s="337"/>
      <c r="D3985" s="337"/>
      <c r="E3985" s="608"/>
      <c r="F3985" s="425"/>
    </row>
    <row r="3986" spans="1:6" s="310" customFormat="1" x14ac:dyDescent="0.15">
      <c r="A3986" s="684" t="s">
        <v>1556</v>
      </c>
      <c r="B3986" s="603" t="s">
        <v>1631</v>
      </c>
      <c r="C3986" s="337" t="s">
        <v>1248</v>
      </c>
      <c r="D3986" s="337" t="s">
        <v>1482</v>
      </c>
      <c r="E3986" s="677">
        <v>5087</v>
      </c>
      <c r="F3986" s="425">
        <v>841.75</v>
      </c>
    </row>
    <row r="3987" spans="1:6" s="310" customFormat="1" x14ac:dyDescent="0.15">
      <c r="A3987" s="684" t="s">
        <v>1714</v>
      </c>
      <c r="B3987" s="603"/>
      <c r="C3987" s="337" t="s">
        <v>1267</v>
      </c>
      <c r="D3987" s="337" t="s">
        <v>1268</v>
      </c>
      <c r="E3987" s="677">
        <f>3.3+32.2</f>
        <v>35.5</v>
      </c>
      <c r="F3987" s="425">
        <f>1.04+10.03</f>
        <v>11.07</v>
      </c>
    </row>
    <row r="3988" spans="1:6" s="310" customFormat="1" x14ac:dyDescent="0.15">
      <c r="A3988" s="684" t="s">
        <v>1558</v>
      </c>
      <c r="B3988" s="603" t="s">
        <v>1633</v>
      </c>
      <c r="C3988" s="337" t="s">
        <v>1469</v>
      </c>
      <c r="D3988" s="337" t="s">
        <v>1470</v>
      </c>
      <c r="E3988" s="677">
        <v>5920</v>
      </c>
      <c r="F3988" s="425">
        <v>968.82</v>
      </c>
    </row>
    <row r="3989" spans="1:6" s="310" customFormat="1" x14ac:dyDescent="0.15">
      <c r="A3989" s="684" t="s">
        <v>1559</v>
      </c>
      <c r="B3989" s="603" t="s">
        <v>1634</v>
      </c>
      <c r="C3989" s="337" t="s">
        <v>1502</v>
      </c>
      <c r="D3989" s="337" t="s">
        <v>1381</v>
      </c>
      <c r="E3989" s="677">
        <v>17568</v>
      </c>
      <c r="F3989" s="425">
        <v>2453.17</v>
      </c>
    </row>
    <row r="3990" spans="1:6" s="310" customFormat="1" x14ac:dyDescent="0.15">
      <c r="A3990" s="684" t="s">
        <v>1560</v>
      </c>
      <c r="B3990" s="603" t="s">
        <v>1635</v>
      </c>
      <c r="C3990" s="337" t="s">
        <v>1504</v>
      </c>
      <c r="D3990" s="337" t="s">
        <v>1505</v>
      </c>
      <c r="E3990" s="677">
        <v>1895</v>
      </c>
      <c r="F3990" s="425">
        <v>291.95999999999998</v>
      </c>
    </row>
    <row r="3991" spans="1:6" s="310" customFormat="1" x14ac:dyDescent="0.15">
      <c r="A3991" s="684" t="s">
        <v>1675</v>
      </c>
      <c r="B3991" s="603" t="s">
        <v>1676</v>
      </c>
      <c r="C3991" s="337" t="s">
        <v>1477</v>
      </c>
      <c r="D3991" s="337" t="s">
        <v>1289</v>
      </c>
      <c r="E3991" s="677">
        <v>14740</v>
      </c>
      <c r="F3991" s="425">
        <v>2226.3000000000002</v>
      </c>
    </row>
    <row r="3992" spans="1:6" s="310" customFormat="1" x14ac:dyDescent="0.15">
      <c r="A3992" s="684" t="s">
        <v>1564</v>
      </c>
      <c r="B3992" s="603" t="s">
        <v>1636</v>
      </c>
      <c r="C3992" s="337" t="s">
        <v>1485</v>
      </c>
      <c r="D3992" s="337" t="s">
        <v>1486</v>
      </c>
      <c r="E3992" s="677">
        <v>1840</v>
      </c>
      <c r="F3992" s="425">
        <v>414.71</v>
      </c>
    </row>
    <row r="3993" spans="1:6" s="310" customFormat="1" x14ac:dyDescent="0.15">
      <c r="A3993" s="684" t="s">
        <v>1565</v>
      </c>
      <c r="B3993" s="603" t="s">
        <v>1637</v>
      </c>
      <c r="C3993" s="337" t="s">
        <v>1267</v>
      </c>
      <c r="D3993" s="337" t="s">
        <v>1268</v>
      </c>
      <c r="E3993" s="677">
        <v>3027</v>
      </c>
      <c r="F3993" s="425">
        <v>585.30999999999995</v>
      </c>
    </row>
    <row r="3994" spans="1:6" s="310" customFormat="1" x14ac:dyDescent="0.15">
      <c r="A3994" s="684" t="s">
        <v>1569</v>
      </c>
      <c r="B3994" s="603" t="s">
        <v>1638</v>
      </c>
      <c r="C3994" s="337" t="s">
        <v>1464</v>
      </c>
      <c r="D3994" s="337" t="s">
        <v>1285</v>
      </c>
      <c r="E3994" s="677">
        <v>1312</v>
      </c>
      <c r="F3994" s="425">
        <v>287.33999999999997</v>
      </c>
    </row>
    <row r="3995" spans="1:6" s="310" customFormat="1" x14ac:dyDescent="0.15">
      <c r="A3995" s="684" t="s">
        <v>1711</v>
      </c>
      <c r="B3995" s="603" t="s">
        <v>1712</v>
      </c>
      <c r="C3995" s="337" t="s">
        <v>1713</v>
      </c>
      <c r="D3995" s="337" t="s">
        <v>1419</v>
      </c>
      <c r="E3995" s="677">
        <v>767</v>
      </c>
      <c r="F3995" s="425">
        <v>148.33000000000001</v>
      </c>
    </row>
    <row r="3996" spans="1:6" s="310" customFormat="1" x14ac:dyDescent="0.15">
      <c r="A3996" s="684" t="s">
        <v>1570</v>
      </c>
      <c r="B3996" s="603" t="s">
        <v>1639</v>
      </c>
      <c r="C3996" s="337" t="s">
        <v>1472</v>
      </c>
      <c r="D3996" s="337" t="s">
        <v>1473</v>
      </c>
      <c r="E3996" s="677">
        <v>117</v>
      </c>
      <c r="F3996" s="425">
        <v>42.23</v>
      </c>
    </row>
    <row r="3997" spans="1:6" s="310" customFormat="1" x14ac:dyDescent="0.15">
      <c r="A3997" s="684" t="s">
        <v>1571</v>
      </c>
      <c r="B3997" s="603" t="s">
        <v>1640</v>
      </c>
      <c r="C3997" s="337" t="s">
        <v>1489</v>
      </c>
      <c r="D3997" s="337" t="s">
        <v>1490</v>
      </c>
      <c r="E3997" s="677">
        <v>163</v>
      </c>
      <c r="F3997" s="425">
        <v>47.01</v>
      </c>
    </row>
    <row r="3998" spans="1:6" s="310" customFormat="1" x14ac:dyDescent="0.15">
      <c r="A3998" s="684" t="s">
        <v>1572</v>
      </c>
      <c r="B3998" s="603" t="s">
        <v>1641</v>
      </c>
      <c r="C3998" s="337" t="s">
        <v>1271</v>
      </c>
      <c r="D3998" s="337" t="s">
        <v>1272</v>
      </c>
      <c r="E3998" s="677">
        <v>7886</v>
      </c>
      <c r="F3998" s="425">
        <v>1181.99</v>
      </c>
    </row>
    <row r="3999" spans="1:6" s="310" customFormat="1" x14ac:dyDescent="0.15">
      <c r="A3999" s="684" t="s">
        <v>1573</v>
      </c>
      <c r="B3999" s="603"/>
      <c r="C3999" s="337" t="s">
        <v>1461</v>
      </c>
      <c r="D3999" s="337" t="s">
        <v>1703</v>
      </c>
      <c r="E3999" s="677">
        <v>26</v>
      </c>
      <c r="F3999" s="425">
        <v>16.37</v>
      </c>
    </row>
    <row r="4000" spans="1:6" s="310" customFormat="1" x14ac:dyDescent="0.15">
      <c r="A4000" s="684" t="s">
        <v>1574</v>
      </c>
      <c r="B4000" s="603" t="s">
        <v>1642</v>
      </c>
      <c r="C4000" s="337" t="s">
        <v>1377</v>
      </c>
      <c r="D4000" s="337" t="s">
        <v>1378</v>
      </c>
      <c r="E4000" s="677">
        <v>2174</v>
      </c>
      <c r="F4000" s="425">
        <v>353.19</v>
      </c>
    </row>
    <row r="4001" spans="1:7" s="310" customFormat="1" x14ac:dyDescent="0.15">
      <c r="A4001" s="684" t="s">
        <v>1575</v>
      </c>
      <c r="B4001" s="603" t="s">
        <v>1685</v>
      </c>
      <c r="C4001" s="337" t="s">
        <v>1448</v>
      </c>
      <c r="D4001" s="337" t="s">
        <v>1449</v>
      </c>
      <c r="E4001" s="677">
        <f>11+11+24</f>
        <v>46</v>
      </c>
      <c r="F4001" s="425">
        <f>8.08+8.02+10.39-0.14</f>
        <v>26.35</v>
      </c>
    </row>
    <row r="4002" spans="1:7" s="310" customFormat="1" x14ac:dyDescent="0.15">
      <c r="A4002" s="684" t="s">
        <v>1604</v>
      </c>
      <c r="B4002" s="603"/>
      <c r="C4002" s="337" t="s">
        <v>1334</v>
      </c>
      <c r="D4002" s="337" t="s">
        <v>1462</v>
      </c>
      <c r="E4002" s="677">
        <v>177.5</v>
      </c>
      <c r="F4002" s="425">
        <v>62.96</v>
      </c>
    </row>
    <row r="4003" spans="1:7" s="310" customFormat="1" x14ac:dyDescent="0.15">
      <c r="A4003" s="684" t="s">
        <v>1576</v>
      </c>
      <c r="B4003" s="603" t="s">
        <v>1644</v>
      </c>
      <c r="C4003" s="337" t="s">
        <v>1401</v>
      </c>
      <c r="D4003" s="337" t="s">
        <v>1316</v>
      </c>
      <c r="E4003" s="677">
        <v>84</v>
      </c>
      <c r="F4003" s="425">
        <v>38.78</v>
      </c>
    </row>
    <row r="4004" spans="1:7" s="310" customFormat="1" x14ac:dyDescent="0.15">
      <c r="A4004" s="684" t="s">
        <v>1605</v>
      </c>
      <c r="B4004" s="603"/>
      <c r="C4004" s="337" t="s">
        <v>1334</v>
      </c>
      <c r="D4004" s="337" t="s">
        <v>1462</v>
      </c>
      <c r="E4004" s="677">
        <v>466.2</v>
      </c>
      <c r="F4004" s="425">
        <v>164.34</v>
      </c>
    </row>
    <row r="4005" spans="1:7" s="310" customFormat="1" x14ac:dyDescent="0.15">
      <c r="A4005" s="684" t="s">
        <v>1578</v>
      </c>
      <c r="B4005" s="603" t="s">
        <v>1646</v>
      </c>
      <c r="C4005" s="337" t="s">
        <v>1579</v>
      </c>
      <c r="D4005" s="337" t="s">
        <v>1497</v>
      </c>
      <c r="E4005" s="677">
        <v>2</v>
      </c>
      <c r="F4005" s="425">
        <v>30.2</v>
      </c>
    </row>
    <row r="4006" spans="1:7" s="310" customFormat="1" x14ac:dyDescent="0.15">
      <c r="A4006" s="684" t="s">
        <v>1580</v>
      </c>
      <c r="B4006" s="603" t="s">
        <v>1647</v>
      </c>
      <c r="C4006" s="337" t="s">
        <v>1451</v>
      </c>
      <c r="D4006" s="337" t="s">
        <v>1674</v>
      </c>
      <c r="E4006" s="677">
        <v>576</v>
      </c>
      <c r="F4006" s="425">
        <v>90.1</v>
      </c>
    </row>
    <row r="4007" spans="1:7" s="310" customFormat="1" x14ac:dyDescent="0.15">
      <c r="A4007" s="684" t="s">
        <v>1581</v>
      </c>
      <c r="B4007" s="603" t="s">
        <v>1648</v>
      </c>
      <c r="C4007" s="337" t="s">
        <v>1521</v>
      </c>
      <c r="D4007" s="337" t="s">
        <v>1229</v>
      </c>
      <c r="E4007" s="677">
        <v>2251</v>
      </c>
      <c r="F4007" s="425">
        <v>337.15</v>
      </c>
    </row>
    <row r="4008" spans="1:7" s="310" customFormat="1" x14ac:dyDescent="0.15">
      <c r="A4008" s="684" t="s">
        <v>1717</v>
      </c>
      <c r="B4008" s="603" t="s">
        <v>1718</v>
      </c>
      <c r="C4008" s="337" t="s">
        <v>1719</v>
      </c>
      <c r="D4008" s="337" t="s">
        <v>1720</v>
      </c>
      <c r="E4008" s="677">
        <v>604</v>
      </c>
      <c r="F4008" s="425">
        <v>121.37</v>
      </c>
      <c r="G4008" s="688">
        <f>F4008/E4008</f>
        <v>0.20094370860927152</v>
      </c>
    </row>
    <row r="4009" spans="1:7" s="310" customFormat="1" x14ac:dyDescent="0.15">
      <c r="A4009" s="684" t="s">
        <v>1582</v>
      </c>
      <c r="B4009" s="603" t="s">
        <v>1649</v>
      </c>
      <c r="C4009" s="337" t="s">
        <v>1525</v>
      </c>
      <c r="D4009" s="337" t="s">
        <v>1526</v>
      </c>
      <c r="E4009" s="677">
        <v>13</v>
      </c>
      <c r="F4009" s="425">
        <v>8.4</v>
      </c>
    </row>
    <row r="4010" spans="1:7" s="310" customFormat="1" ht="14" x14ac:dyDescent="0.15">
      <c r="A4010" s="684" t="s">
        <v>1583</v>
      </c>
      <c r="B4010" s="603" t="s">
        <v>1650</v>
      </c>
      <c r="C4010" s="337" t="s">
        <v>1584</v>
      </c>
      <c r="D4010" s="689" t="s">
        <v>1264</v>
      </c>
      <c r="E4010" s="677">
        <v>2160</v>
      </c>
      <c r="F4010" s="425">
        <v>359.73</v>
      </c>
    </row>
    <row r="4011" spans="1:7" s="310" customFormat="1" x14ac:dyDescent="0.15">
      <c r="A4011" s="684" t="s">
        <v>1666</v>
      </c>
      <c r="B4011" s="603" t="s">
        <v>1672</v>
      </c>
      <c r="C4011" s="337" t="s">
        <v>1667</v>
      </c>
      <c r="D4011" s="337" t="s">
        <v>1668</v>
      </c>
      <c r="E4011" s="677">
        <v>13248</v>
      </c>
      <c r="F4011" s="425">
        <v>2239.2600000000002</v>
      </c>
    </row>
    <row r="4012" spans="1:7" s="310" customFormat="1" x14ac:dyDescent="0.15">
      <c r="A4012" s="684" t="s">
        <v>1606</v>
      </c>
      <c r="B4012" s="603"/>
      <c r="C4012" s="337" t="s">
        <v>1334</v>
      </c>
      <c r="D4012" s="337" t="s">
        <v>1462</v>
      </c>
      <c r="E4012" s="677">
        <v>62</v>
      </c>
      <c r="F4012" s="425">
        <v>13.43</v>
      </c>
    </row>
    <row r="4013" spans="1:7" s="310" customFormat="1" ht="14" thickBot="1" x14ac:dyDescent="0.2">
      <c r="A4013" s="684"/>
      <c r="B4013" s="603"/>
      <c r="C4013" s="340" t="s">
        <v>1673</v>
      </c>
      <c r="D4013" s="337"/>
      <c r="E4013" s="686">
        <f>SUM(E3986:E4012)</f>
        <v>82247.199999999997</v>
      </c>
      <c r="F4013" s="687">
        <f>SUM(F3986:F4012)</f>
        <v>13361.620000000003</v>
      </c>
    </row>
    <row r="4014" spans="1:7" s="310" customFormat="1" ht="14" thickTop="1" x14ac:dyDescent="0.15">
      <c r="A4014" s="684"/>
      <c r="B4014" s="603"/>
      <c r="C4014" s="337"/>
      <c r="D4014" s="337"/>
      <c r="E4014" s="608"/>
      <c r="F4014" s="425"/>
    </row>
    <row r="4015" spans="1:7" s="310" customFormat="1" x14ac:dyDescent="0.15">
      <c r="A4015" s="684"/>
      <c r="B4015" s="603"/>
      <c r="C4015" s="261" t="s">
        <v>1441</v>
      </c>
      <c r="D4015" s="337"/>
      <c r="E4015" s="608"/>
      <c r="F4015" s="425"/>
    </row>
    <row r="4016" spans="1:7" s="310" customFormat="1" x14ac:dyDescent="0.15">
      <c r="A4016" s="684"/>
      <c r="B4016" s="603"/>
      <c r="C4016" s="261" t="s">
        <v>1446</v>
      </c>
      <c r="D4016" s="337"/>
      <c r="E4016" s="608"/>
      <c r="F4016" s="425"/>
    </row>
    <row r="4017" spans="1:6" s="310" customFormat="1" x14ac:dyDescent="0.15">
      <c r="A4017" s="684"/>
      <c r="B4017" s="603"/>
      <c r="C4017" s="431">
        <v>42978</v>
      </c>
      <c r="D4017" s="337"/>
      <c r="E4017" s="608"/>
      <c r="F4017" s="425"/>
    </row>
    <row r="4018" spans="1:6" s="310" customFormat="1" x14ac:dyDescent="0.15">
      <c r="A4018" s="684"/>
      <c r="B4018" s="603"/>
      <c r="C4018" s="337"/>
      <c r="D4018" s="337"/>
      <c r="E4018" s="608"/>
      <c r="F4018" s="425"/>
    </row>
    <row r="4019" spans="1:6" s="310" customFormat="1" ht="14" thickBot="1" x14ac:dyDescent="0.2">
      <c r="A4019" s="690"/>
      <c r="B4019" s="691"/>
      <c r="C4019" s="692" t="s">
        <v>1145</v>
      </c>
      <c r="D4019" s="692"/>
      <c r="E4019" s="693">
        <f>SUM(E3984,E4013)</f>
        <v>168690.7</v>
      </c>
      <c r="F4019" s="694">
        <f>SUM(F3984,F4013)</f>
        <v>27082.700000000008</v>
      </c>
    </row>
    <row r="4020" spans="1:6" s="310" customFormat="1" x14ac:dyDescent="0.15">
      <c r="A4020" s="684"/>
      <c r="B4020" s="603"/>
      <c r="C4020" s="695"/>
      <c r="D4020" s="695"/>
      <c r="E4020" s="696"/>
      <c r="F4020" s="697"/>
    </row>
    <row r="4021" spans="1:6" s="310" customFormat="1" x14ac:dyDescent="0.15">
      <c r="A4021" s="698" t="s">
        <v>1534</v>
      </c>
      <c r="B4021" s="699" t="s">
        <v>1614</v>
      </c>
      <c r="C4021" s="441" t="s">
        <v>1492</v>
      </c>
      <c r="D4021" s="441" t="s">
        <v>1239</v>
      </c>
      <c r="E4021" s="700">
        <v>16560</v>
      </c>
      <c r="F4021" s="443">
        <v>2288.2199999999998</v>
      </c>
    </row>
    <row r="4022" spans="1:6" s="310" customFormat="1" x14ac:dyDescent="0.15">
      <c r="A4022" s="701" t="s">
        <v>1535</v>
      </c>
      <c r="B4022" s="702" t="s">
        <v>1615</v>
      </c>
      <c r="C4022" s="445" t="s">
        <v>1507</v>
      </c>
      <c r="D4022" s="445" t="s">
        <v>1245</v>
      </c>
      <c r="E4022" s="703">
        <v>4680</v>
      </c>
      <c r="F4022" s="447">
        <v>689.2</v>
      </c>
    </row>
    <row r="4023" spans="1:6" s="310" customFormat="1" x14ac:dyDescent="0.15">
      <c r="A4023" s="701" t="s">
        <v>1670</v>
      </c>
      <c r="B4023" s="702" t="s">
        <v>1659</v>
      </c>
      <c r="C4023" s="445" t="s">
        <v>1279</v>
      </c>
      <c r="D4023" s="445" t="s">
        <v>1660</v>
      </c>
      <c r="E4023" s="703">
        <v>8640</v>
      </c>
      <c r="F4023" s="447">
        <v>1239.58</v>
      </c>
    </row>
    <row r="4024" spans="1:6" s="310" customFormat="1" x14ac:dyDescent="0.15">
      <c r="A4024" s="701" t="s">
        <v>1536</v>
      </c>
      <c r="B4024" s="702" t="s">
        <v>1616</v>
      </c>
      <c r="C4024" s="445" t="s">
        <v>1479</v>
      </c>
      <c r="D4024" s="445" t="s">
        <v>1231</v>
      </c>
      <c r="E4024" s="703">
        <v>5352</v>
      </c>
      <c r="F4024" s="447">
        <v>770.96</v>
      </c>
    </row>
    <row r="4025" spans="1:6" s="310" customFormat="1" x14ac:dyDescent="0.15">
      <c r="A4025" s="701" t="s">
        <v>1537</v>
      </c>
      <c r="B4025" s="702" t="s">
        <v>1617</v>
      </c>
      <c r="C4025" s="445" t="s">
        <v>1269</v>
      </c>
      <c r="D4025" s="445" t="s">
        <v>1270</v>
      </c>
      <c r="E4025" s="703">
        <v>4172</v>
      </c>
      <c r="F4025" s="447">
        <v>616.35</v>
      </c>
    </row>
    <row r="4026" spans="1:6" s="310" customFormat="1" x14ac:dyDescent="0.15">
      <c r="A4026" s="701" t="s">
        <v>1538</v>
      </c>
      <c r="B4026" s="702" t="s">
        <v>1618</v>
      </c>
      <c r="C4026" s="445" t="s">
        <v>1517</v>
      </c>
      <c r="D4026" s="445" t="s">
        <v>1518</v>
      </c>
      <c r="E4026" s="703">
        <v>4</v>
      </c>
      <c r="F4026" s="447">
        <v>30.41</v>
      </c>
    </row>
    <row r="4027" spans="1:6" s="310" customFormat="1" x14ac:dyDescent="0.15">
      <c r="A4027" s="701" t="s">
        <v>1540</v>
      </c>
      <c r="B4027" s="702" t="s">
        <v>1620</v>
      </c>
      <c r="C4027" s="445" t="s">
        <v>1257</v>
      </c>
      <c r="D4027" s="445" t="s">
        <v>1258</v>
      </c>
      <c r="E4027" s="703">
        <v>21360</v>
      </c>
      <c r="F4027" s="447">
        <v>2907.31</v>
      </c>
    </row>
    <row r="4028" spans="1:6" s="310" customFormat="1" x14ac:dyDescent="0.15">
      <c r="A4028" s="701" t="s">
        <v>1541</v>
      </c>
      <c r="B4028" s="702" t="s">
        <v>1621</v>
      </c>
      <c r="C4028" s="445" t="s">
        <v>1586</v>
      </c>
      <c r="D4028" s="445" t="s">
        <v>1500</v>
      </c>
      <c r="E4028" s="703">
        <v>4120</v>
      </c>
      <c r="F4028" s="447">
        <v>640.89</v>
      </c>
    </row>
    <row r="4029" spans="1:6" s="310" customFormat="1" x14ac:dyDescent="0.15">
      <c r="A4029" s="701" t="s">
        <v>1542</v>
      </c>
      <c r="B4029" s="702" t="s">
        <v>1622</v>
      </c>
      <c r="C4029" s="445" t="s">
        <v>1240</v>
      </c>
      <c r="D4029" s="445" t="s">
        <v>1467</v>
      </c>
      <c r="E4029" s="703">
        <v>4500</v>
      </c>
      <c r="F4029" s="447">
        <v>626.66999999999996</v>
      </c>
    </row>
    <row r="4030" spans="1:6" s="310" customFormat="1" x14ac:dyDescent="0.15">
      <c r="A4030" s="701" t="s">
        <v>1543</v>
      </c>
      <c r="B4030" s="702" t="s">
        <v>1623</v>
      </c>
      <c r="C4030" s="445" t="s">
        <v>1523</v>
      </c>
      <c r="D4030" s="445" t="s">
        <v>1266</v>
      </c>
      <c r="E4030" s="703">
        <v>1102</v>
      </c>
      <c r="F4030" s="447">
        <v>214.05</v>
      </c>
    </row>
    <row r="4031" spans="1:6" s="310" customFormat="1" x14ac:dyDescent="0.15">
      <c r="A4031" s="701" t="s">
        <v>1715</v>
      </c>
      <c r="B4031" s="702" t="s">
        <v>1716</v>
      </c>
      <c r="C4031" s="445" t="s">
        <v>1328</v>
      </c>
      <c r="D4031" s="445" t="s">
        <v>1329</v>
      </c>
      <c r="E4031" s="703">
        <v>492</v>
      </c>
      <c r="F4031" s="447">
        <v>93.08</v>
      </c>
    </row>
    <row r="4032" spans="1:6" s="310" customFormat="1" x14ac:dyDescent="0.15">
      <c r="A4032" s="701" t="s">
        <v>1544</v>
      </c>
      <c r="B4032" s="702" t="s">
        <v>1624</v>
      </c>
      <c r="C4032" s="445" t="s">
        <v>1234</v>
      </c>
      <c r="D4032" s="445" t="s">
        <v>1494</v>
      </c>
      <c r="E4032" s="703">
        <v>4474</v>
      </c>
      <c r="F4032" s="447">
        <v>705.88</v>
      </c>
    </row>
    <row r="4033" spans="1:6" s="310" customFormat="1" x14ac:dyDescent="0.15">
      <c r="A4033" s="701" t="s">
        <v>1601</v>
      </c>
      <c r="B4033" s="702"/>
      <c r="C4033" s="445" t="s">
        <v>1334</v>
      </c>
      <c r="D4033" s="445" t="s">
        <v>1462</v>
      </c>
      <c r="E4033" s="703">
        <f>1306.8+1709.1</f>
        <v>3015.8999999999996</v>
      </c>
      <c r="F4033" s="447">
        <v>636.98</v>
      </c>
    </row>
    <row r="4034" spans="1:6" s="310" customFormat="1" x14ac:dyDescent="0.15">
      <c r="A4034" s="701" t="s">
        <v>1545</v>
      </c>
      <c r="B4034" s="702"/>
      <c r="C4034" s="445" t="s">
        <v>1234</v>
      </c>
      <c r="D4034" s="445" t="s">
        <v>1494</v>
      </c>
      <c r="E4034" s="703">
        <v>68.8</v>
      </c>
      <c r="F4034" s="447">
        <v>17.48</v>
      </c>
    </row>
    <row r="4035" spans="1:6" s="310" customFormat="1" x14ac:dyDescent="0.15">
      <c r="A4035" s="701" t="s">
        <v>1602</v>
      </c>
      <c r="B4035" s="702"/>
      <c r="C4035" s="445" t="s">
        <v>1334</v>
      </c>
      <c r="D4035" s="445" t="s">
        <v>1462</v>
      </c>
      <c r="E4035" s="703">
        <v>168.6</v>
      </c>
      <c r="F4035" s="447">
        <v>48.22</v>
      </c>
    </row>
    <row r="4036" spans="1:6" s="310" customFormat="1" x14ac:dyDescent="0.15">
      <c r="A4036" s="701" t="s">
        <v>1546</v>
      </c>
      <c r="B4036" s="702"/>
      <c r="C4036" s="445" t="s">
        <v>1586</v>
      </c>
      <c r="D4036" s="445" t="s">
        <v>1500</v>
      </c>
      <c r="E4036" s="703">
        <v>78.8</v>
      </c>
      <c r="F4036" s="447">
        <v>28.03</v>
      </c>
    </row>
    <row r="4037" spans="1:6" s="310" customFormat="1" x14ac:dyDescent="0.15">
      <c r="A4037" s="701" t="s">
        <v>1549</v>
      </c>
      <c r="B4037" s="702" t="s">
        <v>1625</v>
      </c>
      <c r="C4037" s="445" t="s">
        <v>1459</v>
      </c>
      <c r="D4037" s="445" t="s">
        <v>1251</v>
      </c>
      <c r="E4037" s="703">
        <v>1097</v>
      </c>
      <c r="F4037" s="447">
        <v>221</v>
      </c>
    </row>
    <row r="4038" spans="1:6" s="310" customFormat="1" x14ac:dyDescent="0.15">
      <c r="A4038" s="701" t="s">
        <v>1603</v>
      </c>
      <c r="B4038" s="702"/>
      <c r="C4038" s="445" t="s">
        <v>1334</v>
      </c>
      <c r="D4038" s="445" t="s">
        <v>1462</v>
      </c>
      <c r="E4038" s="703">
        <v>1260.8</v>
      </c>
      <c r="F4038" s="447">
        <v>283.04000000000002</v>
      </c>
    </row>
    <row r="4039" spans="1:6" s="310" customFormat="1" x14ac:dyDescent="0.15">
      <c r="A4039" s="701" t="s">
        <v>1597</v>
      </c>
      <c r="B4039" s="702" t="s">
        <v>1626</v>
      </c>
      <c r="C4039" s="445" t="s">
        <v>1454</v>
      </c>
      <c r="D4039" s="445" t="s">
        <v>1247</v>
      </c>
      <c r="E4039" s="703">
        <v>3640</v>
      </c>
      <c r="F4039" s="447">
        <v>570.82000000000005</v>
      </c>
    </row>
    <row r="4040" spans="1:6" s="310" customFormat="1" x14ac:dyDescent="0.15">
      <c r="A4040" s="701" t="s">
        <v>1677</v>
      </c>
      <c r="B4040" s="702" t="s">
        <v>1678</v>
      </c>
      <c r="C4040" s="445" t="s">
        <v>1313</v>
      </c>
      <c r="D4040" s="445" t="s">
        <v>1412</v>
      </c>
      <c r="E4040" s="703">
        <v>1146</v>
      </c>
      <c r="F4040" s="447">
        <v>211</v>
      </c>
    </row>
    <row r="4041" spans="1:6" s="310" customFormat="1" x14ac:dyDescent="0.15">
      <c r="A4041" s="701" t="s">
        <v>1551</v>
      </c>
      <c r="B4041" s="702" t="s">
        <v>1627</v>
      </c>
      <c r="C4041" s="445" t="s">
        <v>1235</v>
      </c>
      <c r="D4041" s="445" t="s">
        <v>1236</v>
      </c>
      <c r="E4041" s="703">
        <v>8738</v>
      </c>
      <c r="F4041" s="447">
        <v>1197.28</v>
      </c>
    </row>
    <row r="4042" spans="1:6" s="310" customFormat="1" x14ac:dyDescent="0.15">
      <c r="A4042" s="701" t="s">
        <v>1553</v>
      </c>
      <c r="B4042" s="702" t="s">
        <v>1628</v>
      </c>
      <c r="C4042" s="445" t="s">
        <v>1475</v>
      </c>
      <c r="D4042" s="445" t="s">
        <v>1387</v>
      </c>
      <c r="E4042" s="703">
        <v>1328</v>
      </c>
      <c r="F4042" s="447">
        <v>253.4</v>
      </c>
    </row>
    <row r="4043" spans="1:6" s="310" customFormat="1" x14ac:dyDescent="0.15">
      <c r="A4043" s="701" t="s">
        <v>1554</v>
      </c>
      <c r="B4043" s="702" t="s">
        <v>1629</v>
      </c>
      <c r="C4043" s="445" t="s">
        <v>1399</v>
      </c>
      <c r="D4043" s="445" t="s">
        <v>1276</v>
      </c>
      <c r="E4043" s="703">
        <v>4080</v>
      </c>
      <c r="F4043" s="447">
        <v>636.89</v>
      </c>
    </row>
    <row r="4044" spans="1:6" s="310" customFormat="1" x14ac:dyDescent="0.15">
      <c r="A4044" s="701" t="s">
        <v>1598</v>
      </c>
      <c r="B4044" s="702"/>
      <c r="C4044" s="445" t="s">
        <v>1586</v>
      </c>
      <c r="D4044" s="445" t="s">
        <v>1500</v>
      </c>
      <c r="E4044" s="703">
        <v>39.4</v>
      </c>
      <c r="F4044" s="447">
        <v>15.91</v>
      </c>
    </row>
    <row r="4045" spans="1:6" s="310" customFormat="1" x14ac:dyDescent="0.15">
      <c r="A4045" s="701" t="s">
        <v>1662</v>
      </c>
      <c r="B4045" s="704">
        <v>892914652</v>
      </c>
      <c r="C4045" s="445" t="s">
        <v>1663</v>
      </c>
      <c r="D4045" s="445" t="s">
        <v>1664</v>
      </c>
      <c r="E4045" s="703">
        <v>15760</v>
      </c>
      <c r="F4045" s="447">
        <v>2251.09</v>
      </c>
    </row>
    <row r="4046" spans="1:6" s="310" customFormat="1" ht="14" thickBot="1" x14ac:dyDescent="0.2">
      <c r="A4046" s="701"/>
      <c r="B4046" s="702"/>
      <c r="C4046" s="313" t="s">
        <v>1692</v>
      </c>
      <c r="D4046" s="445"/>
      <c r="E4046" s="705">
        <f>SUM(E4021:E4045)</f>
        <v>115877.3</v>
      </c>
      <c r="F4046" s="706">
        <f>SUM(F4021:F4045)</f>
        <v>17193.739999999998</v>
      </c>
    </row>
    <row r="4047" spans="1:6" s="310" customFormat="1" ht="14" thickTop="1" x14ac:dyDescent="0.15">
      <c r="A4047" s="701"/>
      <c r="B4047" s="702"/>
      <c r="C4047" s="445"/>
      <c r="D4047" s="445"/>
      <c r="E4047" s="530"/>
      <c r="F4047" s="447"/>
    </row>
    <row r="4048" spans="1:6" s="310" customFormat="1" x14ac:dyDescent="0.15">
      <c r="A4048" s="701" t="s">
        <v>1556</v>
      </c>
      <c r="B4048" s="702" t="s">
        <v>1631</v>
      </c>
      <c r="C4048" s="445" t="s">
        <v>1248</v>
      </c>
      <c r="D4048" s="445" t="s">
        <v>1482</v>
      </c>
      <c r="E4048" s="703">
        <v>4511</v>
      </c>
      <c r="F4048" s="447">
        <v>694.7</v>
      </c>
    </row>
    <row r="4049" spans="1:6" s="310" customFormat="1" x14ac:dyDescent="0.15">
      <c r="A4049" s="701" t="s">
        <v>1714</v>
      </c>
      <c r="B4049" s="702"/>
      <c r="C4049" s="445" t="s">
        <v>1267</v>
      </c>
      <c r="D4049" s="445" t="s">
        <v>1268</v>
      </c>
      <c r="E4049" s="703">
        <f>1.3+38.1</f>
        <v>39.4</v>
      </c>
      <c r="F4049" s="447">
        <v>11.059999999999999</v>
      </c>
    </row>
    <row r="4050" spans="1:6" s="310" customFormat="1" x14ac:dyDescent="0.15">
      <c r="A4050" s="701" t="s">
        <v>1558</v>
      </c>
      <c r="B4050" s="702" t="s">
        <v>1633</v>
      </c>
      <c r="C4050" s="445" t="s">
        <v>1469</v>
      </c>
      <c r="D4050" s="445" t="s">
        <v>1470</v>
      </c>
      <c r="E4050" s="703">
        <v>6320</v>
      </c>
      <c r="F4050" s="447">
        <v>978.87</v>
      </c>
    </row>
    <row r="4051" spans="1:6" s="310" customFormat="1" x14ac:dyDescent="0.15">
      <c r="A4051" s="701" t="s">
        <v>1559</v>
      </c>
      <c r="B4051" s="702" t="s">
        <v>1634</v>
      </c>
      <c r="C4051" s="445" t="s">
        <v>1502</v>
      </c>
      <c r="D4051" s="445" t="s">
        <v>1381</v>
      </c>
      <c r="E4051" s="703">
        <v>15552</v>
      </c>
      <c r="F4051" s="447">
        <v>2115.71</v>
      </c>
    </row>
    <row r="4052" spans="1:6" s="310" customFormat="1" x14ac:dyDescent="0.15">
      <c r="A4052" s="701" t="s">
        <v>1560</v>
      </c>
      <c r="B4052" s="702" t="s">
        <v>1635</v>
      </c>
      <c r="C4052" s="445" t="s">
        <v>1504</v>
      </c>
      <c r="D4052" s="445" t="s">
        <v>1505</v>
      </c>
      <c r="E4052" s="703">
        <v>1831</v>
      </c>
      <c r="F4052" s="447">
        <v>286.63</v>
      </c>
    </row>
    <row r="4053" spans="1:6" s="310" customFormat="1" x14ac:dyDescent="0.15">
      <c r="A4053" s="701" t="s">
        <v>1675</v>
      </c>
      <c r="B4053" s="702" t="s">
        <v>1676</v>
      </c>
      <c r="C4053" s="445" t="s">
        <v>1477</v>
      </c>
      <c r="D4053" s="445" t="s">
        <v>1289</v>
      </c>
      <c r="E4053" s="703">
        <v>12930</v>
      </c>
      <c r="F4053" s="447">
        <v>1993.78</v>
      </c>
    </row>
    <row r="4054" spans="1:6" s="310" customFormat="1" x14ac:dyDescent="0.15">
      <c r="A4054" s="701" t="s">
        <v>1564</v>
      </c>
      <c r="B4054" s="702" t="s">
        <v>1636</v>
      </c>
      <c r="C4054" s="445" t="s">
        <v>1485</v>
      </c>
      <c r="D4054" s="445" t="s">
        <v>1486</v>
      </c>
      <c r="E4054" s="703">
        <v>1760</v>
      </c>
      <c r="F4054" s="447">
        <v>353.9</v>
      </c>
    </row>
    <row r="4055" spans="1:6" s="310" customFormat="1" x14ac:dyDescent="0.15">
      <c r="A4055" s="701" t="s">
        <v>1565</v>
      </c>
      <c r="B4055" s="702" t="s">
        <v>1637</v>
      </c>
      <c r="C4055" s="445" t="s">
        <v>1267</v>
      </c>
      <c r="D4055" s="445" t="s">
        <v>1268</v>
      </c>
      <c r="E4055" s="703">
        <v>2792</v>
      </c>
      <c r="F4055" s="447">
        <v>532.77</v>
      </c>
    </row>
    <row r="4056" spans="1:6" s="310" customFormat="1" x14ac:dyDescent="0.15">
      <c r="A4056" s="701" t="s">
        <v>1569</v>
      </c>
      <c r="B4056" s="702" t="s">
        <v>1638</v>
      </c>
      <c r="C4056" s="445" t="s">
        <v>1464</v>
      </c>
      <c r="D4056" s="445" t="s">
        <v>1285</v>
      </c>
      <c r="E4056" s="703">
        <v>828</v>
      </c>
      <c r="F4056" s="447">
        <v>186.76</v>
      </c>
    </row>
    <row r="4057" spans="1:6" s="310" customFormat="1" x14ac:dyDescent="0.15">
      <c r="A4057" s="701" t="s">
        <v>1711</v>
      </c>
      <c r="B4057" s="702" t="s">
        <v>1712</v>
      </c>
      <c r="C4057" s="445" t="s">
        <v>1713</v>
      </c>
      <c r="D4057" s="445" t="s">
        <v>1419</v>
      </c>
      <c r="E4057" s="703">
        <v>809</v>
      </c>
      <c r="F4057" s="447">
        <v>154.38999999999999</v>
      </c>
    </row>
    <row r="4058" spans="1:6" s="310" customFormat="1" x14ac:dyDescent="0.15">
      <c r="A4058" s="701" t="s">
        <v>1570</v>
      </c>
      <c r="B4058" s="702" t="s">
        <v>1639</v>
      </c>
      <c r="C4058" s="445" t="s">
        <v>1472</v>
      </c>
      <c r="D4058" s="445" t="s">
        <v>1473</v>
      </c>
      <c r="E4058" s="703">
        <v>41</v>
      </c>
      <c r="F4058" s="447">
        <v>34.07</v>
      </c>
    </row>
    <row r="4059" spans="1:6" s="310" customFormat="1" x14ac:dyDescent="0.15">
      <c r="A4059" s="701" t="s">
        <v>1571</v>
      </c>
      <c r="B4059" s="702" t="s">
        <v>1640</v>
      </c>
      <c r="C4059" s="445" t="s">
        <v>1489</v>
      </c>
      <c r="D4059" s="445" t="s">
        <v>1490</v>
      </c>
      <c r="E4059" s="703">
        <v>139</v>
      </c>
      <c r="F4059" s="447">
        <v>43.85</v>
      </c>
    </row>
    <row r="4060" spans="1:6" s="310" customFormat="1" x14ac:dyDescent="0.15">
      <c r="A4060" s="701" t="s">
        <v>1572</v>
      </c>
      <c r="B4060" s="702" t="s">
        <v>1641</v>
      </c>
      <c r="C4060" s="445" t="s">
        <v>1271</v>
      </c>
      <c r="D4060" s="445" t="s">
        <v>1272</v>
      </c>
      <c r="E4060" s="703">
        <v>7360</v>
      </c>
      <c r="F4060" s="447">
        <v>1082.3800000000001</v>
      </c>
    </row>
    <row r="4061" spans="1:6" s="310" customFormat="1" x14ac:dyDescent="0.15">
      <c r="A4061" s="701" t="s">
        <v>1573</v>
      </c>
      <c r="B4061" s="702"/>
      <c r="C4061" s="445" t="s">
        <v>1461</v>
      </c>
      <c r="D4061" s="445" t="s">
        <v>1703</v>
      </c>
      <c r="E4061" s="703">
        <v>26</v>
      </c>
      <c r="F4061" s="447">
        <v>16.28</v>
      </c>
    </row>
    <row r="4062" spans="1:6" s="310" customFormat="1" x14ac:dyDescent="0.15">
      <c r="A4062" s="701" t="s">
        <v>1574</v>
      </c>
      <c r="B4062" s="702" t="s">
        <v>1642</v>
      </c>
      <c r="C4062" s="445" t="s">
        <v>1377</v>
      </c>
      <c r="D4062" s="445" t="s">
        <v>1378</v>
      </c>
      <c r="E4062" s="703">
        <v>2015</v>
      </c>
      <c r="F4062" s="447">
        <v>312.38</v>
      </c>
    </row>
    <row r="4063" spans="1:6" s="310" customFormat="1" x14ac:dyDescent="0.15">
      <c r="A4063" s="701" t="s">
        <v>1575</v>
      </c>
      <c r="B4063" s="702" t="s">
        <v>1685</v>
      </c>
      <c r="C4063" s="445" t="s">
        <v>1448</v>
      </c>
      <c r="D4063" s="445" t="s">
        <v>1449</v>
      </c>
      <c r="E4063" s="703">
        <v>84</v>
      </c>
      <c r="F4063" s="447">
        <v>21.18</v>
      </c>
    </row>
    <row r="4064" spans="1:6" s="310" customFormat="1" x14ac:dyDescent="0.15">
      <c r="A4064" s="701" t="s">
        <v>1604</v>
      </c>
      <c r="B4064" s="702"/>
      <c r="C4064" s="445" t="s">
        <v>1334</v>
      </c>
      <c r="D4064" s="445" t="s">
        <v>1462</v>
      </c>
      <c r="E4064" s="703">
        <v>197</v>
      </c>
      <c r="F4064" s="447">
        <v>64.45</v>
      </c>
    </row>
    <row r="4065" spans="1:6" s="310" customFormat="1" x14ac:dyDescent="0.15">
      <c r="A4065" s="701" t="s">
        <v>1576</v>
      </c>
      <c r="B4065" s="702" t="s">
        <v>1644</v>
      </c>
      <c r="C4065" s="445" t="s">
        <v>1401</v>
      </c>
      <c r="D4065" s="445" t="s">
        <v>1316</v>
      </c>
      <c r="E4065" s="703">
        <v>576</v>
      </c>
      <c r="F4065" s="447">
        <v>169.11</v>
      </c>
    </row>
    <row r="4066" spans="1:6" s="310" customFormat="1" x14ac:dyDescent="0.15">
      <c r="A4066" s="701" t="s">
        <v>1605</v>
      </c>
      <c r="B4066" s="702"/>
      <c r="C4066" s="445" t="s">
        <v>1334</v>
      </c>
      <c r="D4066" s="445" t="s">
        <v>1462</v>
      </c>
      <c r="E4066" s="703">
        <f>249.1+325.9</f>
        <v>575</v>
      </c>
      <c r="F4066" s="447">
        <v>190.2</v>
      </c>
    </row>
    <row r="4067" spans="1:6" s="310" customFormat="1" x14ac:dyDescent="0.15">
      <c r="A4067" s="701" t="s">
        <v>1578</v>
      </c>
      <c r="B4067" s="702" t="s">
        <v>1646</v>
      </c>
      <c r="C4067" s="445" t="s">
        <v>1579</v>
      </c>
      <c r="D4067" s="445" t="s">
        <v>1497</v>
      </c>
      <c r="E4067" s="703">
        <f>0+17</f>
        <v>17</v>
      </c>
      <c r="F4067" s="447">
        <v>61.71</v>
      </c>
    </row>
    <row r="4068" spans="1:6" s="310" customFormat="1" x14ac:dyDescent="0.15">
      <c r="A4068" s="701" t="s">
        <v>1580</v>
      </c>
      <c r="B4068" s="702" t="s">
        <v>1647</v>
      </c>
      <c r="C4068" s="445" t="s">
        <v>1451</v>
      </c>
      <c r="D4068" s="445" t="s">
        <v>1674</v>
      </c>
      <c r="E4068" s="703">
        <v>4224</v>
      </c>
      <c r="F4068" s="447">
        <v>2175.42</v>
      </c>
    </row>
    <row r="4069" spans="1:6" s="310" customFormat="1" x14ac:dyDescent="0.15">
      <c r="A4069" s="701" t="s">
        <v>1581</v>
      </c>
      <c r="B4069" s="702" t="s">
        <v>1648</v>
      </c>
      <c r="C4069" s="445" t="s">
        <v>1521</v>
      </c>
      <c r="D4069" s="445" t="s">
        <v>1229</v>
      </c>
      <c r="E4069" s="703">
        <v>2588</v>
      </c>
      <c r="F4069" s="447">
        <v>406.59</v>
      </c>
    </row>
    <row r="4070" spans="1:6" s="310" customFormat="1" x14ac:dyDescent="0.15">
      <c r="A4070" s="701" t="s">
        <v>1582</v>
      </c>
      <c r="B4070" s="702" t="s">
        <v>1649</v>
      </c>
      <c r="C4070" s="445" t="s">
        <v>1525</v>
      </c>
      <c r="D4070" s="445" t="s">
        <v>1526</v>
      </c>
      <c r="E4070" s="703">
        <v>18</v>
      </c>
      <c r="F4070" s="447">
        <v>9.27</v>
      </c>
    </row>
    <row r="4071" spans="1:6" s="310" customFormat="1" ht="14" x14ac:dyDescent="0.15">
      <c r="A4071" s="701" t="s">
        <v>1583</v>
      </c>
      <c r="B4071" s="702" t="s">
        <v>1650</v>
      </c>
      <c r="C4071" s="445" t="s">
        <v>1584</v>
      </c>
      <c r="D4071" s="707" t="s">
        <v>1264</v>
      </c>
      <c r="E4071" s="703">
        <v>2200</v>
      </c>
      <c r="F4071" s="447">
        <v>367.99</v>
      </c>
    </row>
    <row r="4072" spans="1:6" s="310" customFormat="1" x14ac:dyDescent="0.15">
      <c r="A4072" s="701" t="s">
        <v>1666</v>
      </c>
      <c r="B4072" s="702" t="s">
        <v>1672</v>
      </c>
      <c r="C4072" s="445" t="s">
        <v>1667</v>
      </c>
      <c r="D4072" s="445" t="s">
        <v>1668</v>
      </c>
      <c r="E4072" s="703">
        <v>20736</v>
      </c>
      <c r="F4072" s="447">
        <v>3938.15</v>
      </c>
    </row>
    <row r="4073" spans="1:6" s="310" customFormat="1" x14ac:dyDescent="0.15">
      <c r="A4073" s="701" t="s">
        <v>1606</v>
      </c>
      <c r="B4073" s="702"/>
      <c r="C4073" s="445" t="s">
        <v>1334</v>
      </c>
      <c r="D4073" s="445" t="s">
        <v>1462</v>
      </c>
      <c r="E4073" s="703">
        <v>68.8</v>
      </c>
      <c r="F4073" s="447">
        <v>13.96</v>
      </c>
    </row>
    <row r="4074" spans="1:6" s="310" customFormat="1" ht="14" thickBot="1" x14ac:dyDescent="0.2">
      <c r="A4074" s="701"/>
      <c r="B4074" s="702"/>
      <c r="C4074" s="313" t="s">
        <v>1693</v>
      </c>
      <c r="D4074" s="445"/>
      <c r="E4074" s="705">
        <f>SUM(E4048:E4073)</f>
        <v>88237.2</v>
      </c>
      <c r="F4074" s="706">
        <f>SUM(F4048:F4073)</f>
        <v>16215.560000000001</v>
      </c>
    </row>
    <row r="4075" spans="1:6" s="310" customFormat="1" ht="14" thickTop="1" x14ac:dyDescent="0.15">
      <c r="A4075" s="701"/>
      <c r="B4075" s="702"/>
      <c r="C4075" s="445"/>
      <c r="D4075" s="445"/>
      <c r="E4075" s="530"/>
      <c r="F4075" s="447"/>
    </row>
    <row r="4076" spans="1:6" s="310" customFormat="1" x14ac:dyDescent="0.15">
      <c r="A4076" s="701"/>
      <c r="B4076" s="702"/>
      <c r="C4076" s="345" t="s">
        <v>1441</v>
      </c>
      <c r="D4076" s="445"/>
      <c r="E4076" s="530"/>
      <c r="F4076" s="447"/>
    </row>
    <row r="4077" spans="1:6" s="310" customFormat="1" x14ac:dyDescent="0.15">
      <c r="A4077" s="701"/>
      <c r="B4077" s="702"/>
      <c r="C4077" s="345" t="s">
        <v>1446</v>
      </c>
      <c r="D4077" s="445"/>
      <c r="E4077" s="530"/>
      <c r="F4077" s="447"/>
    </row>
    <row r="4078" spans="1:6" s="310" customFormat="1" x14ac:dyDescent="0.15">
      <c r="A4078" s="701"/>
      <c r="B4078" s="702"/>
      <c r="C4078" s="453">
        <v>42643</v>
      </c>
      <c r="D4078" s="445"/>
      <c r="E4078" s="530"/>
      <c r="F4078" s="447"/>
    </row>
    <row r="4079" spans="1:6" s="310" customFormat="1" x14ac:dyDescent="0.15">
      <c r="A4079" s="701"/>
      <c r="B4079" s="702"/>
      <c r="C4079" s="445"/>
      <c r="D4079" s="445"/>
      <c r="E4079" s="530"/>
      <c r="F4079" s="447"/>
    </row>
    <row r="4080" spans="1:6" s="310" customFormat="1" ht="14" thickBot="1" x14ac:dyDescent="0.2">
      <c r="A4080" s="708"/>
      <c r="B4080" s="709"/>
      <c r="C4080" s="710" t="s">
        <v>1187</v>
      </c>
      <c r="D4080" s="710"/>
      <c r="E4080" s="711">
        <f>SUM(E4046,E4074)</f>
        <v>204114.5</v>
      </c>
      <c r="F4080" s="712">
        <f>SUM(F4046,F4074)</f>
        <v>33409.300000000003</v>
      </c>
    </row>
    <row r="4081" spans="1:6" s="310" customFormat="1" x14ac:dyDescent="0.15">
      <c r="A4081" s="701"/>
      <c r="B4081" s="702"/>
      <c r="C4081" s="463"/>
      <c r="D4081" s="463"/>
      <c r="E4081" s="713"/>
      <c r="F4081" s="714"/>
    </row>
    <row r="4082" spans="1:6" s="310" customFormat="1" x14ac:dyDescent="0.15">
      <c r="A4082" s="698" t="s">
        <v>1534</v>
      </c>
      <c r="B4082" s="699" t="s">
        <v>1614</v>
      </c>
      <c r="C4082" s="441" t="s">
        <v>1492</v>
      </c>
      <c r="D4082" s="441" t="s">
        <v>1239</v>
      </c>
      <c r="E4082" s="700">
        <v>12720</v>
      </c>
      <c r="F4082" s="443">
        <v>1816.74</v>
      </c>
    </row>
    <row r="4083" spans="1:6" s="310" customFormat="1" x14ac:dyDescent="0.15">
      <c r="A4083" s="701" t="s">
        <v>1535</v>
      </c>
      <c r="B4083" s="702" t="s">
        <v>1615</v>
      </c>
      <c r="C4083" s="445" t="s">
        <v>1507</v>
      </c>
      <c r="D4083" s="445" t="s">
        <v>1245</v>
      </c>
      <c r="E4083" s="703">
        <v>3160</v>
      </c>
      <c r="F4083" s="447">
        <v>523.02</v>
      </c>
    </row>
    <row r="4084" spans="1:6" s="310" customFormat="1" x14ac:dyDescent="0.15">
      <c r="A4084" s="701" t="s">
        <v>1670</v>
      </c>
      <c r="B4084" s="702" t="s">
        <v>1659</v>
      </c>
      <c r="C4084" s="445" t="s">
        <v>1279</v>
      </c>
      <c r="D4084" s="445" t="s">
        <v>1660</v>
      </c>
      <c r="E4084" s="703">
        <v>8800</v>
      </c>
      <c r="F4084" s="447">
        <v>1225.73</v>
      </c>
    </row>
    <row r="4085" spans="1:6" s="310" customFormat="1" x14ac:dyDescent="0.15">
      <c r="A4085" s="701" t="s">
        <v>1536</v>
      </c>
      <c r="B4085" s="702" t="s">
        <v>1616</v>
      </c>
      <c r="C4085" s="445" t="s">
        <v>1479</v>
      </c>
      <c r="D4085" s="445" t="s">
        <v>1231</v>
      </c>
      <c r="E4085" s="703">
        <v>4517</v>
      </c>
      <c r="F4085" s="447">
        <v>650.69000000000005</v>
      </c>
    </row>
    <row r="4086" spans="1:6" s="310" customFormat="1" x14ac:dyDescent="0.15">
      <c r="A4086" s="701" t="s">
        <v>1537</v>
      </c>
      <c r="B4086" s="702" t="s">
        <v>1617</v>
      </c>
      <c r="C4086" s="445" t="s">
        <v>1269</v>
      </c>
      <c r="D4086" s="445" t="s">
        <v>1270</v>
      </c>
      <c r="E4086" s="703">
        <v>4047</v>
      </c>
      <c r="F4086" s="447">
        <v>603.89</v>
      </c>
    </row>
    <row r="4087" spans="1:6" s="310" customFormat="1" x14ac:dyDescent="0.15">
      <c r="A4087" s="701" t="s">
        <v>1538</v>
      </c>
      <c r="B4087" s="702" t="s">
        <v>1618</v>
      </c>
      <c r="C4087" s="445" t="s">
        <v>1517</v>
      </c>
      <c r="D4087" s="445" t="s">
        <v>1518</v>
      </c>
      <c r="E4087" s="703">
        <v>4</v>
      </c>
      <c r="F4087" s="447">
        <v>30.41</v>
      </c>
    </row>
    <row r="4088" spans="1:6" s="310" customFormat="1" x14ac:dyDescent="0.15">
      <c r="A4088" s="701" t="s">
        <v>1540</v>
      </c>
      <c r="B4088" s="702" t="s">
        <v>1620</v>
      </c>
      <c r="C4088" s="445" t="s">
        <v>1257</v>
      </c>
      <c r="D4088" s="445" t="s">
        <v>1258</v>
      </c>
      <c r="E4088" s="703">
        <v>22640</v>
      </c>
      <c r="F4088" s="447">
        <v>3034.77</v>
      </c>
    </row>
    <row r="4089" spans="1:6" s="310" customFormat="1" x14ac:dyDescent="0.15">
      <c r="A4089" s="701" t="s">
        <v>1541</v>
      </c>
      <c r="B4089" s="702" t="s">
        <v>1621</v>
      </c>
      <c r="C4089" s="445" t="s">
        <v>1586</v>
      </c>
      <c r="D4089" s="445" t="s">
        <v>1500</v>
      </c>
      <c r="E4089" s="703">
        <v>4240</v>
      </c>
      <c r="F4089" s="447">
        <v>637.98</v>
      </c>
    </row>
    <row r="4090" spans="1:6" s="310" customFormat="1" x14ac:dyDescent="0.15">
      <c r="A4090" s="701" t="s">
        <v>1542</v>
      </c>
      <c r="B4090" s="702" t="s">
        <v>1622</v>
      </c>
      <c r="C4090" s="445" t="s">
        <v>1240</v>
      </c>
      <c r="D4090" s="445" t="s">
        <v>1467</v>
      </c>
      <c r="E4090" s="703">
        <v>4389</v>
      </c>
      <c r="F4090" s="447">
        <v>608.17999999999995</v>
      </c>
    </row>
    <row r="4091" spans="1:6" s="310" customFormat="1" x14ac:dyDescent="0.15">
      <c r="A4091" s="701" t="s">
        <v>1543</v>
      </c>
      <c r="B4091" s="702" t="s">
        <v>1623</v>
      </c>
      <c r="C4091" s="445" t="s">
        <v>1523</v>
      </c>
      <c r="D4091" s="445" t="s">
        <v>1266</v>
      </c>
      <c r="E4091" s="703">
        <v>724</v>
      </c>
      <c r="F4091" s="447">
        <v>154.13</v>
      </c>
    </row>
    <row r="4092" spans="1:6" s="310" customFormat="1" x14ac:dyDescent="0.15">
      <c r="A4092" s="701" t="s">
        <v>1715</v>
      </c>
      <c r="B4092" s="702" t="s">
        <v>1716</v>
      </c>
      <c r="C4092" s="445" t="s">
        <v>1328</v>
      </c>
      <c r="D4092" s="445" t="s">
        <v>1329</v>
      </c>
      <c r="E4092" s="703">
        <v>478</v>
      </c>
      <c r="F4092" s="447">
        <v>90.61</v>
      </c>
    </row>
    <row r="4093" spans="1:6" s="310" customFormat="1" x14ac:dyDescent="0.15">
      <c r="A4093" s="701" t="s">
        <v>1544</v>
      </c>
      <c r="B4093" s="702" t="s">
        <v>1624</v>
      </c>
      <c r="C4093" s="445" t="s">
        <v>1234</v>
      </c>
      <c r="D4093" s="445" t="s">
        <v>1494</v>
      </c>
      <c r="E4093" s="703">
        <v>4584</v>
      </c>
      <c r="F4093" s="447">
        <v>731.7</v>
      </c>
    </row>
    <row r="4094" spans="1:6" s="310" customFormat="1" x14ac:dyDescent="0.15">
      <c r="A4094" s="701" t="s">
        <v>1601</v>
      </c>
      <c r="B4094" s="702"/>
      <c r="C4094" s="445" t="s">
        <v>1334</v>
      </c>
      <c r="D4094" s="445" t="s">
        <v>1462</v>
      </c>
      <c r="E4094" s="703">
        <v>3500.3</v>
      </c>
      <c r="F4094" s="447">
        <v>694.12</v>
      </c>
    </row>
    <row r="4095" spans="1:6" s="310" customFormat="1" x14ac:dyDescent="0.15">
      <c r="A4095" s="701" t="s">
        <v>1545</v>
      </c>
      <c r="B4095" s="702"/>
      <c r="C4095" s="445" t="s">
        <v>1234</v>
      </c>
      <c r="D4095" s="445" t="s">
        <v>1494</v>
      </c>
      <c r="E4095" s="703">
        <v>79.900000000000006</v>
      </c>
      <c r="F4095" s="447">
        <v>18.78</v>
      </c>
    </row>
    <row r="4096" spans="1:6" s="310" customFormat="1" x14ac:dyDescent="0.15">
      <c r="A4096" s="701" t="s">
        <v>1602</v>
      </c>
      <c r="B4096" s="702"/>
      <c r="C4096" s="445" t="s">
        <v>1334</v>
      </c>
      <c r="D4096" s="445" t="s">
        <v>1462</v>
      </c>
      <c r="E4096" s="703">
        <v>195.6</v>
      </c>
      <c r="F4096" s="447">
        <v>51.41</v>
      </c>
    </row>
    <row r="4097" spans="1:6" s="310" customFormat="1" x14ac:dyDescent="0.15">
      <c r="A4097" s="701" t="s">
        <v>1546</v>
      </c>
      <c r="B4097" s="702"/>
      <c r="C4097" s="445" t="s">
        <v>1586</v>
      </c>
      <c r="D4097" s="445" t="s">
        <v>1500</v>
      </c>
      <c r="E4097" s="703">
        <v>91.6</v>
      </c>
      <c r="F4097" s="447">
        <v>29.55</v>
      </c>
    </row>
    <row r="4098" spans="1:6" s="310" customFormat="1" x14ac:dyDescent="0.15">
      <c r="A4098" s="701" t="s">
        <v>1549</v>
      </c>
      <c r="B4098" s="702" t="s">
        <v>1625</v>
      </c>
      <c r="C4098" s="445" t="s">
        <v>1459</v>
      </c>
      <c r="D4098" s="445" t="s">
        <v>1251</v>
      </c>
      <c r="E4098" s="703">
        <v>1314</v>
      </c>
      <c r="F4098" s="447">
        <v>235.17</v>
      </c>
    </row>
    <row r="4099" spans="1:6" s="310" customFormat="1" x14ac:dyDescent="0.15">
      <c r="A4099" s="701" t="s">
        <v>1603</v>
      </c>
      <c r="B4099" s="702"/>
      <c r="C4099" s="445" t="s">
        <v>1334</v>
      </c>
      <c r="D4099" s="445" t="s">
        <v>1462</v>
      </c>
      <c r="E4099" s="703">
        <v>1464.8</v>
      </c>
      <c r="F4099" s="447">
        <v>307.14</v>
      </c>
    </row>
    <row r="4100" spans="1:6" s="310" customFormat="1" x14ac:dyDescent="0.15">
      <c r="A4100" s="701" t="s">
        <v>1597</v>
      </c>
      <c r="B4100" s="702" t="s">
        <v>1626</v>
      </c>
      <c r="C4100" s="445" t="s">
        <v>1454</v>
      </c>
      <c r="D4100" s="445" t="s">
        <v>1247</v>
      </c>
      <c r="E4100" s="703">
        <v>4040</v>
      </c>
      <c r="F4100" s="447">
        <v>610.63</v>
      </c>
    </row>
    <row r="4101" spans="1:6" s="310" customFormat="1" x14ac:dyDescent="0.15">
      <c r="A4101" s="701" t="s">
        <v>1677</v>
      </c>
      <c r="B4101" s="702" t="s">
        <v>1678</v>
      </c>
      <c r="C4101" s="445" t="s">
        <v>1313</v>
      </c>
      <c r="D4101" s="445" t="s">
        <v>1412</v>
      </c>
      <c r="E4101" s="703">
        <v>1178</v>
      </c>
      <c r="F4101" s="447">
        <v>214.19</v>
      </c>
    </row>
    <row r="4102" spans="1:6" s="310" customFormat="1" x14ac:dyDescent="0.15">
      <c r="A4102" s="701" t="s">
        <v>1551</v>
      </c>
      <c r="B4102" s="702" t="s">
        <v>1627</v>
      </c>
      <c r="C4102" s="445" t="s">
        <v>1235</v>
      </c>
      <c r="D4102" s="445" t="s">
        <v>1236</v>
      </c>
      <c r="E4102" s="703">
        <v>8063</v>
      </c>
      <c r="F4102" s="447">
        <v>1159.81</v>
      </c>
    </row>
    <row r="4103" spans="1:6" s="310" customFormat="1" x14ac:dyDescent="0.15">
      <c r="A4103" s="701" t="s">
        <v>1553</v>
      </c>
      <c r="B4103" s="702" t="s">
        <v>1628</v>
      </c>
      <c r="C4103" s="445" t="s">
        <v>1475</v>
      </c>
      <c r="D4103" s="445" t="s">
        <v>1387</v>
      </c>
      <c r="E4103" s="703">
        <v>1065</v>
      </c>
      <c r="F4103" s="447">
        <v>203.24</v>
      </c>
    </row>
    <row r="4104" spans="1:6" s="310" customFormat="1" x14ac:dyDescent="0.15">
      <c r="A4104" s="701" t="s">
        <v>1554</v>
      </c>
      <c r="B4104" s="702" t="s">
        <v>1629</v>
      </c>
      <c r="C4104" s="445" t="s">
        <v>1399</v>
      </c>
      <c r="D4104" s="445" t="s">
        <v>1276</v>
      </c>
      <c r="E4104" s="703">
        <v>3680</v>
      </c>
      <c r="F4104" s="447">
        <v>604.52</v>
      </c>
    </row>
    <row r="4105" spans="1:6" s="310" customFormat="1" x14ac:dyDescent="0.15">
      <c r="A4105" s="701" t="s">
        <v>1598</v>
      </c>
      <c r="B4105" s="702"/>
      <c r="C4105" s="445" t="s">
        <v>1586</v>
      </c>
      <c r="D4105" s="445" t="s">
        <v>1500</v>
      </c>
      <c r="E4105" s="703">
        <v>45.8</v>
      </c>
      <c r="F4105" s="447">
        <v>16.68</v>
      </c>
    </row>
    <row r="4106" spans="1:6" s="310" customFormat="1" x14ac:dyDescent="0.15">
      <c r="A4106" s="701" t="s">
        <v>1662</v>
      </c>
      <c r="B4106" s="704">
        <v>892914652</v>
      </c>
      <c r="C4106" s="445" t="s">
        <v>1663</v>
      </c>
      <c r="D4106" s="445" t="s">
        <v>1664</v>
      </c>
      <c r="E4106" s="703">
        <v>11520</v>
      </c>
      <c r="F4106" s="447">
        <v>1703.48</v>
      </c>
    </row>
    <row r="4107" spans="1:6" s="310" customFormat="1" ht="14" thickBot="1" x14ac:dyDescent="0.2">
      <c r="A4107" s="701"/>
      <c r="B4107" s="702"/>
      <c r="C4107" s="313" t="s">
        <v>1695</v>
      </c>
      <c r="D4107" s="445"/>
      <c r="E4107" s="705">
        <f>SUM(E4082:E4106)</f>
        <v>106541.00000000001</v>
      </c>
      <c r="F4107" s="706">
        <f>SUM(F4082:F4106)</f>
        <v>15956.57</v>
      </c>
    </row>
    <row r="4108" spans="1:6" s="310" customFormat="1" ht="14" thickTop="1" x14ac:dyDescent="0.15">
      <c r="A4108" s="701"/>
      <c r="B4108" s="702"/>
      <c r="C4108" s="445"/>
      <c r="D4108" s="445"/>
      <c r="E4108" s="530"/>
      <c r="F4108" s="447"/>
    </row>
    <row r="4109" spans="1:6" s="310" customFormat="1" x14ac:dyDescent="0.15">
      <c r="A4109" s="701" t="s">
        <v>1556</v>
      </c>
      <c r="B4109" s="702" t="s">
        <v>1631</v>
      </c>
      <c r="C4109" s="445" t="s">
        <v>1248</v>
      </c>
      <c r="D4109" s="445" t="s">
        <v>1482</v>
      </c>
      <c r="E4109" s="703">
        <v>3431</v>
      </c>
      <c r="F4109" s="447">
        <v>572.33000000000004</v>
      </c>
    </row>
    <row r="4110" spans="1:6" s="310" customFormat="1" x14ac:dyDescent="0.15">
      <c r="A4110" s="701" t="s">
        <v>1714</v>
      </c>
      <c r="B4110" s="702"/>
      <c r="C4110" s="445" t="s">
        <v>1267</v>
      </c>
      <c r="D4110" s="445" t="s">
        <v>1268</v>
      </c>
      <c r="E4110" s="703">
        <f>1.6+44.2</f>
        <v>45.800000000000004</v>
      </c>
      <c r="F4110" s="447">
        <v>11.780000000000001</v>
      </c>
    </row>
    <row r="4111" spans="1:6" s="310" customFormat="1" x14ac:dyDescent="0.15">
      <c r="A4111" s="701" t="s">
        <v>1558</v>
      </c>
      <c r="B4111" s="702" t="s">
        <v>1633</v>
      </c>
      <c r="C4111" s="445" t="s">
        <v>1469</v>
      </c>
      <c r="D4111" s="445" t="s">
        <v>1470</v>
      </c>
      <c r="E4111" s="703">
        <v>4880</v>
      </c>
      <c r="F4111" s="447">
        <v>790.91</v>
      </c>
    </row>
    <row r="4112" spans="1:6" s="310" customFormat="1" x14ac:dyDescent="0.15">
      <c r="A4112" s="701" t="s">
        <v>1559</v>
      </c>
      <c r="B4112" s="702" t="s">
        <v>1634</v>
      </c>
      <c r="C4112" s="445" t="s">
        <v>1502</v>
      </c>
      <c r="D4112" s="445" t="s">
        <v>1381</v>
      </c>
      <c r="E4112" s="703">
        <v>13248</v>
      </c>
      <c r="F4112" s="447">
        <v>1876</v>
      </c>
    </row>
    <row r="4113" spans="1:6" s="310" customFormat="1" x14ac:dyDescent="0.15">
      <c r="A4113" s="701" t="s">
        <v>1560</v>
      </c>
      <c r="B4113" s="702" t="s">
        <v>1635</v>
      </c>
      <c r="C4113" s="445" t="s">
        <v>1504</v>
      </c>
      <c r="D4113" s="445" t="s">
        <v>1505</v>
      </c>
      <c r="E4113" s="703">
        <v>1534</v>
      </c>
      <c r="F4113" s="447">
        <v>219.9</v>
      </c>
    </row>
    <row r="4114" spans="1:6" s="310" customFormat="1" x14ac:dyDescent="0.15">
      <c r="A4114" s="701" t="s">
        <v>1675</v>
      </c>
      <c r="B4114" s="702" t="s">
        <v>1676</v>
      </c>
      <c r="C4114" s="445" t="s">
        <v>1477</v>
      </c>
      <c r="D4114" s="445" t="s">
        <v>1289</v>
      </c>
      <c r="E4114" s="703">
        <v>9680</v>
      </c>
      <c r="F4114" s="447">
        <v>1573.57</v>
      </c>
    </row>
    <row r="4115" spans="1:6" s="310" customFormat="1" x14ac:dyDescent="0.15">
      <c r="A4115" s="701" t="s">
        <v>1564</v>
      </c>
      <c r="B4115" s="702" t="s">
        <v>1636</v>
      </c>
      <c r="C4115" s="445" t="s">
        <v>1485</v>
      </c>
      <c r="D4115" s="445" t="s">
        <v>1486</v>
      </c>
      <c r="E4115" s="703">
        <v>1200</v>
      </c>
      <c r="F4115" s="447">
        <v>253.57</v>
      </c>
    </row>
    <row r="4116" spans="1:6" s="310" customFormat="1" x14ac:dyDescent="0.15">
      <c r="A4116" s="701" t="s">
        <v>1565</v>
      </c>
      <c r="B4116" s="702" t="s">
        <v>1637</v>
      </c>
      <c r="C4116" s="445" t="s">
        <v>1267</v>
      </c>
      <c r="D4116" s="445" t="s">
        <v>1268</v>
      </c>
      <c r="E4116" s="703">
        <v>1799</v>
      </c>
      <c r="F4116" s="447">
        <v>343.3</v>
      </c>
    </row>
    <row r="4117" spans="1:6" s="310" customFormat="1" x14ac:dyDescent="0.15">
      <c r="A4117" s="701" t="s">
        <v>1569</v>
      </c>
      <c r="B4117" s="702" t="s">
        <v>1638</v>
      </c>
      <c r="C4117" s="445" t="s">
        <v>1464</v>
      </c>
      <c r="D4117" s="445" t="s">
        <v>1285</v>
      </c>
      <c r="E4117" s="703">
        <v>557</v>
      </c>
      <c r="F4117" s="447">
        <v>159.79</v>
      </c>
    </row>
    <row r="4118" spans="1:6" s="310" customFormat="1" x14ac:dyDescent="0.15">
      <c r="A4118" s="701" t="s">
        <v>1711</v>
      </c>
      <c r="B4118" s="702" t="s">
        <v>1712</v>
      </c>
      <c r="C4118" s="445" t="s">
        <v>1713</v>
      </c>
      <c r="D4118" s="445" t="s">
        <v>1419</v>
      </c>
      <c r="E4118" s="703">
        <v>1018</v>
      </c>
      <c r="F4118" s="447">
        <v>194.28</v>
      </c>
    </row>
    <row r="4119" spans="1:6" s="310" customFormat="1" x14ac:dyDescent="0.15">
      <c r="A4119" s="701" t="s">
        <v>1570</v>
      </c>
      <c r="B4119" s="702" t="s">
        <v>1639</v>
      </c>
      <c r="C4119" s="445" t="s">
        <v>1472</v>
      </c>
      <c r="D4119" s="445" t="s">
        <v>1473</v>
      </c>
      <c r="E4119" s="703">
        <v>50</v>
      </c>
      <c r="F4119" s="447">
        <v>35</v>
      </c>
    </row>
    <row r="4120" spans="1:6" s="310" customFormat="1" x14ac:dyDescent="0.15">
      <c r="A4120" s="701" t="s">
        <v>1571</v>
      </c>
      <c r="B4120" s="702" t="s">
        <v>1640</v>
      </c>
      <c r="C4120" s="445" t="s">
        <v>1489</v>
      </c>
      <c r="D4120" s="445" t="s">
        <v>1490</v>
      </c>
      <c r="E4120" s="703">
        <v>119</v>
      </c>
      <c r="F4120" s="447">
        <v>41.86</v>
      </c>
    </row>
    <row r="4121" spans="1:6" s="310" customFormat="1" x14ac:dyDescent="0.15">
      <c r="A4121" s="701" t="s">
        <v>1572</v>
      </c>
      <c r="B4121" s="702" t="s">
        <v>1641</v>
      </c>
      <c r="C4121" s="445" t="s">
        <v>1271</v>
      </c>
      <c r="D4121" s="445" t="s">
        <v>1272</v>
      </c>
      <c r="E4121" s="703">
        <v>4574</v>
      </c>
      <c r="F4121" s="447">
        <v>760.47</v>
      </c>
    </row>
    <row r="4122" spans="1:6" s="310" customFormat="1" x14ac:dyDescent="0.15">
      <c r="A4122" s="701" t="s">
        <v>1573</v>
      </c>
      <c r="B4122" s="702"/>
      <c r="C4122" s="445" t="s">
        <v>1461</v>
      </c>
      <c r="D4122" s="445" t="s">
        <v>1703</v>
      </c>
      <c r="E4122" s="703">
        <v>26</v>
      </c>
      <c r="F4122" s="447">
        <v>16.28</v>
      </c>
    </row>
    <row r="4123" spans="1:6" s="310" customFormat="1" x14ac:dyDescent="0.15">
      <c r="A4123" s="701" t="s">
        <v>1574</v>
      </c>
      <c r="B4123" s="702" t="s">
        <v>1642</v>
      </c>
      <c r="C4123" s="445" t="s">
        <v>1377</v>
      </c>
      <c r="D4123" s="445" t="s">
        <v>1378</v>
      </c>
      <c r="E4123" s="703">
        <v>1544</v>
      </c>
      <c r="F4123" s="447">
        <v>287.79000000000002</v>
      </c>
    </row>
    <row r="4124" spans="1:6" s="310" customFormat="1" x14ac:dyDescent="0.15">
      <c r="A4124" s="701" t="s">
        <v>1575</v>
      </c>
      <c r="B4124" s="702" t="s">
        <v>1685</v>
      </c>
      <c r="C4124" s="445" t="s">
        <v>1448</v>
      </c>
      <c r="D4124" s="445" t="s">
        <v>1449</v>
      </c>
      <c r="E4124" s="703">
        <v>68</v>
      </c>
      <c r="F4124" s="447">
        <v>18.29</v>
      </c>
    </row>
    <row r="4125" spans="1:6" s="310" customFormat="1" x14ac:dyDescent="0.15">
      <c r="A4125" s="701" t="s">
        <v>1604</v>
      </c>
      <c r="B4125" s="702"/>
      <c r="C4125" s="445" t="s">
        <v>1334</v>
      </c>
      <c r="D4125" s="445" t="s">
        <v>1462</v>
      </c>
      <c r="E4125" s="703">
        <v>229</v>
      </c>
      <c r="F4125" s="447">
        <v>68.22</v>
      </c>
    </row>
    <row r="4126" spans="1:6" s="310" customFormat="1" x14ac:dyDescent="0.15">
      <c r="A4126" s="701" t="s">
        <v>1576</v>
      </c>
      <c r="B4126" s="702" t="s">
        <v>1644</v>
      </c>
      <c r="C4126" s="445" t="s">
        <v>1401</v>
      </c>
      <c r="D4126" s="445" t="s">
        <v>1316</v>
      </c>
      <c r="E4126" s="703">
        <v>694</v>
      </c>
      <c r="F4126" s="447">
        <v>188.31</v>
      </c>
    </row>
    <row r="4127" spans="1:6" s="310" customFormat="1" x14ac:dyDescent="0.15">
      <c r="A4127" s="701" t="s">
        <v>1605</v>
      </c>
      <c r="B4127" s="702"/>
      <c r="C4127" s="445" t="s">
        <v>1334</v>
      </c>
      <c r="D4127" s="445" t="s">
        <v>1462</v>
      </c>
      <c r="E4127" s="703">
        <v>668</v>
      </c>
      <c r="F4127" s="447">
        <v>201.17</v>
      </c>
    </row>
    <row r="4128" spans="1:6" s="310" customFormat="1" x14ac:dyDescent="0.15">
      <c r="A4128" s="701" t="s">
        <v>1578</v>
      </c>
      <c r="B4128" s="702" t="s">
        <v>1646</v>
      </c>
      <c r="C4128" s="445" t="s">
        <v>1579</v>
      </c>
      <c r="D4128" s="445" t="s">
        <v>1497</v>
      </c>
      <c r="E4128" s="703">
        <v>30</v>
      </c>
      <c r="F4128" s="447">
        <v>32.99</v>
      </c>
    </row>
    <row r="4129" spans="1:6" s="310" customFormat="1" x14ac:dyDescent="0.15">
      <c r="A4129" s="701" t="s">
        <v>1580</v>
      </c>
      <c r="B4129" s="702" t="s">
        <v>1647</v>
      </c>
      <c r="C4129" s="445" t="s">
        <v>1451</v>
      </c>
      <c r="D4129" s="445" t="s">
        <v>1674</v>
      </c>
      <c r="E4129" s="703">
        <v>9600</v>
      </c>
      <c r="F4129" s="447">
        <v>2710.61</v>
      </c>
    </row>
    <row r="4130" spans="1:6" s="310" customFormat="1" x14ac:dyDescent="0.15">
      <c r="A4130" s="701" t="s">
        <v>1581</v>
      </c>
      <c r="B4130" s="702" t="s">
        <v>1648</v>
      </c>
      <c r="C4130" s="445" t="s">
        <v>1521</v>
      </c>
      <c r="D4130" s="445" t="s">
        <v>1229</v>
      </c>
      <c r="E4130" s="703">
        <v>2150</v>
      </c>
      <c r="F4130" s="447">
        <v>340.7</v>
      </c>
    </row>
    <row r="4131" spans="1:6" s="310" customFormat="1" x14ac:dyDescent="0.15">
      <c r="A4131" s="701" t="s">
        <v>1582</v>
      </c>
      <c r="B4131" s="702" t="s">
        <v>1649</v>
      </c>
      <c r="C4131" s="445" t="s">
        <v>1525</v>
      </c>
      <c r="D4131" s="445" t="s">
        <v>1526</v>
      </c>
      <c r="E4131" s="703">
        <v>15</v>
      </c>
      <c r="F4131" s="447">
        <v>8.73</v>
      </c>
    </row>
    <row r="4132" spans="1:6" s="310" customFormat="1" ht="14" x14ac:dyDescent="0.15">
      <c r="A4132" s="701" t="s">
        <v>1583</v>
      </c>
      <c r="B4132" s="702" t="s">
        <v>1650</v>
      </c>
      <c r="C4132" s="445" t="s">
        <v>1584</v>
      </c>
      <c r="D4132" s="707" t="s">
        <v>1264</v>
      </c>
      <c r="E4132" s="703">
        <v>1600</v>
      </c>
      <c r="F4132" s="447">
        <v>352.86</v>
      </c>
    </row>
    <row r="4133" spans="1:6" s="310" customFormat="1" x14ac:dyDescent="0.15">
      <c r="A4133" s="701" t="s">
        <v>1666</v>
      </c>
      <c r="B4133" s="702" t="s">
        <v>1672</v>
      </c>
      <c r="C4133" s="445" t="s">
        <v>1667</v>
      </c>
      <c r="D4133" s="445" t="s">
        <v>1668</v>
      </c>
      <c r="E4133" s="703">
        <v>19776</v>
      </c>
      <c r="F4133" s="447">
        <v>3872.32</v>
      </c>
    </row>
    <row r="4134" spans="1:6" s="310" customFormat="1" x14ac:dyDescent="0.15">
      <c r="A4134" s="701" t="s">
        <v>1606</v>
      </c>
      <c r="B4134" s="702"/>
      <c r="C4134" s="445" t="s">
        <v>1334</v>
      </c>
      <c r="D4134" s="445" t="s">
        <v>1462</v>
      </c>
      <c r="E4134" s="703">
        <v>79.900000000000006</v>
      </c>
      <c r="F4134" s="447">
        <v>15.26</v>
      </c>
    </row>
    <row r="4135" spans="1:6" s="310" customFormat="1" ht="14" thickBot="1" x14ac:dyDescent="0.2">
      <c r="A4135" s="701"/>
      <c r="B4135" s="702"/>
      <c r="C4135" s="313" t="s">
        <v>1696</v>
      </c>
      <c r="D4135" s="445"/>
      <c r="E4135" s="705">
        <f>SUM(E4109:E4134)</f>
        <v>78615.7</v>
      </c>
      <c r="F4135" s="706">
        <f>SUM(F4109:F4134)</f>
        <v>14946.29</v>
      </c>
    </row>
    <row r="4136" spans="1:6" s="310" customFormat="1" ht="14" thickTop="1" x14ac:dyDescent="0.15">
      <c r="A4136" s="701"/>
      <c r="B4136" s="702"/>
      <c r="C4136" s="445"/>
      <c r="D4136" s="445"/>
      <c r="E4136" s="530"/>
      <c r="F4136" s="447"/>
    </row>
    <row r="4137" spans="1:6" s="310" customFormat="1" x14ac:dyDescent="0.15">
      <c r="A4137" s="701"/>
      <c r="B4137" s="702"/>
      <c r="C4137" s="345" t="s">
        <v>1441</v>
      </c>
      <c r="D4137" s="445"/>
      <c r="E4137" s="530"/>
      <c r="F4137" s="447"/>
    </row>
    <row r="4138" spans="1:6" s="310" customFormat="1" x14ac:dyDescent="0.15">
      <c r="A4138" s="701"/>
      <c r="B4138" s="702"/>
      <c r="C4138" s="345" t="s">
        <v>1446</v>
      </c>
      <c r="D4138" s="445"/>
      <c r="E4138" s="530"/>
      <c r="F4138" s="447"/>
    </row>
    <row r="4139" spans="1:6" s="310" customFormat="1" x14ac:dyDescent="0.15">
      <c r="A4139" s="701"/>
      <c r="B4139" s="702"/>
      <c r="C4139" s="453">
        <v>42674</v>
      </c>
      <c r="D4139" s="445"/>
      <c r="E4139" s="530"/>
      <c r="F4139" s="447"/>
    </row>
    <row r="4140" spans="1:6" s="310" customFormat="1" x14ac:dyDescent="0.15">
      <c r="A4140" s="701"/>
      <c r="B4140" s="702"/>
      <c r="C4140" s="445"/>
      <c r="D4140" s="445"/>
      <c r="E4140" s="530"/>
      <c r="F4140" s="447"/>
    </row>
    <row r="4141" spans="1:6" s="310" customFormat="1" ht="14" thickBot="1" x14ac:dyDescent="0.2">
      <c r="A4141" s="708"/>
      <c r="B4141" s="709"/>
      <c r="C4141" s="710" t="s">
        <v>1190</v>
      </c>
      <c r="D4141" s="710"/>
      <c r="E4141" s="711">
        <f>SUM(E4107,E4135)</f>
        <v>185156.7</v>
      </c>
      <c r="F4141" s="712">
        <f>SUM(F4107,F4135)</f>
        <v>30902.86</v>
      </c>
    </row>
    <row r="4142" spans="1:6" s="310" customFormat="1" x14ac:dyDescent="0.15">
      <c r="A4142" s="701"/>
      <c r="B4142" s="702"/>
      <c r="C4142" s="463"/>
      <c r="D4142" s="463"/>
      <c r="E4142" s="713"/>
      <c r="F4142" s="714"/>
    </row>
    <row r="4143" spans="1:6" s="310" customFormat="1" x14ac:dyDescent="0.15">
      <c r="A4143" s="698" t="s">
        <v>1534</v>
      </c>
      <c r="B4143" s="699" t="s">
        <v>1614</v>
      </c>
      <c r="C4143" s="441" t="s">
        <v>1492</v>
      </c>
      <c r="D4143" s="441" t="s">
        <v>1239</v>
      </c>
      <c r="E4143" s="700">
        <v>12480</v>
      </c>
      <c r="F4143" s="443">
        <v>1725.92</v>
      </c>
    </row>
    <row r="4144" spans="1:6" s="310" customFormat="1" x14ac:dyDescent="0.15">
      <c r="A4144" s="701" t="s">
        <v>1535</v>
      </c>
      <c r="B4144" s="702" t="s">
        <v>1615</v>
      </c>
      <c r="C4144" s="445" t="s">
        <v>1507</v>
      </c>
      <c r="D4144" s="445" t="s">
        <v>1245</v>
      </c>
      <c r="E4144" s="703">
        <v>4000</v>
      </c>
      <c r="F4144" s="447">
        <v>569.47</v>
      </c>
    </row>
    <row r="4145" spans="1:6" s="310" customFormat="1" x14ac:dyDescent="0.15">
      <c r="A4145" s="701" t="s">
        <v>1670</v>
      </c>
      <c r="B4145" s="702" t="s">
        <v>1659</v>
      </c>
      <c r="C4145" s="445" t="s">
        <v>1279</v>
      </c>
      <c r="D4145" s="445" t="s">
        <v>1660</v>
      </c>
      <c r="E4145" s="703">
        <v>10400</v>
      </c>
      <c r="F4145" s="447">
        <v>1429.63</v>
      </c>
    </row>
    <row r="4146" spans="1:6" s="310" customFormat="1" x14ac:dyDescent="0.15">
      <c r="A4146" s="701" t="s">
        <v>1536</v>
      </c>
      <c r="B4146" s="702" t="s">
        <v>1616</v>
      </c>
      <c r="C4146" s="445" t="s">
        <v>1479</v>
      </c>
      <c r="D4146" s="445" t="s">
        <v>1231</v>
      </c>
      <c r="E4146" s="703">
        <v>4860</v>
      </c>
      <c r="F4146" s="447">
        <v>692.25</v>
      </c>
    </row>
    <row r="4147" spans="1:6" s="310" customFormat="1" x14ac:dyDescent="0.15">
      <c r="A4147" s="701" t="s">
        <v>1537</v>
      </c>
      <c r="B4147" s="702" t="s">
        <v>1617</v>
      </c>
      <c r="C4147" s="445" t="s">
        <v>1269</v>
      </c>
      <c r="D4147" s="445" t="s">
        <v>1270</v>
      </c>
      <c r="E4147" s="703">
        <v>5580</v>
      </c>
      <c r="F4147" s="447">
        <v>771.36</v>
      </c>
    </row>
    <row r="4148" spans="1:6" s="310" customFormat="1" x14ac:dyDescent="0.15">
      <c r="A4148" s="701" t="s">
        <v>1538</v>
      </c>
      <c r="B4148" s="702" t="s">
        <v>1618</v>
      </c>
      <c r="C4148" s="445" t="s">
        <v>1517</v>
      </c>
      <c r="D4148" s="445" t="s">
        <v>1518</v>
      </c>
      <c r="E4148" s="703">
        <v>4</v>
      </c>
      <c r="F4148" s="447">
        <v>30.41</v>
      </c>
    </row>
    <row r="4149" spans="1:6" s="310" customFormat="1" x14ac:dyDescent="0.15">
      <c r="A4149" s="701" t="s">
        <v>1540</v>
      </c>
      <c r="B4149" s="702" t="s">
        <v>1620</v>
      </c>
      <c r="C4149" s="445" t="s">
        <v>1257</v>
      </c>
      <c r="D4149" s="445" t="s">
        <v>1258</v>
      </c>
      <c r="E4149" s="703">
        <v>26480</v>
      </c>
      <c r="F4149" s="447">
        <v>3424.45</v>
      </c>
    </row>
    <row r="4150" spans="1:6" s="310" customFormat="1" x14ac:dyDescent="0.15">
      <c r="A4150" s="701" t="s">
        <v>1541</v>
      </c>
      <c r="B4150" s="702" t="s">
        <v>1621</v>
      </c>
      <c r="C4150" s="445" t="s">
        <v>1586</v>
      </c>
      <c r="D4150" s="445" t="s">
        <v>1500</v>
      </c>
      <c r="E4150" s="703">
        <v>4760</v>
      </c>
      <c r="F4150" s="447">
        <v>704.6</v>
      </c>
    </row>
    <row r="4151" spans="1:6" s="310" customFormat="1" x14ac:dyDescent="0.15">
      <c r="A4151" s="701" t="s">
        <v>1542</v>
      </c>
      <c r="B4151" s="702" t="s">
        <v>1622</v>
      </c>
      <c r="C4151" s="445" t="s">
        <v>1240</v>
      </c>
      <c r="D4151" s="445" t="s">
        <v>1467</v>
      </c>
      <c r="E4151" s="703">
        <v>4918</v>
      </c>
      <c r="F4151" s="447">
        <v>668.28</v>
      </c>
    </row>
    <row r="4152" spans="1:6" s="310" customFormat="1" x14ac:dyDescent="0.15">
      <c r="A4152" s="701" t="s">
        <v>1543</v>
      </c>
      <c r="B4152" s="702" t="s">
        <v>1623</v>
      </c>
      <c r="C4152" s="445" t="s">
        <v>1523</v>
      </c>
      <c r="D4152" s="445" t="s">
        <v>1266</v>
      </c>
      <c r="E4152" s="703">
        <v>836</v>
      </c>
      <c r="F4152" s="447">
        <v>150.41999999999999</v>
      </c>
    </row>
    <row r="4153" spans="1:6" s="310" customFormat="1" x14ac:dyDescent="0.15">
      <c r="A4153" s="701" t="s">
        <v>1715</v>
      </c>
      <c r="B4153" s="702" t="s">
        <v>1716</v>
      </c>
      <c r="C4153" s="445" t="s">
        <v>1328</v>
      </c>
      <c r="D4153" s="445" t="s">
        <v>1329</v>
      </c>
      <c r="E4153" s="703">
        <v>560</v>
      </c>
      <c r="F4153" s="447">
        <v>105.12</v>
      </c>
    </row>
    <row r="4154" spans="1:6" s="310" customFormat="1" x14ac:dyDescent="0.15">
      <c r="A4154" s="701" t="s">
        <v>1544</v>
      </c>
      <c r="B4154" s="702" t="s">
        <v>1624</v>
      </c>
      <c r="C4154" s="445" t="s">
        <v>1234</v>
      </c>
      <c r="D4154" s="445" t="s">
        <v>1494</v>
      </c>
      <c r="E4154" s="703">
        <v>5518</v>
      </c>
      <c r="F4154" s="447">
        <v>854.43</v>
      </c>
    </row>
    <row r="4155" spans="1:6" s="310" customFormat="1" x14ac:dyDescent="0.15">
      <c r="A4155" s="701" t="s">
        <v>1601</v>
      </c>
      <c r="B4155" s="702"/>
      <c r="C4155" s="445" t="s">
        <v>1334</v>
      </c>
      <c r="D4155" s="445" t="s">
        <v>1462</v>
      </c>
      <c r="E4155" s="703">
        <v>3726.5</v>
      </c>
      <c r="F4155" s="447">
        <v>720.82</v>
      </c>
    </row>
    <row r="4156" spans="1:6" s="310" customFormat="1" x14ac:dyDescent="0.15">
      <c r="A4156" s="701" t="s">
        <v>1545</v>
      </c>
      <c r="B4156" s="702"/>
      <c r="C4156" s="445" t="s">
        <v>1234</v>
      </c>
      <c r="D4156" s="445" t="s">
        <v>1494</v>
      </c>
      <c r="E4156" s="703">
        <v>85</v>
      </c>
      <c r="F4156" s="447">
        <v>19.39</v>
      </c>
    </row>
    <row r="4157" spans="1:6" s="310" customFormat="1" x14ac:dyDescent="0.15">
      <c r="A4157" s="701" t="s">
        <v>1602</v>
      </c>
      <c r="B4157" s="702"/>
      <c r="C4157" s="445" t="s">
        <v>1334</v>
      </c>
      <c r="D4157" s="445" t="s">
        <v>1462</v>
      </c>
      <c r="E4157" s="703">
        <v>208.2</v>
      </c>
      <c r="F4157" s="447">
        <v>52.88</v>
      </c>
    </row>
    <row r="4158" spans="1:6" s="310" customFormat="1" x14ac:dyDescent="0.15">
      <c r="A4158" s="701" t="s">
        <v>1546</v>
      </c>
      <c r="B4158" s="702"/>
      <c r="C4158" s="445" t="s">
        <v>1586</v>
      </c>
      <c r="D4158" s="445" t="s">
        <v>1500</v>
      </c>
      <c r="E4158" s="703">
        <v>97.4</v>
      </c>
      <c r="F4158" s="447">
        <v>30.23</v>
      </c>
    </row>
    <row r="4159" spans="1:6" s="310" customFormat="1" x14ac:dyDescent="0.15">
      <c r="A4159" s="701" t="s">
        <v>1549</v>
      </c>
      <c r="B4159" s="702" t="s">
        <v>1625</v>
      </c>
      <c r="C4159" s="445" t="s">
        <v>1459</v>
      </c>
      <c r="D4159" s="445" t="s">
        <v>1251</v>
      </c>
      <c r="E4159" s="703">
        <v>1917</v>
      </c>
      <c r="F4159" s="447">
        <v>295.19</v>
      </c>
    </row>
    <row r="4160" spans="1:6" s="310" customFormat="1" x14ac:dyDescent="0.15">
      <c r="A4160" s="701" t="s">
        <v>1603</v>
      </c>
      <c r="B4160" s="702"/>
      <c r="C4160" s="445" t="s">
        <v>1334</v>
      </c>
      <c r="D4160" s="445" t="s">
        <v>1462</v>
      </c>
      <c r="E4160" s="703">
        <v>1559.2</v>
      </c>
      <c r="F4160" s="447">
        <v>318.3</v>
      </c>
    </row>
    <row r="4161" spans="1:6" s="310" customFormat="1" x14ac:dyDescent="0.15">
      <c r="A4161" s="701" t="s">
        <v>1597</v>
      </c>
      <c r="B4161" s="702" t="s">
        <v>1626</v>
      </c>
      <c r="C4161" s="445" t="s">
        <v>1454</v>
      </c>
      <c r="D4161" s="445" t="s">
        <v>1247</v>
      </c>
      <c r="E4161" s="703">
        <v>4760</v>
      </c>
      <c r="F4161" s="447">
        <v>689.73</v>
      </c>
    </row>
    <row r="4162" spans="1:6" s="310" customFormat="1" x14ac:dyDescent="0.15">
      <c r="A4162" s="701" t="s">
        <v>1677</v>
      </c>
      <c r="B4162" s="702" t="s">
        <v>1678</v>
      </c>
      <c r="C4162" s="445" t="s">
        <v>1313</v>
      </c>
      <c r="D4162" s="445" t="s">
        <v>1412</v>
      </c>
      <c r="E4162" s="703">
        <v>1237</v>
      </c>
      <c r="F4162" s="447">
        <v>212.62</v>
      </c>
    </row>
    <row r="4163" spans="1:6" s="310" customFormat="1" x14ac:dyDescent="0.15">
      <c r="A4163" s="701" t="s">
        <v>1551</v>
      </c>
      <c r="B4163" s="702" t="s">
        <v>1627</v>
      </c>
      <c r="C4163" s="445" t="s">
        <v>1235</v>
      </c>
      <c r="D4163" s="445" t="s">
        <v>1236</v>
      </c>
      <c r="E4163" s="703">
        <v>9481</v>
      </c>
      <c r="F4163" s="447">
        <v>1293.55</v>
      </c>
    </row>
    <row r="4164" spans="1:6" s="310" customFormat="1" x14ac:dyDescent="0.15">
      <c r="A4164" s="701" t="s">
        <v>1553</v>
      </c>
      <c r="B4164" s="702" t="s">
        <v>1628</v>
      </c>
      <c r="C4164" s="445" t="s">
        <v>1475</v>
      </c>
      <c r="D4164" s="445" t="s">
        <v>1387</v>
      </c>
      <c r="E4164" s="703">
        <v>1182</v>
      </c>
      <c r="F4164" s="447">
        <v>225.56</v>
      </c>
    </row>
    <row r="4165" spans="1:6" s="310" customFormat="1" x14ac:dyDescent="0.15">
      <c r="A4165" s="701" t="s">
        <v>1554</v>
      </c>
      <c r="B4165" s="702" t="s">
        <v>1629</v>
      </c>
      <c r="C4165" s="445" t="s">
        <v>1399</v>
      </c>
      <c r="D4165" s="445" t="s">
        <v>1276</v>
      </c>
      <c r="E4165" s="703">
        <v>4440</v>
      </c>
      <c r="F4165" s="447">
        <v>680.18</v>
      </c>
    </row>
    <row r="4166" spans="1:6" s="310" customFormat="1" x14ac:dyDescent="0.15">
      <c r="A4166" s="701" t="s">
        <v>1598</v>
      </c>
      <c r="B4166" s="702"/>
      <c r="C4166" s="445" t="s">
        <v>1586</v>
      </c>
      <c r="D4166" s="445" t="s">
        <v>1500</v>
      </c>
      <c r="E4166" s="703">
        <v>48.7</v>
      </c>
      <c r="F4166" s="447">
        <v>17.05</v>
      </c>
    </row>
    <row r="4167" spans="1:6" s="310" customFormat="1" x14ac:dyDescent="0.15">
      <c r="A4167" s="701" t="s">
        <v>1662</v>
      </c>
      <c r="B4167" s="704">
        <v>892914652</v>
      </c>
      <c r="C4167" s="445" t="s">
        <v>1663</v>
      </c>
      <c r="D4167" s="445" t="s">
        <v>1664</v>
      </c>
      <c r="E4167" s="703">
        <v>10640</v>
      </c>
      <c r="F4167" s="447">
        <v>1618.87</v>
      </c>
    </row>
    <row r="4168" spans="1:6" s="310" customFormat="1" ht="14" thickBot="1" x14ac:dyDescent="0.2">
      <c r="A4168" s="701"/>
      <c r="B4168" s="702"/>
      <c r="C4168" s="313" t="s">
        <v>1698</v>
      </c>
      <c r="D4168" s="445"/>
      <c r="E4168" s="705">
        <f>SUM(E4143:E4167)</f>
        <v>119777.99999999999</v>
      </c>
      <c r="F4168" s="706">
        <f>SUM(F4143:F4167)</f>
        <v>17300.71</v>
      </c>
    </row>
    <row r="4169" spans="1:6" s="310" customFormat="1" ht="14" thickTop="1" x14ac:dyDescent="0.15">
      <c r="A4169" s="701"/>
      <c r="B4169" s="702"/>
      <c r="C4169" s="445"/>
      <c r="D4169" s="445"/>
      <c r="E4169" s="530"/>
      <c r="F4169" s="447"/>
    </row>
    <row r="4170" spans="1:6" s="310" customFormat="1" x14ac:dyDescent="0.15">
      <c r="A4170" s="701" t="s">
        <v>1556</v>
      </c>
      <c r="B4170" s="702" t="s">
        <v>1631</v>
      </c>
      <c r="C4170" s="445" t="s">
        <v>1248</v>
      </c>
      <c r="D4170" s="445" t="s">
        <v>1482</v>
      </c>
      <c r="E4170" s="703">
        <v>3583</v>
      </c>
      <c r="F4170" s="447">
        <v>542.82000000000005</v>
      </c>
    </row>
    <row r="4171" spans="1:6" s="310" customFormat="1" x14ac:dyDescent="0.15">
      <c r="A4171" s="701" t="s">
        <v>1714</v>
      </c>
      <c r="B4171" s="702"/>
      <c r="C4171" s="445" t="s">
        <v>1267</v>
      </c>
      <c r="D4171" s="445" t="s">
        <v>1268</v>
      </c>
      <c r="E4171" s="703">
        <f>4.4+44.3</f>
        <v>48.699999999999996</v>
      </c>
      <c r="F4171" s="447">
        <v>12.370000000000001</v>
      </c>
    </row>
    <row r="4172" spans="1:6" s="310" customFormat="1" x14ac:dyDescent="0.15">
      <c r="A4172" s="701" t="s">
        <v>1558</v>
      </c>
      <c r="B4172" s="702" t="s">
        <v>1633</v>
      </c>
      <c r="C4172" s="445" t="s">
        <v>1469</v>
      </c>
      <c r="D4172" s="445" t="s">
        <v>1470</v>
      </c>
      <c r="E4172" s="703">
        <v>5760</v>
      </c>
      <c r="F4172" s="447">
        <v>871.06</v>
      </c>
    </row>
    <row r="4173" spans="1:6" s="310" customFormat="1" x14ac:dyDescent="0.15">
      <c r="A4173" s="701" t="s">
        <v>1559</v>
      </c>
      <c r="B4173" s="702" t="s">
        <v>1634</v>
      </c>
      <c r="C4173" s="445" t="s">
        <v>1502</v>
      </c>
      <c r="D4173" s="445" t="s">
        <v>1381</v>
      </c>
      <c r="E4173" s="703">
        <v>13632</v>
      </c>
      <c r="F4173" s="447">
        <v>1905.6</v>
      </c>
    </row>
    <row r="4174" spans="1:6" s="310" customFormat="1" x14ac:dyDescent="0.15">
      <c r="A4174" s="701" t="s">
        <v>1560</v>
      </c>
      <c r="B4174" s="702" t="s">
        <v>1635</v>
      </c>
      <c r="C4174" s="445" t="s">
        <v>1504</v>
      </c>
      <c r="D4174" s="445" t="s">
        <v>1505</v>
      </c>
      <c r="E4174" s="703">
        <v>1078</v>
      </c>
      <c r="F4174" s="447">
        <v>152.19999999999999</v>
      </c>
    </row>
    <row r="4175" spans="1:6" s="310" customFormat="1" x14ac:dyDescent="0.15">
      <c r="A4175" s="701" t="s">
        <v>1675</v>
      </c>
      <c r="B4175" s="702" t="s">
        <v>1676</v>
      </c>
      <c r="C4175" s="445" t="s">
        <v>1477</v>
      </c>
      <c r="D4175" s="445" t="s">
        <v>1289</v>
      </c>
      <c r="E4175" s="703">
        <v>10090</v>
      </c>
      <c r="F4175" s="447">
        <v>1458.28</v>
      </c>
    </row>
    <row r="4176" spans="1:6" s="310" customFormat="1" x14ac:dyDescent="0.15">
      <c r="A4176" s="701" t="s">
        <v>1564</v>
      </c>
      <c r="B4176" s="702" t="s">
        <v>1636</v>
      </c>
      <c r="C4176" s="445" t="s">
        <v>1485</v>
      </c>
      <c r="D4176" s="445" t="s">
        <v>1486</v>
      </c>
      <c r="E4176" s="703">
        <v>1560</v>
      </c>
      <c r="F4176" s="447">
        <v>289.39</v>
      </c>
    </row>
    <row r="4177" spans="1:6" s="310" customFormat="1" x14ac:dyDescent="0.15">
      <c r="A4177" s="701" t="s">
        <v>1565</v>
      </c>
      <c r="B4177" s="702" t="s">
        <v>1637</v>
      </c>
      <c r="C4177" s="445" t="s">
        <v>1267</v>
      </c>
      <c r="D4177" s="445" t="s">
        <v>1268</v>
      </c>
      <c r="E4177" s="703">
        <v>1962</v>
      </c>
      <c r="F4177" s="447">
        <v>374.43</v>
      </c>
    </row>
    <row r="4178" spans="1:6" s="310" customFormat="1" x14ac:dyDescent="0.15">
      <c r="A4178" s="701" t="s">
        <v>1569</v>
      </c>
      <c r="B4178" s="702" t="s">
        <v>1638</v>
      </c>
      <c r="C4178" s="445" t="s">
        <v>1464</v>
      </c>
      <c r="D4178" s="445" t="s">
        <v>1285</v>
      </c>
      <c r="E4178" s="703">
        <v>641</v>
      </c>
      <c r="F4178" s="447">
        <v>153.29</v>
      </c>
    </row>
    <row r="4179" spans="1:6" s="310" customFormat="1" x14ac:dyDescent="0.15">
      <c r="A4179" s="701" t="s">
        <v>1711</v>
      </c>
      <c r="B4179" s="702" t="s">
        <v>1712</v>
      </c>
      <c r="C4179" s="445" t="s">
        <v>1713</v>
      </c>
      <c r="D4179" s="445" t="s">
        <v>1419</v>
      </c>
      <c r="E4179" s="703">
        <v>1312</v>
      </c>
      <c r="F4179" s="447">
        <v>250.37</v>
      </c>
    </row>
    <row r="4180" spans="1:6" s="310" customFormat="1" x14ac:dyDescent="0.15">
      <c r="A4180" s="701" t="s">
        <v>1570</v>
      </c>
      <c r="B4180" s="702" t="s">
        <v>1639</v>
      </c>
      <c r="C4180" s="445" t="s">
        <v>1472</v>
      </c>
      <c r="D4180" s="445" t="s">
        <v>1473</v>
      </c>
      <c r="E4180" s="703">
        <v>49</v>
      </c>
      <c r="F4180" s="447">
        <v>34.880000000000003</v>
      </c>
    </row>
    <row r="4181" spans="1:6" s="310" customFormat="1" x14ac:dyDescent="0.15">
      <c r="A4181" s="701" t="s">
        <v>1571</v>
      </c>
      <c r="B4181" s="702" t="s">
        <v>1640</v>
      </c>
      <c r="C4181" s="445" t="s">
        <v>1489</v>
      </c>
      <c r="D4181" s="445" t="s">
        <v>1490</v>
      </c>
      <c r="E4181" s="703">
        <v>127</v>
      </c>
      <c r="F4181" s="447">
        <v>42.65</v>
      </c>
    </row>
    <row r="4182" spans="1:6" s="310" customFormat="1" x14ac:dyDescent="0.15">
      <c r="A4182" s="701" t="s">
        <v>1572</v>
      </c>
      <c r="B4182" s="702" t="s">
        <v>1641</v>
      </c>
      <c r="C4182" s="445" t="s">
        <v>1271</v>
      </c>
      <c r="D4182" s="445" t="s">
        <v>1272</v>
      </c>
      <c r="E4182" s="703">
        <v>4701</v>
      </c>
      <c r="F4182" s="447">
        <v>676.41</v>
      </c>
    </row>
    <row r="4183" spans="1:6" s="310" customFormat="1" x14ac:dyDescent="0.15">
      <c r="A4183" s="701" t="s">
        <v>1573</v>
      </c>
      <c r="B4183" s="702"/>
      <c r="C4183" s="445" t="s">
        <v>1461</v>
      </c>
      <c r="D4183" s="445" t="s">
        <v>1703</v>
      </c>
      <c r="E4183" s="703">
        <v>26</v>
      </c>
      <c r="F4183" s="447">
        <v>16.28</v>
      </c>
    </row>
    <row r="4184" spans="1:6" s="310" customFormat="1" x14ac:dyDescent="0.15">
      <c r="A4184" s="701" t="s">
        <v>1574</v>
      </c>
      <c r="B4184" s="702" t="s">
        <v>1642</v>
      </c>
      <c r="C4184" s="445" t="s">
        <v>1377</v>
      </c>
      <c r="D4184" s="445" t="s">
        <v>1378</v>
      </c>
      <c r="E4184" s="703">
        <v>1697</v>
      </c>
      <c r="F4184" s="447">
        <v>288.16000000000003</v>
      </c>
    </row>
    <row r="4185" spans="1:6" s="310" customFormat="1" x14ac:dyDescent="0.15">
      <c r="A4185" s="701" t="s">
        <v>1575</v>
      </c>
      <c r="B4185" s="702" t="s">
        <v>1685</v>
      </c>
      <c r="C4185" s="445" t="s">
        <v>1448</v>
      </c>
      <c r="D4185" s="445" t="s">
        <v>1449</v>
      </c>
      <c r="E4185" s="703">
        <v>75</v>
      </c>
      <c r="F4185" s="447">
        <v>19.57</v>
      </c>
    </row>
    <row r="4186" spans="1:6" s="310" customFormat="1" x14ac:dyDescent="0.15">
      <c r="A4186" s="701" t="s">
        <v>1604</v>
      </c>
      <c r="B4186" s="702"/>
      <c r="C4186" s="445" t="s">
        <v>1334</v>
      </c>
      <c r="D4186" s="445" t="s">
        <v>1462</v>
      </c>
      <c r="E4186" s="703">
        <v>243.5</v>
      </c>
      <c r="F4186" s="447">
        <v>69.959999999999994</v>
      </c>
    </row>
    <row r="4187" spans="1:6" s="310" customFormat="1" x14ac:dyDescent="0.15">
      <c r="A4187" s="701" t="s">
        <v>1576</v>
      </c>
      <c r="B4187" s="702" t="s">
        <v>1644</v>
      </c>
      <c r="C4187" s="445" t="s">
        <v>1401</v>
      </c>
      <c r="D4187" s="445" t="s">
        <v>1316</v>
      </c>
      <c r="E4187" s="703">
        <v>755</v>
      </c>
      <c r="F4187" s="447">
        <v>186.95</v>
      </c>
    </row>
    <row r="4188" spans="1:6" s="310" customFormat="1" x14ac:dyDescent="0.15">
      <c r="A4188" s="701" t="s">
        <v>1605</v>
      </c>
      <c r="B4188" s="702"/>
      <c r="C4188" s="445" t="s">
        <v>1334</v>
      </c>
      <c r="D4188" s="445" t="s">
        <v>1462</v>
      </c>
      <c r="E4188" s="703">
        <v>711</v>
      </c>
      <c r="F4188" s="447">
        <v>206.24</v>
      </c>
    </row>
    <row r="4189" spans="1:6" s="310" customFormat="1" x14ac:dyDescent="0.15">
      <c r="A4189" s="701" t="s">
        <v>1578</v>
      </c>
      <c r="B4189" s="702" t="s">
        <v>1646</v>
      </c>
      <c r="C4189" s="445" t="s">
        <v>1579</v>
      </c>
      <c r="D4189" s="445" t="s">
        <v>1497</v>
      </c>
      <c r="E4189" s="703">
        <v>3</v>
      </c>
      <c r="F4189" s="447">
        <v>30.31</v>
      </c>
    </row>
    <row r="4190" spans="1:6" s="310" customFormat="1" x14ac:dyDescent="0.15">
      <c r="A4190" s="701" t="s">
        <v>1580</v>
      </c>
      <c r="B4190" s="702" t="s">
        <v>1647</v>
      </c>
      <c r="C4190" s="445" t="s">
        <v>1451</v>
      </c>
      <c r="D4190" s="445" t="s">
        <v>1674</v>
      </c>
      <c r="E4190" s="703">
        <v>11136</v>
      </c>
      <c r="F4190" s="447">
        <v>2870.93</v>
      </c>
    </row>
    <row r="4191" spans="1:6" s="310" customFormat="1" x14ac:dyDescent="0.15">
      <c r="A4191" s="701" t="s">
        <v>1581</v>
      </c>
      <c r="B4191" s="702" t="s">
        <v>1648</v>
      </c>
      <c r="C4191" s="445" t="s">
        <v>1521</v>
      </c>
      <c r="D4191" s="445" t="s">
        <v>1229</v>
      </c>
      <c r="E4191" s="703">
        <v>2771</v>
      </c>
      <c r="F4191" s="447">
        <v>387.66</v>
      </c>
    </row>
    <row r="4192" spans="1:6" s="310" customFormat="1" x14ac:dyDescent="0.15">
      <c r="A4192" s="701" t="s">
        <v>1582</v>
      </c>
      <c r="B4192" s="702" t="s">
        <v>1649</v>
      </c>
      <c r="C4192" s="445" t="s">
        <v>1525</v>
      </c>
      <c r="D4192" s="445" t="s">
        <v>1526</v>
      </c>
      <c r="E4192" s="703">
        <v>15</v>
      </c>
      <c r="F4192" s="447">
        <v>8.73</v>
      </c>
    </row>
    <row r="4193" spans="1:6" s="310" customFormat="1" ht="14" x14ac:dyDescent="0.15">
      <c r="A4193" s="701" t="s">
        <v>1583</v>
      </c>
      <c r="B4193" s="702" t="s">
        <v>1650</v>
      </c>
      <c r="C4193" s="445" t="s">
        <v>1584</v>
      </c>
      <c r="D4193" s="707" t="s">
        <v>1264</v>
      </c>
      <c r="E4193" s="703">
        <v>1680</v>
      </c>
      <c r="F4193" s="447">
        <v>323.64</v>
      </c>
    </row>
    <row r="4194" spans="1:6" s="310" customFormat="1" x14ac:dyDescent="0.15">
      <c r="A4194" s="701" t="s">
        <v>1666</v>
      </c>
      <c r="B4194" s="702" t="s">
        <v>1672</v>
      </c>
      <c r="C4194" s="445" t="s">
        <v>1667</v>
      </c>
      <c r="D4194" s="445" t="s">
        <v>1668</v>
      </c>
      <c r="E4194" s="703">
        <v>22656</v>
      </c>
      <c r="F4194" s="447">
        <v>4263.13</v>
      </c>
    </row>
    <row r="4195" spans="1:6" s="310" customFormat="1" x14ac:dyDescent="0.15">
      <c r="A4195" s="701" t="s">
        <v>1606</v>
      </c>
      <c r="B4195" s="702"/>
      <c r="C4195" s="445" t="s">
        <v>1334</v>
      </c>
      <c r="D4195" s="445" t="s">
        <v>1462</v>
      </c>
      <c r="E4195" s="703">
        <f>41.1+43.9</f>
        <v>85</v>
      </c>
      <c r="F4195" s="447">
        <v>15.87</v>
      </c>
    </row>
    <row r="4196" spans="1:6" s="310" customFormat="1" ht="14" thickBot="1" x14ac:dyDescent="0.2">
      <c r="A4196" s="701"/>
      <c r="B4196" s="702"/>
      <c r="C4196" s="313" t="s">
        <v>1699</v>
      </c>
      <c r="D4196" s="445"/>
      <c r="E4196" s="705">
        <f>SUM(E4170:E4195)</f>
        <v>86397.2</v>
      </c>
      <c r="F4196" s="706">
        <f>SUM(F4170:F4195)</f>
        <v>15451.179999999998</v>
      </c>
    </row>
    <row r="4197" spans="1:6" s="310" customFormat="1" ht="14" thickTop="1" x14ac:dyDescent="0.15">
      <c r="A4197" s="701"/>
      <c r="B4197" s="702"/>
      <c r="C4197" s="445"/>
      <c r="D4197" s="445"/>
      <c r="E4197" s="530"/>
      <c r="F4197" s="447"/>
    </row>
    <row r="4198" spans="1:6" s="310" customFormat="1" x14ac:dyDescent="0.15">
      <c r="A4198" s="701"/>
      <c r="B4198" s="702"/>
      <c r="C4198" s="345" t="s">
        <v>1441</v>
      </c>
      <c r="D4198" s="445"/>
      <c r="E4198" s="530"/>
      <c r="F4198" s="447"/>
    </row>
    <row r="4199" spans="1:6" s="310" customFormat="1" x14ac:dyDescent="0.15">
      <c r="A4199" s="701"/>
      <c r="B4199" s="702"/>
      <c r="C4199" s="345" t="s">
        <v>1446</v>
      </c>
      <c r="D4199" s="445"/>
      <c r="E4199" s="530"/>
      <c r="F4199" s="447"/>
    </row>
    <row r="4200" spans="1:6" s="310" customFormat="1" x14ac:dyDescent="0.15">
      <c r="A4200" s="701"/>
      <c r="B4200" s="702"/>
      <c r="C4200" s="453">
        <v>42704</v>
      </c>
      <c r="D4200" s="445"/>
      <c r="E4200" s="530"/>
      <c r="F4200" s="447"/>
    </row>
    <row r="4201" spans="1:6" s="310" customFormat="1" x14ac:dyDescent="0.15">
      <c r="A4201" s="701"/>
      <c r="B4201" s="702"/>
      <c r="C4201" s="445"/>
      <c r="D4201" s="445"/>
      <c r="E4201" s="530"/>
      <c r="F4201" s="447"/>
    </row>
    <row r="4202" spans="1:6" s="310" customFormat="1" ht="14" thickBot="1" x14ac:dyDescent="0.2">
      <c r="A4202" s="708"/>
      <c r="B4202" s="709"/>
      <c r="C4202" s="710" t="s">
        <v>1191</v>
      </c>
      <c r="D4202" s="710"/>
      <c r="E4202" s="711">
        <f>SUM(E4168,E4196)</f>
        <v>206175.19999999998</v>
      </c>
      <c r="F4202" s="712">
        <f>SUM(F4168,F4196)</f>
        <v>32751.89</v>
      </c>
    </row>
    <row r="4203" spans="1:6" s="310" customFormat="1" x14ac:dyDescent="0.15">
      <c r="A4203" s="701"/>
      <c r="B4203" s="702"/>
      <c r="C4203" s="463"/>
      <c r="D4203" s="463"/>
      <c r="E4203" s="713"/>
      <c r="F4203" s="714"/>
    </row>
    <row r="4204" spans="1:6" s="310" customFormat="1" x14ac:dyDescent="0.15">
      <c r="A4204" s="698" t="s">
        <v>1534</v>
      </c>
      <c r="B4204" s="699" t="s">
        <v>1614</v>
      </c>
      <c r="C4204" s="441" t="s">
        <v>1492</v>
      </c>
      <c r="D4204" s="441" t="s">
        <v>1239</v>
      </c>
      <c r="E4204" s="700">
        <v>10720</v>
      </c>
      <c r="F4204" s="443">
        <v>1565.6</v>
      </c>
    </row>
    <row r="4205" spans="1:6" s="310" customFormat="1" x14ac:dyDescent="0.15">
      <c r="A4205" s="701" t="s">
        <v>1535</v>
      </c>
      <c r="B4205" s="702" t="s">
        <v>1615</v>
      </c>
      <c r="C4205" s="445" t="s">
        <v>1507</v>
      </c>
      <c r="D4205" s="445" t="s">
        <v>1245</v>
      </c>
      <c r="E4205" s="703">
        <v>3360</v>
      </c>
      <c r="F4205" s="447">
        <v>520.61</v>
      </c>
    </row>
    <row r="4206" spans="1:6" s="310" customFormat="1" x14ac:dyDescent="0.15">
      <c r="A4206" s="701" t="s">
        <v>1670</v>
      </c>
      <c r="B4206" s="702" t="s">
        <v>1659</v>
      </c>
      <c r="C4206" s="445" t="s">
        <v>1279</v>
      </c>
      <c r="D4206" s="445" t="s">
        <v>1660</v>
      </c>
      <c r="E4206" s="703">
        <v>8960</v>
      </c>
      <c r="F4206" s="447">
        <v>1278.8399999999999</v>
      </c>
    </row>
    <row r="4207" spans="1:6" s="310" customFormat="1" x14ac:dyDescent="0.15">
      <c r="A4207" s="701" t="s">
        <v>1536</v>
      </c>
      <c r="B4207" s="702" t="s">
        <v>1616</v>
      </c>
      <c r="C4207" s="445" t="s">
        <v>1479</v>
      </c>
      <c r="D4207" s="445" t="s">
        <v>1231</v>
      </c>
      <c r="E4207" s="703">
        <v>4089</v>
      </c>
      <c r="F4207" s="447">
        <v>600.62</v>
      </c>
    </row>
    <row r="4208" spans="1:6" s="310" customFormat="1" x14ac:dyDescent="0.15">
      <c r="A4208" s="701" t="s">
        <v>1537</v>
      </c>
      <c r="B4208" s="702" t="s">
        <v>1617</v>
      </c>
      <c r="C4208" s="445" t="s">
        <v>1269</v>
      </c>
      <c r="D4208" s="445" t="s">
        <v>1270</v>
      </c>
      <c r="E4208" s="703">
        <v>5564</v>
      </c>
      <c r="F4208" s="447">
        <v>792.09</v>
      </c>
    </row>
    <row r="4209" spans="1:6" s="310" customFormat="1" x14ac:dyDescent="0.15">
      <c r="A4209" s="701" t="s">
        <v>1538</v>
      </c>
      <c r="B4209" s="702" t="s">
        <v>1618</v>
      </c>
      <c r="C4209" s="445" t="s">
        <v>1517</v>
      </c>
      <c r="D4209" s="445" t="s">
        <v>1518</v>
      </c>
      <c r="E4209" s="703">
        <v>4</v>
      </c>
      <c r="F4209" s="447">
        <v>30.41</v>
      </c>
    </row>
    <row r="4210" spans="1:6" s="310" customFormat="1" x14ac:dyDescent="0.15">
      <c r="A4210" s="701" t="s">
        <v>1540</v>
      </c>
      <c r="B4210" s="702" t="s">
        <v>1620</v>
      </c>
      <c r="C4210" s="445" t="s">
        <v>1257</v>
      </c>
      <c r="D4210" s="445" t="s">
        <v>1258</v>
      </c>
      <c r="E4210" s="703">
        <v>24000</v>
      </c>
      <c r="F4210" s="447">
        <v>3207.31</v>
      </c>
    </row>
    <row r="4211" spans="1:6" s="310" customFormat="1" x14ac:dyDescent="0.15">
      <c r="A4211" s="701" t="s">
        <v>1541</v>
      </c>
      <c r="B4211" s="702" t="s">
        <v>1621</v>
      </c>
      <c r="C4211" s="445" t="s">
        <v>1586</v>
      </c>
      <c r="D4211" s="445" t="s">
        <v>1500</v>
      </c>
      <c r="E4211" s="703">
        <v>4160</v>
      </c>
      <c r="F4211" s="447">
        <v>630.01</v>
      </c>
    </row>
    <row r="4212" spans="1:6" s="310" customFormat="1" x14ac:dyDescent="0.15">
      <c r="A4212" s="701" t="s">
        <v>1542</v>
      </c>
      <c r="B4212" s="702" t="s">
        <v>1622</v>
      </c>
      <c r="C4212" s="445" t="s">
        <v>1240</v>
      </c>
      <c r="D4212" s="445" t="s">
        <v>1467</v>
      </c>
      <c r="E4212" s="703">
        <v>4419</v>
      </c>
      <c r="F4212" s="447">
        <v>618.61</v>
      </c>
    </row>
    <row r="4213" spans="1:6" s="310" customFormat="1" x14ac:dyDescent="0.15">
      <c r="A4213" s="701" t="s">
        <v>1543</v>
      </c>
      <c r="B4213" s="702" t="s">
        <v>1623</v>
      </c>
      <c r="C4213" s="445" t="s">
        <v>1523</v>
      </c>
      <c r="D4213" s="445" t="s">
        <v>1266</v>
      </c>
      <c r="E4213" s="703">
        <v>730</v>
      </c>
      <c r="F4213" s="447">
        <v>139.85</v>
      </c>
    </row>
    <row r="4214" spans="1:6" s="310" customFormat="1" x14ac:dyDescent="0.15">
      <c r="A4214" s="701" t="s">
        <v>1715</v>
      </c>
      <c r="B4214" s="702" t="s">
        <v>1716</v>
      </c>
      <c r="C4214" s="445" t="s">
        <v>1328</v>
      </c>
      <c r="D4214" s="445" t="s">
        <v>1329</v>
      </c>
      <c r="E4214" s="703">
        <v>640</v>
      </c>
      <c r="F4214" s="447">
        <v>119.67</v>
      </c>
    </row>
    <row r="4215" spans="1:6" s="310" customFormat="1" x14ac:dyDescent="0.15">
      <c r="A4215" s="701" t="s">
        <v>1544</v>
      </c>
      <c r="B4215" s="702" t="s">
        <v>1624</v>
      </c>
      <c r="C4215" s="445" t="s">
        <v>1234</v>
      </c>
      <c r="D4215" s="445" t="s">
        <v>1494</v>
      </c>
      <c r="E4215" s="703">
        <v>4647</v>
      </c>
      <c r="F4215" s="447">
        <v>745.41</v>
      </c>
    </row>
    <row r="4216" spans="1:6" s="310" customFormat="1" x14ac:dyDescent="0.15">
      <c r="A4216" s="701" t="s">
        <v>1601</v>
      </c>
      <c r="B4216" s="702"/>
      <c r="C4216" s="445" t="s">
        <v>1334</v>
      </c>
      <c r="D4216" s="445" t="s">
        <v>1462</v>
      </c>
      <c r="E4216" s="703">
        <v>3987.5</v>
      </c>
      <c r="F4216" s="447">
        <v>751.65</v>
      </c>
    </row>
    <row r="4217" spans="1:6" s="310" customFormat="1" x14ac:dyDescent="0.15">
      <c r="A4217" s="701" t="s">
        <v>1545</v>
      </c>
      <c r="B4217" s="702"/>
      <c r="C4217" s="445" t="s">
        <v>1234</v>
      </c>
      <c r="D4217" s="445" t="s">
        <v>1494</v>
      </c>
      <c r="E4217" s="703">
        <v>91</v>
      </c>
      <c r="F4217" s="447">
        <v>20.09</v>
      </c>
    </row>
    <row r="4218" spans="1:6" s="310" customFormat="1" x14ac:dyDescent="0.15">
      <c r="A4218" s="701" t="s">
        <v>1602</v>
      </c>
      <c r="B4218" s="702"/>
      <c r="C4218" s="445" t="s">
        <v>1334</v>
      </c>
      <c r="D4218" s="445" t="s">
        <v>1462</v>
      </c>
      <c r="E4218" s="703">
        <v>223.2</v>
      </c>
      <c r="F4218" s="447">
        <v>54.66</v>
      </c>
    </row>
    <row r="4219" spans="1:6" s="310" customFormat="1" x14ac:dyDescent="0.15">
      <c r="A4219" s="701" t="s">
        <v>1546</v>
      </c>
      <c r="B4219" s="702"/>
      <c r="C4219" s="445" t="s">
        <v>1586</v>
      </c>
      <c r="D4219" s="445" t="s">
        <v>1500</v>
      </c>
      <c r="E4219" s="703">
        <v>104.2</v>
      </c>
      <c r="F4219" s="447">
        <v>31.03</v>
      </c>
    </row>
    <row r="4220" spans="1:6" s="310" customFormat="1" x14ac:dyDescent="0.15">
      <c r="A4220" s="701" t="s">
        <v>1549</v>
      </c>
      <c r="B4220" s="702" t="s">
        <v>1625</v>
      </c>
      <c r="C4220" s="445" t="s">
        <v>1459</v>
      </c>
      <c r="D4220" s="445" t="s">
        <v>1251</v>
      </c>
      <c r="E4220" s="703">
        <v>2258</v>
      </c>
      <c r="F4220" s="447">
        <v>351.46</v>
      </c>
    </row>
    <row r="4221" spans="1:6" s="310" customFormat="1" x14ac:dyDescent="0.15">
      <c r="A4221" s="701" t="s">
        <v>1603</v>
      </c>
      <c r="B4221" s="702"/>
      <c r="C4221" s="445" t="s">
        <v>1334</v>
      </c>
      <c r="D4221" s="445" t="s">
        <v>1462</v>
      </c>
      <c r="E4221" s="703">
        <v>1668.8</v>
      </c>
      <c r="F4221" s="447">
        <v>331.21</v>
      </c>
    </row>
    <row r="4222" spans="1:6" s="310" customFormat="1" x14ac:dyDescent="0.15">
      <c r="A4222" s="701" t="s">
        <v>1597</v>
      </c>
      <c r="B4222" s="702" t="s">
        <v>1626</v>
      </c>
      <c r="C4222" s="445" t="s">
        <v>1454</v>
      </c>
      <c r="D4222" s="445" t="s">
        <v>1247</v>
      </c>
      <c r="E4222" s="703">
        <v>4720</v>
      </c>
      <c r="F4222" s="447">
        <v>693.2</v>
      </c>
    </row>
    <row r="4223" spans="1:6" s="310" customFormat="1" x14ac:dyDescent="0.15">
      <c r="A4223" s="701" t="s">
        <v>1677</v>
      </c>
      <c r="B4223" s="702" t="s">
        <v>1678</v>
      </c>
      <c r="C4223" s="445" t="s">
        <v>1313</v>
      </c>
      <c r="D4223" s="445" t="s">
        <v>1412</v>
      </c>
      <c r="E4223" s="703">
        <v>1677</v>
      </c>
      <c r="F4223" s="447">
        <v>263.87</v>
      </c>
    </row>
    <row r="4224" spans="1:6" s="310" customFormat="1" x14ac:dyDescent="0.15">
      <c r="A4224" s="701" t="s">
        <v>1551</v>
      </c>
      <c r="B4224" s="702" t="s">
        <v>1627</v>
      </c>
      <c r="C4224" s="445" t="s">
        <v>1235</v>
      </c>
      <c r="D4224" s="445" t="s">
        <v>1236</v>
      </c>
      <c r="E4224" s="703">
        <v>8449</v>
      </c>
      <c r="F4224" s="447">
        <v>1183.3499999999999</v>
      </c>
    </row>
    <row r="4225" spans="1:6" s="310" customFormat="1" x14ac:dyDescent="0.15">
      <c r="A4225" s="701" t="s">
        <v>1553</v>
      </c>
      <c r="B4225" s="702" t="s">
        <v>1628</v>
      </c>
      <c r="C4225" s="445" t="s">
        <v>1475</v>
      </c>
      <c r="D4225" s="445" t="s">
        <v>1387</v>
      </c>
      <c r="E4225" s="703">
        <v>1026</v>
      </c>
      <c r="F4225" s="447">
        <v>195.78</v>
      </c>
    </row>
    <row r="4226" spans="1:6" s="310" customFormat="1" x14ac:dyDescent="0.15">
      <c r="A4226" s="701" t="s">
        <v>1554</v>
      </c>
      <c r="B4226" s="702" t="s">
        <v>1629</v>
      </c>
      <c r="C4226" s="445" t="s">
        <v>1399</v>
      </c>
      <c r="D4226" s="445" t="s">
        <v>1276</v>
      </c>
      <c r="E4226" s="703">
        <v>4520</v>
      </c>
      <c r="F4226" s="447">
        <v>665.85</v>
      </c>
    </row>
    <row r="4227" spans="1:6" s="310" customFormat="1" x14ac:dyDescent="0.15">
      <c r="A4227" s="701" t="s">
        <v>1598</v>
      </c>
      <c r="B4227" s="702"/>
      <c r="C4227" s="445" t="s">
        <v>1586</v>
      </c>
      <c r="D4227" s="445" t="s">
        <v>1500</v>
      </c>
      <c r="E4227" s="703">
        <v>52.1</v>
      </c>
      <c r="F4227" s="447">
        <v>17.46</v>
      </c>
    </row>
    <row r="4228" spans="1:6" s="310" customFormat="1" x14ac:dyDescent="0.15">
      <c r="A4228" s="701" t="s">
        <v>1662</v>
      </c>
      <c r="B4228" s="704">
        <v>892914652</v>
      </c>
      <c r="C4228" s="445" t="s">
        <v>1663</v>
      </c>
      <c r="D4228" s="445" t="s">
        <v>1664</v>
      </c>
      <c r="E4228" s="703">
        <v>9280</v>
      </c>
      <c r="F4228" s="447">
        <v>1387.35</v>
      </c>
    </row>
    <row r="4229" spans="1:6" s="310" customFormat="1" ht="14" thickBot="1" x14ac:dyDescent="0.2">
      <c r="A4229" s="701"/>
      <c r="B4229" s="702"/>
      <c r="C4229" s="313" t="s">
        <v>1700</v>
      </c>
      <c r="D4229" s="445"/>
      <c r="E4229" s="705">
        <f>SUM(E4204:E4228)</f>
        <v>109349.8</v>
      </c>
      <c r="F4229" s="706">
        <f>SUM(F4204:F4228)</f>
        <v>16195.990000000002</v>
      </c>
    </row>
    <row r="4230" spans="1:6" s="310" customFormat="1" ht="14" thickTop="1" x14ac:dyDescent="0.15">
      <c r="A4230" s="701"/>
      <c r="B4230" s="702"/>
      <c r="C4230" s="445"/>
      <c r="D4230" s="445"/>
      <c r="E4230" s="530"/>
      <c r="F4230" s="447"/>
    </row>
    <row r="4231" spans="1:6" s="310" customFormat="1" x14ac:dyDescent="0.15">
      <c r="A4231" s="701" t="s">
        <v>1556</v>
      </c>
      <c r="B4231" s="702" t="s">
        <v>1631</v>
      </c>
      <c r="C4231" s="445" t="s">
        <v>1248</v>
      </c>
      <c r="D4231" s="445" t="s">
        <v>1482</v>
      </c>
      <c r="E4231" s="703">
        <v>3330</v>
      </c>
      <c r="F4231" s="447">
        <v>495.35</v>
      </c>
    </row>
    <row r="4232" spans="1:6" s="310" customFormat="1" x14ac:dyDescent="0.15">
      <c r="A4232" s="701" t="s">
        <v>1714</v>
      </c>
      <c r="B4232" s="702"/>
      <c r="C4232" s="445" t="s">
        <v>1267</v>
      </c>
      <c r="D4232" s="445" t="s">
        <v>1268</v>
      </c>
      <c r="E4232" s="703">
        <v>52.1</v>
      </c>
      <c r="F4232" s="447">
        <v>13.59</v>
      </c>
    </row>
    <row r="4233" spans="1:6" s="310" customFormat="1" x14ac:dyDescent="0.15">
      <c r="A4233" s="701" t="s">
        <v>1558</v>
      </c>
      <c r="B4233" s="702" t="s">
        <v>1633</v>
      </c>
      <c r="C4233" s="445" t="s">
        <v>1469</v>
      </c>
      <c r="D4233" s="445" t="s">
        <v>1470</v>
      </c>
      <c r="E4233" s="703">
        <v>6080</v>
      </c>
      <c r="F4233" s="447">
        <v>992.12</v>
      </c>
    </row>
    <row r="4234" spans="1:6" s="310" customFormat="1" x14ac:dyDescent="0.15">
      <c r="A4234" s="701" t="s">
        <v>1559</v>
      </c>
      <c r="B4234" s="702" t="s">
        <v>1634</v>
      </c>
      <c r="C4234" s="445" t="s">
        <v>1502</v>
      </c>
      <c r="D4234" s="445" t="s">
        <v>1381</v>
      </c>
      <c r="E4234" s="703">
        <v>10752</v>
      </c>
      <c r="F4234" s="447">
        <v>1603.31</v>
      </c>
    </row>
    <row r="4235" spans="1:6" s="310" customFormat="1" x14ac:dyDescent="0.15">
      <c r="A4235" s="701" t="s">
        <v>1560</v>
      </c>
      <c r="B4235" s="702" t="s">
        <v>1635</v>
      </c>
      <c r="C4235" s="445" t="s">
        <v>1504</v>
      </c>
      <c r="D4235" s="445" t="s">
        <v>1505</v>
      </c>
      <c r="E4235" s="703">
        <v>1105</v>
      </c>
      <c r="F4235" s="447">
        <v>162.31</v>
      </c>
    </row>
    <row r="4236" spans="1:6" s="310" customFormat="1" x14ac:dyDescent="0.15">
      <c r="A4236" s="701" t="s">
        <v>1675</v>
      </c>
      <c r="B4236" s="702" t="s">
        <v>1676</v>
      </c>
      <c r="C4236" s="445" t="s">
        <v>1477</v>
      </c>
      <c r="D4236" s="445" t="s">
        <v>1289</v>
      </c>
      <c r="E4236" s="703">
        <v>10710</v>
      </c>
      <c r="F4236" s="447">
        <v>1534.87</v>
      </c>
    </row>
    <row r="4237" spans="1:6" s="310" customFormat="1" x14ac:dyDescent="0.15">
      <c r="A4237" s="701" t="s">
        <v>1564</v>
      </c>
      <c r="B4237" s="702" t="s">
        <v>1636</v>
      </c>
      <c r="C4237" s="445" t="s">
        <v>1485</v>
      </c>
      <c r="D4237" s="445" t="s">
        <v>1486</v>
      </c>
      <c r="E4237" s="703">
        <v>1800</v>
      </c>
      <c r="F4237" s="447">
        <v>268.64999999999998</v>
      </c>
    </row>
    <row r="4238" spans="1:6" s="310" customFormat="1" x14ac:dyDescent="0.15">
      <c r="A4238" s="701" t="s">
        <v>1565</v>
      </c>
      <c r="B4238" s="702" t="s">
        <v>1637</v>
      </c>
      <c r="C4238" s="445" t="s">
        <v>1267</v>
      </c>
      <c r="D4238" s="445" t="s">
        <v>1268</v>
      </c>
      <c r="E4238" s="703">
        <v>2039</v>
      </c>
      <c r="F4238" s="447">
        <v>389.1</v>
      </c>
    </row>
    <row r="4239" spans="1:6" s="310" customFormat="1" x14ac:dyDescent="0.15">
      <c r="A4239" s="701" t="s">
        <v>1569</v>
      </c>
      <c r="B4239" s="702" t="s">
        <v>1638</v>
      </c>
      <c r="C4239" s="445" t="s">
        <v>1464</v>
      </c>
      <c r="D4239" s="445" t="s">
        <v>1285</v>
      </c>
      <c r="E4239" s="703">
        <v>611</v>
      </c>
      <c r="F4239" s="447">
        <v>135.44999999999999</v>
      </c>
    </row>
    <row r="4240" spans="1:6" s="310" customFormat="1" x14ac:dyDescent="0.15">
      <c r="A4240" s="701" t="s">
        <v>1711</v>
      </c>
      <c r="B4240" s="702" t="s">
        <v>1712</v>
      </c>
      <c r="C4240" s="445" t="s">
        <v>1713</v>
      </c>
      <c r="D4240" s="445" t="s">
        <v>1419</v>
      </c>
      <c r="E4240" s="703">
        <v>1396</v>
      </c>
      <c r="F4240" s="447">
        <v>266.41000000000003</v>
      </c>
    </row>
    <row r="4241" spans="1:6" s="310" customFormat="1" x14ac:dyDescent="0.15">
      <c r="A4241" s="701" t="s">
        <v>1570</v>
      </c>
      <c r="B4241" s="702" t="s">
        <v>1639</v>
      </c>
      <c r="C4241" s="445" t="s">
        <v>1472</v>
      </c>
      <c r="D4241" s="445" t="s">
        <v>1473</v>
      </c>
      <c r="E4241" s="703">
        <v>48</v>
      </c>
      <c r="F4241" s="447">
        <v>34.79</v>
      </c>
    </row>
    <row r="4242" spans="1:6" s="310" customFormat="1" x14ac:dyDescent="0.15">
      <c r="A4242" s="701" t="s">
        <v>1571</v>
      </c>
      <c r="B4242" s="702" t="s">
        <v>1640</v>
      </c>
      <c r="C4242" s="445" t="s">
        <v>1489</v>
      </c>
      <c r="D4242" s="445" t="s">
        <v>1490</v>
      </c>
      <c r="E4242" s="703">
        <v>115</v>
      </c>
      <c r="F4242" s="447">
        <v>41.44</v>
      </c>
    </row>
    <row r="4243" spans="1:6" s="310" customFormat="1" x14ac:dyDescent="0.15">
      <c r="A4243" s="701" t="s">
        <v>1572</v>
      </c>
      <c r="B4243" s="702" t="s">
        <v>1641</v>
      </c>
      <c r="C4243" s="445" t="s">
        <v>1271</v>
      </c>
      <c r="D4243" s="445" t="s">
        <v>1272</v>
      </c>
      <c r="E4243" s="703">
        <v>4838</v>
      </c>
      <c r="F4243" s="447">
        <v>704.93</v>
      </c>
    </row>
    <row r="4244" spans="1:6" s="310" customFormat="1" x14ac:dyDescent="0.15">
      <c r="A4244" s="701" t="s">
        <v>1573</v>
      </c>
      <c r="B4244" s="702"/>
      <c r="C4244" s="445" t="s">
        <v>1461</v>
      </c>
      <c r="D4244" s="445" t="s">
        <v>1703</v>
      </c>
      <c r="E4244" s="703">
        <v>26</v>
      </c>
      <c r="F4244" s="447">
        <v>16.420000000000002</v>
      </c>
    </row>
    <row r="4245" spans="1:6" s="310" customFormat="1" x14ac:dyDescent="0.15">
      <c r="A4245" s="701" t="s">
        <v>1574</v>
      </c>
      <c r="B4245" s="702" t="s">
        <v>1642</v>
      </c>
      <c r="C4245" s="445" t="s">
        <v>1377</v>
      </c>
      <c r="D4245" s="445" t="s">
        <v>1378</v>
      </c>
      <c r="E4245" s="703">
        <v>1541</v>
      </c>
      <c r="F4245" s="447">
        <v>272.62</v>
      </c>
    </row>
    <row r="4246" spans="1:6" s="310" customFormat="1" x14ac:dyDescent="0.15">
      <c r="A4246" s="701" t="s">
        <v>1575</v>
      </c>
      <c r="B4246" s="702" t="s">
        <v>1685</v>
      </c>
      <c r="C4246" s="445" t="s">
        <v>1448</v>
      </c>
      <c r="D4246" s="445" t="s">
        <v>1449</v>
      </c>
      <c r="E4246" s="703">
        <v>71</v>
      </c>
      <c r="F4246" s="447">
        <v>18.850000000000001</v>
      </c>
    </row>
    <row r="4247" spans="1:6" s="310" customFormat="1" x14ac:dyDescent="0.15">
      <c r="A4247" s="701" t="s">
        <v>1604</v>
      </c>
      <c r="B4247" s="702"/>
      <c r="C4247" s="445" t="s">
        <v>1334</v>
      </c>
      <c r="D4247" s="445" t="s">
        <v>1462</v>
      </c>
      <c r="E4247" s="703">
        <v>260.5</v>
      </c>
      <c r="F4247" s="447">
        <v>71.94</v>
      </c>
    </row>
    <row r="4248" spans="1:6" s="310" customFormat="1" x14ac:dyDescent="0.15">
      <c r="A4248" s="701" t="s">
        <v>1576</v>
      </c>
      <c r="B4248" s="702" t="s">
        <v>1644</v>
      </c>
      <c r="C4248" s="445" t="s">
        <v>1401</v>
      </c>
      <c r="D4248" s="445" t="s">
        <v>1316</v>
      </c>
      <c r="E4248" s="703">
        <v>674</v>
      </c>
      <c r="F4248" s="447">
        <v>193.76</v>
      </c>
    </row>
    <row r="4249" spans="1:6" s="310" customFormat="1" x14ac:dyDescent="0.15">
      <c r="A4249" s="701" t="s">
        <v>1605</v>
      </c>
      <c r="B4249" s="702"/>
      <c r="C4249" s="445" t="s">
        <v>1334</v>
      </c>
      <c r="D4249" s="445" t="s">
        <v>1462</v>
      </c>
      <c r="E4249" s="703">
        <v>761</v>
      </c>
      <c r="F4249" s="447">
        <v>212.14</v>
      </c>
    </row>
    <row r="4250" spans="1:6" s="310" customFormat="1" x14ac:dyDescent="0.15">
      <c r="A4250" s="701" t="s">
        <v>1578</v>
      </c>
      <c r="B4250" s="702" t="s">
        <v>1646</v>
      </c>
      <c r="C4250" s="445" t="s">
        <v>1579</v>
      </c>
      <c r="D4250" s="445" t="s">
        <v>1497</v>
      </c>
      <c r="E4250" s="703">
        <v>0</v>
      </c>
      <c r="F4250" s="447">
        <v>0</v>
      </c>
    </row>
    <row r="4251" spans="1:6" s="310" customFormat="1" x14ac:dyDescent="0.15">
      <c r="A4251" s="701" t="s">
        <v>1580</v>
      </c>
      <c r="B4251" s="702" t="s">
        <v>1647</v>
      </c>
      <c r="C4251" s="445" t="s">
        <v>1451</v>
      </c>
      <c r="D4251" s="445" t="s">
        <v>1674</v>
      </c>
      <c r="E4251" s="703">
        <v>3648</v>
      </c>
      <c r="F4251" s="447">
        <v>2118.09</v>
      </c>
    </row>
    <row r="4252" spans="1:6" s="310" customFormat="1" x14ac:dyDescent="0.15">
      <c r="A4252" s="701" t="s">
        <v>1581</v>
      </c>
      <c r="B4252" s="702" t="s">
        <v>1648</v>
      </c>
      <c r="C4252" s="445" t="s">
        <v>1521</v>
      </c>
      <c r="D4252" s="445" t="s">
        <v>1229</v>
      </c>
      <c r="E4252" s="703">
        <v>2970</v>
      </c>
      <c r="F4252" s="447">
        <v>437.21</v>
      </c>
    </row>
    <row r="4253" spans="1:6" s="310" customFormat="1" x14ac:dyDescent="0.15">
      <c r="A4253" s="701" t="s">
        <v>1582</v>
      </c>
      <c r="B4253" s="702" t="s">
        <v>1649</v>
      </c>
      <c r="C4253" s="445" t="s">
        <v>1525</v>
      </c>
      <c r="D4253" s="445" t="s">
        <v>1526</v>
      </c>
      <c r="E4253" s="703">
        <v>11</v>
      </c>
      <c r="F4253" s="447">
        <v>8</v>
      </c>
    </row>
    <row r="4254" spans="1:6" s="310" customFormat="1" ht="14" x14ac:dyDescent="0.15">
      <c r="A4254" s="701" t="s">
        <v>1583</v>
      </c>
      <c r="B4254" s="702" t="s">
        <v>1650</v>
      </c>
      <c r="C4254" s="445" t="s">
        <v>1584</v>
      </c>
      <c r="D4254" s="707" t="s">
        <v>1264</v>
      </c>
      <c r="E4254" s="703">
        <v>1480</v>
      </c>
      <c r="F4254" s="447">
        <v>288.86</v>
      </c>
    </row>
    <row r="4255" spans="1:6" s="310" customFormat="1" x14ac:dyDescent="0.15">
      <c r="A4255" s="701" t="s">
        <v>1666</v>
      </c>
      <c r="B4255" s="702" t="s">
        <v>1672</v>
      </c>
      <c r="C4255" s="445" t="s">
        <v>1667</v>
      </c>
      <c r="D4255" s="445" t="s">
        <v>1668</v>
      </c>
      <c r="E4255" s="703">
        <v>20544</v>
      </c>
      <c r="F4255" s="447">
        <v>2707.13</v>
      </c>
    </row>
    <row r="4256" spans="1:6" s="310" customFormat="1" x14ac:dyDescent="0.15">
      <c r="A4256" s="701" t="s">
        <v>1606</v>
      </c>
      <c r="B4256" s="702"/>
      <c r="C4256" s="445" t="s">
        <v>1334</v>
      </c>
      <c r="D4256" s="445" t="s">
        <v>1462</v>
      </c>
      <c r="E4256" s="703">
        <v>91</v>
      </c>
      <c r="F4256" s="447">
        <v>16.57</v>
      </c>
    </row>
    <row r="4257" spans="1:6" s="310" customFormat="1" ht="14" thickBot="1" x14ac:dyDescent="0.2">
      <c r="A4257" s="701"/>
      <c r="B4257" s="702"/>
      <c r="C4257" s="313" t="s">
        <v>1701</v>
      </c>
      <c r="D4257" s="445"/>
      <c r="E4257" s="705">
        <f>SUM(E4231:E4256)</f>
        <v>74953.600000000006</v>
      </c>
      <c r="F4257" s="706">
        <f>SUM(F4231:F4256)</f>
        <v>13003.91</v>
      </c>
    </row>
    <row r="4258" spans="1:6" s="310" customFormat="1" ht="14" thickTop="1" x14ac:dyDescent="0.15">
      <c r="A4258" s="701"/>
      <c r="B4258" s="702"/>
      <c r="C4258" s="445"/>
      <c r="D4258" s="445"/>
      <c r="E4258" s="530"/>
      <c r="F4258" s="447"/>
    </row>
    <row r="4259" spans="1:6" s="310" customFormat="1" x14ac:dyDescent="0.15">
      <c r="A4259" s="701"/>
      <c r="B4259" s="702"/>
      <c r="C4259" s="345" t="s">
        <v>1441</v>
      </c>
      <c r="D4259" s="445"/>
      <c r="E4259" s="530"/>
      <c r="F4259" s="447"/>
    </row>
    <row r="4260" spans="1:6" s="310" customFormat="1" x14ac:dyDescent="0.15">
      <c r="A4260" s="701"/>
      <c r="B4260" s="702"/>
      <c r="C4260" s="345" t="s">
        <v>1446</v>
      </c>
      <c r="D4260" s="445"/>
      <c r="E4260" s="530"/>
      <c r="F4260" s="447"/>
    </row>
    <row r="4261" spans="1:6" s="310" customFormat="1" x14ac:dyDescent="0.15">
      <c r="A4261" s="701"/>
      <c r="B4261" s="702"/>
      <c r="C4261" s="453">
        <v>42735</v>
      </c>
      <c r="D4261" s="445"/>
      <c r="E4261" s="530"/>
      <c r="F4261" s="447"/>
    </row>
    <row r="4262" spans="1:6" s="310" customFormat="1" x14ac:dyDescent="0.15">
      <c r="A4262" s="701"/>
      <c r="B4262" s="702"/>
      <c r="C4262" s="445"/>
      <c r="D4262" s="445"/>
      <c r="E4262" s="530"/>
      <c r="F4262" s="447"/>
    </row>
    <row r="4263" spans="1:6" s="310" customFormat="1" ht="14" thickBot="1" x14ac:dyDescent="0.2">
      <c r="A4263" s="708"/>
      <c r="B4263" s="709"/>
      <c r="C4263" s="710" t="s">
        <v>1192</v>
      </c>
      <c r="D4263" s="710"/>
      <c r="E4263" s="711">
        <f>SUM(E4229,E4257)</f>
        <v>184303.40000000002</v>
      </c>
      <c r="F4263" s="712">
        <f>SUM(F4229,F4257)</f>
        <v>29199.9</v>
      </c>
    </row>
    <row r="4264" spans="1:6" s="310" customFormat="1" x14ac:dyDescent="0.15">
      <c r="A4264" s="701"/>
      <c r="B4264" s="702"/>
      <c r="C4264" s="463"/>
      <c r="D4264" s="463"/>
      <c r="E4264" s="713"/>
      <c r="F4264" s="714"/>
    </row>
    <row r="4265" spans="1:6" s="310" customFormat="1" x14ac:dyDescent="0.15">
      <c r="A4265" s="698" t="s">
        <v>1534</v>
      </c>
      <c r="B4265" s="699" t="s">
        <v>1614</v>
      </c>
      <c r="C4265" s="441" t="s">
        <v>1492</v>
      </c>
      <c r="D4265" s="441" t="s">
        <v>1239</v>
      </c>
      <c r="E4265" s="700">
        <f>307.4+9212.6</f>
        <v>9520</v>
      </c>
      <c r="F4265" s="443">
        <v>1447.98</v>
      </c>
    </row>
    <row r="4266" spans="1:6" s="310" customFormat="1" x14ac:dyDescent="0.15">
      <c r="A4266" s="701" t="s">
        <v>1535</v>
      </c>
      <c r="B4266" s="702" t="s">
        <v>1615</v>
      </c>
      <c r="C4266" s="445" t="s">
        <v>1507</v>
      </c>
      <c r="D4266" s="445" t="s">
        <v>1245</v>
      </c>
      <c r="E4266" s="703">
        <f>95.6+2864.4</f>
        <v>2960</v>
      </c>
      <c r="F4266" s="447">
        <v>473.11</v>
      </c>
    </row>
    <row r="4267" spans="1:6" s="310" customFormat="1" x14ac:dyDescent="0.15">
      <c r="A4267" s="701" t="s">
        <v>1670</v>
      </c>
      <c r="B4267" s="702" t="s">
        <v>1659</v>
      </c>
      <c r="C4267" s="445" t="s">
        <v>1279</v>
      </c>
      <c r="D4267" s="445" t="s">
        <v>1660</v>
      </c>
      <c r="E4267" s="703">
        <f>263.5+7896.5</f>
        <v>8160</v>
      </c>
      <c r="F4267" s="447">
        <v>1214.5</v>
      </c>
    </row>
    <row r="4268" spans="1:6" s="310" customFormat="1" x14ac:dyDescent="0.15">
      <c r="A4268" s="701" t="s">
        <v>1536</v>
      </c>
      <c r="B4268" s="702" t="s">
        <v>1616</v>
      </c>
      <c r="C4268" s="445" t="s">
        <v>1479</v>
      </c>
      <c r="D4268" s="445" t="s">
        <v>1231</v>
      </c>
      <c r="E4268" s="703">
        <f>131.1+3928.9</f>
        <v>4060</v>
      </c>
      <c r="F4268" s="447">
        <v>624.24</v>
      </c>
    </row>
    <row r="4269" spans="1:6" s="310" customFormat="1" x14ac:dyDescent="0.15">
      <c r="A4269" s="701" t="s">
        <v>1537</v>
      </c>
      <c r="B4269" s="702" t="s">
        <v>1617</v>
      </c>
      <c r="C4269" s="445" t="s">
        <v>1269</v>
      </c>
      <c r="D4269" s="445" t="s">
        <v>1270</v>
      </c>
      <c r="E4269" s="703">
        <f>172.9+5183.1</f>
        <v>5356</v>
      </c>
      <c r="F4269" s="447">
        <v>779.15</v>
      </c>
    </row>
    <row r="4270" spans="1:6" s="310" customFormat="1" x14ac:dyDescent="0.15">
      <c r="A4270" s="701" t="s">
        <v>1538</v>
      </c>
      <c r="B4270" s="702" t="s">
        <v>1618</v>
      </c>
      <c r="C4270" s="445" t="s">
        <v>1517</v>
      </c>
      <c r="D4270" s="445" t="s">
        <v>1518</v>
      </c>
      <c r="E4270" s="703">
        <f>0.1+3.9</f>
        <v>4</v>
      </c>
      <c r="F4270" s="447">
        <v>30.42</v>
      </c>
    </row>
    <row r="4271" spans="1:6" s="310" customFormat="1" x14ac:dyDescent="0.15">
      <c r="A4271" s="701" t="s">
        <v>1540</v>
      </c>
      <c r="B4271" s="702" t="s">
        <v>1620</v>
      </c>
      <c r="C4271" s="445" t="s">
        <v>1257</v>
      </c>
      <c r="D4271" s="445" t="s">
        <v>1258</v>
      </c>
      <c r="E4271" s="703">
        <f>731.2+21908.8</f>
        <v>22640</v>
      </c>
      <c r="F4271" s="447">
        <v>3229.48</v>
      </c>
    </row>
    <row r="4272" spans="1:6" s="310" customFormat="1" x14ac:dyDescent="0.15">
      <c r="A4272" s="701" t="s">
        <v>1541</v>
      </c>
      <c r="B4272" s="702" t="s">
        <v>1621</v>
      </c>
      <c r="C4272" s="445" t="s">
        <v>1586</v>
      </c>
      <c r="D4272" s="445" t="s">
        <v>1500</v>
      </c>
      <c r="E4272" s="703">
        <f>107.2+3212.8</f>
        <v>3320</v>
      </c>
      <c r="F4272" s="447">
        <v>517.48</v>
      </c>
    </row>
    <row r="4273" spans="1:6" s="310" customFormat="1" x14ac:dyDescent="0.15">
      <c r="A4273" s="701" t="s">
        <v>1542</v>
      </c>
      <c r="B4273" s="702" t="s">
        <v>1622</v>
      </c>
      <c r="C4273" s="445" t="s">
        <v>1240</v>
      </c>
      <c r="D4273" s="445" t="s">
        <v>1467</v>
      </c>
      <c r="E4273" s="703">
        <f>125.6+3763.4</f>
        <v>3889</v>
      </c>
      <c r="F4273" s="447">
        <v>558.88</v>
      </c>
    </row>
    <row r="4274" spans="1:6" s="310" customFormat="1" x14ac:dyDescent="0.15">
      <c r="A4274" s="701" t="s">
        <v>1543</v>
      </c>
      <c r="B4274" s="702" t="s">
        <v>1623</v>
      </c>
      <c r="C4274" s="445" t="s">
        <v>1523</v>
      </c>
      <c r="D4274" s="445" t="s">
        <v>1266</v>
      </c>
      <c r="E4274" s="703">
        <f>23+690</f>
        <v>713</v>
      </c>
      <c r="F4274" s="447">
        <v>142.05000000000001</v>
      </c>
    </row>
    <row r="4275" spans="1:6" s="310" customFormat="1" x14ac:dyDescent="0.15">
      <c r="A4275" s="701" t="s">
        <v>1715</v>
      </c>
      <c r="B4275" s="702" t="s">
        <v>1716</v>
      </c>
      <c r="C4275" s="445" t="s">
        <v>1328</v>
      </c>
      <c r="D4275" s="445" t="s">
        <v>1329</v>
      </c>
      <c r="E4275" s="703">
        <v>424</v>
      </c>
      <c r="F4275" s="447">
        <v>89.65</v>
      </c>
    </row>
    <row r="4276" spans="1:6" s="310" customFormat="1" x14ac:dyDescent="0.15">
      <c r="A4276" s="701" t="s">
        <v>1544</v>
      </c>
      <c r="B4276" s="702" t="s">
        <v>1624</v>
      </c>
      <c r="C4276" s="445" t="s">
        <v>1234</v>
      </c>
      <c r="D4276" s="445" t="s">
        <v>1494</v>
      </c>
      <c r="E4276" s="703">
        <f>140.8+4219.2</f>
        <v>4360</v>
      </c>
      <c r="F4276" s="447">
        <v>718.62</v>
      </c>
    </row>
    <row r="4277" spans="1:6" s="310" customFormat="1" x14ac:dyDescent="0.15">
      <c r="A4277" s="701" t="s">
        <v>1601</v>
      </c>
      <c r="B4277" s="702"/>
      <c r="C4277" s="445" t="s">
        <v>1334</v>
      </c>
      <c r="D4277" s="445" t="s">
        <v>1462</v>
      </c>
      <c r="E4277" s="703">
        <f>1775.4+2130.9</f>
        <v>3906.3</v>
      </c>
      <c r="F4277" s="447">
        <v>743.84999999999991</v>
      </c>
    </row>
    <row r="4278" spans="1:6" s="310" customFormat="1" x14ac:dyDescent="0.15">
      <c r="A4278" s="701" t="s">
        <v>1545</v>
      </c>
      <c r="B4278" s="702"/>
      <c r="C4278" s="445" t="s">
        <v>1234</v>
      </c>
      <c r="D4278" s="445" t="s">
        <v>1494</v>
      </c>
      <c r="E4278" s="703">
        <f>2.9+86.3</f>
        <v>89.2</v>
      </c>
      <c r="F4278" s="447">
        <v>19.84</v>
      </c>
    </row>
    <row r="4279" spans="1:6" s="310" customFormat="1" x14ac:dyDescent="0.15">
      <c r="A4279" s="701" t="s">
        <v>1602</v>
      </c>
      <c r="B4279" s="702"/>
      <c r="C4279" s="445" t="s">
        <v>1334</v>
      </c>
      <c r="D4279" s="445" t="s">
        <v>1462</v>
      </c>
      <c r="E4279" s="703">
        <f>99.3+119.1</f>
        <v>218.39999999999998</v>
      </c>
      <c r="F4279" s="447">
        <v>54.21</v>
      </c>
    </row>
    <row r="4280" spans="1:6" s="310" customFormat="1" x14ac:dyDescent="0.15">
      <c r="A4280" s="701" t="s">
        <v>1546</v>
      </c>
      <c r="B4280" s="702"/>
      <c r="C4280" s="445" t="s">
        <v>1586</v>
      </c>
      <c r="D4280" s="445" t="s">
        <v>1500</v>
      </c>
      <c r="E4280" s="703">
        <f>3.3+98.9</f>
        <v>102.2</v>
      </c>
      <c r="F4280" s="447">
        <v>30.580000000000002</v>
      </c>
    </row>
    <row r="4281" spans="1:6" s="310" customFormat="1" x14ac:dyDescent="0.15">
      <c r="A4281" s="701" t="s">
        <v>1549</v>
      </c>
      <c r="B4281" s="702" t="s">
        <v>1625</v>
      </c>
      <c r="C4281" s="445" t="s">
        <v>1459</v>
      </c>
      <c r="D4281" s="445" t="s">
        <v>1251</v>
      </c>
      <c r="E4281" s="703">
        <f>75.4+2261.6</f>
        <v>2337</v>
      </c>
      <c r="F4281" s="447">
        <v>378.15</v>
      </c>
    </row>
    <row r="4282" spans="1:6" s="310" customFormat="1" x14ac:dyDescent="0.15">
      <c r="A4282" s="701" t="s">
        <v>1603</v>
      </c>
      <c r="B4282" s="702"/>
      <c r="C4282" s="445" t="s">
        <v>1334</v>
      </c>
      <c r="D4282" s="445" t="s">
        <v>1462</v>
      </c>
      <c r="E4282" s="703">
        <f>743.2+892</f>
        <v>1635.2</v>
      </c>
      <c r="F4282" s="447">
        <v>327.84</v>
      </c>
    </row>
    <row r="4283" spans="1:6" s="310" customFormat="1" x14ac:dyDescent="0.15">
      <c r="A4283" s="701" t="s">
        <v>1597</v>
      </c>
      <c r="B4283" s="702" t="s">
        <v>1626</v>
      </c>
      <c r="C4283" s="445" t="s">
        <v>1454</v>
      </c>
      <c r="D4283" s="445" t="s">
        <v>1247</v>
      </c>
      <c r="E4283" s="703">
        <f>129.2+3870.8</f>
        <v>4000</v>
      </c>
      <c r="F4283" s="447">
        <v>602.13</v>
      </c>
    </row>
    <row r="4284" spans="1:6" s="310" customFormat="1" x14ac:dyDescent="0.15">
      <c r="A4284" s="701" t="s">
        <v>1677</v>
      </c>
      <c r="B4284" s="702" t="s">
        <v>1678</v>
      </c>
      <c r="C4284" s="445" t="s">
        <v>1313</v>
      </c>
      <c r="D4284" s="445" t="s">
        <v>1412</v>
      </c>
      <c r="E4284" s="703">
        <f>55.4+1662.6</f>
        <v>1718</v>
      </c>
      <c r="F4284" s="447">
        <v>291.62</v>
      </c>
    </row>
    <row r="4285" spans="1:6" s="310" customFormat="1" x14ac:dyDescent="0.15">
      <c r="A4285" s="701" t="s">
        <v>1551</v>
      </c>
      <c r="B4285" s="702" t="s">
        <v>1627</v>
      </c>
      <c r="C4285" s="445" t="s">
        <v>1235</v>
      </c>
      <c r="D4285" s="445" t="s">
        <v>1236</v>
      </c>
      <c r="E4285" s="703">
        <f>243.2+7287.8</f>
        <v>7531</v>
      </c>
      <c r="F4285" s="447">
        <v>1094.8899999999999</v>
      </c>
    </row>
    <row r="4286" spans="1:6" s="310" customFormat="1" x14ac:dyDescent="0.15">
      <c r="A4286" s="701" t="s">
        <v>1553</v>
      </c>
      <c r="B4286" s="702" t="s">
        <v>1628</v>
      </c>
      <c r="C4286" s="445" t="s">
        <v>1475</v>
      </c>
      <c r="D4286" s="445" t="s">
        <v>1387</v>
      </c>
      <c r="E4286" s="703">
        <v>1145</v>
      </c>
      <c r="F4286" s="447">
        <v>226.02</v>
      </c>
    </row>
    <row r="4287" spans="1:6" s="310" customFormat="1" x14ac:dyDescent="0.15">
      <c r="A4287" s="701" t="s">
        <v>1554</v>
      </c>
      <c r="B4287" s="702" t="s">
        <v>1629</v>
      </c>
      <c r="C4287" s="445" t="s">
        <v>1399</v>
      </c>
      <c r="D4287" s="445" t="s">
        <v>1276</v>
      </c>
      <c r="E4287" s="703">
        <f>145.9+4374.1</f>
        <v>4520</v>
      </c>
      <c r="F4287" s="447">
        <v>662.67</v>
      </c>
    </row>
    <row r="4288" spans="1:6" s="310" customFormat="1" x14ac:dyDescent="0.15">
      <c r="A4288" s="701" t="s">
        <v>1598</v>
      </c>
      <c r="B4288" s="702"/>
      <c r="C4288" s="445" t="s">
        <v>1586</v>
      </c>
      <c r="D4288" s="445" t="s">
        <v>1500</v>
      </c>
      <c r="E4288" s="703">
        <f>1.7+49.4</f>
        <v>51.1</v>
      </c>
      <c r="F4288" s="447">
        <v>17.259999999999998</v>
      </c>
    </row>
    <row r="4289" spans="1:6" s="310" customFormat="1" x14ac:dyDescent="0.15">
      <c r="A4289" s="701" t="s">
        <v>1662</v>
      </c>
      <c r="B4289" s="704">
        <v>892914652</v>
      </c>
      <c r="C4289" s="445" t="s">
        <v>1663</v>
      </c>
      <c r="D4289" s="445" t="s">
        <v>1664</v>
      </c>
      <c r="E4289" s="703">
        <f>304.9+9135.1</f>
        <v>9440</v>
      </c>
      <c r="F4289" s="447">
        <v>1503.6399999999999</v>
      </c>
    </row>
    <row r="4290" spans="1:6" s="310" customFormat="1" ht="14" thickBot="1" x14ac:dyDescent="0.2">
      <c r="A4290" s="701"/>
      <c r="B4290" s="702"/>
      <c r="C4290" s="313" t="s">
        <v>1702</v>
      </c>
      <c r="D4290" s="445"/>
      <c r="E4290" s="705">
        <f>SUM(E4265:E4289)</f>
        <v>102099.4</v>
      </c>
      <c r="F4290" s="706">
        <f>SUM(F4265:F4289)</f>
        <v>15778.259999999997</v>
      </c>
    </row>
    <row r="4291" spans="1:6" s="310" customFormat="1" ht="14" thickTop="1" x14ac:dyDescent="0.15">
      <c r="A4291" s="701"/>
      <c r="B4291" s="702"/>
      <c r="C4291" s="445"/>
      <c r="D4291" s="445"/>
      <c r="E4291" s="530"/>
      <c r="F4291" s="447"/>
    </row>
    <row r="4292" spans="1:6" s="310" customFormat="1" x14ac:dyDescent="0.15">
      <c r="A4292" s="701" t="s">
        <v>1556</v>
      </c>
      <c r="B4292" s="702" t="s">
        <v>1631</v>
      </c>
      <c r="C4292" s="445" t="s">
        <v>1248</v>
      </c>
      <c r="D4292" s="445" t="s">
        <v>1482</v>
      </c>
      <c r="E4292" s="703">
        <f>107+3206</f>
        <v>3313</v>
      </c>
      <c r="F4292" s="447">
        <v>516.76</v>
      </c>
    </row>
    <row r="4293" spans="1:6" s="310" customFormat="1" x14ac:dyDescent="0.15">
      <c r="A4293" s="701" t="s">
        <v>1714</v>
      </c>
      <c r="B4293" s="702"/>
      <c r="C4293" s="445" t="s">
        <v>1267</v>
      </c>
      <c r="D4293" s="445" t="s">
        <v>1268</v>
      </c>
      <c r="E4293" s="703">
        <f>1.7+49.4</f>
        <v>51.1</v>
      </c>
      <c r="F4293" s="447">
        <v>14.31</v>
      </c>
    </row>
    <row r="4294" spans="1:6" s="310" customFormat="1" x14ac:dyDescent="0.15">
      <c r="A4294" s="701" t="s">
        <v>1558</v>
      </c>
      <c r="B4294" s="702" t="s">
        <v>1633</v>
      </c>
      <c r="C4294" s="445" t="s">
        <v>1469</v>
      </c>
      <c r="D4294" s="445" t="s">
        <v>1470</v>
      </c>
      <c r="E4294" s="703">
        <f>191.2+5728.8</f>
        <v>5920</v>
      </c>
      <c r="F4294" s="447">
        <v>1004.3199999999999</v>
      </c>
    </row>
    <row r="4295" spans="1:6" s="310" customFormat="1" x14ac:dyDescent="0.15">
      <c r="A4295" s="701" t="s">
        <v>1559</v>
      </c>
      <c r="B4295" s="702" t="s">
        <v>1634</v>
      </c>
      <c r="C4295" s="445" t="s">
        <v>1502</v>
      </c>
      <c r="D4295" s="445" t="s">
        <v>1381</v>
      </c>
      <c r="E4295" s="703">
        <f>359.6+10776.4</f>
        <v>11136</v>
      </c>
      <c r="F4295" s="447">
        <v>1687.31</v>
      </c>
    </row>
    <row r="4296" spans="1:6" s="310" customFormat="1" x14ac:dyDescent="0.15">
      <c r="A4296" s="701" t="s">
        <v>1560</v>
      </c>
      <c r="B4296" s="702" t="s">
        <v>1635</v>
      </c>
      <c r="C4296" s="445" t="s">
        <v>1504</v>
      </c>
      <c r="D4296" s="445" t="s">
        <v>1505</v>
      </c>
      <c r="E4296" s="703">
        <f>34.5+1036.5</f>
        <v>1071</v>
      </c>
      <c r="F4296" s="447">
        <v>154.16</v>
      </c>
    </row>
    <row r="4297" spans="1:6" s="310" customFormat="1" x14ac:dyDescent="0.15">
      <c r="A4297" s="701" t="s">
        <v>1675</v>
      </c>
      <c r="B4297" s="702" t="s">
        <v>1676</v>
      </c>
      <c r="C4297" s="445" t="s">
        <v>1477</v>
      </c>
      <c r="D4297" s="445" t="s">
        <v>1289</v>
      </c>
      <c r="E4297" s="703">
        <f>323.9+9706.1</f>
        <v>10030</v>
      </c>
      <c r="F4297" s="447">
        <v>1523.5</v>
      </c>
    </row>
    <row r="4298" spans="1:6" s="310" customFormat="1" x14ac:dyDescent="0.15">
      <c r="A4298" s="701" t="s">
        <v>1564</v>
      </c>
      <c r="B4298" s="702" t="s">
        <v>1636</v>
      </c>
      <c r="C4298" s="445" t="s">
        <v>1485</v>
      </c>
      <c r="D4298" s="445" t="s">
        <v>1486</v>
      </c>
      <c r="E4298" s="703">
        <f>60.7+1819.3</f>
        <v>1880</v>
      </c>
      <c r="F4298" s="447">
        <v>283.93</v>
      </c>
    </row>
    <row r="4299" spans="1:6" s="310" customFormat="1" x14ac:dyDescent="0.15">
      <c r="A4299" s="701" t="s">
        <v>1565</v>
      </c>
      <c r="B4299" s="702" t="s">
        <v>1637</v>
      </c>
      <c r="C4299" s="445" t="s">
        <v>1267</v>
      </c>
      <c r="D4299" s="445" t="s">
        <v>1268</v>
      </c>
      <c r="E4299" s="703">
        <v>1975</v>
      </c>
      <c r="F4299" s="447">
        <v>389.83</v>
      </c>
    </row>
    <row r="4300" spans="1:6" s="310" customFormat="1" x14ac:dyDescent="0.15">
      <c r="A4300" s="701" t="s">
        <v>1569</v>
      </c>
      <c r="B4300" s="702" t="s">
        <v>1638</v>
      </c>
      <c r="C4300" s="445" t="s">
        <v>1464</v>
      </c>
      <c r="D4300" s="445" t="s">
        <v>1285</v>
      </c>
      <c r="E4300" s="703">
        <f>21.3+639.7</f>
        <v>661</v>
      </c>
      <c r="F4300" s="447">
        <v>160.84</v>
      </c>
    </row>
    <row r="4301" spans="1:6" s="310" customFormat="1" x14ac:dyDescent="0.15">
      <c r="A4301" s="701" t="s">
        <v>1711</v>
      </c>
      <c r="B4301" s="702" t="s">
        <v>1712</v>
      </c>
      <c r="C4301" s="445" t="s">
        <v>1713</v>
      </c>
      <c r="D4301" s="445" t="s">
        <v>1419</v>
      </c>
      <c r="E4301" s="703">
        <v>1017</v>
      </c>
      <c r="F4301" s="447">
        <v>200.75</v>
      </c>
    </row>
    <row r="4302" spans="1:6" s="310" customFormat="1" x14ac:dyDescent="0.15">
      <c r="A4302" s="701" t="s">
        <v>1570</v>
      </c>
      <c r="B4302" s="702" t="s">
        <v>1639</v>
      </c>
      <c r="C4302" s="445" t="s">
        <v>1472</v>
      </c>
      <c r="D4302" s="445" t="s">
        <v>1473</v>
      </c>
      <c r="E4302" s="703">
        <f>1.4+42.6</f>
        <v>44</v>
      </c>
      <c r="F4302" s="447">
        <v>34.440000000000005</v>
      </c>
    </row>
    <row r="4303" spans="1:6" s="310" customFormat="1" x14ac:dyDescent="0.15">
      <c r="A4303" s="701" t="s">
        <v>1571</v>
      </c>
      <c r="B4303" s="702" t="s">
        <v>1640</v>
      </c>
      <c r="C4303" s="445" t="s">
        <v>1489</v>
      </c>
      <c r="D4303" s="445" t="s">
        <v>1490</v>
      </c>
      <c r="E4303" s="703">
        <f>3.8+114.2</f>
        <v>118</v>
      </c>
      <c r="F4303" s="447">
        <v>41.93</v>
      </c>
    </row>
    <row r="4304" spans="1:6" s="310" customFormat="1" x14ac:dyDescent="0.15">
      <c r="A4304" s="701" t="s">
        <v>1572</v>
      </c>
      <c r="B4304" s="702" t="s">
        <v>1641</v>
      </c>
      <c r="C4304" s="445" t="s">
        <v>1271</v>
      </c>
      <c r="D4304" s="445" t="s">
        <v>1272</v>
      </c>
      <c r="E4304" s="703">
        <f>137.9+4134.1</f>
        <v>4272</v>
      </c>
      <c r="F4304" s="447">
        <v>653.67000000000007</v>
      </c>
    </row>
    <row r="4305" spans="1:6" s="310" customFormat="1" x14ac:dyDescent="0.15">
      <c r="A4305" s="701" t="s">
        <v>1573</v>
      </c>
      <c r="B4305" s="702"/>
      <c r="C4305" s="445" t="s">
        <v>1461</v>
      </c>
      <c r="D4305" s="445" t="s">
        <v>1703</v>
      </c>
      <c r="E4305" s="703">
        <f>0.4+12.6</f>
        <v>13</v>
      </c>
      <c r="F4305" s="447">
        <v>16.310000000000002</v>
      </c>
    </row>
    <row r="4306" spans="1:6" s="310" customFormat="1" x14ac:dyDescent="0.15">
      <c r="A4306" s="701" t="s">
        <v>1574</v>
      </c>
      <c r="B4306" s="702" t="s">
        <v>1642</v>
      </c>
      <c r="C4306" s="445" t="s">
        <v>1377</v>
      </c>
      <c r="D4306" s="445" t="s">
        <v>1378</v>
      </c>
      <c r="E4306" s="703">
        <f>55+1650</f>
        <v>1705</v>
      </c>
      <c r="F4306" s="447">
        <v>282.32</v>
      </c>
    </row>
    <row r="4307" spans="1:6" s="310" customFormat="1" x14ac:dyDescent="0.15">
      <c r="A4307" s="701" t="s">
        <v>1575</v>
      </c>
      <c r="B4307" s="702" t="s">
        <v>1685</v>
      </c>
      <c r="C4307" s="445" t="s">
        <v>1448</v>
      </c>
      <c r="D4307" s="445" t="s">
        <v>1449</v>
      </c>
      <c r="E4307" s="703">
        <v>64</v>
      </c>
      <c r="F4307" s="447">
        <v>18</v>
      </c>
    </row>
    <row r="4308" spans="1:6" s="310" customFormat="1" x14ac:dyDescent="0.15">
      <c r="A4308" s="701" t="s">
        <v>1604</v>
      </c>
      <c r="B4308" s="702"/>
      <c r="C4308" s="445" t="s">
        <v>1334</v>
      </c>
      <c r="D4308" s="445" t="s">
        <v>1462</v>
      </c>
      <c r="E4308" s="703">
        <f>116.1+139.4</f>
        <v>255.5</v>
      </c>
      <c r="F4308" s="447">
        <v>71.41</v>
      </c>
    </row>
    <row r="4309" spans="1:6" s="310" customFormat="1" x14ac:dyDescent="0.15">
      <c r="A4309" s="701" t="s">
        <v>1576</v>
      </c>
      <c r="B4309" s="702" t="s">
        <v>1644</v>
      </c>
      <c r="C4309" s="445" t="s">
        <v>1401</v>
      </c>
      <c r="D4309" s="445" t="s">
        <v>1316</v>
      </c>
      <c r="E4309" s="703">
        <f>7.8+236.2</f>
        <v>244</v>
      </c>
      <c r="F4309" s="447">
        <v>54.64</v>
      </c>
    </row>
    <row r="4310" spans="1:6" s="310" customFormat="1" x14ac:dyDescent="0.15">
      <c r="A4310" s="701" t="s">
        <v>1605</v>
      </c>
      <c r="B4310" s="702"/>
      <c r="C4310" s="445" t="s">
        <v>1334</v>
      </c>
      <c r="D4310" s="445" t="s">
        <v>1462</v>
      </c>
      <c r="E4310" s="703">
        <f>338.6+406.4</f>
        <v>745</v>
      </c>
      <c r="F4310" s="447">
        <v>210.29</v>
      </c>
    </row>
    <row r="4311" spans="1:6" s="310" customFormat="1" x14ac:dyDescent="0.15">
      <c r="A4311" s="701" t="s">
        <v>1578</v>
      </c>
      <c r="B4311" s="702" t="s">
        <v>1646</v>
      </c>
      <c r="C4311" s="445" t="s">
        <v>1579</v>
      </c>
      <c r="D4311" s="445" t="s">
        <v>1497</v>
      </c>
      <c r="E4311" s="703">
        <v>0</v>
      </c>
      <c r="F4311" s="447">
        <v>60</v>
      </c>
    </row>
    <row r="4312" spans="1:6" s="310" customFormat="1" x14ac:dyDescent="0.15">
      <c r="A4312" s="701" t="s">
        <v>1580</v>
      </c>
      <c r="B4312" s="702" t="s">
        <v>1647</v>
      </c>
      <c r="C4312" s="445" t="s">
        <v>1451</v>
      </c>
      <c r="D4312" s="445" t="s">
        <v>1674</v>
      </c>
      <c r="E4312" s="703">
        <f>99.2+2972.8</f>
        <v>3072</v>
      </c>
      <c r="F4312" s="447">
        <v>2182.7199999999998</v>
      </c>
    </row>
    <row r="4313" spans="1:6" s="310" customFormat="1" x14ac:dyDescent="0.15">
      <c r="A4313" s="701" t="s">
        <v>1581</v>
      </c>
      <c r="B4313" s="702" t="s">
        <v>1648</v>
      </c>
      <c r="C4313" s="445" t="s">
        <v>1521</v>
      </c>
      <c r="D4313" s="445" t="s">
        <v>1229</v>
      </c>
      <c r="E4313" s="703">
        <f>92.8+2782.2</f>
        <v>2875</v>
      </c>
      <c r="F4313" s="447">
        <v>432.49</v>
      </c>
    </row>
    <row r="4314" spans="1:6" s="310" customFormat="1" x14ac:dyDescent="0.15">
      <c r="A4314" s="701" t="s">
        <v>1582</v>
      </c>
      <c r="B4314" s="702" t="s">
        <v>1649</v>
      </c>
      <c r="C4314" s="445" t="s">
        <v>1525</v>
      </c>
      <c r="D4314" s="445" t="s">
        <v>1526</v>
      </c>
      <c r="E4314" s="703">
        <v>14</v>
      </c>
      <c r="F4314" s="447">
        <v>8.61</v>
      </c>
    </row>
    <row r="4315" spans="1:6" s="310" customFormat="1" ht="14" x14ac:dyDescent="0.15">
      <c r="A4315" s="701" t="s">
        <v>1583</v>
      </c>
      <c r="B4315" s="702" t="s">
        <v>1650</v>
      </c>
      <c r="C4315" s="445" t="s">
        <v>1584</v>
      </c>
      <c r="D4315" s="707" t="s">
        <v>1264</v>
      </c>
      <c r="E4315" s="703">
        <f>41.3+1238.7</f>
        <v>1280</v>
      </c>
      <c r="F4315" s="447">
        <v>311.45999999999998</v>
      </c>
    </row>
    <row r="4316" spans="1:6" s="310" customFormat="1" x14ac:dyDescent="0.15">
      <c r="A4316" s="701" t="s">
        <v>1666</v>
      </c>
      <c r="B4316" s="702" t="s">
        <v>1672</v>
      </c>
      <c r="C4316" s="445" t="s">
        <v>1667</v>
      </c>
      <c r="D4316" s="445" t="s">
        <v>1668</v>
      </c>
      <c r="E4316" s="703">
        <f>706.9+21181.1</f>
        <v>21888</v>
      </c>
      <c r="F4316" s="447">
        <v>4106.8</v>
      </c>
    </row>
    <row r="4317" spans="1:6" s="310" customFormat="1" x14ac:dyDescent="0.15">
      <c r="A4317" s="701" t="s">
        <v>1606</v>
      </c>
      <c r="B4317" s="702"/>
      <c r="C4317" s="445" t="s">
        <v>1334</v>
      </c>
      <c r="D4317" s="445" t="s">
        <v>1462</v>
      </c>
      <c r="E4317" s="703">
        <f>40.5+48.7</f>
        <v>89.2</v>
      </c>
      <c r="F4317" s="447">
        <v>16.399999999999999</v>
      </c>
    </row>
    <row r="4318" spans="1:6" s="310" customFormat="1" ht="14" thickBot="1" x14ac:dyDescent="0.2">
      <c r="A4318" s="701"/>
      <c r="B4318" s="702"/>
      <c r="C4318" s="313" t="s">
        <v>1704</v>
      </c>
      <c r="D4318" s="445"/>
      <c r="E4318" s="705">
        <f>SUM(E4292:E4317)</f>
        <v>73732.800000000003</v>
      </c>
      <c r="F4318" s="706">
        <f>SUM(F4292:F4317)</f>
        <v>14437.199999999999</v>
      </c>
    </row>
    <row r="4319" spans="1:6" s="310" customFormat="1" ht="14" thickTop="1" x14ac:dyDescent="0.15">
      <c r="A4319" s="701"/>
      <c r="B4319" s="702"/>
      <c r="C4319" s="445"/>
      <c r="D4319" s="445"/>
      <c r="E4319" s="530"/>
      <c r="F4319" s="447"/>
    </row>
    <row r="4320" spans="1:6" s="310" customFormat="1" x14ac:dyDescent="0.15">
      <c r="A4320" s="701"/>
      <c r="B4320" s="702"/>
      <c r="C4320" s="345" t="s">
        <v>1441</v>
      </c>
      <c r="D4320" s="445"/>
      <c r="E4320" s="530"/>
      <c r="F4320" s="447"/>
    </row>
    <row r="4321" spans="1:7" s="310" customFormat="1" x14ac:dyDescent="0.15">
      <c r="A4321" s="701"/>
      <c r="B4321" s="702"/>
      <c r="C4321" s="345" t="s">
        <v>1446</v>
      </c>
      <c r="D4321" s="445"/>
      <c r="E4321" s="530"/>
      <c r="F4321" s="447"/>
    </row>
    <row r="4322" spans="1:7" s="310" customFormat="1" x14ac:dyDescent="0.15">
      <c r="A4322" s="701"/>
      <c r="B4322" s="702"/>
      <c r="C4322" s="453">
        <v>42766</v>
      </c>
      <c r="D4322" s="445"/>
      <c r="E4322" s="530"/>
      <c r="F4322" s="447"/>
    </row>
    <row r="4323" spans="1:7" s="310" customFormat="1" x14ac:dyDescent="0.15">
      <c r="A4323" s="701"/>
      <c r="B4323" s="702"/>
      <c r="C4323" s="445"/>
      <c r="D4323" s="445"/>
      <c r="E4323" s="530"/>
      <c r="F4323" s="447"/>
    </row>
    <row r="4324" spans="1:7" s="310" customFormat="1" ht="14" thickBot="1" x14ac:dyDescent="0.2">
      <c r="A4324" s="708"/>
      <c r="B4324" s="709"/>
      <c r="C4324" s="710" t="s">
        <v>1193</v>
      </c>
      <c r="D4324" s="710"/>
      <c r="E4324" s="711">
        <f>SUM(E4290,E4318)</f>
        <v>175832.2</v>
      </c>
      <c r="F4324" s="712">
        <f>SUM(F4290,F4318)</f>
        <v>30215.459999999995</v>
      </c>
    </row>
    <row r="4325" spans="1:7" s="310" customFormat="1" x14ac:dyDescent="0.15">
      <c r="A4325" s="701"/>
      <c r="B4325" s="702"/>
      <c r="C4325" s="463"/>
      <c r="D4325" s="463"/>
      <c r="E4325" s="713"/>
      <c r="F4325" s="714"/>
    </row>
    <row r="4326" spans="1:7" s="310" customFormat="1" x14ac:dyDescent="0.15">
      <c r="A4326" s="698" t="s">
        <v>1534</v>
      </c>
      <c r="B4326" s="699" t="s">
        <v>1614</v>
      </c>
      <c r="C4326" s="441" t="s">
        <v>1492</v>
      </c>
      <c r="D4326" s="441" t="s">
        <v>1239</v>
      </c>
      <c r="E4326" s="700">
        <v>11840</v>
      </c>
      <c r="F4326" s="443">
        <v>1757.08</v>
      </c>
      <c r="G4326" s="688">
        <f t="shared" ref="G4326:G4335" si="5">F4326/E4326</f>
        <v>0.14840202702702701</v>
      </c>
    </row>
    <row r="4327" spans="1:7" s="310" customFormat="1" x14ac:dyDescent="0.15">
      <c r="A4327" s="701" t="s">
        <v>1535</v>
      </c>
      <c r="B4327" s="702" t="s">
        <v>1615</v>
      </c>
      <c r="C4327" s="445" t="s">
        <v>1507</v>
      </c>
      <c r="D4327" s="445" t="s">
        <v>1245</v>
      </c>
      <c r="E4327" s="703">
        <v>3280</v>
      </c>
      <c r="F4327" s="447">
        <v>588.67999999999995</v>
      </c>
      <c r="G4327" s="688">
        <f t="shared" si="5"/>
        <v>0.17947560975609755</v>
      </c>
    </row>
    <row r="4328" spans="1:7" s="310" customFormat="1" x14ac:dyDescent="0.15">
      <c r="A4328" s="701" t="s">
        <v>1670</v>
      </c>
      <c r="B4328" s="702" t="s">
        <v>1659</v>
      </c>
      <c r="C4328" s="445" t="s">
        <v>1279</v>
      </c>
      <c r="D4328" s="445" t="s">
        <v>1660</v>
      </c>
      <c r="E4328" s="703">
        <v>8960</v>
      </c>
      <c r="F4328" s="447">
        <v>1327.42</v>
      </c>
      <c r="G4328" s="688">
        <f t="shared" si="5"/>
        <v>0.14814955357142859</v>
      </c>
    </row>
    <row r="4329" spans="1:7" s="310" customFormat="1" x14ac:dyDescent="0.15">
      <c r="A4329" s="701" t="s">
        <v>1536</v>
      </c>
      <c r="B4329" s="702" t="s">
        <v>1616</v>
      </c>
      <c r="C4329" s="445" t="s">
        <v>1479</v>
      </c>
      <c r="D4329" s="445" t="s">
        <v>1231</v>
      </c>
      <c r="E4329" s="703">
        <v>4462</v>
      </c>
      <c r="F4329" s="447">
        <v>668.88</v>
      </c>
      <c r="G4329" s="688">
        <f t="shared" si="5"/>
        <v>0.14990587180636486</v>
      </c>
    </row>
    <row r="4330" spans="1:7" s="310" customFormat="1" x14ac:dyDescent="0.15">
      <c r="A4330" s="701" t="s">
        <v>1537</v>
      </c>
      <c r="B4330" s="702" t="s">
        <v>1617</v>
      </c>
      <c r="C4330" s="445" t="s">
        <v>1269</v>
      </c>
      <c r="D4330" s="445" t="s">
        <v>1270</v>
      </c>
      <c r="E4330" s="703">
        <v>5305</v>
      </c>
      <c r="F4330" s="447">
        <v>786.75</v>
      </c>
      <c r="G4330" s="688">
        <f t="shared" si="5"/>
        <v>0.14830348727615458</v>
      </c>
    </row>
    <row r="4331" spans="1:7" s="310" customFormat="1" x14ac:dyDescent="0.15">
      <c r="A4331" s="701" t="s">
        <v>1538</v>
      </c>
      <c r="B4331" s="702" t="s">
        <v>1618</v>
      </c>
      <c r="C4331" s="445" t="s">
        <v>1517</v>
      </c>
      <c r="D4331" s="445" t="s">
        <v>1518</v>
      </c>
      <c r="E4331" s="703">
        <v>4</v>
      </c>
      <c r="F4331" s="447">
        <v>30.41</v>
      </c>
      <c r="G4331" s="688">
        <f t="shared" si="5"/>
        <v>7.6025</v>
      </c>
    </row>
    <row r="4332" spans="1:7" s="310" customFormat="1" x14ac:dyDescent="0.15">
      <c r="A4332" s="701" t="s">
        <v>1540</v>
      </c>
      <c r="B4332" s="702" t="s">
        <v>1620</v>
      </c>
      <c r="C4332" s="445" t="s">
        <v>1257</v>
      </c>
      <c r="D4332" s="445" t="s">
        <v>1258</v>
      </c>
      <c r="E4332" s="703">
        <v>24080</v>
      </c>
      <c r="F4332" s="447">
        <v>3316.07</v>
      </c>
      <c r="G4332" s="688">
        <f t="shared" si="5"/>
        <v>0.13771054817275749</v>
      </c>
    </row>
    <row r="4333" spans="1:7" s="310" customFormat="1" x14ac:dyDescent="0.15">
      <c r="A4333" s="701" t="s">
        <v>1541</v>
      </c>
      <c r="B4333" s="702" t="s">
        <v>1621</v>
      </c>
      <c r="C4333" s="445" t="s">
        <v>1586</v>
      </c>
      <c r="D4333" s="445" t="s">
        <v>1500</v>
      </c>
      <c r="E4333" s="703">
        <v>3600</v>
      </c>
      <c r="F4333" s="447">
        <v>621.27</v>
      </c>
      <c r="G4333" s="688">
        <f t="shared" si="5"/>
        <v>0.17257500000000001</v>
      </c>
    </row>
    <row r="4334" spans="1:7" s="310" customFormat="1" x14ac:dyDescent="0.15">
      <c r="A4334" s="701" t="s">
        <v>1542</v>
      </c>
      <c r="B4334" s="702" t="s">
        <v>1622</v>
      </c>
      <c r="C4334" s="445" t="s">
        <v>1240</v>
      </c>
      <c r="D4334" s="445" t="s">
        <v>1467</v>
      </c>
      <c r="E4334" s="703">
        <v>4321</v>
      </c>
      <c r="F4334" s="447">
        <v>638.45000000000005</v>
      </c>
      <c r="G4334" s="688">
        <f t="shared" si="5"/>
        <v>0.14775514927100208</v>
      </c>
    </row>
    <row r="4335" spans="1:7" s="310" customFormat="1" x14ac:dyDescent="0.15">
      <c r="A4335" s="701" t="s">
        <v>1543</v>
      </c>
      <c r="B4335" s="702" t="s">
        <v>1623</v>
      </c>
      <c r="C4335" s="445" t="s">
        <v>1523</v>
      </c>
      <c r="D4335" s="445" t="s">
        <v>1266</v>
      </c>
      <c r="E4335" s="703">
        <v>670</v>
      </c>
      <c r="F4335" s="447">
        <v>146.4</v>
      </c>
      <c r="G4335" s="688">
        <f t="shared" si="5"/>
        <v>0.21850746268656718</v>
      </c>
    </row>
    <row r="4336" spans="1:7" s="310" customFormat="1" x14ac:dyDescent="0.15">
      <c r="A4336" s="701" t="s">
        <v>1715</v>
      </c>
      <c r="B4336" s="702" t="s">
        <v>1716</v>
      </c>
      <c r="C4336" s="445" t="s">
        <v>1328</v>
      </c>
      <c r="D4336" s="445" t="s">
        <v>1329</v>
      </c>
      <c r="E4336" s="703">
        <v>314</v>
      </c>
      <c r="F4336" s="447">
        <v>68.459999999999994</v>
      </c>
    </row>
    <row r="4337" spans="1:7" s="310" customFormat="1" x14ac:dyDescent="0.15">
      <c r="A4337" s="701" t="s">
        <v>1544</v>
      </c>
      <c r="B4337" s="702" t="s">
        <v>1624</v>
      </c>
      <c r="C4337" s="445" t="s">
        <v>1234</v>
      </c>
      <c r="D4337" s="445" t="s">
        <v>1494</v>
      </c>
      <c r="E4337" s="703">
        <v>4937</v>
      </c>
      <c r="F4337" s="447">
        <v>789.48</v>
      </c>
      <c r="G4337" s="688">
        <f t="shared" ref="G4337:G4350" si="6">F4337/E4337</f>
        <v>0.15991087705084059</v>
      </c>
    </row>
    <row r="4338" spans="1:7" s="310" customFormat="1" x14ac:dyDescent="0.15">
      <c r="A4338" s="701" t="s">
        <v>1601</v>
      </c>
      <c r="B4338" s="702"/>
      <c r="C4338" s="445" t="s">
        <v>1334</v>
      </c>
      <c r="D4338" s="445" t="s">
        <v>1462</v>
      </c>
      <c r="E4338" s="703">
        <f>1529.6+1764.8</f>
        <v>3294.3999999999996</v>
      </c>
      <c r="F4338" s="447">
        <v>674.22</v>
      </c>
      <c r="G4338" s="688">
        <f t="shared" si="6"/>
        <v>0.2046563865954347</v>
      </c>
    </row>
    <row r="4339" spans="1:7" s="310" customFormat="1" x14ac:dyDescent="0.15">
      <c r="A4339" s="701" t="s">
        <v>1545</v>
      </c>
      <c r="B4339" s="702"/>
      <c r="C4339" s="445" t="s">
        <v>1234</v>
      </c>
      <c r="D4339" s="445" t="s">
        <v>1494</v>
      </c>
      <c r="E4339" s="703">
        <f>2.6+72.6</f>
        <v>75.199999999999989</v>
      </c>
      <c r="F4339" s="447">
        <v>18.260000000000002</v>
      </c>
      <c r="G4339" s="688">
        <f t="shared" si="6"/>
        <v>0.24281914893617026</v>
      </c>
    </row>
    <row r="4340" spans="1:7" s="310" customFormat="1" x14ac:dyDescent="0.15">
      <c r="A4340" s="701" t="s">
        <v>1602</v>
      </c>
      <c r="B4340" s="702"/>
      <c r="C4340" s="445" t="s">
        <v>1334</v>
      </c>
      <c r="D4340" s="445" t="s">
        <v>1462</v>
      </c>
      <c r="E4340" s="703">
        <f>85.5+98.7</f>
        <v>184.2</v>
      </c>
      <c r="F4340" s="447">
        <v>50.3</v>
      </c>
      <c r="G4340" s="688">
        <f t="shared" si="6"/>
        <v>0.2730727470141151</v>
      </c>
    </row>
    <row r="4341" spans="1:7" s="310" customFormat="1" x14ac:dyDescent="0.15">
      <c r="A4341" s="701" t="s">
        <v>1546</v>
      </c>
      <c r="B4341" s="702"/>
      <c r="C4341" s="445" t="s">
        <v>1586</v>
      </c>
      <c r="D4341" s="445" t="s">
        <v>1500</v>
      </c>
      <c r="E4341" s="703">
        <f>3+83</f>
        <v>86</v>
      </c>
      <c r="F4341" s="447">
        <v>28.67</v>
      </c>
      <c r="G4341" s="688">
        <f t="shared" si="6"/>
        <v>0.33337209302325582</v>
      </c>
    </row>
    <row r="4342" spans="1:7" s="310" customFormat="1" x14ac:dyDescent="0.15">
      <c r="A4342" s="701" t="s">
        <v>1549</v>
      </c>
      <c r="B4342" s="702" t="s">
        <v>1625</v>
      </c>
      <c r="C4342" s="445" t="s">
        <v>1459</v>
      </c>
      <c r="D4342" s="445" t="s">
        <v>1251</v>
      </c>
      <c r="E4342" s="703">
        <v>2193</v>
      </c>
      <c r="F4342" s="447">
        <v>365.64</v>
      </c>
      <c r="G4342" s="688">
        <f t="shared" si="6"/>
        <v>0.16673050615595075</v>
      </c>
    </row>
    <row r="4343" spans="1:7" s="310" customFormat="1" x14ac:dyDescent="0.15">
      <c r="A4343" s="701" t="s">
        <v>1603</v>
      </c>
      <c r="B4343" s="702"/>
      <c r="C4343" s="445" t="s">
        <v>1334</v>
      </c>
      <c r="D4343" s="445" t="s">
        <v>1462</v>
      </c>
      <c r="E4343" s="703">
        <f>640+738.4</f>
        <v>1378.4</v>
      </c>
      <c r="F4343" s="447">
        <v>298.68</v>
      </c>
      <c r="G4343" s="688">
        <f t="shared" si="6"/>
        <v>0.21668601276842717</v>
      </c>
    </row>
    <row r="4344" spans="1:7" s="310" customFormat="1" x14ac:dyDescent="0.15">
      <c r="A4344" s="701" t="s">
        <v>1597</v>
      </c>
      <c r="B4344" s="702" t="s">
        <v>1626</v>
      </c>
      <c r="C4344" s="445" t="s">
        <v>1454</v>
      </c>
      <c r="D4344" s="445" t="s">
        <v>1247</v>
      </c>
      <c r="E4344" s="703">
        <v>4280</v>
      </c>
      <c r="F4344" s="447">
        <v>690.46</v>
      </c>
      <c r="G4344" s="688">
        <f t="shared" si="6"/>
        <v>0.16132242990654205</v>
      </c>
    </row>
    <row r="4345" spans="1:7" s="310" customFormat="1" x14ac:dyDescent="0.15">
      <c r="A4345" s="701" t="s">
        <v>1677</v>
      </c>
      <c r="B4345" s="702" t="s">
        <v>1678</v>
      </c>
      <c r="C4345" s="445" t="s">
        <v>1313</v>
      </c>
      <c r="D4345" s="445" t="s">
        <v>1412</v>
      </c>
      <c r="E4345" s="703">
        <v>1747</v>
      </c>
      <c r="F4345" s="447">
        <v>280.10000000000002</v>
      </c>
      <c r="G4345" s="688">
        <f t="shared" si="6"/>
        <v>0.16033199771036064</v>
      </c>
    </row>
    <row r="4346" spans="1:7" s="310" customFormat="1" x14ac:dyDescent="0.15">
      <c r="A4346" s="701" t="s">
        <v>1551</v>
      </c>
      <c r="B4346" s="702" t="s">
        <v>1627</v>
      </c>
      <c r="C4346" s="445" t="s">
        <v>1235</v>
      </c>
      <c r="D4346" s="445" t="s">
        <v>1236</v>
      </c>
      <c r="E4346" s="703">
        <v>8081</v>
      </c>
      <c r="F4346" s="447">
        <v>1189.75</v>
      </c>
      <c r="G4346" s="688">
        <f t="shared" si="6"/>
        <v>0.14722806583343645</v>
      </c>
    </row>
    <row r="4347" spans="1:7" s="310" customFormat="1" x14ac:dyDescent="0.15">
      <c r="A4347" s="701" t="s">
        <v>1553</v>
      </c>
      <c r="B4347" s="702" t="s">
        <v>1628</v>
      </c>
      <c r="C4347" s="445" t="s">
        <v>1475</v>
      </c>
      <c r="D4347" s="445" t="s">
        <v>1387</v>
      </c>
      <c r="E4347" s="703">
        <v>1073</v>
      </c>
      <c r="F4347" s="447">
        <v>212.97</v>
      </c>
      <c r="G4347" s="688">
        <f t="shared" si="6"/>
        <v>0.19848089468779123</v>
      </c>
    </row>
    <row r="4348" spans="1:7" s="310" customFormat="1" x14ac:dyDescent="0.15">
      <c r="A4348" s="701" t="s">
        <v>1554</v>
      </c>
      <c r="B4348" s="702" t="s">
        <v>1629</v>
      </c>
      <c r="C4348" s="445" t="s">
        <v>1399</v>
      </c>
      <c r="D4348" s="445" t="s">
        <v>1276</v>
      </c>
      <c r="E4348" s="703">
        <v>4680</v>
      </c>
      <c r="F4348" s="447">
        <v>747.25</v>
      </c>
      <c r="G4348" s="688">
        <f t="shared" si="6"/>
        <v>0.15966880341880341</v>
      </c>
    </row>
    <row r="4349" spans="1:7" s="310" customFormat="1" x14ac:dyDescent="0.15">
      <c r="A4349" s="701" t="s">
        <v>1598</v>
      </c>
      <c r="B4349" s="702"/>
      <c r="C4349" s="445" t="s">
        <v>1586</v>
      </c>
      <c r="D4349" s="445" t="s">
        <v>1500</v>
      </c>
      <c r="E4349" s="703">
        <f>1.5+41.5</f>
        <v>43</v>
      </c>
      <c r="F4349" s="447">
        <v>16.34</v>
      </c>
      <c r="G4349" s="688">
        <f t="shared" si="6"/>
        <v>0.38</v>
      </c>
    </row>
    <row r="4350" spans="1:7" s="310" customFormat="1" x14ac:dyDescent="0.15">
      <c r="A4350" s="701" t="s">
        <v>1662</v>
      </c>
      <c r="B4350" s="704">
        <v>892914652</v>
      </c>
      <c r="C4350" s="445" t="s">
        <v>1663</v>
      </c>
      <c r="D4350" s="445" t="s">
        <v>1664</v>
      </c>
      <c r="E4350" s="703">
        <v>9600</v>
      </c>
      <c r="F4350" s="447">
        <v>1537.47</v>
      </c>
      <c r="G4350" s="688">
        <f t="shared" si="6"/>
        <v>0.16015312500000001</v>
      </c>
    </row>
    <row r="4351" spans="1:7" s="310" customFormat="1" ht="14" thickBot="1" x14ac:dyDescent="0.2">
      <c r="A4351" s="701"/>
      <c r="B4351" s="702"/>
      <c r="C4351" s="313" t="s">
        <v>1705</v>
      </c>
      <c r="D4351" s="445"/>
      <c r="E4351" s="705">
        <f>SUM(E4326:E4350)</f>
        <v>108488.19999999998</v>
      </c>
      <c r="F4351" s="706">
        <f>SUM(F4326:F4350)</f>
        <v>16849.46</v>
      </c>
    </row>
    <row r="4352" spans="1:7" s="310" customFormat="1" ht="14" thickTop="1" x14ac:dyDescent="0.15">
      <c r="A4352" s="701"/>
      <c r="B4352" s="702"/>
      <c r="C4352" s="445"/>
      <c r="D4352" s="445"/>
      <c r="E4352" s="530"/>
      <c r="F4352" s="447"/>
    </row>
    <row r="4353" spans="1:7" s="310" customFormat="1" x14ac:dyDescent="0.15">
      <c r="A4353" s="701" t="s">
        <v>1556</v>
      </c>
      <c r="B4353" s="702" t="s">
        <v>1631</v>
      </c>
      <c r="C4353" s="445" t="s">
        <v>1248</v>
      </c>
      <c r="D4353" s="445" t="s">
        <v>1482</v>
      </c>
      <c r="E4353" s="703">
        <v>3326</v>
      </c>
      <c r="F4353" s="447">
        <v>513.07000000000005</v>
      </c>
      <c r="G4353" s="688">
        <f>F4353/E4353</f>
        <v>0.15426037282020447</v>
      </c>
    </row>
    <row r="4354" spans="1:7" s="310" customFormat="1" x14ac:dyDescent="0.15">
      <c r="A4354" s="701" t="s">
        <v>1714</v>
      </c>
      <c r="B4354" s="702"/>
      <c r="C4354" s="445" t="s">
        <v>1267</v>
      </c>
      <c r="D4354" s="445" t="s">
        <v>1268</v>
      </c>
      <c r="E4354" s="703">
        <f>1.5+41.5</f>
        <v>43</v>
      </c>
      <c r="F4354" s="447">
        <v>13.24</v>
      </c>
    </row>
    <row r="4355" spans="1:7" s="310" customFormat="1" x14ac:dyDescent="0.15">
      <c r="A4355" s="701" t="s">
        <v>1558</v>
      </c>
      <c r="B4355" s="702" t="s">
        <v>1633</v>
      </c>
      <c r="C4355" s="445" t="s">
        <v>1469</v>
      </c>
      <c r="D4355" s="445" t="s">
        <v>1470</v>
      </c>
      <c r="E4355" s="703">
        <v>6000</v>
      </c>
      <c r="F4355" s="447">
        <v>961.9</v>
      </c>
      <c r="G4355" s="688">
        <f t="shared" ref="G4355:G4379" si="7">F4355/E4355</f>
        <v>0.16031666666666666</v>
      </c>
    </row>
    <row r="4356" spans="1:7" s="310" customFormat="1" x14ac:dyDescent="0.15">
      <c r="A4356" s="701" t="s">
        <v>1559</v>
      </c>
      <c r="B4356" s="702" t="s">
        <v>1634</v>
      </c>
      <c r="C4356" s="445" t="s">
        <v>1502</v>
      </c>
      <c r="D4356" s="445" t="s">
        <v>1381</v>
      </c>
      <c r="E4356" s="703">
        <v>10560</v>
      </c>
      <c r="F4356" s="447">
        <v>1621.26</v>
      </c>
      <c r="G4356" s="688">
        <f t="shared" si="7"/>
        <v>0.15352840909090909</v>
      </c>
    </row>
    <row r="4357" spans="1:7" s="310" customFormat="1" x14ac:dyDescent="0.15">
      <c r="A4357" s="701" t="s">
        <v>1560</v>
      </c>
      <c r="B4357" s="702" t="s">
        <v>1635</v>
      </c>
      <c r="C4357" s="445" t="s">
        <v>1504</v>
      </c>
      <c r="D4357" s="445" t="s">
        <v>1505</v>
      </c>
      <c r="E4357" s="703">
        <v>966</v>
      </c>
      <c r="F4357" s="447">
        <v>136.37</v>
      </c>
      <c r="G4357" s="688">
        <f t="shared" si="7"/>
        <v>0.14116977225672878</v>
      </c>
    </row>
    <row r="4358" spans="1:7" s="310" customFormat="1" x14ac:dyDescent="0.15">
      <c r="A4358" s="701" t="s">
        <v>1675</v>
      </c>
      <c r="B4358" s="702" t="s">
        <v>1676</v>
      </c>
      <c r="C4358" s="445" t="s">
        <v>1477</v>
      </c>
      <c r="D4358" s="445" t="s">
        <v>1289</v>
      </c>
      <c r="E4358" s="703">
        <v>9480</v>
      </c>
      <c r="F4358" s="447">
        <v>1500.8</v>
      </c>
      <c r="G4358" s="688">
        <f t="shared" si="7"/>
        <v>0.15831223628691982</v>
      </c>
    </row>
    <row r="4359" spans="1:7" s="310" customFormat="1" x14ac:dyDescent="0.15">
      <c r="A4359" s="701" t="s">
        <v>1564</v>
      </c>
      <c r="B4359" s="702" t="s">
        <v>1636</v>
      </c>
      <c r="C4359" s="445" t="s">
        <v>1485</v>
      </c>
      <c r="D4359" s="445" t="s">
        <v>1486</v>
      </c>
      <c r="E4359" s="703">
        <v>1720</v>
      </c>
      <c r="F4359" s="447">
        <v>277.36</v>
      </c>
      <c r="G4359" s="688">
        <f t="shared" si="7"/>
        <v>0.16125581395348837</v>
      </c>
    </row>
    <row r="4360" spans="1:7" s="310" customFormat="1" x14ac:dyDescent="0.15">
      <c r="A4360" s="701" t="s">
        <v>1565</v>
      </c>
      <c r="B4360" s="702" t="s">
        <v>1637</v>
      </c>
      <c r="C4360" s="445" t="s">
        <v>1267</v>
      </c>
      <c r="D4360" s="445" t="s">
        <v>1268</v>
      </c>
      <c r="E4360" s="703">
        <v>1764</v>
      </c>
      <c r="F4360" s="447">
        <v>350.14</v>
      </c>
      <c r="G4360" s="688">
        <f t="shared" si="7"/>
        <v>0.1984920634920635</v>
      </c>
    </row>
    <row r="4361" spans="1:7" s="310" customFormat="1" x14ac:dyDescent="0.15">
      <c r="A4361" s="701" t="s">
        <v>1569</v>
      </c>
      <c r="B4361" s="702" t="s">
        <v>1638</v>
      </c>
      <c r="C4361" s="445" t="s">
        <v>1464</v>
      </c>
      <c r="D4361" s="445" t="s">
        <v>1285</v>
      </c>
      <c r="E4361" s="703">
        <v>808</v>
      </c>
      <c r="F4361" s="447">
        <v>168.45</v>
      </c>
      <c r="G4361" s="688">
        <f t="shared" si="7"/>
        <v>0.20847772277227722</v>
      </c>
    </row>
    <row r="4362" spans="1:7" s="310" customFormat="1" x14ac:dyDescent="0.15">
      <c r="A4362" s="701" t="s">
        <v>1711</v>
      </c>
      <c r="B4362" s="702" t="s">
        <v>1712</v>
      </c>
      <c r="C4362" s="445" t="s">
        <v>1713</v>
      </c>
      <c r="D4362" s="445" t="s">
        <v>1419</v>
      </c>
      <c r="E4362" s="703">
        <v>1206</v>
      </c>
      <c r="F4362" s="447">
        <v>239.4</v>
      </c>
      <c r="G4362" s="688">
        <f t="shared" si="7"/>
        <v>0.19850746268656716</v>
      </c>
    </row>
    <row r="4363" spans="1:7" s="310" customFormat="1" x14ac:dyDescent="0.15">
      <c r="A4363" s="701" t="s">
        <v>1570</v>
      </c>
      <c r="B4363" s="702" t="s">
        <v>1639</v>
      </c>
      <c r="C4363" s="445" t="s">
        <v>1472</v>
      </c>
      <c r="D4363" s="445" t="s">
        <v>1473</v>
      </c>
      <c r="E4363" s="703">
        <v>71</v>
      </c>
      <c r="F4363" s="447">
        <v>37.24</v>
      </c>
      <c r="G4363" s="688">
        <f t="shared" si="7"/>
        <v>0.52450704225352118</v>
      </c>
    </row>
    <row r="4364" spans="1:7" s="310" customFormat="1" x14ac:dyDescent="0.15">
      <c r="A4364" s="701" t="s">
        <v>1571</v>
      </c>
      <c r="B4364" s="702" t="s">
        <v>1640</v>
      </c>
      <c r="C4364" s="445" t="s">
        <v>1489</v>
      </c>
      <c r="D4364" s="445" t="s">
        <v>1490</v>
      </c>
      <c r="E4364" s="703">
        <v>105</v>
      </c>
      <c r="F4364" s="447">
        <v>40.68</v>
      </c>
      <c r="G4364" s="688">
        <f t="shared" si="7"/>
        <v>0.3874285714285714</v>
      </c>
    </row>
    <row r="4365" spans="1:7" s="310" customFormat="1" x14ac:dyDescent="0.15">
      <c r="A4365" s="701" t="s">
        <v>1572</v>
      </c>
      <c r="B4365" s="702" t="s">
        <v>1641</v>
      </c>
      <c r="C4365" s="445" t="s">
        <v>1271</v>
      </c>
      <c r="D4365" s="445" t="s">
        <v>1272</v>
      </c>
      <c r="E4365" s="703">
        <v>4550</v>
      </c>
      <c r="F4365" s="447">
        <v>701.92</v>
      </c>
      <c r="G4365" s="688">
        <f t="shared" si="7"/>
        <v>0.15426813186813185</v>
      </c>
    </row>
    <row r="4366" spans="1:7" s="310" customFormat="1" x14ac:dyDescent="0.15">
      <c r="A4366" s="701" t="s">
        <v>1573</v>
      </c>
      <c r="B4366" s="702"/>
      <c r="C4366" s="445" t="s">
        <v>1461</v>
      </c>
      <c r="D4366" s="445" t="s">
        <v>1703</v>
      </c>
      <c r="E4366" s="703">
        <v>26</v>
      </c>
      <c r="F4366" s="447">
        <v>16.34</v>
      </c>
      <c r="G4366" s="688">
        <f t="shared" si="7"/>
        <v>0.6284615384615384</v>
      </c>
    </row>
    <row r="4367" spans="1:7" s="310" customFormat="1" x14ac:dyDescent="0.15">
      <c r="A4367" s="701" t="s">
        <v>1574</v>
      </c>
      <c r="B4367" s="702" t="s">
        <v>1642</v>
      </c>
      <c r="C4367" s="445" t="s">
        <v>1377</v>
      </c>
      <c r="D4367" s="445" t="s">
        <v>1378</v>
      </c>
      <c r="E4367" s="703">
        <v>1458</v>
      </c>
      <c r="F4367" s="447">
        <v>298.88</v>
      </c>
      <c r="G4367" s="688">
        <f t="shared" si="7"/>
        <v>0.20499314128943757</v>
      </c>
    </row>
    <row r="4368" spans="1:7" s="310" customFormat="1" x14ac:dyDescent="0.15">
      <c r="A4368" s="701" t="s">
        <v>1575</v>
      </c>
      <c r="B4368" s="702" t="s">
        <v>1685</v>
      </c>
      <c r="C4368" s="445" t="s">
        <v>1448</v>
      </c>
      <c r="D4368" s="445" t="s">
        <v>1449</v>
      </c>
      <c r="E4368" s="703">
        <v>61</v>
      </c>
      <c r="F4368" s="447">
        <v>17.5</v>
      </c>
      <c r="G4368" s="688">
        <f t="shared" si="7"/>
        <v>0.28688524590163933</v>
      </c>
    </row>
    <row r="4369" spans="1:7" s="310" customFormat="1" x14ac:dyDescent="0.15">
      <c r="A4369" s="701" t="s">
        <v>1604</v>
      </c>
      <c r="B4369" s="702"/>
      <c r="C4369" s="445" t="s">
        <v>1334</v>
      </c>
      <c r="D4369" s="445" t="s">
        <v>1462</v>
      </c>
      <c r="E4369" s="703">
        <f>99.8+115.2</f>
        <v>215</v>
      </c>
      <c r="F4369" s="447">
        <v>66.790000000000006</v>
      </c>
      <c r="G4369" s="688">
        <f t="shared" si="7"/>
        <v>0.31065116279069771</v>
      </c>
    </row>
    <row r="4370" spans="1:7" s="310" customFormat="1" x14ac:dyDescent="0.15">
      <c r="A4370" s="701" t="s">
        <v>1576</v>
      </c>
      <c r="B4370" s="702" t="s">
        <v>1644</v>
      </c>
      <c r="C4370" s="445" t="s">
        <v>1401</v>
      </c>
      <c r="D4370" s="445" t="s">
        <v>1316</v>
      </c>
      <c r="E4370" s="703">
        <v>185</v>
      </c>
      <c r="F4370" s="447">
        <v>48.83</v>
      </c>
      <c r="G4370" s="688">
        <f t="shared" si="7"/>
        <v>0.26394594594594595</v>
      </c>
    </row>
    <row r="4371" spans="1:7" s="310" customFormat="1" x14ac:dyDescent="0.15">
      <c r="A4371" s="701" t="s">
        <v>1605</v>
      </c>
      <c r="B4371" s="702"/>
      <c r="C4371" s="445" t="s">
        <v>1334</v>
      </c>
      <c r="D4371" s="445" t="s">
        <v>1462</v>
      </c>
      <c r="E4371" s="703">
        <f>291.6+336.4</f>
        <v>628</v>
      </c>
      <c r="F4371" s="447">
        <v>196.98</v>
      </c>
      <c r="G4371" s="688">
        <f t="shared" si="7"/>
        <v>0.31366242038216557</v>
      </c>
    </row>
    <row r="4372" spans="1:7" s="310" customFormat="1" x14ac:dyDescent="0.15">
      <c r="A4372" s="701" t="s">
        <v>1578</v>
      </c>
      <c r="B4372" s="702" t="s">
        <v>1646</v>
      </c>
      <c r="C4372" s="445" t="s">
        <v>1579</v>
      </c>
      <c r="D4372" s="445" t="s">
        <v>1497</v>
      </c>
      <c r="E4372" s="703">
        <v>2</v>
      </c>
      <c r="F4372" s="447">
        <v>30.2</v>
      </c>
      <c r="G4372" s="688">
        <f t="shared" si="7"/>
        <v>15.1</v>
      </c>
    </row>
    <row r="4373" spans="1:7" s="310" customFormat="1" x14ac:dyDescent="0.15">
      <c r="A4373" s="701" t="s">
        <v>1580</v>
      </c>
      <c r="B4373" s="702" t="s">
        <v>1647</v>
      </c>
      <c r="C4373" s="445" t="s">
        <v>1451</v>
      </c>
      <c r="D4373" s="445" t="s">
        <v>1674</v>
      </c>
      <c r="E4373" s="703">
        <v>7680</v>
      </c>
      <c r="F4373" s="447">
        <v>2666.64</v>
      </c>
      <c r="G4373" s="688">
        <f t="shared" si="7"/>
        <v>0.34721874999999996</v>
      </c>
    </row>
    <row r="4374" spans="1:7" s="310" customFormat="1" x14ac:dyDescent="0.15">
      <c r="A4374" s="701" t="s">
        <v>1581</v>
      </c>
      <c r="B4374" s="702" t="s">
        <v>1648</v>
      </c>
      <c r="C4374" s="445" t="s">
        <v>1521</v>
      </c>
      <c r="D4374" s="445" t="s">
        <v>1229</v>
      </c>
      <c r="E4374" s="703">
        <v>2812</v>
      </c>
      <c r="F4374" s="447">
        <v>436.67</v>
      </c>
      <c r="G4374" s="688">
        <f t="shared" si="7"/>
        <v>0.15528805120910386</v>
      </c>
    </row>
    <row r="4375" spans="1:7" s="310" customFormat="1" x14ac:dyDescent="0.15">
      <c r="A4375" s="701" t="s">
        <v>1717</v>
      </c>
      <c r="B4375" s="702" t="s">
        <v>1718</v>
      </c>
      <c r="C4375" s="445" t="s">
        <v>1719</v>
      </c>
      <c r="D4375" s="445" t="s">
        <v>1720</v>
      </c>
      <c r="E4375" s="703">
        <v>646</v>
      </c>
      <c r="F4375" s="447">
        <v>150.68</v>
      </c>
      <c r="G4375" s="688">
        <f t="shared" si="7"/>
        <v>0.23325077399380806</v>
      </c>
    </row>
    <row r="4376" spans="1:7" s="310" customFormat="1" x14ac:dyDescent="0.15">
      <c r="A4376" s="701" t="s">
        <v>1582</v>
      </c>
      <c r="B4376" s="702" t="s">
        <v>1649</v>
      </c>
      <c r="C4376" s="445" t="s">
        <v>1525</v>
      </c>
      <c r="D4376" s="445" t="s">
        <v>1526</v>
      </c>
      <c r="E4376" s="703">
        <v>19</v>
      </c>
      <c r="F4376" s="447">
        <v>9.56</v>
      </c>
      <c r="G4376" s="688">
        <f t="shared" si="7"/>
        <v>0.50315789473684214</v>
      </c>
    </row>
    <row r="4377" spans="1:7" s="310" customFormat="1" ht="14" x14ac:dyDescent="0.15">
      <c r="A4377" s="701" t="s">
        <v>1583</v>
      </c>
      <c r="B4377" s="702" t="s">
        <v>1650</v>
      </c>
      <c r="C4377" s="445" t="s">
        <v>1584</v>
      </c>
      <c r="D4377" s="707" t="s">
        <v>1264</v>
      </c>
      <c r="E4377" s="703">
        <v>1240</v>
      </c>
      <c r="F4377" s="447">
        <v>284.69</v>
      </c>
      <c r="G4377" s="688">
        <f t="shared" si="7"/>
        <v>0.22958870967741934</v>
      </c>
    </row>
    <row r="4378" spans="1:7" s="310" customFormat="1" x14ac:dyDescent="0.15">
      <c r="A4378" s="701" t="s">
        <v>1666</v>
      </c>
      <c r="B4378" s="702" t="s">
        <v>1672</v>
      </c>
      <c r="C4378" s="445" t="s">
        <v>1667</v>
      </c>
      <c r="D4378" s="445" t="s">
        <v>1668</v>
      </c>
      <c r="E4378" s="703">
        <v>24576</v>
      </c>
      <c r="F4378" s="447">
        <v>4611.2</v>
      </c>
      <c r="G4378" s="688">
        <f t="shared" si="7"/>
        <v>0.18763020833333333</v>
      </c>
    </row>
    <row r="4379" spans="1:7" s="310" customFormat="1" x14ac:dyDescent="0.15">
      <c r="A4379" s="701" t="s">
        <v>1606</v>
      </c>
      <c r="B4379" s="702"/>
      <c r="C4379" s="445" t="s">
        <v>1334</v>
      </c>
      <c r="D4379" s="445" t="s">
        <v>1462</v>
      </c>
      <c r="E4379" s="703">
        <f>34.9+40.3</f>
        <v>75.199999999999989</v>
      </c>
      <c r="F4379" s="447">
        <v>14.83</v>
      </c>
      <c r="G4379" s="688">
        <f t="shared" si="7"/>
        <v>0.19720744680851066</v>
      </c>
    </row>
    <row r="4380" spans="1:7" s="310" customFormat="1" ht="14" thickBot="1" x14ac:dyDescent="0.2">
      <c r="A4380" s="701"/>
      <c r="B4380" s="702"/>
      <c r="C4380" s="313" t="s">
        <v>1706</v>
      </c>
      <c r="D4380" s="445"/>
      <c r="E4380" s="705">
        <f>SUM(E4353:E4379)</f>
        <v>80222.2</v>
      </c>
      <c r="F4380" s="706">
        <f>SUM(F4353:F4379)</f>
        <v>15411.62</v>
      </c>
    </row>
    <row r="4381" spans="1:7" s="310" customFormat="1" ht="14" thickTop="1" x14ac:dyDescent="0.15">
      <c r="A4381" s="701"/>
      <c r="B4381" s="702"/>
      <c r="C4381" s="445"/>
      <c r="D4381" s="445"/>
      <c r="E4381" s="530"/>
      <c r="F4381" s="447"/>
    </row>
    <row r="4382" spans="1:7" s="310" customFormat="1" x14ac:dyDescent="0.15">
      <c r="A4382" s="701"/>
      <c r="B4382" s="702"/>
      <c r="C4382" s="345" t="s">
        <v>1441</v>
      </c>
      <c r="D4382" s="445"/>
      <c r="E4382" s="530"/>
      <c r="F4382" s="447"/>
    </row>
    <row r="4383" spans="1:7" s="310" customFormat="1" x14ac:dyDescent="0.15">
      <c r="A4383" s="701"/>
      <c r="B4383" s="702"/>
      <c r="C4383" s="345" t="s">
        <v>1446</v>
      </c>
      <c r="D4383" s="445"/>
      <c r="E4383" s="530"/>
      <c r="F4383" s="447"/>
    </row>
    <row r="4384" spans="1:7" s="310" customFormat="1" x14ac:dyDescent="0.15">
      <c r="A4384" s="701"/>
      <c r="B4384" s="702"/>
      <c r="C4384" s="453">
        <v>42794</v>
      </c>
      <c r="D4384" s="445"/>
      <c r="E4384" s="530"/>
      <c r="F4384" s="447"/>
    </row>
    <row r="4385" spans="1:7" s="310" customFormat="1" x14ac:dyDescent="0.15">
      <c r="A4385" s="701"/>
      <c r="B4385" s="702"/>
      <c r="C4385" s="445"/>
      <c r="D4385" s="445"/>
      <c r="E4385" s="530"/>
      <c r="F4385" s="447"/>
    </row>
    <row r="4386" spans="1:7" s="310" customFormat="1" ht="14" thickBot="1" x14ac:dyDescent="0.2">
      <c r="A4386" s="708"/>
      <c r="B4386" s="709"/>
      <c r="C4386" s="710" t="s">
        <v>1194</v>
      </c>
      <c r="D4386" s="710"/>
      <c r="E4386" s="711">
        <f>SUM(E4351,E4380)</f>
        <v>188710.39999999997</v>
      </c>
      <c r="F4386" s="712">
        <f>SUM(F4351,F4380)</f>
        <v>32261.08</v>
      </c>
      <c r="G4386" s="715">
        <f>F4386/E4386</f>
        <v>0.17095549582852884</v>
      </c>
    </row>
    <row r="4387" spans="1:7" s="310" customFormat="1" x14ac:dyDescent="0.15">
      <c r="A4387" s="701"/>
      <c r="B4387" s="702"/>
      <c r="C4387" s="463"/>
      <c r="D4387" s="463"/>
      <c r="E4387" s="713"/>
      <c r="F4387" s="714"/>
    </row>
    <row r="4388" spans="1:7" s="310" customFormat="1" x14ac:dyDescent="0.15">
      <c r="A4388" s="698" t="s">
        <v>1534</v>
      </c>
      <c r="B4388" s="699" t="s">
        <v>1614</v>
      </c>
      <c r="C4388" s="441" t="s">
        <v>1492</v>
      </c>
      <c r="D4388" s="441" t="s">
        <v>1239</v>
      </c>
      <c r="E4388" s="700">
        <v>9840</v>
      </c>
      <c r="F4388" s="443">
        <v>1513.63</v>
      </c>
    </row>
    <row r="4389" spans="1:7" s="310" customFormat="1" x14ac:dyDescent="0.15">
      <c r="A4389" s="701" t="s">
        <v>1535</v>
      </c>
      <c r="B4389" s="702" t="s">
        <v>1615</v>
      </c>
      <c r="C4389" s="445" t="s">
        <v>1507</v>
      </c>
      <c r="D4389" s="445" t="s">
        <v>1245</v>
      </c>
      <c r="E4389" s="703">
        <v>2920</v>
      </c>
      <c r="F4389" s="447">
        <v>536.04999999999995</v>
      </c>
    </row>
    <row r="4390" spans="1:7" s="310" customFormat="1" x14ac:dyDescent="0.15">
      <c r="A4390" s="701" t="s">
        <v>1670</v>
      </c>
      <c r="B4390" s="702" t="s">
        <v>1659</v>
      </c>
      <c r="C4390" s="445" t="s">
        <v>1279</v>
      </c>
      <c r="D4390" s="445" t="s">
        <v>1660</v>
      </c>
      <c r="E4390" s="703">
        <v>8480</v>
      </c>
      <c r="F4390" s="447">
        <v>1262.72</v>
      </c>
    </row>
    <row r="4391" spans="1:7" s="310" customFormat="1" x14ac:dyDescent="0.15">
      <c r="A4391" s="701" t="s">
        <v>1536</v>
      </c>
      <c r="B4391" s="702" t="s">
        <v>1616</v>
      </c>
      <c r="C4391" s="445" t="s">
        <v>1479</v>
      </c>
      <c r="D4391" s="445" t="s">
        <v>1231</v>
      </c>
      <c r="E4391" s="703">
        <v>3956</v>
      </c>
      <c r="F4391" s="447">
        <v>617.45000000000005</v>
      </c>
    </row>
    <row r="4392" spans="1:7" s="310" customFormat="1" x14ac:dyDescent="0.15">
      <c r="A4392" s="701" t="s">
        <v>1537</v>
      </c>
      <c r="B4392" s="702" t="s">
        <v>1617</v>
      </c>
      <c r="C4392" s="445" t="s">
        <v>1269</v>
      </c>
      <c r="D4392" s="445" t="s">
        <v>1270</v>
      </c>
      <c r="E4392" s="703">
        <v>4961</v>
      </c>
      <c r="F4392" s="447">
        <v>759.91</v>
      </c>
    </row>
    <row r="4393" spans="1:7" s="310" customFormat="1" x14ac:dyDescent="0.15">
      <c r="A4393" s="701" t="s">
        <v>1538</v>
      </c>
      <c r="B4393" s="702" t="s">
        <v>1618</v>
      </c>
      <c r="C4393" s="445" t="s">
        <v>1517</v>
      </c>
      <c r="D4393" s="445" t="s">
        <v>1518</v>
      </c>
      <c r="E4393" s="703">
        <v>3</v>
      </c>
      <c r="F4393" s="447">
        <v>30.31</v>
      </c>
    </row>
    <row r="4394" spans="1:7" s="310" customFormat="1" x14ac:dyDescent="0.15">
      <c r="A4394" s="701" t="s">
        <v>1540</v>
      </c>
      <c r="B4394" s="702" t="s">
        <v>1620</v>
      </c>
      <c r="C4394" s="445" t="s">
        <v>1257</v>
      </c>
      <c r="D4394" s="445" t="s">
        <v>1258</v>
      </c>
      <c r="E4394" s="703">
        <v>22000</v>
      </c>
      <c r="F4394" s="447">
        <v>3072.82</v>
      </c>
    </row>
    <row r="4395" spans="1:7" s="310" customFormat="1" x14ac:dyDescent="0.15">
      <c r="A4395" s="701" t="s">
        <v>1541</v>
      </c>
      <c r="B4395" s="702" t="s">
        <v>1621</v>
      </c>
      <c r="C4395" s="445" t="s">
        <v>1586</v>
      </c>
      <c r="D4395" s="445" t="s">
        <v>1500</v>
      </c>
      <c r="E4395" s="703">
        <v>3400</v>
      </c>
      <c r="F4395" s="447">
        <v>544.78</v>
      </c>
    </row>
    <row r="4396" spans="1:7" s="310" customFormat="1" x14ac:dyDescent="0.15">
      <c r="A4396" s="701" t="s">
        <v>1542</v>
      </c>
      <c r="B4396" s="702" t="s">
        <v>1622</v>
      </c>
      <c r="C4396" s="445" t="s">
        <v>1240</v>
      </c>
      <c r="D4396" s="445" t="s">
        <v>1467</v>
      </c>
      <c r="E4396" s="703">
        <v>4229</v>
      </c>
      <c r="F4396" s="447">
        <v>621.15</v>
      </c>
    </row>
    <row r="4397" spans="1:7" s="310" customFormat="1" x14ac:dyDescent="0.15">
      <c r="A4397" s="701" t="s">
        <v>1543</v>
      </c>
      <c r="B4397" s="702" t="s">
        <v>1623</v>
      </c>
      <c r="C4397" s="445" t="s">
        <v>1523</v>
      </c>
      <c r="D4397" s="445" t="s">
        <v>1266</v>
      </c>
      <c r="E4397" s="703">
        <v>628</v>
      </c>
      <c r="F4397" s="447">
        <v>126.06</v>
      </c>
    </row>
    <row r="4398" spans="1:7" s="310" customFormat="1" x14ac:dyDescent="0.15">
      <c r="A4398" s="701" t="s">
        <v>1715</v>
      </c>
      <c r="B4398" s="702" t="s">
        <v>1716</v>
      </c>
      <c r="C4398" s="445" t="s">
        <v>1328</v>
      </c>
      <c r="D4398" s="445" t="s">
        <v>1329</v>
      </c>
      <c r="E4398" s="703">
        <v>205</v>
      </c>
      <c r="F4398" s="447">
        <v>46.77</v>
      </c>
    </row>
    <row r="4399" spans="1:7" s="310" customFormat="1" x14ac:dyDescent="0.15">
      <c r="A4399" s="701" t="s">
        <v>1544</v>
      </c>
      <c r="B4399" s="702" t="s">
        <v>1624</v>
      </c>
      <c r="C4399" s="445" t="s">
        <v>1234</v>
      </c>
      <c r="D4399" s="445" t="s">
        <v>1494</v>
      </c>
      <c r="E4399" s="703">
        <v>4360</v>
      </c>
      <c r="F4399" s="447">
        <v>746.92</v>
      </c>
    </row>
    <row r="4400" spans="1:7" s="310" customFormat="1" x14ac:dyDescent="0.15">
      <c r="A4400" s="701" t="s">
        <v>1601</v>
      </c>
      <c r="B4400" s="702"/>
      <c r="C4400" s="445" t="s">
        <v>1334</v>
      </c>
      <c r="D4400" s="445" t="s">
        <v>1462</v>
      </c>
      <c r="E4400" s="703">
        <v>3282.8</v>
      </c>
      <c r="F4400" s="447">
        <v>674.44</v>
      </c>
    </row>
    <row r="4401" spans="1:6" s="310" customFormat="1" x14ac:dyDescent="0.15">
      <c r="A4401" s="701" t="s">
        <v>1545</v>
      </c>
      <c r="B4401" s="702"/>
      <c r="C4401" s="445" t="s">
        <v>1234</v>
      </c>
      <c r="D4401" s="445" t="s">
        <v>1494</v>
      </c>
      <c r="E4401" s="703">
        <v>75</v>
      </c>
      <c r="F4401" s="447">
        <v>18.34</v>
      </c>
    </row>
    <row r="4402" spans="1:6" s="310" customFormat="1" x14ac:dyDescent="0.15">
      <c r="A4402" s="701" t="s">
        <v>1602</v>
      </c>
      <c r="B4402" s="702"/>
      <c r="C4402" s="445" t="s">
        <v>1334</v>
      </c>
      <c r="D4402" s="445" t="s">
        <v>1462</v>
      </c>
      <c r="E4402" s="703">
        <v>183.6</v>
      </c>
      <c r="F4402" s="447">
        <v>50.33</v>
      </c>
    </row>
    <row r="4403" spans="1:6" s="310" customFormat="1" x14ac:dyDescent="0.15">
      <c r="A4403" s="701" t="s">
        <v>1546</v>
      </c>
      <c r="B4403" s="702"/>
      <c r="C4403" s="445" t="s">
        <v>1586</v>
      </c>
      <c r="D4403" s="445" t="s">
        <v>1500</v>
      </c>
      <c r="E4403" s="703">
        <v>85.8</v>
      </c>
      <c r="F4403" s="447">
        <v>29.02</v>
      </c>
    </row>
    <row r="4404" spans="1:6" s="310" customFormat="1" x14ac:dyDescent="0.15">
      <c r="A4404" s="701" t="s">
        <v>1549</v>
      </c>
      <c r="B4404" s="702" t="s">
        <v>1625</v>
      </c>
      <c r="C4404" s="445" t="s">
        <v>1459</v>
      </c>
      <c r="D4404" s="445" t="s">
        <v>1251</v>
      </c>
      <c r="E4404" s="703">
        <v>2165</v>
      </c>
      <c r="F4404" s="447">
        <v>354.82</v>
      </c>
    </row>
    <row r="4405" spans="1:6" s="310" customFormat="1" x14ac:dyDescent="0.15">
      <c r="A4405" s="701" t="s">
        <v>1603</v>
      </c>
      <c r="B4405" s="702"/>
      <c r="C4405" s="445" t="s">
        <v>1334</v>
      </c>
      <c r="D4405" s="445" t="s">
        <v>1462</v>
      </c>
      <c r="E4405" s="703">
        <v>1374.4</v>
      </c>
      <c r="F4405" s="447">
        <v>298.97000000000003</v>
      </c>
    </row>
    <row r="4406" spans="1:6" s="310" customFormat="1" x14ac:dyDescent="0.15">
      <c r="A4406" s="701" t="s">
        <v>1597</v>
      </c>
      <c r="B4406" s="702" t="s">
        <v>1626</v>
      </c>
      <c r="C4406" s="445" t="s">
        <v>1454</v>
      </c>
      <c r="D4406" s="445" t="s">
        <v>1247</v>
      </c>
      <c r="E4406" s="703">
        <v>4080</v>
      </c>
      <c r="F4406" s="447">
        <v>638.12</v>
      </c>
    </row>
    <row r="4407" spans="1:6" s="310" customFormat="1" x14ac:dyDescent="0.15">
      <c r="A4407" s="701" t="s">
        <v>1677</v>
      </c>
      <c r="B4407" s="702" t="s">
        <v>1678</v>
      </c>
      <c r="C4407" s="445" t="s">
        <v>1313</v>
      </c>
      <c r="D4407" s="445" t="s">
        <v>1412</v>
      </c>
      <c r="E4407" s="703">
        <v>1477</v>
      </c>
      <c r="F4407" s="447">
        <v>252.66</v>
      </c>
    </row>
    <row r="4408" spans="1:6" s="310" customFormat="1" x14ac:dyDescent="0.15">
      <c r="A4408" s="701" t="s">
        <v>1551</v>
      </c>
      <c r="B4408" s="702" t="s">
        <v>1627</v>
      </c>
      <c r="C4408" s="445" t="s">
        <v>1235</v>
      </c>
      <c r="D4408" s="445" t="s">
        <v>1236</v>
      </c>
      <c r="E4408" s="703">
        <v>7396</v>
      </c>
      <c r="F4408" s="447">
        <v>1104.2</v>
      </c>
    </row>
    <row r="4409" spans="1:6" s="310" customFormat="1" x14ac:dyDescent="0.15">
      <c r="A4409" s="701" t="s">
        <v>1553</v>
      </c>
      <c r="B4409" s="702" t="s">
        <v>1628</v>
      </c>
      <c r="C4409" s="445" t="s">
        <v>1475</v>
      </c>
      <c r="D4409" s="445" t="s">
        <v>1387</v>
      </c>
      <c r="E4409" s="703">
        <v>1078</v>
      </c>
      <c r="F4409" s="447">
        <v>214.03</v>
      </c>
    </row>
    <row r="4410" spans="1:6" s="310" customFormat="1" x14ac:dyDescent="0.15">
      <c r="A4410" s="701" t="s">
        <v>1554</v>
      </c>
      <c r="B4410" s="702" t="s">
        <v>1629</v>
      </c>
      <c r="C4410" s="445" t="s">
        <v>1399</v>
      </c>
      <c r="D4410" s="445" t="s">
        <v>1276</v>
      </c>
      <c r="E4410" s="703">
        <v>4320</v>
      </c>
      <c r="F4410" s="447">
        <v>718.76</v>
      </c>
    </row>
    <row r="4411" spans="1:6" s="310" customFormat="1" x14ac:dyDescent="0.15">
      <c r="A4411" s="701" t="s">
        <v>1598</v>
      </c>
      <c r="B4411" s="702"/>
      <c r="C4411" s="445" t="s">
        <v>1586</v>
      </c>
      <c r="D4411" s="445" t="s">
        <v>1500</v>
      </c>
      <c r="E4411" s="703">
        <v>42.9</v>
      </c>
      <c r="F4411" s="447">
        <v>16.41</v>
      </c>
    </row>
    <row r="4412" spans="1:6" s="310" customFormat="1" x14ac:dyDescent="0.15">
      <c r="A4412" s="701" t="s">
        <v>1662</v>
      </c>
      <c r="B4412" s="704">
        <v>892914652</v>
      </c>
      <c r="C4412" s="445" t="s">
        <v>1663</v>
      </c>
      <c r="D4412" s="445" t="s">
        <v>1664</v>
      </c>
      <c r="E4412" s="703">
        <v>9120</v>
      </c>
      <c r="F4412" s="447">
        <v>1542.65</v>
      </c>
    </row>
    <row r="4413" spans="1:6" s="310" customFormat="1" ht="14" thickBot="1" x14ac:dyDescent="0.2">
      <c r="A4413" s="701"/>
      <c r="B4413" s="702"/>
      <c r="C4413" s="313" t="s">
        <v>1707</v>
      </c>
      <c r="D4413" s="445"/>
      <c r="E4413" s="705">
        <f>SUM(E4388:E4412)</f>
        <v>99662.5</v>
      </c>
      <c r="F4413" s="706">
        <f>SUM(F4388:F4412)</f>
        <v>15791.320000000003</v>
      </c>
    </row>
    <row r="4414" spans="1:6" s="310" customFormat="1" ht="14" thickTop="1" x14ac:dyDescent="0.15">
      <c r="A4414" s="701"/>
      <c r="B4414" s="702"/>
      <c r="C4414" s="445"/>
      <c r="D4414" s="445"/>
      <c r="E4414" s="530"/>
      <c r="F4414" s="447"/>
    </row>
    <row r="4415" spans="1:6" s="310" customFormat="1" x14ac:dyDescent="0.15">
      <c r="A4415" s="701" t="s">
        <v>1556</v>
      </c>
      <c r="B4415" s="702" t="s">
        <v>1631</v>
      </c>
      <c r="C4415" s="445" t="s">
        <v>1248</v>
      </c>
      <c r="D4415" s="445" t="s">
        <v>1482</v>
      </c>
      <c r="E4415" s="703">
        <v>3186</v>
      </c>
      <c r="F4415" s="447">
        <v>506.94</v>
      </c>
    </row>
    <row r="4416" spans="1:6" s="310" customFormat="1" x14ac:dyDescent="0.15">
      <c r="A4416" s="701" t="s">
        <v>1714</v>
      </c>
      <c r="B4416" s="702"/>
      <c r="C4416" s="445" t="s">
        <v>1267</v>
      </c>
      <c r="D4416" s="445" t="s">
        <v>1268</v>
      </c>
      <c r="E4416" s="703">
        <v>42.9</v>
      </c>
      <c r="F4416" s="447">
        <v>12.28</v>
      </c>
    </row>
    <row r="4417" spans="1:6" s="310" customFormat="1" x14ac:dyDescent="0.15">
      <c r="A4417" s="701" t="s">
        <v>1558</v>
      </c>
      <c r="B4417" s="702" t="s">
        <v>1633</v>
      </c>
      <c r="C4417" s="445" t="s">
        <v>1469</v>
      </c>
      <c r="D4417" s="445" t="s">
        <v>1470</v>
      </c>
      <c r="E4417" s="703">
        <v>5280</v>
      </c>
      <c r="F4417" s="447">
        <v>888.75</v>
      </c>
    </row>
    <row r="4418" spans="1:6" s="310" customFormat="1" x14ac:dyDescent="0.15">
      <c r="A4418" s="701" t="s">
        <v>1559</v>
      </c>
      <c r="B4418" s="702" t="s">
        <v>1634</v>
      </c>
      <c r="C4418" s="445" t="s">
        <v>1502</v>
      </c>
      <c r="D4418" s="445" t="s">
        <v>1381</v>
      </c>
      <c r="E4418" s="703">
        <v>10464</v>
      </c>
      <c r="F4418" s="447">
        <v>1611.97</v>
      </c>
    </row>
    <row r="4419" spans="1:6" s="310" customFormat="1" x14ac:dyDescent="0.15">
      <c r="A4419" s="701" t="s">
        <v>1560</v>
      </c>
      <c r="B4419" s="702" t="s">
        <v>1635</v>
      </c>
      <c r="C4419" s="445" t="s">
        <v>1504</v>
      </c>
      <c r="D4419" s="445" t="s">
        <v>1505</v>
      </c>
      <c r="E4419" s="703">
        <v>1127</v>
      </c>
      <c r="F4419" s="447">
        <v>192.93</v>
      </c>
    </row>
    <row r="4420" spans="1:6" s="310" customFormat="1" x14ac:dyDescent="0.15">
      <c r="A4420" s="701" t="s">
        <v>1675</v>
      </c>
      <c r="B4420" s="702" t="s">
        <v>1676</v>
      </c>
      <c r="C4420" s="445" t="s">
        <v>1477</v>
      </c>
      <c r="D4420" s="445" t="s">
        <v>1289</v>
      </c>
      <c r="E4420" s="703">
        <v>9130</v>
      </c>
      <c r="F4420" s="447">
        <v>1417.25</v>
      </c>
    </row>
    <row r="4421" spans="1:6" s="310" customFormat="1" x14ac:dyDescent="0.15">
      <c r="A4421" s="701" t="s">
        <v>1564</v>
      </c>
      <c r="B4421" s="702" t="s">
        <v>1636</v>
      </c>
      <c r="C4421" s="445" t="s">
        <v>1485</v>
      </c>
      <c r="D4421" s="445" t="s">
        <v>1486</v>
      </c>
      <c r="E4421" s="703">
        <v>1560</v>
      </c>
      <c r="F4421" s="447">
        <v>245.05</v>
      </c>
    </row>
    <row r="4422" spans="1:6" s="310" customFormat="1" x14ac:dyDescent="0.15">
      <c r="A4422" s="701" t="s">
        <v>1565</v>
      </c>
      <c r="B4422" s="702" t="s">
        <v>1637</v>
      </c>
      <c r="C4422" s="445" t="s">
        <v>1267</v>
      </c>
      <c r="D4422" s="445" t="s">
        <v>1268</v>
      </c>
      <c r="E4422" s="703">
        <v>1802</v>
      </c>
      <c r="F4422" s="447">
        <v>357.74</v>
      </c>
    </row>
    <row r="4423" spans="1:6" s="310" customFormat="1" x14ac:dyDescent="0.15">
      <c r="A4423" s="701" t="s">
        <v>1569</v>
      </c>
      <c r="B4423" s="702" t="s">
        <v>1638</v>
      </c>
      <c r="C4423" s="445" t="s">
        <v>1464</v>
      </c>
      <c r="D4423" s="445" t="s">
        <v>1285</v>
      </c>
      <c r="E4423" s="703">
        <v>872</v>
      </c>
      <c r="F4423" s="447">
        <v>183</v>
      </c>
    </row>
    <row r="4424" spans="1:6" s="310" customFormat="1" x14ac:dyDescent="0.15">
      <c r="A4424" s="701" t="s">
        <v>1711</v>
      </c>
      <c r="B4424" s="702" t="s">
        <v>1712</v>
      </c>
      <c r="C4424" s="445" t="s">
        <v>1713</v>
      </c>
      <c r="D4424" s="445" t="s">
        <v>1419</v>
      </c>
      <c r="E4424" s="703">
        <v>1512</v>
      </c>
      <c r="F4424" s="447">
        <v>300.18</v>
      </c>
    </row>
    <row r="4425" spans="1:6" s="310" customFormat="1" x14ac:dyDescent="0.15">
      <c r="A4425" s="701" t="s">
        <v>1570</v>
      </c>
      <c r="B4425" s="702" t="s">
        <v>1639</v>
      </c>
      <c r="C4425" s="445" t="s">
        <v>1472</v>
      </c>
      <c r="D4425" s="445" t="s">
        <v>1473</v>
      </c>
      <c r="E4425" s="703">
        <v>75</v>
      </c>
      <c r="F4425" s="447">
        <v>37.64</v>
      </c>
    </row>
    <row r="4426" spans="1:6" s="310" customFormat="1" x14ac:dyDescent="0.15">
      <c r="A4426" s="701" t="s">
        <v>1571</v>
      </c>
      <c r="B4426" s="702" t="s">
        <v>1640</v>
      </c>
      <c r="C4426" s="445" t="s">
        <v>1489</v>
      </c>
      <c r="D4426" s="445" t="s">
        <v>1490</v>
      </c>
      <c r="E4426" s="703">
        <v>98</v>
      </c>
      <c r="F4426" s="447">
        <v>39.97</v>
      </c>
    </row>
    <row r="4427" spans="1:6" s="310" customFormat="1" x14ac:dyDescent="0.15">
      <c r="A4427" s="701" t="s">
        <v>1572</v>
      </c>
      <c r="B4427" s="702" t="s">
        <v>1641</v>
      </c>
      <c r="C4427" s="445" t="s">
        <v>1271</v>
      </c>
      <c r="D4427" s="445" t="s">
        <v>1272</v>
      </c>
      <c r="E4427" s="703">
        <v>4026</v>
      </c>
      <c r="F4427" s="447">
        <v>608.51</v>
      </c>
    </row>
    <row r="4428" spans="1:6" s="310" customFormat="1" x14ac:dyDescent="0.15">
      <c r="A4428" s="701" t="s">
        <v>1573</v>
      </c>
      <c r="B4428" s="702"/>
      <c r="C4428" s="445" t="s">
        <v>1461</v>
      </c>
      <c r="D4428" s="445" t="s">
        <v>1703</v>
      </c>
      <c r="E4428" s="703">
        <v>26</v>
      </c>
      <c r="F4428" s="447">
        <v>16.34</v>
      </c>
    </row>
    <row r="4429" spans="1:6" s="310" customFormat="1" x14ac:dyDescent="0.15">
      <c r="A4429" s="701" t="s">
        <v>1574</v>
      </c>
      <c r="B4429" s="702" t="s">
        <v>1642</v>
      </c>
      <c r="C4429" s="445" t="s">
        <v>1377</v>
      </c>
      <c r="D4429" s="445" t="s">
        <v>1378</v>
      </c>
      <c r="E4429" s="703">
        <v>1181</v>
      </c>
      <c r="F4429" s="447">
        <v>230.54</v>
      </c>
    </row>
    <row r="4430" spans="1:6" s="310" customFormat="1" x14ac:dyDescent="0.15">
      <c r="A4430" s="701" t="s">
        <v>1575</v>
      </c>
      <c r="B4430" s="702" t="s">
        <v>1685</v>
      </c>
      <c r="C4430" s="445" t="s">
        <v>1448</v>
      </c>
      <c r="D4430" s="445" t="s">
        <v>1449</v>
      </c>
      <c r="E4430" s="703">
        <v>106</v>
      </c>
      <c r="F4430" s="447">
        <v>25.98</v>
      </c>
    </row>
    <row r="4431" spans="1:6" s="310" customFormat="1" x14ac:dyDescent="0.15">
      <c r="A4431" s="701" t="s">
        <v>1604</v>
      </c>
      <c r="B4431" s="702"/>
      <c r="C4431" s="445" t="s">
        <v>1334</v>
      </c>
      <c r="D4431" s="445" t="s">
        <v>1462</v>
      </c>
      <c r="E4431" s="703">
        <v>214.5</v>
      </c>
      <c r="F4431" s="447">
        <v>66.930000000000007</v>
      </c>
    </row>
    <row r="4432" spans="1:6" s="310" customFormat="1" x14ac:dyDescent="0.15">
      <c r="A4432" s="701" t="s">
        <v>1576</v>
      </c>
      <c r="B4432" s="702" t="s">
        <v>1644</v>
      </c>
      <c r="C4432" s="445" t="s">
        <v>1401</v>
      </c>
      <c r="D4432" s="445" t="s">
        <v>1316</v>
      </c>
      <c r="E4432" s="703">
        <v>173</v>
      </c>
      <c r="F4432" s="447">
        <v>47.63</v>
      </c>
    </row>
    <row r="4433" spans="1:7" s="310" customFormat="1" x14ac:dyDescent="0.15">
      <c r="A4433" s="701" t="s">
        <v>1605</v>
      </c>
      <c r="B4433" s="702"/>
      <c r="C4433" s="445" t="s">
        <v>1334</v>
      </c>
      <c r="D4433" s="445" t="s">
        <v>1462</v>
      </c>
      <c r="E4433" s="703">
        <v>626</v>
      </c>
      <c r="F4433" s="447">
        <v>197.35</v>
      </c>
    </row>
    <row r="4434" spans="1:7" s="310" customFormat="1" x14ac:dyDescent="0.15">
      <c r="A4434" s="701" t="s">
        <v>1578</v>
      </c>
      <c r="B4434" s="702" t="s">
        <v>1646</v>
      </c>
      <c r="C4434" s="445" t="s">
        <v>1579</v>
      </c>
      <c r="D4434" s="445" t="s">
        <v>1497</v>
      </c>
      <c r="E4434" s="703">
        <v>0</v>
      </c>
      <c r="F4434" s="447">
        <v>0</v>
      </c>
    </row>
    <row r="4435" spans="1:7" s="310" customFormat="1" x14ac:dyDescent="0.15">
      <c r="A4435" s="701" t="s">
        <v>1580</v>
      </c>
      <c r="B4435" s="702" t="s">
        <v>1647</v>
      </c>
      <c r="C4435" s="445" t="s">
        <v>1451</v>
      </c>
      <c r="D4435" s="445" t="s">
        <v>1674</v>
      </c>
      <c r="E4435" s="703">
        <v>5760</v>
      </c>
      <c r="F4435" s="447">
        <v>2479.38</v>
      </c>
    </row>
    <row r="4436" spans="1:7" s="310" customFormat="1" x14ac:dyDescent="0.15">
      <c r="A4436" s="701" t="s">
        <v>1581</v>
      </c>
      <c r="B4436" s="702" t="s">
        <v>1648</v>
      </c>
      <c r="C4436" s="445" t="s">
        <v>1521</v>
      </c>
      <c r="D4436" s="445" t="s">
        <v>1229</v>
      </c>
      <c r="E4436" s="703">
        <v>2570</v>
      </c>
      <c r="F4436" s="447">
        <v>396.05</v>
      </c>
    </row>
    <row r="4437" spans="1:7" s="310" customFormat="1" x14ac:dyDescent="0.15">
      <c r="A4437" s="701" t="s">
        <v>1717</v>
      </c>
      <c r="B4437" s="702" t="s">
        <v>1718</v>
      </c>
      <c r="C4437" s="445" t="s">
        <v>1719</v>
      </c>
      <c r="D4437" s="445" t="s">
        <v>1720</v>
      </c>
      <c r="E4437" s="703">
        <v>429</v>
      </c>
      <c r="F4437" s="447">
        <v>81.790000000000006</v>
      </c>
      <c r="G4437" s="688">
        <f>F4437/E4437</f>
        <v>0.19065268065268068</v>
      </c>
    </row>
    <row r="4438" spans="1:7" s="310" customFormat="1" x14ac:dyDescent="0.15">
      <c r="A4438" s="701" t="s">
        <v>1582</v>
      </c>
      <c r="B4438" s="702" t="s">
        <v>1649</v>
      </c>
      <c r="C4438" s="445" t="s">
        <v>1525</v>
      </c>
      <c r="D4438" s="445" t="s">
        <v>1526</v>
      </c>
      <c r="E4438" s="703">
        <v>37</v>
      </c>
      <c r="F4438" s="447">
        <v>12.97</v>
      </c>
    </row>
    <row r="4439" spans="1:7" s="310" customFormat="1" ht="12" customHeight="1" x14ac:dyDescent="0.15">
      <c r="A4439" s="701" t="s">
        <v>1583</v>
      </c>
      <c r="B4439" s="702" t="s">
        <v>1650</v>
      </c>
      <c r="C4439" s="445" t="s">
        <v>1584</v>
      </c>
      <c r="D4439" s="707" t="s">
        <v>1264</v>
      </c>
      <c r="E4439" s="703">
        <v>1360</v>
      </c>
      <c r="F4439" s="447">
        <v>288.93</v>
      </c>
    </row>
    <row r="4440" spans="1:7" s="310" customFormat="1" x14ac:dyDescent="0.15">
      <c r="A4440" s="701" t="s">
        <v>1666</v>
      </c>
      <c r="B4440" s="702" t="s">
        <v>1672</v>
      </c>
      <c r="C4440" s="445" t="s">
        <v>1667</v>
      </c>
      <c r="D4440" s="445" t="s">
        <v>1668</v>
      </c>
      <c r="E4440" s="703">
        <v>25344</v>
      </c>
      <c r="F4440" s="447">
        <v>5533.19</v>
      </c>
    </row>
    <row r="4441" spans="1:7" s="310" customFormat="1" x14ac:dyDescent="0.15">
      <c r="A4441" s="701" t="s">
        <v>1606</v>
      </c>
      <c r="B4441" s="702"/>
      <c r="C4441" s="445" t="s">
        <v>1334</v>
      </c>
      <c r="D4441" s="445" t="s">
        <v>1462</v>
      </c>
      <c r="E4441" s="703">
        <v>75</v>
      </c>
      <c r="F4441" s="447">
        <v>14.82</v>
      </c>
    </row>
    <row r="4442" spans="1:7" s="310" customFormat="1" ht="14" thickBot="1" x14ac:dyDescent="0.2">
      <c r="A4442" s="701"/>
      <c r="B4442" s="702"/>
      <c r="C4442" s="313" t="s">
        <v>1708</v>
      </c>
      <c r="D4442" s="445"/>
      <c r="E4442" s="705">
        <f>SUM(E4415:E4441)</f>
        <v>77076.399999999994</v>
      </c>
      <c r="F4442" s="706">
        <f>SUM(F4415:F4441)</f>
        <v>15794.11</v>
      </c>
    </row>
    <row r="4443" spans="1:7" s="310" customFormat="1" ht="14" thickTop="1" x14ac:dyDescent="0.15">
      <c r="A4443" s="701"/>
      <c r="B4443" s="702"/>
      <c r="C4443" s="445"/>
      <c r="D4443" s="445"/>
      <c r="E4443" s="530"/>
      <c r="F4443" s="447"/>
    </row>
    <row r="4444" spans="1:7" s="310" customFormat="1" x14ac:dyDescent="0.15">
      <c r="A4444" s="701"/>
      <c r="B4444" s="702"/>
      <c r="C4444" s="345" t="s">
        <v>1441</v>
      </c>
      <c r="D4444" s="445"/>
      <c r="E4444" s="530"/>
      <c r="F4444" s="447"/>
    </row>
    <row r="4445" spans="1:7" s="310" customFormat="1" x14ac:dyDescent="0.15">
      <c r="A4445" s="701"/>
      <c r="B4445" s="702"/>
      <c r="C4445" s="345" t="s">
        <v>1446</v>
      </c>
      <c r="D4445" s="445"/>
      <c r="E4445" s="530"/>
      <c r="F4445" s="447"/>
    </row>
    <row r="4446" spans="1:7" s="310" customFormat="1" x14ac:dyDescent="0.15">
      <c r="A4446" s="701"/>
      <c r="B4446" s="702"/>
      <c r="C4446" s="453">
        <v>42825</v>
      </c>
      <c r="D4446" s="445"/>
      <c r="E4446" s="530"/>
      <c r="F4446" s="447"/>
    </row>
    <row r="4447" spans="1:7" s="310" customFormat="1" x14ac:dyDescent="0.15">
      <c r="A4447" s="701"/>
      <c r="B4447" s="702"/>
      <c r="C4447" s="445"/>
      <c r="D4447" s="445"/>
      <c r="E4447" s="530"/>
      <c r="F4447" s="447"/>
    </row>
    <row r="4448" spans="1:7" s="310" customFormat="1" ht="14" thickBot="1" x14ac:dyDescent="0.2">
      <c r="A4448" s="708"/>
      <c r="B4448" s="709"/>
      <c r="C4448" s="710" t="s">
        <v>1195</v>
      </c>
      <c r="D4448" s="710"/>
      <c r="E4448" s="711">
        <f>SUM(E4413,E4442)</f>
        <v>176738.9</v>
      </c>
      <c r="F4448" s="712">
        <f>SUM(F4413,F4442)</f>
        <v>31585.430000000004</v>
      </c>
    </row>
    <row r="4449" spans="1:6" s="310" customFormat="1" x14ac:dyDescent="0.15">
      <c r="A4449" s="701"/>
      <c r="B4449" s="702"/>
      <c r="C4449" s="463"/>
      <c r="D4449" s="463"/>
      <c r="E4449" s="713"/>
      <c r="F4449" s="714"/>
    </row>
    <row r="4450" spans="1:6" s="310" customFormat="1" x14ac:dyDescent="0.15">
      <c r="A4450" s="698" t="s">
        <v>1534</v>
      </c>
      <c r="B4450" s="699" t="s">
        <v>1614</v>
      </c>
      <c r="C4450" s="441" t="s">
        <v>1492</v>
      </c>
      <c r="D4450" s="441" t="s">
        <v>1239</v>
      </c>
      <c r="E4450" s="700">
        <v>12000</v>
      </c>
      <c r="F4450" s="443">
        <v>1741.56</v>
      </c>
    </row>
    <row r="4451" spans="1:6" s="310" customFormat="1" x14ac:dyDescent="0.15">
      <c r="A4451" s="701" t="s">
        <v>1535</v>
      </c>
      <c r="B4451" s="702" t="s">
        <v>1615</v>
      </c>
      <c r="C4451" s="445" t="s">
        <v>1507</v>
      </c>
      <c r="D4451" s="445" t="s">
        <v>1245</v>
      </c>
      <c r="E4451" s="703">
        <v>2760</v>
      </c>
      <c r="F4451" s="447">
        <v>487.65</v>
      </c>
    </row>
    <row r="4452" spans="1:6" s="310" customFormat="1" x14ac:dyDescent="0.15">
      <c r="A4452" s="701" t="s">
        <v>1670</v>
      </c>
      <c r="B4452" s="702" t="s">
        <v>1659</v>
      </c>
      <c r="C4452" s="445" t="s">
        <v>1279</v>
      </c>
      <c r="D4452" s="445" t="s">
        <v>1660</v>
      </c>
      <c r="E4452" s="703">
        <v>8800</v>
      </c>
      <c r="F4452" s="447">
        <v>1255.1600000000001</v>
      </c>
    </row>
    <row r="4453" spans="1:6" s="310" customFormat="1" x14ac:dyDescent="0.15">
      <c r="A4453" s="701" t="s">
        <v>1536</v>
      </c>
      <c r="B4453" s="702" t="s">
        <v>1616</v>
      </c>
      <c r="C4453" s="445" t="s">
        <v>1479</v>
      </c>
      <c r="D4453" s="445" t="s">
        <v>1231</v>
      </c>
      <c r="E4453" s="703">
        <v>4611</v>
      </c>
      <c r="F4453" s="447">
        <v>692.16</v>
      </c>
    </row>
    <row r="4454" spans="1:6" s="310" customFormat="1" x14ac:dyDescent="0.15">
      <c r="A4454" s="701" t="s">
        <v>1537</v>
      </c>
      <c r="B4454" s="702" t="s">
        <v>1617</v>
      </c>
      <c r="C4454" s="445" t="s">
        <v>1269</v>
      </c>
      <c r="D4454" s="445" t="s">
        <v>1270</v>
      </c>
      <c r="E4454" s="703">
        <v>4473</v>
      </c>
      <c r="F4454" s="447">
        <v>662.05</v>
      </c>
    </row>
    <row r="4455" spans="1:6" s="310" customFormat="1" x14ac:dyDescent="0.15">
      <c r="A4455" s="701" t="s">
        <v>1538</v>
      </c>
      <c r="B4455" s="702" t="s">
        <v>1618</v>
      </c>
      <c r="C4455" s="445" t="s">
        <v>1517</v>
      </c>
      <c r="D4455" s="445" t="s">
        <v>1518</v>
      </c>
      <c r="E4455" s="703">
        <v>4</v>
      </c>
      <c r="F4455" s="447">
        <v>30.41</v>
      </c>
    </row>
    <row r="4456" spans="1:6" s="310" customFormat="1" x14ac:dyDescent="0.15">
      <c r="A4456" s="701" t="s">
        <v>1540</v>
      </c>
      <c r="B4456" s="702" t="s">
        <v>1620</v>
      </c>
      <c r="C4456" s="445" t="s">
        <v>1257</v>
      </c>
      <c r="D4456" s="445" t="s">
        <v>1258</v>
      </c>
      <c r="E4456" s="703">
        <v>23200</v>
      </c>
      <c r="F4456" s="447">
        <v>3275.3</v>
      </c>
    </row>
    <row r="4457" spans="1:6" s="310" customFormat="1" x14ac:dyDescent="0.15">
      <c r="A4457" s="701" t="s">
        <v>1541</v>
      </c>
      <c r="B4457" s="702" t="s">
        <v>1621</v>
      </c>
      <c r="C4457" s="445" t="s">
        <v>1586</v>
      </c>
      <c r="D4457" s="445" t="s">
        <v>1500</v>
      </c>
      <c r="E4457" s="703">
        <v>3240</v>
      </c>
      <c r="F4457" s="447">
        <v>568.65</v>
      </c>
    </row>
    <row r="4458" spans="1:6" s="310" customFormat="1" x14ac:dyDescent="0.15">
      <c r="A4458" s="701" t="s">
        <v>1542</v>
      </c>
      <c r="B4458" s="702" t="s">
        <v>1622</v>
      </c>
      <c r="C4458" s="445" t="s">
        <v>1240</v>
      </c>
      <c r="D4458" s="445" t="s">
        <v>1467</v>
      </c>
      <c r="E4458" s="703">
        <v>4327</v>
      </c>
      <c r="F4458" s="447">
        <v>623.12</v>
      </c>
    </row>
    <row r="4459" spans="1:6" s="310" customFormat="1" x14ac:dyDescent="0.15">
      <c r="A4459" s="701" t="s">
        <v>1543</v>
      </c>
      <c r="B4459" s="702" t="s">
        <v>1623</v>
      </c>
      <c r="C4459" s="445" t="s">
        <v>1523</v>
      </c>
      <c r="D4459" s="445" t="s">
        <v>1266</v>
      </c>
      <c r="E4459" s="703">
        <v>655</v>
      </c>
      <c r="F4459" s="447">
        <v>144.88</v>
      </c>
    </row>
    <row r="4460" spans="1:6" s="310" customFormat="1" x14ac:dyDescent="0.15">
      <c r="A4460" s="701" t="s">
        <v>1715</v>
      </c>
      <c r="B4460" s="702" t="s">
        <v>1716</v>
      </c>
      <c r="C4460" s="445" t="s">
        <v>1328</v>
      </c>
      <c r="D4460" s="445" t="s">
        <v>1329</v>
      </c>
      <c r="E4460" s="703">
        <v>158</v>
      </c>
      <c r="F4460" s="447">
        <v>37.44</v>
      </c>
    </row>
    <row r="4461" spans="1:6" s="310" customFormat="1" x14ac:dyDescent="0.15">
      <c r="A4461" s="701" t="s">
        <v>1544</v>
      </c>
      <c r="B4461" s="702" t="s">
        <v>1624</v>
      </c>
      <c r="C4461" s="445" t="s">
        <v>1234</v>
      </c>
      <c r="D4461" s="445" t="s">
        <v>1494</v>
      </c>
      <c r="E4461" s="703">
        <v>4535</v>
      </c>
      <c r="F4461" s="447">
        <v>740.64</v>
      </c>
    </row>
    <row r="4462" spans="1:6" s="310" customFormat="1" x14ac:dyDescent="0.15">
      <c r="A4462" s="701" t="s">
        <v>1601</v>
      </c>
      <c r="B4462" s="702"/>
      <c r="C4462" s="445" t="s">
        <v>1334</v>
      </c>
      <c r="D4462" s="445" t="s">
        <v>1462</v>
      </c>
      <c r="E4462" s="703">
        <v>2798.5</v>
      </c>
      <c r="F4462" s="447">
        <v>616.41</v>
      </c>
    </row>
    <row r="4463" spans="1:6" s="310" customFormat="1" x14ac:dyDescent="0.15">
      <c r="A4463" s="701" t="s">
        <v>1545</v>
      </c>
      <c r="B4463" s="702"/>
      <c r="C4463" s="445" t="s">
        <v>1234</v>
      </c>
      <c r="D4463" s="445" t="s">
        <v>1494</v>
      </c>
      <c r="E4463" s="703">
        <v>63.8</v>
      </c>
      <c r="F4463" s="447">
        <v>17.010000000000002</v>
      </c>
    </row>
    <row r="4464" spans="1:6" s="310" customFormat="1" x14ac:dyDescent="0.15">
      <c r="A4464" s="701" t="s">
        <v>1602</v>
      </c>
      <c r="B4464" s="702"/>
      <c r="C4464" s="445" t="s">
        <v>1334</v>
      </c>
      <c r="D4464" s="445" t="s">
        <v>1462</v>
      </c>
      <c r="E4464" s="703">
        <v>156.6</v>
      </c>
      <c r="F4464" s="447">
        <v>47.09</v>
      </c>
    </row>
    <row r="4465" spans="1:6" s="310" customFormat="1" x14ac:dyDescent="0.15">
      <c r="A4465" s="701" t="s">
        <v>1546</v>
      </c>
      <c r="B4465" s="702"/>
      <c r="C4465" s="445" t="s">
        <v>1586</v>
      </c>
      <c r="D4465" s="445" t="s">
        <v>1500</v>
      </c>
      <c r="E4465" s="703">
        <v>73.2</v>
      </c>
      <c r="F4465" s="447">
        <v>27.51</v>
      </c>
    </row>
    <row r="4466" spans="1:6" s="310" customFormat="1" x14ac:dyDescent="0.15">
      <c r="A4466" s="701" t="s">
        <v>1549</v>
      </c>
      <c r="B4466" s="702" t="s">
        <v>1625</v>
      </c>
      <c r="C4466" s="445" t="s">
        <v>1459</v>
      </c>
      <c r="D4466" s="445" t="s">
        <v>1251</v>
      </c>
      <c r="E4466" s="703">
        <v>2089</v>
      </c>
      <c r="F4466" s="447">
        <v>347.07</v>
      </c>
    </row>
    <row r="4467" spans="1:6" s="310" customFormat="1" x14ac:dyDescent="0.15">
      <c r="A4467" s="701" t="s">
        <v>1603</v>
      </c>
      <c r="B4467" s="702"/>
      <c r="C4467" s="445" t="s">
        <v>1334</v>
      </c>
      <c r="D4467" s="445" t="s">
        <v>1462</v>
      </c>
      <c r="E4467" s="703">
        <v>1170.4000000000001</v>
      </c>
      <c r="F4467" s="447">
        <v>274.56</v>
      </c>
    </row>
    <row r="4468" spans="1:6" s="310" customFormat="1" x14ac:dyDescent="0.15">
      <c r="A4468" s="701" t="s">
        <v>1597</v>
      </c>
      <c r="B4468" s="702" t="s">
        <v>1626</v>
      </c>
      <c r="C4468" s="445" t="s">
        <v>1454</v>
      </c>
      <c r="D4468" s="445" t="s">
        <v>1247</v>
      </c>
      <c r="E4468" s="703">
        <v>4600</v>
      </c>
      <c r="F4468" s="447">
        <v>707.12</v>
      </c>
    </row>
    <row r="4469" spans="1:6" s="310" customFormat="1" x14ac:dyDescent="0.15">
      <c r="A4469" s="701" t="s">
        <v>1677</v>
      </c>
      <c r="B4469" s="702" t="s">
        <v>1678</v>
      </c>
      <c r="C4469" s="445" t="s">
        <v>1313</v>
      </c>
      <c r="D4469" s="445" t="s">
        <v>1412</v>
      </c>
      <c r="E4469" s="703">
        <v>1302</v>
      </c>
      <c r="F4469" s="447">
        <v>226.79</v>
      </c>
    </row>
    <row r="4470" spans="1:6" s="310" customFormat="1" x14ac:dyDescent="0.15">
      <c r="A4470" s="701" t="s">
        <v>1551</v>
      </c>
      <c r="B4470" s="702" t="s">
        <v>1627</v>
      </c>
      <c r="C4470" s="445" t="s">
        <v>1235</v>
      </c>
      <c r="D4470" s="445" t="s">
        <v>1236</v>
      </c>
      <c r="E4470" s="703">
        <v>8100</v>
      </c>
      <c r="F4470" s="447">
        <v>1175.8599999999999</v>
      </c>
    </row>
    <row r="4471" spans="1:6" s="310" customFormat="1" x14ac:dyDescent="0.15">
      <c r="A4471" s="701" t="s">
        <v>1553</v>
      </c>
      <c r="B4471" s="702" t="s">
        <v>1628</v>
      </c>
      <c r="C4471" s="445" t="s">
        <v>1475</v>
      </c>
      <c r="D4471" s="445" t="s">
        <v>1387</v>
      </c>
      <c r="E4471" s="703">
        <v>1154</v>
      </c>
      <c r="F4471" s="447">
        <v>229.12</v>
      </c>
    </row>
    <row r="4472" spans="1:6" s="310" customFormat="1" x14ac:dyDescent="0.15">
      <c r="A4472" s="701" t="s">
        <v>1554</v>
      </c>
      <c r="B4472" s="702" t="s">
        <v>1629</v>
      </c>
      <c r="C4472" s="445" t="s">
        <v>1399</v>
      </c>
      <c r="D4472" s="445" t="s">
        <v>1276</v>
      </c>
      <c r="E4472" s="703">
        <v>4160</v>
      </c>
      <c r="F4472" s="447">
        <v>694.41</v>
      </c>
    </row>
    <row r="4473" spans="1:6" s="310" customFormat="1" x14ac:dyDescent="0.15">
      <c r="A4473" s="701" t="s">
        <v>1598</v>
      </c>
      <c r="B4473" s="702"/>
      <c r="C4473" s="445" t="s">
        <v>1586</v>
      </c>
      <c r="D4473" s="445" t="s">
        <v>1500</v>
      </c>
      <c r="E4473" s="703">
        <v>36.6</v>
      </c>
      <c r="F4473" s="447">
        <v>15.64</v>
      </c>
    </row>
    <row r="4474" spans="1:6" s="310" customFormat="1" x14ac:dyDescent="0.15">
      <c r="A4474" s="701" t="s">
        <v>1662</v>
      </c>
      <c r="B4474" s="704">
        <v>892914652</v>
      </c>
      <c r="C4474" s="445" t="s">
        <v>1663</v>
      </c>
      <c r="D4474" s="445" t="s">
        <v>1664</v>
      </c>
      <c r="E4474" s="703">
        <v>11840</v>
      </c>
      <c r="F4474" s="447">
        <v>1897.58</v>
      </c>
    </row>
    <row r="4475" spans="1:6" s="310" customFormat="1" ht="14" thickBot="1" x14ac:dyDescent="0.2">
      <c r="A4475" s="701"/>
      <c r="B4475" s="702"/>
      <c r="C4475" s="313" t="s">
        <v>1709</v>
      </c>
      <c r="D4475" s="445"/>
      <c r="E4475" s="705">
        <f>SUM(E4450:E4474)</f>
        <v>106307.1</v>
      </c>
      <c r="F4475" s="706">
        <f>SUM(F4450:F4474)</f>
        <v>16535.190000000002</v>
      </c>
    </row>
    <row r="4476" spans="1:6" s="310" customFormat="1" ht="14" thickTop="1" x14ac:dyDescent="0.15">
      <c r="A4476" s="701"/>
      <c r="B4476" s="702"/>
      <c r="C4476" s="445"/>
      <c r="D4476" s="445"/>
      <c r="E4476" s="530"/>
      <c r="F4476" s="447"/>
    </row>
    <row r="4477" spans="1:6" s="310" customFormat="1" x14ac:dyDescent="0.15">
      <c r="A4477" s="701" t="s">
        <v>1556</v>
      </c>
      <c r="B4477" s="702" t="s">
        <v>1631</v>
      </c>
      <c r="C4477" s="445" t="s">
        <v>1248</v>
      </c>
      <c r="D4477" s="445" t="s">
        <v>1482</v>
      </c>
      <c r="E4477" s="703">
        <v>3631</v>
      </c>
      <c r="F4477" s="447">
        <v>592.4</v>
      </c>
    </row>
    <row r="4478" spans="1:6" s="310" customFormat="1" x14ac:dyDescent="0.15">
      <c r="A4478" s="701" t="s">
        <v>1714</v>
      </c>
      <c r="B4478" s="702"/>
      <c r="C4478" s="445" t="s">
        <v>1267</v>
      </c>
      <c r="D4478" s="445" t="s">
        <v>1268</v>
      </c>
      <c r="E4478" s="703">
        <f>3.5+33.1</f>
        <v>36.6</v>
      </c>
      <c r="F4478" s="447">
        <v>11.11</v>
      </c>
    </row>
    <row r="4479" spans="1:6" s="310" customFormat="1" x14ac:dyDescent="0.15">
      <c r="A4479" s="701" t="s">
        <v>1558</v>
      </c>
      <c r="B4479" s="702" t="s">
        <v>1633</v>
      </c>
      <c r="C4479" s="445" t="s">
        <v>1469</v>
      </c>
      <c r="D4479" s="445" t="s">
        <v>1470</v>
      </c>
      <c r="E4479" s="703">
        <v>5600</v>
      </c>
      <c r="F4479" s="447">
        <v>865.15</v>
      </c>
    </row>
    <row r="4480" spans="1:6" s="310" customFormat="1" x14ac:dyDescent="0.15">
      <c r="A4480" s="701" t="s">
        <v>1559</v>
      </c>
      <c r="B4480" s="702" t="s">
        <v>1634</v>
      </c>
      <c r="C4480" s="445" t="s">
        <v>1502</v>
      </c>
      <c r="D4480" s="445" t="s">
        <v>1381</v>
      </c>
      <c r="E4480" s="703">
        <v>12768</v>
      </c>
      <c r="F4480" s="447">
        <v>1935.22</v>
      </c>
    </row>
    <row r="4481" spans="1:6" s="310" customFormat="1" x14ac:dyDescent="0.15">
      <c r="A4481" s="701" t="s">
        <v>1560</v>
      </c>
      <c r="B4481" s="702" t="s">
        <v>1635</v>
      </c>
      <c r="C4481" s="445" t="s">
        <v>1504</v>
      </c>
      <c r="D4481" s="445" t="s">
        <v>1505</v>
      </c>
      <c r="E4481" s="703">
        <v>1390</v>
      </c>
      <c r="F4481" s="447">
        <v>211.68</v>
      </c>
    </row>
    <row r="4482" spans="1:6" s="310" customFormat="1" x14ac:dyDescent="0.15">
      <c r="A4482" s="701" t="s">
        <v>1675</v>
      </c>
      <c r="B4482" s="702" t="s">
        <v>1676</v>
      </c>
      <c r="C4482" s="445" t="s">
        <v>1477</v>
      </c>
      <c r="D4482" s="445" t="s">
        <v>1289</v>
      </c>
      <c r="E4482" s="703">
        <v>10650</v>
      </c>
      <c r="F4482" s="447">
        <v>1692.46</v>
      </c>
    </row>
    <row r="4483" spans="1:6" s="310" customFormat="1" x14ac:dyDescent="0.15">
      <c r="A4483" s="701" t="s">
        <v>1564</v>
      </c>
      <c r="B4483" s="702" t="s">
        <v>1636</v>
      </c>
      <c r="C4483" s="445" t="s">
        <v>1485</v>
      </c>
      <c r="D4483" s="445" t="s">
        <v>1486</v>
      </c>
      <c r="E4483" s="703">
        <v>1640</v>
      </c>
      <c r="F4483" s="447">
        <v>253.18</v>
      </c>
    </row>
    <row r="4484" spans="1:6" s="310" customFormat="1" x14ac:dyDescent="0.15">
      <c r="A4484" s="701" t="s">
        <v>1565</v>
      </c>
      <c r="B4484" s="702" t="s">
        <v>1637</v>
      </c>
      <c r="C4484" s="445" t="s">
        <v>1267</v>
      </c>
      <c r="D4484" s="445" t="s">
        <v>1268</v>
      </c>
      <c r="E4484" s="703">
        <v>1871</v>
      </c>
      <c r="F4484" s="447">
        <v>371.43</v>
      </c>
    </row>
    <row r="4485" spans="1:6" s="310" customFormat="1" x14ac:dyDescent="0.15">
      <c r="A4485" s="701" t="s">
        <v>1569</v>
      </c>
      <c r="B4485" s="702" t="s">
        <v>1638</v>
      </c>
      <c r="C4485" s="445" t="s">
        <v>1464</v>
      </c>
      <c r="D4485" s="445" t="s">
        <v>1285</v>
      </c>
      <c r="E4485" s="703">
        <v>906</v>
      </c>
      <c r="F4485" s="447">
        <v>186.48</v>
      </c>
    </row>
    <row r="4486" spans="1:6" s="310" customFormat="1" x14ac:dyDescent="0.15">
      <c r="A4486" s="701" t="s">
        <v>1711</v>
      </c>
      <c r="B4486" s="702" t="s">
        <v>1712</v>
      </c>
      <c r="C4486" s="445" t="s">
        <v>1713</v>
      </c>
      <c r="D4486" s="445" t="s">
        <v>1419</v>
      </c>
      <c r="E4486" s="703">
        <v>943</v>
      </c>
      <c r="F4486" s="447">
        <v>187.22</v>
      </c>
    </row>
    <row r="4487" spans="1:6" s="310" customFormat="1" x14ac:dyDescent="0.15">
      <c r="A4487" s="701" t="s">
        <v>1570</v>
      </c>
      <c r="B4487" s="702" t="s">
        <v>1639</v>
      </c>
      <c r="C4487" s="445" t="s">
        <v>1472</v>
      </c>
      <c r="D4487" s="445" t="s">
        <v>1473</v>
      </c>
      <c r="E4487" s="703">
        <v>94</v>
      </c>
      <c r="F4487" s="447">
        <v>39.58</v>
      </c>
    </row>
    <row r="4488" spans="1:6" s="310" customFormat="1" x14ac:dyDescent="0.15">
      <c r="A4488" s="701" t="s">
        <v>1571</v>
      </c>
      <c r="B4488" s="702" t="s">
        <v>1640</v>
      </c>
      <c r="C4488" s="445" t="s">
        <v>1489</v>
      </c>
      <c r="D4488" s="445" t="s">
        <v>1490</v>
      </c>
      <c r="E4488" s="703">
        <v>119</v>
      </c>
      <c r="F4488" s="447">
        <v>42.12</v>
      </c>
    </row>
    <row r="4489" spans="1:6" s="310" customFormat="1" x14ac:dyDescent="0.15">
      <c r="A4489" s="701" t="s">
        <v>1572</v>
      </c>
      <c r="B4489" s="702" t="s">
        <v>1641</v>
      </c>
      <c r="C4489" s="445" t="s">
        <v>1271</v>
      </c>
      <c r="D4489" s="445" t="s">
        <v>1272</v>
      </c>
      <c r="E4489" s="703">
        <v>4448</v>
      </c>
      <c r="F4489" s="447">
        <v>651.49</v>
      </c>
    </row>
    <row r="4490" spans="1:6" s="310" customFormat="1" x14ac:dyDescent="0.15">
      <c r="A4490" s="701" t="s">
        <v>1573</v>
      </c>
      <c r="B4490" s="702"/>
      <c r="C4490" s="445" t="s">
        <v>1461</v>
      </c>
      <c r="D4490" s="445" t="s">
        <v>1703</v>
      </c>
      <c r="E4490" s="703">
        <v>26</v>
      </c>
      <c r="F4490" s="447">
        <v>16.34</v>
      </c>
    </row>
    <row r="4491" spans="1:6" s="310" customFormat="1" x14ac:dyDescent="0.15">
      <c r="A4491" s="701" t="s">
        <v>1574</v>
      </c>
      <c r="B4491" s="702" t="s">
        <v>1642</v>
      </c>
      <c r="C4491" s="445" t="s">
        <v>1377</v>
      </c>
      <c r="D4491" s="445" t="s">
        <v>1378</v>
      </c>
      <c r="E4491" s="703">
        <v>1540</v>
      </c>
      <c r="F4491" s="447">
        <v>267.08</v>
      </c>
    </row>
    <row r="4492" spans="1:6" s="310" customFormat="1" x14ac:dyDescent="0.15">
      <c r="A4492" s="701" t="s">
        <v>1575</v>
      </c>
      <c r="B4492" s="702" t="s">
        <v>1685</v>
      </c>
      <c r="C4492" s="445" t="s">
        <v>1448</v>
      </c>
      <c r="D4492" s="445" t="s">
        <v>1449</v>
      </c>
      <c r="E4492" s="703">
        <v>10</v>
      </c>
      <c r="F4492" s="447">
        <v>7.92</v>
      </c>
    </row>
    <row r="4493" spans="1:6" s="310" customFormat="1" x14ac:dyDescent="0.15">
      <c r="A4493" s="701" t="s">
        <v>1604</v>
      </c>
      <c r="B4493" s="702"/>
      <c r="C4493" s="445" t="s">
        <v>1334</v>
      </c>
      <c r="D4493" s="445" t="s">
        <v>1462</v>
      </c>
      <c r="E4493" s="703">
        <v>183</v>
      </c>
      <c r="F4493" s="447">
        <v>63.17</v>
      </c>
    </row>
    <row r="4494" spans="1:6" s="310" customFormat="1" x14ac:dyDescent="0.15">
      <c r="A4494" s="701" t="s">
        <v>1576</v>
      </c>
      <c r="B4494" s="702" t="s">
        <v>1644</v>
      </c>
      <c r="C4494" s="445" t="s">
        <v>1401</v>
      </c>
      <c r="D4494" s="445" t="s">
        <v>1316</v>
      </c>
      <c r="E4494" s="703">
        <v>120</v>
      </c>
      <c r="F4494" s="447">
        <v>42.23</v>
      </c>
    </row>
    <row r="4495" spans="1:6" s="310" customFormat="1" x14ac:dyDescent="0.15">
      <c r="A4495" s="701" t="s">
        <v>1605</v>
      </c>
      <c r="B4495" s="702"/>
      <c r="C4495" s="445" t="s">
        <v>1334</v>
      </c>
      <c r="D4495" s="445" t="s">
        <v>1462</v>
      </c>
      <c r="E4495" s="703">
        <v>534</v>
      </c>
      <c r="F4495" s="447">
        <v>186.33</v>
      </c>
    </row>
    <row r="4496" spans="1:6" s="310" customFormat="1" x14ac:dyDescent="0.15">
      <c r="A4496" s="701" t="s">
        <v>1578</v>
      </c>
      <c r="B4496" s="702" t="s">
        <v>1646</v>
      </c>
      <c r="C4496" s="445" t="s">
        <v>1579</v>
      </c>
      <c r="D4496" s="445" t="s">
        <v>1497</v>
      </c>
      <c r="E4496" s="703">
        <f>15+19</f>
        <v>34</v>
      </c>
      <c r="F4496" s="447">
        <v>63.47</v>
      </c>
    </row>
    <row r="4497" spans="1:7" s="310" customFormat="1" x14ac:dyDescent="0.15">
      <c r="A4497" s="701" t="s">
        <v>1580</v>
      </c>
      <c r="B4497" s="702" t="s">
        <v>1647</v>
      </c>
      <c r="C4497" s="445" t="s">
        <v>1451</v>
      </c>
      <c r="D4497" s="445" t="s">
        <v>1674</v>
      </c>
      <c r="E4497" s="703">
        <v>8256</v>
      </c>
      <c r="F4497" s="447">
        <v>2749.57</v>
      </c>
    </row>
    <row r="4498" spans="1:7" s="310" customFormat="1" x14ac:dyDescent="0.15">
      <c r="A4498" s="701" t="s">
        <v>1581</v>
      </c>
      <c r="B4498" s="702" t="s">
        <v>1648</v>
      </c>
      <c r="C4498" s="445" t="s">
        <v>1521</v>
      </c>
      <c r="D4498" s="445" t="s">
        <v>1229</v>
      </c>
      <c r="E4498" s="703">
        <v>2392</v>
      </c>
      <c r="F4498" s="447">
        <v>377.94</v>
      </c>
    </row>
    <row r="4499" spans="1:7" s="310" customFormat="1" x14ac:dyDescent="0.15">
      <c r="A4499" s="701" t="s">
        <v>1717</v>
      </c>
      <c r="B4499" s="702" t="s">
        <v>1718</v>
      </c>
      <c r="C4499" s="445" t="s">
        <v>1719</v>
      </c>
      <c r="D4499" s="445" t="s">
        <v>1720</v>
      </c>
      <c r="E4499" s="703">
        <v>581</v>
      </c>
      <c r="F4499" s="447">
        <v>100.13</v>
      </c>
      <c r="G4499" s="688">
        <f>F4499/E4499</f>
        <v>0.1723407917383821</v>
      </c>
    </row>
    <row r="4500" spans="1:7" s="310" customFormat="1" x14ac:dyDescent="0.15">
      <c r="A4500" s="701" t="s">
        <v>1582</v>
      </c>
      <c r="B4500" s="702" t="s">
        <v>1649</v>
      </c>
      <c r="C4500" s="445" t="s">
        <v>1525</v>
      </c>
      <c r="D4500" s="445" t="s">
        <v>1526</v>
      </c>
      <c r="E4500" s="703">
        <v>39</v>
      </c>
      <c r="F4500" s="447">
        <v>13.36</v>
      </c>
    </row>
    <row r="4501" spans="1:7" s="310" customFormat="1" ht="14" x14ac:dyDescent="0.15">
      <c r="A4501" s="701" t="s">
        <v>1583</v>
      </c>
      <c r="B4501" s="702" t="s">
        <v>1650</v>
      </c>
      <c r="C4501" s="445" t="s">
        <v>1584</v>
      </c>
      <c r="D4501" s="707" t="s">
        <v>1264</v>
      </c>
      <c r="E4501" s="703">
        <v>1240</v>
      </c>
      <c r="F4501" s="447">
        <v>292.77</v>
      </c>
    </row>
    <row r="4502" spans="1:7" s="310" customFormat="1" x14ac:dyDescent="0.15">
      <c r="A4502" s="701" t="s">
        <v>1666</v>
      </c>
      <c r="B4502" s="702" t="s">
        <v>1672</v>
      </c>
      <c r="C4502" s="445" t="s">
        <v>1667</v>
      </c>
      <c r="D4502" s="445" t="s">
        <v>1668</v>
      </c>
      <c r="E4502" s="703">
        <v>21696</v>
      </c>
      <c r="F4502" s="447">
        <v>5314.38</v>
      </c>
    </row>
    <row r="4503" spans="1:7" s="310" customFormat="1" x14ac:dyDescent="0.15">
      <c r="A4503" s="701" t="s">
        <v>1606</v>
      </c>
      <c r="B4503" s="702"/>
      <c r="C4503" s="445" t="s">
        <v>1334</v>
      </c>
      <c r="D4503" s="445" t="s">
        <v>1462</v>
      </c>
      <c r="E4503" s="703">
        <v>63.8</v>
      </c>
      <c r="F4503" s="447">
        <v>13.49</v>
      </c>
    </row>
    <row r="4504" spans="1:7" s="310" customFormat="1" ht="14" thickBot="1" x14ac:dyDescent="0.2">
      <c r="A4504" s="701"/>
      <c r="B4504" s="702"/>
      <c r="C4504" s="313" t="s">
        <v>1710</v>
      </c>
      <c r="D4504" s="445"/>
      <c r="E4504" s="705">
        <f>SUM(E4477:E4503)</f>
        <v>80811.400000000009</v>
      </c>
      <c r="F4504" s="706">
        <f>SUM(F4477:F4503)</f>
        <v>16547.700000000004</v>
      </c>
    </row>
    <row r="4505" spans="1:7" s="310" customFormat="1" ht="14" thickTop="1" x14ac:dyDescent="0.15">
      <c r="A4505" s="701"/>
      <c r="B4505" s="702"/>
      <c r="C4505" s="445"/>
      <c r="D4505" s="445"/>
      <c r="E4505" s="530"/>
      <c r="F4505" s="447"/>
    </row>
    <row r="4506" spans="1:7" s="310" customFormat="1" x14ac:dyDescent="0.15">
      <c r="A4506" s="701"/>
      <c r="B4506" s="702"/>
      <c r="C4506" s="345" t="s">
        <v>1441</v>
      </c>
      <c r="D4506" s="445"/>
      <c r="E4506" s="530"/>
      <c r="F4506" s="447"/>
    </row>
    <row r="4507" spans="1:7" s="310" customFormat="1" x14ac:dyDescent="0.15">
      <c r="A4507" s="701"/>
      <c r="B4507" s="702"/>
      <c r="C4507" s="345" t="s">
        <v>1446</v>
      </c>
      <c r="D4507" s="445"/>
      <c r="E4507" s="530"/>
      <c r="F4507" s="447"/>
    </row>
    <row r="4508" spans="1:7" s="310" customFormat="1" x14ac:dyDescent="0.15">
      <c r="A4508" s="701"/>
      <c r="B4508" s="702"/>
      <c r="C4508" s="453">
        <v>42855</v>
      </c>
      <c r="D4508" s="445"/>
      <c r="E4508" s="530"/>
      <c r="F4508" s="447"/>
    </row>
    <row r="4509" spans="1:7" s="310" customFormat="1" x14ac:dyDescent="0.15">
      <c r="A4509" s="701"/>
      <c r="B4509" s="702"/>
      <c r="C4509" s="445"/>
      <c r="D4509" s="445"/>
      <c r="E4509" s="530"/>
      <c r="F4509" s="447"/>
    </row>
    <row r="4510" spans="1:7" s="310" customFormat="1" ht="14" thickBot="1" x14ac:dyDescent="0.2">
      <c r="A4510" s="708"/>
      <c r="B4510" s="709"/>
      <c r="C4510" s="710" t="s">
        <v>1196</v>
      </c>
      <c r="D4510" s="710"/>
      <c r="E4510" s="711">
        <f>SUM(E4475,E4504)</f>
        <v>187118.5</v>
      </c>
      <c r="F4510" s="712">
        <f>SUM(F4475,F4504)</f>
        <v>33082.890000000007</v>
      </c>
    </row>
    <row r="4511" spans="1:7" s="310" customFormat="1" x14ac:dyDescent="0.15">
      <c r="A4511" s="701"/>
      <c r="B4511" s="702"/>
      <c r="C4511" s="463"/>
      <c r="D4511" s="463"/>
      <c r="E4511" s="713"/>
      <c r="F4511" s="714"/>
    </row>
    <row r="4512" spans="1:7" s="310" customFormat="1" x14ac:dyDescent="0.15">
      <c r="A4512" s="698" t="s">
        <v>1534</v>
      </c>
      <c r="B4512" s="699" t="s">
        <v>1614</v>
      </c>
      <c r="C4512" s="441" t="s">
        <v>1492</v>
      </c>
      <c r="D4512" s="441" t="s">
        <v>1239</v>
      </c>
      <c r="E4512" s="700">
        <v>10160</v>
      </c>
      <c r="F4512" s="443">
        <v>1530.11</v>
      </c>
    </row>
    <row r="4513" spans="1:6" s="310" customFormat="1" x14ac:dyDescent="0.15">
      <c r="A4513" s="701" t="s">
        <v>1535</v>
      </c>
      <c r="B4513" s="702" t="s">
        <v>1615</v>
      </c>
      <c r="C4513" s="445" t="s">
        <v>1507</v>
      </c>
      <c r="D4513" s="445" t="s">
        <v>1245</v>
      </c>
      <c r="E4513" s="703">
        <v>2440</v>
      </c>
      <c r="F4513" s="447">
        <v>406.89</v>
      </c>
    </row>
    <row r="4514" spans="1:6" s="310" customFormat="1" x14ac:dyDescent="0.15">
      <c r="A4514" s="701" t="s">
        <v>1670</v>
      </c>
      <c r="B4514" s="702" t="s">
        <v>1659</v>
      </c>
      <c r="C4514" s="445" t="s">
        <v>1279</v>
      </c>
      <c r="D4514" s="445" t="s">
        <v>1660</v>
      </c>
      <c r="E4514" s="703">
        <v>7840</v>
      </c>
      <c r="F4514" s="447">
        <v>1157.45</v>
      </c>
    </row>
    <row r="4515" spans="1:6" s="310" customFormat="1" x14ac:dyDescent="0.15">
      <c r="A4515" s="701" t="s">
        <v>1536</v>
      </c>
      <c r="B4515" s="702" t="s">
        <v>1616</v>
      </c>
      <c r="C4515" s="445" t="s">
        <v>1479</v>
      </c>
      <c r="D4515" s="445" t="s">
        <v>1231</v>
      </c>
      <c r="E4515" s="703">
        <v>3973</v>
      </c>
      <c r="F4515" s="447">
        <v>611.16</v>
      </c>
    </row>
    <row r="4516" spans="1:6" s="310" customFormat="1" x14ac:dyDescent="0.15">
      <c r="A4516" s="701" t="s">
        <v>1537</v>
      </c>
      <c r="B4516" s="702" t="s">
        <v>1617</v>
      </c>
      <c r="C4516" s="445" t="s">
        <v>1269</v>
      </c>
      <c r="D4516" s="445" t="s">
        <v>1270</v>
      </c>
      <c r="E4516" s="703">
        <v>3045</v>
      </c>
      <c r="F4516" s="447">
        <v>508.65</v>
      </c>
    </row>
    <row r="4517" spans="1:6" s="310" customFormat="1" x14ac:dyDescent="0.15">
      <c r="A4517" s="701" t="s">
        <v>1538</v>
      </c>
      <c r="B4517" s="702" t="s">
        <v>1618</v>
      </c>
      <c r="C4517" s="445" t="s">
        <v>1517</v>
      </c>
      <c r="D4517" s="445" t="s">
        <v>1518</v>
      </c>
      <c r="E4517" s="703">
        <v>4</v>
      </c>
      <c r="F4517" s="447">
        <v>30.41</v>
      </c>
    </row>
    <row r="4518" spans="1:6" s="310" customFormat="1" x14ac:dyDescent="0.15">
      <c r="A4518" s="701" t="s">
        <v>1540</v>
      </c>
      <c r="B4518" s="702" t="s">
        <v>1620</v>
      </c>
      <c r="C4518" s="445" t="s">
        <v>1257</v>
      </c>
      <c r="D4518" s="445" t="s">
        <v>1258</v>
      </c>
      <c r="E4518" s="703">
        <v>19200</v>
      </c>
      <c r="F4518" s="447">
        <v>2747.62</v>
      </c>
    </row>
    <row r="4519" spans="1:6" s="310" customFormat="1" x14ac:dyDescent="0.15">
      <c r="A4519" s="701" t="s">
        <v>1541</v>
      </c>
      <c r="B4519" s="702" t="s">
        <v>1621</v>
      </c>
      <c r="C4519" s="445" t="s">
        <v>1586</v>
      </c>
      <c r="D4519" s="445" t="s">
        <v>1500</v>
      </c>
      <c r="E4519" s="703">
        <v>2960</v>
      </c>
      <c r="F4519" s="447">
        <v>548.17999999999995</v>
      </c>
    </row>
    <row r="4520" spans="1:6" s="310" customFormat="1" x14ac:dyDescent="0.15">
      <c r="A4520" s="701" t="s">
        <v>1542</v>
      </c>
      <c r="B4520" s="702" t="s">
        <v>1622</v>
      </c>
      <c r="C4520" s="445" t="s">
        <v>1240</v>
      </c>
      <c r="D4520" s="445" t="s">
        <v>1467</v>
      </c>
      <c r="E4520" s="703">
        <v>3373</v>
      </c>
      <c r="F4520" s="447">
        <v>517.92999999999995</v>
      </c>
    </row>
    <row r="4521" spans="1:6" s="310" customFormat="1" x14ac:dyDescent="0.15">
      <c r="A4521" s="701" t="s">
        <v>1543</v>
      </c>
      <c r="B4521" s="702" t="s">
        <v>1623</v>
      </c>
      <c r="C4521" s="445" t="s">
        <v>1523</v>
      </c>
      <c r="D4521" s="445" t="s">
        <v>1266</v>
      </c>
      <c r="E4521" s="703">
        <v>704</v>
      </c>
      <c r="F4521" s="447">
        <v>157.88999999999999</v>
      </c>
    </row>
    <row r="4522" spans="1:6" s="310" customFormat="1" x14ac:dyDescent="0.15">
      <c r="A4522" s="701" t="s">
        <v>1715</v>
      </c>
      <c r="B4522" s="702" t="s">
        <v>1716</v>
      </c>
      <c r="C4522" s="445" t="s">
        <v>1328</v>
      </c>
      <c r="D4522" s="445" t="s">
        <v>1329</v>
      </c>
      <c r="E4522" s="703">
        <v>111</v>
      </c>
      <c r="F4522" s="447">
        <v>28.09</v>
      </c>
    </row>
    <row r="4523" spans="1:6" s="310" customFormat="1" x14ac:dyDescent="0.15">
      <c r="A4523" s="701" t="s">
        <v>1544</v>
      </c>
      <c r="B4523" s="702" t="s">
        <v>1624</v>
      </c>
      <c r="C4523" s="445" t="s">
        <v>1234</v>
      </c>
      <c r="D4523" s="445" t="s">
        <v>1494</v>
      </c>
      <c r="E4523" s="703">
        <v>3594</v>
      </c>
      <c r="F4523" s="447">
        <v>652.87</v>
      </c>
    </row>
    <row r="4524" spans="1:6" s="310" customFormat="1" x14ac:dyDescent="0.15">
      <c r="A4524" s="701" t="s">
        <v>1601</v>
      </c>
      <c r="B4524" s="702"/>
      <c r="C4524" s="445" t="s">
        <v>1334</v>
      </c>
      <c r="D4524" s="445" t="s">
        <v>1462</v>
      </c>
      <c r="E4524" s="703">
        <v>2528.8000000000002</v>
      </c>
      <c r="F4524" s="447">
        <v>584.07000000000005</v>
      </c>
    </row>
    <row r="4525" spans="1:6" s="310" customFormat="1" x14ac:dyDescent="0.15">
      <c r="A4525" s="701" t="s">
        <v>1545</v>
      </c>
      <c r="B4525" s="702"/>
      <c r="C4525" s="445" t="s">
        <v>1234</v>
      </c>
      <c r="D4525" s="445" t="s">
        <v>1494</v>
      </c>
      <c r="E4525" s="703">
        <v>57.7</v>
      </c>
      <c r="F4525" s="447">
        <v>16.260000000000002</v>
      </c>
    </row>
    <row r="4526" spans="1:6" s="310" customFormat="1" x14ac:dyDescent="0.15">
      <c r="A4526" s="701" t="s">
        <v>1602</v>
      </c>
      <c r="B4526" s="702"/>
      <c r="C4526" s="445" t="s">
        <v>1334</v>
      </c>
      <c r="D4526" s="445" t="s">
        <v>1462</v>
      </c>
      <c r="E4526" s="703">
        <v>141</v>
      </c>
      <c r="F4526" s="447">
        <v>45.21</v>
      </c>
    </row>
    <row r="4527" spans="1:6" s="310" customFormat="1" x14ac:dyDescent="0.15">
      <c r="A4527" s="701" t="s">
        <v>1546</v>
      </c>
      <c r="B4527" s="702"/>
      <c r="C4527" s="445" t="s">
        <v>1586</v>
      </c>
      <c r="D4527" s="445" t="s">
        <v>1500</v>
      </c>
      <c r="E4527" s="703">
        <v>66</v>
      </c>
      <c r="F4527" s="447">
        <v>26.66</v>
      </c>
    </row>
    <row r="4528" spans="1:6" s="310" customFormat="1" x14ac:dyDescent="0.15">
      <c r="A4528" s="701" t="s">
        <v>1549</v>
      </c>
      <c r="B4528" s="702" t="s">
        <v>1625</v>
      </c>
      <c r="C4528" s="445" t="s">
        <v>1459</v>
      </c>
      <c r="D4528" s="445" t="s">
        <v>1251</v>
      </c>
      <c r="E4528" s="703">
        <v>1396</v>
      </c>
      <c r="F4528" s="447">
        <v>252.44</v>
      </c>
    </row>
    <row r="4529" spans="1:6" s="310" customFormat="1" x14ac:dyDescent="0.15">
      <c r="A4529" s="701" t="s">
        <v>1603</v>
      </c>
      <c r="B4529" s="702"/>
      <c r="C4529" s="445" t="s">
        <v>1334</v>
      </c>
      <c r="D4529" s="445" t="s">
        <v>1462</v>
      </c>
      <c r="E4529" s="703">
        <v>1057.5999999999999</v>
      </c>
      <c r="F4529" s="447">
        <v>261</v>
      </c>
    </row>
    <row r="4530" spans="1:6" s="310" customFormat="1" x14ac:dyDescent="0.15">
      <c r="A4530" s="701" t="s">
        <v>1597</v>
      </c>
      <c r="B4530" s="702" t="s">
        <v>1626</v>
      </c>
      <c r="C4530" s="445" t="s">
        <v>1454</v>
      </c>
      <c r="D4530" s="445" t="s">
        <v>1247</v>
      </c>
      <c r="E4530" s="703">
        <v>3920</v>
      </c>
      <c r="F4530" s="447">
        <v>653.91999999999996</v>
      </c>
    </row>
    <row r="4531" spans="1:6" s="310" customFormat="1" x14ac:dyDescent="0.15">
      <c r="A4531" s="701" t="s">
        <v>1677</v>
      </c>
      <c r="B4531" s="702" t="s">
        <v>1678</v>
      </c>
      <c r="C4531" s="445" t="s">
        <v>1313</v>
      </c>
      <c r="D4531" s="445" t="s">
        <v>1412</v>
      </c>
      <c r="E4531" s="703">
        <v>1070</v>
      </c>
      <c r="F4531" s="447">
        <v>211.22</v>
      </c>
    </row>
    <row r="4532" spans="1:6" s="310" customFormat="1" x14ac:dyDescent="0.15">
      <c r="A4532" s="701" t="s">
        <v>1551</v>
      </c>
      <c r="B4532" s="702" t="s">
        <v>1627</v>
      </c>
      <c r="C4532" s="445" t="s">
        <v>1235</v>
      </c>
      <c r="D4532" s="445" t="s">
        <v>1236</v>
      </c>
      <c r="E4532" s="703">
        <v>6972</v>
      </c>
      <c r="F4532" s="447">
        <v>1053.01</v>
      </c>
    </row>
    <row r="4533" spans="1:6" s="310" customFormat="1" x14ac:dyDescent="0.15">
      <c r="A4533" s="701" t="s">
        <v>1553</v>
      </c>
      <c r="B4533" s="702" t="s">
        <v>1628</v>
      </c>
      <c r="C4533" s="445" t="s">
        <v>1475</v>
      </c>
      <c r="D4533" s="445" t="s">
        <v>1387</v>
      </c>
      <c r="E4533" s="703">
        <v>901</v>
      </c>
      <c r="F4533" s="447">
        <v>178.87</v>
      </c>
    </row>
    <row r="4534" spans="1:6" s="310" customFormat="1" x14ac:dyDescent="0.15">
      <c r="A4534" s="701" t="s">
        <v>1554</v>
      </c>
      <c r="B4534" s="702" t="s">
        <v>1629</v>
      </c>
      <c r="C4534" s="445" t="s">
        <v>1399</v>
      </c>
      <c r="D4534" s="445" t="s">
        <v>1276</v>
      </c>
      <c r="E4534" s="703">
        <v>3280</v>
      </c>
      <c r="F4534" s="447">
        <v>580.75</v>
      </c>
    </row>
    <row r="4535" spans="1:6" s="310" customFormat="1" x14ac:dyDescent="0.15">
      <c r="A4535" s="701" t="s">
        <v>1598</v>
      </c>
      <c r="B4535" s="702"/>
      <c r="C4535" s="445" t="s">
        <v>1586</v>
      </c>
      <c r="D4535" s="445" t="s">
        <v>1500</v>
      </c>
      <c r="E4535" s="703">
        <v>33</v>
      </c>
      <c r="F4535" s="447">
        <v>15.19</v>
      </c>
    </row>
    <row r="4536" spans="1:6" s="310" customFormat="1" x14ac:dyDescent="0.15">
      <c r="A4536" s="701" t="s">
        <v>1662</v>
      </c>
      <c r="B4536" s="704">
        <v>892914652</v>
      </c>
      <c r="C4536" s="445" t="s">
        <v>1663</v>
      </c>
      <c r="D4536" s="445" t="s">
        <v>1664</v>
      </c>
      <c r="E4536" s="703">
        <v>12800</v>
      </c>
      <c r="F4536" s="447">
        <v>2024.22</v>
      </c>
    </row>
    <row r="4537" spans="1:6" s="310" customFormat="1" ht="14" thickBot="1" x14ac:dyDescent="0.2">
      <c r="A4537" s="701"/>
      <c r="B4537" s="702"/>
      <c r="C4537" s="313" t="s">
        <v>1653</v>
      </c>
      <c r="D4537" s="445"/>
      <c r="E4537" s="705">
        <f>SUM(E4512:E4536)</f>
        <v>91627.1</v>
      </c>
      <c r="F4537" s="706">
        <f>SUM(F4512:F4536)</f>
        <v>14800.07</v>
      </c>
    </row>
    <row r="4538" spans="1:6" s="310" customFormat="1" ht="14" thickTop="1" x14ac:dyDescent="0.15">
      <c r="A4538" s="701"/>
      <c r="B4538" s="702"/>
      <c r="C4538" s="445"/>
      <c r="D4538" s="445"/>
      <c r="E4538" s="530"/>
      <c r="F4538" s="447"/>
    </row>
    <row r="4539" spans="1:6" s="310" customFormat="1" x14ac:dyDescent="0.15">
      <c r="A4539" s="701" t="s">
        <v>1556</v>
      </c>
      <c r="B4539" s="702" t="s">
        <v>1631</v>
      </c>
      <c r="C4539" s="445" t="s">
        <v>1248</v>
      </c>
      <c r="D4539" s="445" t="s">
        <v>1482</v>
      </c>
      <c r="E4539" s="703">
        <v>3389</v>
      </c>
      <c r="F4539" s="447">
        <v>640.04</v>
      </c>
    </row>
    <row r="4540" spans="1:6" s="310" customFormat="1" x14ac:dyDescent="0.15">
      <c r="A4540" s="701" t="s">
        <v>1714</v>
      </c>
      <c r="B4540" s="702"/>
      <c r="C4540" s="445" t="s">
        <v>1267</v>
      </c>
      <c r="D4540" s="445" t="s">
        <v>1268</v>
      </c>
      <c r="E4540" s="703">
        <f>2.4+30.6</f>
        <v>33</v>
      </c>
      <c r="F4540" s="447">
        <v>10.549999999999999</v>
      </c>
    </row>
    <row r="4541" spans="1:6" s="310" customFormat="1" x14ac:dyDescent="0.15">
      <c r="A4541" s="701" t="s">
        <v>1558</v>
      </c>
      <c r="B4541" s="702" t="s">
        <v>1633</v>
      </c>
      <c r="C4541" s="445" t="s">
        <v>1469</v>
      </c>
      <c r="D4541" s="445" t="s">
        <v>1470</v>
      </c>
      <c r="E4541" s="703">
        <v>4640</v>
      </c>
      <c r="F4541" s="447">
        <v>863.75</v>
      </c>
    </row>
    <row r="4542" spans="1:6" s="310" customFormat="1" x14ac:dyDescent="0.15">
      <c r="A4542" s="701" t="s">
        <v>1559</v>
      </c>
      <c r="B4542" s="702" t="s">
        <v>1634</v>
      </c>
      <c r="C4542" s="445" t="s">
        <v>1502</v>
      </c>
      <c r="D4542" s="445" t="s">
        <v>1381</v>
      </c>
      <c r="E4542" s="703">
        <v>10752</v>
      </c>
      <c r="F4542" s="447">
        <v>1677.92</v>
      </c>
    </row>
    <row r="4543" spans="1:6" s="310" customFormat="1" x14ac:dyDescent="0.15">
      <c r="A4543" s="701" t="s">
        <v>1560</v>
      </c>
      <c r="B4543" s="702" t="s">
        <v>1635</v>
      </c>
      <c r="C4543" s="445" t="s">
        <v>1504</v>
      </c>
      <c r="D4543" s="445" t="s">
        <v>1505</v>
      </c>
      <c r="E4543" s="703">
        <v>1548</v>
      </c>
      <c r="F4543" s="447">
        <v>291.99</v>
      </c>
    </row>
    <row r="4544" spans="1:6" s="310" customFormat="1" x14ac:dyDescent="0.15">
      <c r="A4544" s="701" t="s">
        <v>1675</v>
      </c>
      <c r="B4544" s="702" t="s">
        <v>1676</v>
      </c>
      <c r="C4544" s="445" t="s">
        <v>1477</v>
      </c>
      <c r="D4544" s="445" t="s">
        <v>1289</v>
      </c>
      <c r="E4544" s="703">
        <v>9910</v>
      </c>
      <c r="F4544" s="447">
        <v>1681.36</v>
      </c>
    </row>
    <row r="4545" spans="1:6" s="310" customFormat="1" x14ac:dyDescent="0.15">
      <c r="A4545" s="701" t="s">
        <v>1564</v>
      </c>
      <c r="B4545" s="702" t="s">
        <v>1636</v>
      </c>
      <c r="C4545" s="445" t="s">
        <v>1485</v>
      </c>
      <c r="D4545" s="445" t="s">
        <v>1486</v>
      </c>
      <c r="E4545" s="703">
        <v>1200</v>
      </c>
      <c r="F4545" s="447">
        <v>280.66000000000003</v>
      </c>
    </row>
    <row r="4546" spans="1:6" s="310" customFormat="1" x14ac:dyDescent="0.15">
      <c r="A4546" s="701" t="s">
        <v>1565</v>
      </c>
      <c r="B4546" s="702" t="s">
        <v>1637</v>
      </c>
      <c r="C4546" s="445" t="s">
        <v>1267</v>
      </c>
      <c r="D4546" s="445" t="s">
        <v>1268</v>
      </c>
      <c r="E4546" s="703">
        <v>1846</v>
      </c>
      <c r="F4546" s="447">
        <v>366.45</v>
      </c>
    </row>
    <row r="4547" spans="1:6" s="310" customFormat="1" x14ac:dyDescent="0.15">
      <c r="A4547" s="701" t="s">
        <v>1569</v>
      </c>
      <c r="B4547" s="702" t="s">
        <v>1638</v>
      </c>
      <c r="C4547" s="445" t="s">
        <v>1464</v>
      </c>
      <c r="D4547" s="445" t="s">
        <v>1285</v>
      </c>
      <c r="E4547" s="703">
        <v>897</v>
      </c>
      <c r="F4547" s="447">
        <v>201.61</v>
      </c>
    </row>
    <row r="4548" spans="1:6" s="310" customFormat="1" x14ac:dyDescent="0.15">
      <c r="A4548" s="701" t="s">
        <v>1711</v>
      </c>
      <c r="B4548" s="702" t="s">
        <v>1712</v>
      </c>
      <c r="C4548" s="445" t="s">
        <v>1713</v>
      </c>
      <c r="D4548" s="445" t="s">
        <v>1419</v>
      </c>
      <c r="E4548" s="703">
        <v>699</v>
      </c>
      <c r="F4548" s="447">
        <v>138.75</v>
      </c>
    </row>
    <row r="4549" spans="1:6" s="310" customFormat="1" x14ac:dyDescent="0.15">
      <c r="A4549" s="701" t="s">
        <v>1570</v>
      </c>
      <c r="B4549" s="702" t="s">
        <v>1639</v>
      </c>
      <c r="C4549" s="445" t="s">
        <v>1472</v>
      </c>
      <c r="D4549" s="445" t="s">
        <v>1473</v>
      </c>
      <c r="E4549" s="703">
        <v>109</v>
      </c>
      <c r="F4549" s="447">
        <v>41.1</v>
      </c>
    </row>
    <row r="4550" spans="1:6" s="310" customFormat="1" x14ac:dyDescent="0.15">
      <c r="A4550" s="701" t="s">
        <v>1571</v>
      </c>
      <c r="B4550" s="702" t="s">
        <v>1640</v>
      </c>
      <c r="C4550" s="445" t="s">
        <v>1489</v>
      </c>
      <c r="D4550" s="445" t="s">
        <v>1490</v>
      </c>
      <c r="E4550" s="703">
        <v>158</v>
      </c>
      <c r="F4550" s="447">
        <v>46.08</v>
      </c>
    </row>
    <row r="4551" spans="1:6" s="310" customFormat="1" x14ac:dyDescent="0.15">
      <c r="A4551" s="701" t="s">
        <v>1572</v>
      </c>
      <c r="B4551" s="702" t="s">
        <v>1641</v>
      </c>
      <c r="C4551" s="445" t="s">
        <v>1271</v>
      </c>
      <c r="D4551" s="445" t="s">
        <v>1272</v>
      </c>
      <c r="E4551" s="703">
        <v>4454</v>
      </c>
      <c r="F4551" s="447">
        <v>772.56</v>
      </c>
    </row>
    <row r="4552" spans="1:6" s="310" customFormat="1" x14ac:dyDescent="0.15">
      <c r="A4552" s="701" t="s">
        <v>1573</v>
      </c>
      <c r="B4552" s="702"/>
      <c r="C4552" s="445" t="s">
        <v>1461</v>
      </c>
      <c r="D4552" s="445" t="s">
        <v>1703</v>
      </c>
      <c r="E4552" s="703">
        <v>26</v>
      </c>
      <c r="F4552" s="447">
        <v>16.34</v>
      </c>
    </row>
    <row r="4553" spans="1:6" s="310" customFormat="1" x14ac:dyDescent="0.15">
      <c r="A4553" s="701" t="s">
        <v>1574</v>
      </c>
      <c r="B4553" s="702" t="s">
        <v>1642</v>
      </c>
      <c r="C4553" s="445" t="s">
        <v>1377</v>
      </c>
      <c r="D4553" s="445" t="s">
        <v>1378</v>
      </c>
      <c r="E4553" s="703">
        <v>1417</v>
      </c>
      <c r="F4553" s="447">
        <v>270.64</v>
      </c>
    </row>
    <row r="4554" spans="1:6" s="310" customFormat="1" x14ac:dyDescent="0.15">
      <c r="A4554" s="701" t="s">
        <v>1575</v>
      </c>
      <c r="B4554" s="702" t="s">
        <v>1685</v>
      </c>
      <c r="C4554" s="445" t="s">
        <v>1448</v>
      </c>
      <c r="D4554" s="445" t="s">
        <v>1449</v>
      </c>
      <c r="E4554" s="703">
        <v>9</v>
      </c>
      <c r="F4554" s="447">
        <v>7.7</v>
      </c>
    </row>
    <row r="4555" spans="1:6" s="310" customFormat="1" x14ac:dyDescent="0.15">
      <c r="A4555" s="701" t="s">
        <v>1604</v>
      </c>
      <c r="B4555" s="702"/>
      <c r="C4555" s="445" t="s">
        <v>1334</v>
      </c>
      <c r="D4555" s="445" t="s">
        <v>1462</v>
      </c>
      <c r="E4555" s="703">
        <v>165</v>
      </c>
      <c r="F4555" s="447">
        <v>60.97</v>
      </c>
    </row>
    <row r="4556" spans="1:6" s="310" customFormat="1" x14ac:dyDescent="0.15">
      <c r="A4556" s="701" t="s">
        <v>1576</v>
      </c>
      <c r="B4556" s="702" t="s">
        <v>1644</v>
      </c>
      <c r="C4556" s="445" t="s">
        <v>1401</v>
      </c>
      <c r="D4556" s="445" t="s">
        <v>1316</v>
      </c>
      <c r="E4556" s="703">
        <v>76</v>
      </c>
      <c r="F4556" s="447">
        <v>37.74</v>
      </c>
    </row>
    <row r="4557" spans="1:6" s="310" customFormat="1" x14ac:dyDescent="0.15">
      <c r="A4557" s="701" t="s">
        <v>1605</v>
      </c>
      <c r="B4557" s="702"/>
      <c r="C4557" s="445" t="s">
        <v>1334</v>
      </c>
      <c r="D4557" s="445" t="s">
        <v>1462</v>
      </c>
      <c r="E4557" s="703">
        <v>438.6</v>
      </c>
      <c r="F4557" s="447">
        <v>161.36000000000001</v>
      </c>
    </row>
    <row r="4558" spans="1:6" s="310" customFormat="1" x14ac:dyDescent="0.15">
      <c r="A4558" s="701" t="s">
        <v>1578</v>
      </c>
      <c r="B4558" s="702" t="s">
        <v>1646</v>
      </c>
      <c r="C4558" s="445" t="s">
        <v>1579</v>
      </c>
      <c r="D4558" s="445" t="s">
        <v>1497</v>
      </c>
      <c r="E4558" s="703">
        <v>0</v>
      </c>
      <c r="F4558" s="447">
        <v>0</v>
      </c>
    </row>
    <row r="4559" spans="1:6" s="310" customFormat="1" x14ac:dyDescent="0.15">
      <c r="A4559" s="701" t="s">
        <v>1580</v>
      </c>
      <c r="B4559" s="702" t="s">
        <v>1647</v>
      </c>
      <c r="C4559" s="445" t="s">
        <v>1451</v>
      </c>
      <c r="D4559" s="445" t="s">
        <v>1674</v>
      </c>
      <c r="E4559" s="703">
        <v>1920</v>
      </c>
      <c r="F4559" s="447">
        <v>2088.42</v>
      </c>
    </row>
    <row r="4560" spans="1:6" s="310" customFormat="1" x14ac:dyDescent="0.15">
      <c r="A4560" s="701" t="s">
        <v>1581</v>
      </c>
      <c r="B4560" s="702" t="s">
        <v>1648</v>
      </c>
      <c r="C4560" s="445" t="s">
        <v>1521</v>
      </c>
      <c r="D4560" s="445" t="s">
        <v>1229</v>
      </c>
      <c r="E4560" s="703">
        <v>1737</v>
      </c>
      <c r="F4560" s="447">
        <v>279.13</v>
      </c>
    </row>
    <row r="4561" spans="1:7" s="310" customFormat="1" x14ac:dyDescent="0.15">
      <c r="A4561" s="701" t="s">
        <v>1717</v>
      </c>
      <c r="B4561" s="702" t="s">
        <v>1718</v>
      </c>
      <c r="C4561" s="445" t="s">
        <v>1719</v>
      </c>
      <c r="D4561" s="445" t="s">
        <v>1720</v>
      </c>
      <c r="E4561" s="703">
        <v>457</v>
      </c>
      <c r="F4561" s="447">
        <v>102.25</v>
      </c>
      <c r="G4561" s="688">
        <f>F4561/E4561</f>
        <v>0.22374179431072211</v>
      </c>
    </row>
    <row r="4562" spans="1:7" s="310" customFormat="1" x14ac:dyDescent="0.15">
      <c r="A4562" s="701" t="s">
        <v>1582</v>
      </c>
      <c r="B4562" s="702" t="s">
        <v>1649</v>
      </c>
      <c r="C4562" s="445" t="s">
        <v>1525</v>
      </c>
      <c r="D4562" s="445" t="s">
        <v>1526</v>
      </c>
      <c r="E4562" s="703">
        <v>26</v>
      </c>
      <c r="F4562" s="447">
        <v>10.89</v>
      </c>
    </row>
    <row r="4563" spans="1:7" s="310" customFormat="1" ht="14" x14ac:dyDescent="0.15">
      <c r="A4563" s="701" t="s">
        <v>1583</v>
      </c>
      <c r="B4563" s="702" t="s">
        <v>1650</v>
      </c>
      <c r="C4563" s="445" t="s">
        <v>1584</v>
      </c>
      <c r="D4563" s="707" t="s">
        <v>1264</v>
      </c>
      <c r="E4563" s="703">
        <v>1280</v>
      </c>
      <c r="F4563" s="447">
        <v>256.67</v>
      </c>
    </row>
    <row r="4564" spans="1:7" s="310" customFormat="1" x14ac:dyDescent="0.15">
      <c r="A4564" s="701" t="s">
        <v>1666</v>
      </c>
      <c r="B4564" s="702" t="s">
        <v>1672</v>
      </c>
      <c r="C4564" s="445" t="s">
        <v>1667</v>
      </c>
      <c r="D4564" s="445" t="s">
        <v>1668</v>
      </c>
      <c r="E4564" s="703">
        <v>12864</v>
      </c>
      <c r="F4564" s="447">
        <v>3941.41</v>
      </c>
    </row>
    <row r="4565" spans="1:7" s="310" customFormat="1" x14ac:dyDescent="0.15">
      <c r="A4565" s="701" t="s">
        <v>1606</v>
      </c>
      <c r="B4565" s="702"/>
      <c r="C4565" s="445" t="s">
        <v>1334</v>
      </c>
      <c r="D4565" s="445" t="s">
        <v>1462</v>
      </c>
      <c r="E4565" s="703">
        <v>57.7</v>
      </c>
      <c r="F4565" s="447">
        <v>12.74</v>
      </c>
    </row>
    <row r="4566" spans="1:7" s="310" customFormat="1" ht="14" thickBot="1" x14ac:dyDescent="0.2">
      <c r="A4566" s="701"/>
      <c r="B4566" s="702"/>
      <c r="C4566" s="313" t="s">
        <v>1654</v>
      </c>
      <c r="D4566" s="445"/>
      <c r="E4566" s="705">
        <f>SUM(E4539:E4565)</f>
        <v>60108.299999999996</v>
      </c>
      <c r="F4566" s="706">
        <f>SUM(F4539:F4565)</f>
        <v>14259.079999999998</v>
      </c>
    </row>
    <row r="4567" spans="1:7" s="310" customFormat="1" ht="14" thickTop="1" x14ac:dyDescent="0.15">
      <c r="A4567" s="701"/>
      <c r="B4567" s="702"/>
      <c r="C4567" s="445"/>
      <c r="D4567" s="445"/>
      <c r="E4567" s="530"/>
      <c r="F4567" s="447"/>
    </row>
    <row r="4568" spans="1:7" s="310" customFormat="1" x14ac:dyDescent="0.15">
      <c r="A4568" s="701"/>
      <c r="B4568" s="702"/>
      <c r="C4568" s="345" t="s">
        <v>1441</v>
      </c>
      <c r="D4568" s="445"/>
      <c r="E4568" s="530"/>
      <c r="F4568" s="447"/>
    </row>
    <row r="4569" spans="1:7" s="310" customFormat="1" x14ac:dyDescent="0.15">
      <c r="A4569" s="701"/>
      <c r="B4569" s="702"/>
      <c r="C4569" s="345" t="s">
        <v>1446</v>
      </c>
      <c r="D4569" s="445"/>
      <c r="E4569" s="530"/>
      <c r="F4569" s="447"/>
    </row>
    <row r="4570" spans="1:7" s="310" customFormat="1" x14ac:dyDescent="0.15">
      <c r="A4570" s="701"/>
      <c r="B4570" s="702"/>
      <c r="C4570" s="453">
        <v>42155</v>
      </c>
      <c r="D4570" s="445"/>
      <c r="E4570" s="530"/>
      <c r="F4570" s="447"/>
    </row>
    <row r="4571" spans="1:7" s="310" customFormat="1" x14ac:dyDescent="0.15">
      <c r="A4571" s="701"/>
      <c r="B4571" s="702"/>
      <c r="C4571" s="445"/>
      <c r="D4571" s="445"/>
      <c r="E4571" s="530"/>
      <c r="F4571" s="447"/>
    </row>
    <row r="4572" spans="1:7" s="310" customFormat="1" ht="14" thickBot="1" x14ac:dyDescent="0.2">
      <c r="A4572" s="708"/>
      <c r="B4572" s="709"/>
      <c r="C4572" s="710" t="s">
        <v>1173</v>
      </c>
      <c r="D4572" s="710"/>
      <c r="E4572" s="711">
        <f>SUM(E4537,E4566)</f>
        <v>151735.4</v>
      </c>
      <c r="F4572" s="712">
        <f>SUM(F4537,F4566)</f>
        <v>29059.149999999998</v>
      </c>
    </row>
    <row r="4573" spans="1:7" s="310" customFormat="1" x14ac:dyDescent="0.15">
      <c r="A4573" s="701"/>
      <c r="B4573" s="702"/>
      <c r="C4573" s="463"/>
      <c r="D4573" s="463"/>
      <c r="E4573" s="713"/>
      <c r="F4573" s="714"/>
    </row>
    <row r="4574" spans="1:7" s="310" customFormat="1" x14ac:dyDescent="0.15">
      <c r="A4574" s="698" t="s">
        <v>1534</v>
      </c>
      <c r="B4574" s="699" t="s">
        <v>1614</v>
      </c>
      <c r="C4574" s="441" t="s">
        <v>1492</v>
      </c>
      <c r="D4574" s="441" t="s">
        <v>1239</v>
      </c>
      <c r="E4574" s="700">
        <v>11360</v>
      </c>
      <c r="F4574" s="443">
        <v>1652.31</v>
      </c>
    </row>
    <row r="4575" spans="1:7" s="310" customFormat="1" x14ac:dyDescent="0.15">
      <c r="A4575" s="701" t="s">
        <v>1535</v>
      </c>
      <c r="B4575" s="702" t="s">
        <v>1615</v>
      </c>
      <c r="C4575" s="445" t="s">
        <v>1507</v>
      </c>
      <c r="D4575" s="445" t="s">
        <v>1245</v>
      </c>
      <c r="E4575" s="703">
        <v>1960</v>
      </c>
      <c r="F4575" s="447">
        <v>358.03</v>
      </c>
    </row>
    <row r="4576" spans="1:7" s="310" customFormat="1" x14ac:dyDescent="0.15">
      <c r="A4576" s="701" t="s">
        <v>1670</v>
      </c>
      <c r="B4576" s="702" t="s">
        <v>1659</v>
      </c>
      <c r="C4576" s="445" t="s">
        <v>1279</v>
      </c>
      <c r="D4576" s="445" t="s">
        <v>1660</v>
      </c>
      <c r="E4576" s="703">
        <v>7040</v>
      </c>
      <c r="F4576" s="447">
        <v>1493.54</v>
      </c>
    </row>
    <row r="4577" spans="1:6" s="310" customFormat="1" x14ac:dyDescent="0.15">
      <c r="A4577" s="701" t="s">
        <v>1536</v>
      </c>
      <c r="B4577" s="702" t="s">
        <v>1616</v>
      </c>
      <c r="C4577" s="445" t="s">
        <v>1479</v>
      </c>
      <c r="D4577" s="445" t="s">
        <v>1231</v>
      </c>
      <c r="E4577" s="703">
        <v>2915</v>
      </c>
      <c r="F4577" s="447">
        <v>447.23</v>
      </c>
    </row>
    <row r="4578" spans="1:6" s="310" customFormat="1" x14ac:dyDescent="0.15">
      <c r="A4578" s="701" t="s">
        <v>1537</v>
      </c>
      <c r="B4578" s="702" t="s">
        <v>1617</v>
      </c>
      <c r="C4578" s="445" t="s">
        <v>1269</v>
      </c>
      <c r="D4578" s="445" t="s">
        <v>1270</v>
      </c>
      <c r="E4578" s="703">
        <v>4034</v>
      </c>
      <c r="F4578" s="447">
        <v>673.58</v>
      </c>
    </row>
    <row r="4579" spans="1:6" s="310" customFormat="1" x14ac:dyDescent="0.15">
      <c r="A4579" s="701" t="s">
        <v>1538</v>
      </c>
      <c r="B4579" s="702" t="s">
        <v>1618</v>
      </c>
      <c r="C4579" s="445" t="s">
        <v>1517</v>
      </c>
      <c r="D4579" s="445" t="s">
        <v>1518</v>
      </c>
      <c r="E4579" s="703">
        <v>5</v>
      </c>
      <c r="F4579" s="447">
        <v>30.49</v>
      </c>
    </row>
    <row r="4580" spans="1:6" s="310" customFormat="1" x14ac:dyDescent="0.15">
      <c r="A4580" s="701" t="s">
        <v>1540</v>
      </c>
      <c r="B4580" s="702" t="s">
        <v>1620</v>
      </c>
      <c r="C4580" s="445" t="s">
        <v>1257</v>
      </c>
      <c r="D4580" s="445" t="s">
        <v>1258</v>
      </c>
      <c r="E4580" s="703">
        <v>19440</v>
      </c>
      <c r="F4580" s="447">
        <v>2635.52</v>
      </c>
    </row>
    <row r="4581" spans="1:6" s="310" customFormat="1" x14ac:dyDescent="0.15">
      <c r="A4581" s="701" t="s">
        <v>1541</v>
      </c>
      <c r="B4581" s="702" t="s">
        <v>1621</v>
      </c>
      <c r="C4581" s="445" t="s">
        <v>1586</v>
      </c>
      <c r="D4581" s="445" t="s">
        <v>1500</v>
      </c>
      <c r="E4581" s="703">
        <v>3560</v>
      </c>
      <c r="F4581" s="447">
        <v>601.23</v>
      </c>
    </row>
    <row r="4582" spans="1:6" s="310" customFormat="1" x14ac:dyDescent="0.15">
      <c r="A4582" s="701" t="s">
        <v>1542</v>
      </c>
      <c r="B4582" s="702" t="s">
        <v>1622</v>
      </c>
      <c r="C4582" s="445" t="s">
        <v>1240</v>
      </c>
      <c r="D4582" s="445" t="s">
        <v>1467</v>
      </c>
      <c r="E4582" s="703">
        <v>3338</v>
      </c>
      <c r="F4582" s="447">
        <v>474.23</v>
      </c>
    </row>
    <row r="4583" spans="1:6" s="310" customFormat="1" x14ac:dyDescent="0.15">
      <c r="A4583" s="701" t="s">
        <v>1543</v>
      </c>
      <c r="B4583" s="702" t="s">
        <v>1623</v>
      </c>
      <c r="C4583" s="445" t="s">
        <v>1523</v>
      </c>
      <c r="D4583" s="445" t="s">
        <v>1266</v>
      </c>
      <c r="E4583" s="703">
        <v>1063</v>
      </c>
      <c r="F4583" s="447">
        <v>186.39</v>
      </c>
    </row>
    <row r="4584" spans="1:6" s="310" customFormat="1" x14ac:dyDescent="0.15">
      <c r="A4584" s="701" t="s">
        <v>1544</v>
      </c>
      <c r="B4584" s="702" t="s">
        <v>1624</v>
      </c>
      <c r="C4584" s="445" t="s">
        <v>1234</v>
      </c>
      <c r="D4584" s="445" t="s">
        <v>1494</v>
      </c>
      <c r="E4584" s="703">
        <v>4380</v>
      </c>
      <c r="F4584" s="447">
        <v>716.84</v>
      </c>
    </row>
    <row r="4585" spans="1:6" s="310" customFormat="1" x14ac:dyDescent="0.15">
      <c r="A4585" s="701" t="s">
        <v>1601</v>
      </c>
      <c r="B4585" s="702"/>
      <c r="C4585" s="445" t="s">
        <v>1334</v>
      </c>
      <c r="D4585" s="445" t="s">
        <v>1462</v>
      </c>
      <c r="E4585" s="703">
        <v>2264.9</v>
      </c>
      <c r="F4585" s="447">
        <v>552.45000000000005</v>
      </c>
    </row>
    <row r="4586" spans="1:6" s="310" customFormat="1" x14ac:dyDescent="0.15">
      <c r="A4586" s="701" t="s">
        <v>1545</v>
      </c>
      <c r="B4586" s="702"/>
      <c r="C4586" s="445" t="s">
        <v>1234</v>
      </c>
      <c r="D4586" s="445" t="s">
        <v>1494</v>
      </c>
      <c r="E4586" s="703">
        <v>51.7</v>
      </c>
      <c r="F4586" s="447">
        <v>15.54</v>
      </c>
    </row>
    <row r="4587" spans="1:6" s="310" customFormat="1" x14ac:dyDescent="0.15">
      <c r="A4587" s="701" t="s">
        <v>1602</v>
      </c>
      <c r="B4587" s="702"/>
      <c r="C4587" s="445" t="s">
        <v>1334</v>
      </c>
      <c r="D4587" s="445" t="s">
        <v>1462</v>
      </c>
      <c r="E4587" s="703">
        <v>126.6</v>
      </c>
      <c r="F4587" s="447">
        <v>43.5</v>
      </c>
    </row>
    <row r="4588" spans="1:6" s="310" customFormat="1" x14ac:dyDescent="0.15">
      <c r="A4588" s="701" t="s">
        <v>1546</v>
      </c>
      <c r="B4588" s="702"/>
      <c r="C4588" s="445" t="s">
        <v>1586</v>
      </c>
      <c r="D4588" s="445" t="s">
        <v>1500</v>
      </c>
      <c r="E4588" s="703">
        <v>59.2</v>
      </c>
      <c r="F4588" s="447">
        <v>25.84</v>
      </c>
    </row>
    <row r="4589" spans="1:6" s="310" customFormat="1" x14ac:dyDescent="0.15">
      <c r="A4589" s="701" t="s">
        <v>1549</v>
      </c>
      <c r="B4589" s="702" t="s">
        <v>1625</v>
      </c>
      <c r="C4589" s="445" t="s">
        <v>1459</v>
      </c>
      <c r="D4589" s="445" t="s">
        <v>1251</v>
      </c>
      <c r="E4589" s="703">
        <v>1301</v>
      </c>
      <c r="F4589" s="447">
        <v>242.75</v>
      </c>
    </row>
    <row r="4590" spans="1:6" s="310" customFormat="1" x14ac:dyDescent="0.15">
      <c r="A4590" s="701" t="s">
        <v>1603</v>
      </c>
      <c r="B4590" s="702"/>
      <c r="C4590" s="445" t="s">
        <v>1334</v>
      </c>
      <c r="D4590" s="445" t="s">
        <v>1462</v>
      </c>
      <c r="E4590" s="703">
        <v>948</v>
      </c>
      <c r="F4590" s="447">
        <v>247.88</v>
      </c>
    </row>
    <row r="4591" spans="1:6" s="310" customFormat="1" x14ac:dyDescent="0.15">
      <c r="A4591" s="701" t="s">
        <v>1597</v>
      </c>
      <c r="B4591" s="702" t="s">
        <v>1626</v>
      </c>
      <c r="C4591" s="445" t="s">
        <v>1454</v>
      </c>
      <c r="D4591" s="445" t="s">
        <v>1247</v>
      </c>
      <c r="E4591" s="703">
        <v>2680</v>
      </c>
      <c r="F4591" s="447">
        <v>447.39</v>
      </c>
    </row>
    <row r="4592" spans="1:6" s="310" customFormat="1" x14ac:dyDescent="0.15">
      <c r="A4592" s="701" t="s">
        <v>1677</v>
      </c>
      <c r="B4592" s="702" t="s">
        <v>1678</v>
      </c>
      <c r="C4592" s="445" t="s">
        <v>1313</v>
      </c>
      <c r="D4592" s="445" t="s">
        <v>1412</v>
      </c>
      <c r="E4592" s="703">
        <v>1091</v>
      </c>
      <c r="F4592" s="447">
        <v>197.28</v>
      </c>
    </row>
    <row r="4593" spans="1:6" s="310" customFormat="1" x14ac:dyDescent="0.15">
      <c r="A4593" s="701" t="s">
        <v>1551</v>
      </c>
      <c r="B4593" s="702" t="s">
        <v>1627</v>
      </c>
      <c r="C4593" s="445" t="s">
        <v>1235</v>
      </c>
      <c r="D4593" s="445" t="s">
        <v>1236</v>
      </c>
      <c r="E4593" s="703">
        <v>6143</v>
      </c>
      <c r="F4593" s="447">
        <v>848.15</v>
      </c>
    </row>
    <row r="4594" spans="1:6" s="310" customFormat="1" x14ac:dyDescent="0.15">
      <c r="A4594" s="701" t="s">
        <v>1553</v>
      </c>
      <c r="B4594" s="702" t="s">
        <v>1628</v>
      </c>
      <c r="C4594" s="445" t="s">
        <v>1475</v>
      </c>
      <c r="D4594" s="445" t="s">
        <v>1387</v>
      </c>
      <c r="E4594" s="703">
        <v>1319</v>
      </c>
      <c r="F4594" s="447">
        <v>261.86</v>
      </c>
    </row>
    <row r="4595" spans="1:6" s="310" customFormat="1" x14ac:dyDescent="0.15">
      <c r="A4595" s="701" t="s">
        <v>1554</v>
      </c>
      <c r="B4595" s="702" t="s">
        <v>1629</v>
      </c>
      <c r="C4595" s="445" t="s">
        <v>1399</v>
      </c>
      <c r="D4595" s="445" t="s">
        <v>1276</v>
      </c>
      <c r="E4595" s="703">
        <v>3165</v>
      </c>
      <c r="F4595" s="447">
        <v>569.04999999999995</v>
      </c>
    </row>
    <row r="4596" spans="1:6" s="310" customFormat="1" x14ac:dyDescent="0.15">
      <c r="A4596" s="701" t="s">
        <v>1598</v>
      </c>
      <c r="B4596" s="702"/>
      <c r="C4596" s="445" t="s">
        <v>1586</v>
      </c>
      <c r="D4596" s="445" t="s">
        <v>1500</v>
      </c>
      <c r="E4596" s="703">
        <v>29.6</v>
      </c>
      <c r="F4596" s="447">
        <v>14.74</v>
      </c>
    </row>
    <row r="4597" spans="1:6" s="310" customFormat="1" x14ac:dyDescent="0.15">
      <c r="A4597" s="701" t="s">
        <v>1662</v>
      </c>
      <c r="B4597" s="704">
        <v>892914652</v>
      </c>
      <c r="C4597" s="445" t="s">
        <v>1663</v>
      </c>
      <c r="D4597" s="445" t="s">
        <v>1664</v>
      </c>
      <c r="E4597" s="703">
        <v>17600</v>
      </c>
      <c r="F4597" s="447">
        <v>2585.38</v>
      </c>
    </row>
    <row r="4598" spans="1:6" s="310" customFormat="1" ht="14" thickBot="1" x14ac:dyDescent="0.2">
      <c r="A4598" s="701"/>
      <c r="B4598" s="702"/>
      <c r="C4598" s="313" t="s">
        <v>1655</v>
      </c>
      <c r="D4598" s="445"/>
      <c r="E4598" s="705">
        <f>SUM(E4574:E4597)</f>
        <v>95874</v>
      </c>
      <c r="F4598" s="706">
        <f>SUM(F4574:F4597)</f>
        <v>15321.2</v>
      </c>
    </row>
    <row r="4599" spans="1:6" s="310" customFormat="1" ht="14" thickTop="1" x14ac:dyDescent="0.15">
      <c r="A4599" s="701"/>
      <c r="B4599" s="702"/>
      <c r="C4599" s="445"/>
      <c r="D4599" s="445"/>
      <c r="E4599" s="530"/>
      <c r="F4599" s="447"/>
    </row>
    <row r="4600" spans="1:6" s="310" customFormat="1" x14ac:dyDescent="0.15">
      <c r="A4600" s="701" t="s">
        <v>1556</v>
      </c>
      <c r="B4600" s="702" t="s">
        <v>1631</v>
      </c>
      <c r="C4600" s="445" t="s">
        <v>1248</v>
      </c>
      <c r="D4600" s="445" t="s">
        <v>1482</v>
      </c>
      <c r="E4600" s="703">
        <v>4683</v>
      </c>
      <c r="F4600" s="447">
        <v>755.71</v>
      </c>
    </row>
    <row r="4601" spans="1:6" s="310" customFormat="1" x14ac:dyDescent="0.15">
      <c r="A4601" s="701" t="s">
        <v>1714</v>
      </c>
      <c r="B4601" s="702"/>
      <c r="C4601" s="445" t="s">
        <v>1267</v>
      </c>
      <c r="D4601" s="445" t="s">
        <v>1268</v>
      </c>
      <c r="E4601" s="703">
        <f>4.5+25.1</f>
        <v>29.6</v>
      </c>
      <c r="F4601" s="447">
        <v>10.25</v>
      </c>
    </row>
    <row r="4602" spans="1:6" s="310" customFormat="1" x14ac:dyDescent="0.15">
      <c r="A4602" s="701" t="s">
        <v>1558</v>
      </c>
      <c r="B4602" s="702" t="s">
        <v>1633</v>
      </c>
      <c r="C4602" s="445" t="s">
        <v>1469</v>
      </c>
      <c r="D4602" s="445" t="s">
        <v>1470</v>
      </c>
      <c r="E4602" s="703">
        <v>5600</v>
      </c>
      <c r="F4602" s="447">
        <v>953.47</v>
      </c>
    </row>
    <row r="4603" spans="1:6" s="310" customFormat="1" x14ac:dyDescent="0.15">
      <c r="A4603" s="701" t="s">
        <v>1559</v>
      </c>
      <c r="B4603" s="702" t="s">
        <v>1634</v>
      </c>
      <c r="C4603" s="445" t="s">
        <v>1502</v>
      </c>
      <c r="D4603" s="445" t="s">
        <v>1381</v>
      </c>
      <c r="E4603" s="703">
        <v>14496</v>
      </c>
      <c r="F4603" s="447">
        <v>2084.9</v>
      </c>
    </row>
    <row r="4604" spans="1:6" s="310" customFormat="1" x14ac:dyDescent="0.15">
      <c r="A4604" s="701" t="s">
        <v>1560</v>
      </c>
      <c r="B4604" s="702" t="s">
        <v>1635</v>
      </c>
      <c r="C4604" s="445" t="s">
        <v>1504</v>
      </c>
      <c r="D4604" s="445" t="s">
        <v>1505</v>
      </c>
      <c r="E4604" s="703">
        <v>1889</v>
      </c>
      <c r="F4604" s="447">
        <v>310.64999999999998</v>
      </c>
    </row>
    <row r="4605" spans="1:6" s="310" customFormat="1" x14ac:dyDescent="0.15">
      <c r="A4605" s="701" t="s">
        <v>1675</v>
      </c>
      <c r="B4605" s="702" t="s">
        <v>1676</v>
      </c>
      <c r="C4605" s="445" t="s">
        <v>1477</v>
      </c>
      <c r="D4605" s="445" t="s">
        <v>1289</v>
      </c>
      <c r="E4605" s="703">
        <v>13190</v>
      </c>
      <c r="F4605" s="447">
        <v>1999.22</v>
      </c>
    </row>
    <row r="4606" spans="1:6" s="310" customFormat="1" x14ac:dyDescent="0.15">
      <c r="A4606" s="701" t="s">
        <v>1564</v>
      </c>
      <c r="B4606" s="702" t="s">
        <v>1636</v>
      </c>
      <c r="C4606" s="445" t="s">
        <v>1485</v>
      </c>
      <c r="D4606" s="445" t="s">
        <v>1486</v>
      </c>
      <c r="E4606" s="703">
        <v>1920</v>
      </c>
      <c r="F4606" s="447">
        <v>402.12</v>
      </c>
    </row>
    <row r="4607" spans="1:6" s="310" customFormat="1" x14ac:dyDescent="0.15">
      <c r="A4607" s="701" t="s">
        <v>1565</v>
      </c>
      <c r="B4607" s="702" t="s">
        <v>1637</v>
      </c>
      <c r="C4607" s="445" t="s">
        <v>1267</v>
      </c>
      <c r="D4607" s="445" t="s">
        <v>1268</v>
      </c>
      <c r="E4607" s="703">
        <v>2668</v>
      </c>
      <c r="F4607" s="447">
        <v>529.65</v>
      </c>
    </row>
    <row r="4608" spans="1:6" s="310" customFormat="1" x14ac:dyDescent="0.15">
      <c r="A4608" s="701" t="s">
        <v>1569</v>
      </c>
      <c r="B4608" s="702" t="s">
        <v>1638</v>
      </c>
      <c r="C4608" s="445" t="s">
        <v>1464</v>
      </c>
      <c r="D4608" s="445" t="s">
        <v>1285</v>
      </c>
      <c r="E4608" s="703">
        <v>1215</v>
      </c>
      <c r="F4608" s="447">
        <v>274.16000000000003</v>
      </c>
    </row>
    <row r="4609" spans="1:7" s="310" customFormat="1" x14ac:dyDescent="0.15">
      <c r="A4609" s="701" t="s">
        <v>1711</v>
      </c>
      <c r="B4609" s="702" t="s">
        <v>1712</v>
      </c>
      <c r="C4609" s="445" t="s">
        <v>1713</v>
      </c>
      <c r="D4609" s="445" t="s">
        <v>1419</v>
      </c>
      <c r="E4609" s="703">
        <v>783</v>
      </c>
      <c r="F4609" s="447">
        <v>155.43</v>
      </c>
    </row>
    <row r="4610" spans="1:7" s="310" customFormat="1" x14ac:dyDescent="0.15">
      <c r="A4610" s="701" t="s">
        <v>1570</v>
      </c>
      <c r="B4610" s="702" t="s">
        <v>1639</v>
      </c>
      <c r="C4610" s="445" t="s">
        <v>1472</v>
      </c>
      <c r="D4610" s="445" t="s">
        <v>1473</v>
      </c>
      <c r="E4610" s="703">
        <v>113</v>
      </c>
      <c r="F4610" s="447">
        <v>41.49</v>
      </c>
    </row>
    <row r="4611" spans="1:7" s="310" customFormat="1" x14ac:dyDescent="0.15">
      <c r="A4611" s="701" t="s">
        <v>1571</v>
      </c>
      <c r="B4611" s="702" t="s">
        <v>1640</v>
      </c>
      <c r="C4611" s="445" t="s">
        <v>1489</v>
      </c>
      <c r="D4611" s="445" t="s">
        <v>1490</v>
      </c>
      <c r="E4611" s="703">
        <v>164</v>
      </c>
      <c r="F4611" s="447">
        <v>46.71</v>
      </c>
    </row>
    <row r="4612" spans="1:7" s="310" customFormat="1" x14ac:dyDescent="0.15">
      <c r="A4612" s="701" t="s">
        <v>1572</v>
      </c>
      <c r="B4612" s="702" t="s">
        <v>1641</v>
      </c>
      <c r="C4612" s="445" t="s">
        <v>1271</v>
      </c>
      <c r="D4612" s="445" t="s">
        <v>1272</v>
      </c>
      <c r="E4612" s="703">
        <v>6864</v>
      </c>
      <c r="F4612" s="447">
        <v>1042.01</v>
      </c>
    </row>
    <row r="4613" spans="1:7" s="310" customFormat="1" x14ac:dyDescent="0.15">
      <c r="A4613" s="701" t="s">
        <v>1573</v>
      </c>
      <c r="B4613" s="702"/>
      <c r="C4613" s="445" t="s">
        <v>1461</v>
      </c>
      <c r="D4613" s="445" t="s">
        <v>1703</v>
      </c>
      <c r="E4613" s="703">
        <v>26</v>
      </c>
      <c r="F4613" s="447">
        <v>16.34</v>
      </c>
    </row>
    <row r="4614" spans="1:7" s="310" customFormat="1" x14ac:dyDescent="0.15">
      <c r="A4614" s="701" t="s">
        <v>1574</v>
      </c>
      <c r="B4614" s="702" t="s">
        <v>1642</v>
      </c>
      <c r="C4614" s="445" t="s">
        <v>1377</v>
      </c>
      <c r="D4614" s="445" t="s">
        <v>1378</v>
      </c>
      <c r="E4614" s="703">
        <v>1946</v>
      </c>
      <c r="F4614" s="447">
        <v>316.47000000000003</v>
      </c>
    </row>
    <row r="4615" spans="1:7" s="310" customFormat="1" x14ac:dyDescent="0.15">
      <c r="A4615" s="701" t="s">
        <v>1575</v>
      </c>
      <c r="B4615" s="702" t="s">
        <v>1685</v>
      </c>
      <c r="C4615" s="445" t="s">
        <v>1448</v>
      </c>
      <c r="D4615" s="445" t="s">
        <v>1449</v>
      </c>
      <c r="E4615" s="703">
        <v>322</v>
      </c>
      <c r="F4615" s="447">
        <v>66.709999999999994</v>
      </c>
    </row>
    <row r="4616" spans="1:7" s="310" customFormat="1" x14ac:dyDescent="0.15">
      <c r="A4616" s="701" t="s">
        <v>1604</v>
      </c>
      <c r="B4616" s="702"/>
      <c r="C4616" s="445" t="s">
        <v>1334</v>
      </c>
      <c r="D4616" s="445" t="s">
        <v>1462</v>
      </c>
      <c r="E4616" s="703">
        <v>148</v>
      </c>
      <c r="F4616" s="447">
        <v>58.95</v>
      </c>
    </row>
    <row r="4617" spans="1:7" s="310" customFormat="1" x14ac:dyDescent="0.15">
      <c r="A4617" s="701" t="s">
        <v>1576</v>
      </c>
      <c r="B4617" s="702" t="s">
        <v>1644</v>
      </c>
      <c r="C4617" s="445" t="s">
        <v>1401</v>
      </c>
      <c r="D4617" s="445" t="s">
        <v>1316</v>
      </c>
      <c r="E4617" s="703">
        <v>86</v>
      </c>
      <c r="F4617" s="447">
        <v>38.76</v>
      </c>
    </row>
    <row r="4618" spans="1:7" s="310" customFormat="1" x14ac:dyDescent="0.15">
      <c r="A4618" s="701" t="s">
        <v>1605</v>
      </c>
      <c r="B4618" s="702"/>
      <c r="C4618" s="445" t="s">
        <v>1334</v>
      </c>
      <c r="D4618" s="445" t="s">
        <v>1462</v>
      </c>
      <c r="E4618" s="703">
        <v>388.8</v>
      </c>
      <c r="F4618" s="447">
        <v>153.88999999999999</v>
      </c>
    </row>
    <row r="4619" spans="1:7" s="310" customFormat="1" x14ac:dyDescent="0.15">
      <c r="A4619" s="701" t="s">
        <v>1578</v>
      </c>
      <c r="B4619" s="702" t="s">
        <v>1646</v>
      </c>
      <c r="C4619" s="445" t="s">
        <v>1579</v>
      </c>
      <c r="D4619" s="445" t="s">
        <v>1497</v>
      </c>
      <c r="E4619" s="703">
        <v>6</v>
      </c>
      <c r="F4619" s="447">
        <v>60.61</v>
      </c>
    </row>
    <row r="4620" spans="1:7" s="310" customFormat="1" x14ac:dyDescent="0.15">
      <c r="A4620" s="701" t="s">
        <v>1580</v>
      </c>
      <c r="B4620" s="702" t="s">
        <v>1647</v>
      </c>
      <c r="C4620" s="445" t="s">
        <v>1451</v>
      </c>
      <c r="D4620" s="445" t="s">
        <v>1674</v>
      </c>
      <c r="E4620" s="703">
        <v>768</v>
      </c>
      <c r="F4620" s="447">
        <v>1963.12</v>
      </c>
    </row>
    <row r="4621" spans="1:7" s="310" customFormat="1" x14ac:dyDescent="0.15">
      <c r="A4621" s="701" t="s">
        <v>1581</v>
      </c>
      <c r="B4621" s="702" t="s">
        <v>1648</v>
      </c>
      <c r="C4621" s="445" t="s">
        <v>1521</v>
      </c>
      <c r="D4621" s="445" t="s">
        <v>1229</v>
      </c>
      <c r="E4621" s="703">
        <v>2025</v>
      </c>
      <c r="F4621" s="447">
        <v>308.42</v>
      </c>
    </row>
    <row r="4622" spans="1:7" s="310" customFormat="1" x14ac:dyDescent="0.15">
      <c r="A4622" s="701" t="s">
        <v>1717</v>
      </c>
      <c r="B4622" s="702" t="s">
        <v>1718</v>
      </c>
      <c r="C4622" s="445" t="s">
        <v>1719</v>
      </c>
      <c r="D4622" s="445" t="s">
        <v>1720</v>
      </c>
      <c r="E4622" s="703">
        <v>810</v>
      </c>
      <c r="F4622" s="447">
        <v>144.88</v>
      </c>
      <c r="G4622" s="688">
        <f>F4622/E4622</f>
        <v>0.17886419753086419</v>
      </c>
    </row>
    <row r="4623" spans="1:7" s="310" customFormat="1" x14ac:dyDescent="0.15">
      <c r="A4623" s="701" t="s">
        <v>1582</v>
      </c>
      <c r="B4623" s="702" t="s">
        <v>1649</v>
      </c>
      <c r="C4623" s="445" t="s">
        <v>1525</v>
      </c>
      <c r="D4623" s="445" t="s">
        <v>1526</v>
      </c>
      <c r="E4623" s="703">
        <v>41</v>
      </c>
      <c r="F4623" s="447">
        <v>13.72</v>
      </c>
    </row>
    <row r="4624" spans="1:7" s="310" customFormat="1" ht="14" x14ac:dyDescent="0.15">
      <c r="A4624" s="701" t="s">
        <v>1583</v>
      </c>
      <c r="B4624" s="702" t="s">
        <v>1650</v>
      </c>
      <c r="C4624" s="445" t="s">
        <v>1584</v>
      </c>
      <c r="D4624" s="707" t="s">
        <v>1264</v>
      </c>
      <c r="E4624" s="703">
        <v>2400</v>
      </c>
      <c r="F4624" s="447">
        <v>370.69</v>
      </c>
    </row>
    <row r="4625" spans="1:6" s="310" customFormat="1" x14ac:dyDescent="0.15">
      <c r="A4625" s="701" t="s">
        <v>1666</v>
      </c>
      <c r="B4625" s="702" t="s">
        <v>1672</v>
      </c>
      <c r="C4625" s="445" t="s">
        <v>1667</v>
      </c>
      <c r="D4625" s="445" t="s">
        <v>1668</v>
      </c>
      <c r="E4625" s="703">
        <v>12096</v>
      </c>
      <c r="F4625" s="447">
        <v>2160.83</v>
      </c>
    </row>
    <row r="4626" spans="1:6" s="310" customFormat="1" x14ac:dyDescent="0.15">
      <c r="A4626" s="701" t="s">
        <v>1606</v>
      </c>
      <c r="B4626" s="702"/>
      <c r="C4626" s="445" t="s">
        <v>1334</v>
      </c>
      <c r="D4626" s="445" t="s">
        <v>1462</v>
      </c>
      <c r="E4626" s="703">
        <v>51.7</v>
      </c>
      <c r="F4626" s="447">
        <v>12.02</v>
      </c>
    </row>
    <row r="4627" spans="1:6" s="310" customFormat="1" ht="14" thickBot="1" x14ac:dyDescent="0.2">
      <c r="A4627" s="701"/>
      <c r="B4627" s="702"/>
      <c r="C4627" s="313" t="s">
        <v>1656</v>
      </c>
      <c r="D4627" s="445"/>
      <c r="E4627" s="705">
        <f>SUM(E4600:E4626)</f>
        <v>74729.099999999991</v>
      </c>
      <c r="F4627" s="706">
        <f>SUM(F4600:F4626)</f>
        <v>14291.179999999998</v>
      </c>
    </row>
    <row r="4628" spans="1:6" s="310" customFormat="1" ht="14" thickTop="1" x14ac:dyDescent="0.15">
      <c r="A4628" s="701"/>
      <c r="B4628" s="702"/>
      <c r="C4628" s="445"/>
      <c r="D4628" s="445"/>
      <c r="E4628" s="530"/>
      <c r="F4628" s="447"/>
    </row>
    <row r="4629" spans="1:6" s="310" customFormat="1" x14ac:dyDescent="0.15">
      <c r="A4629" s="701"/>
      <c r="B4629" s="702"/>
      <c r="C4629" s="345" t="s">
        <v>1441</v>
      </c>
      <c r="D4629" s="445"/>
      <c r="E4629" s="530"/>
      <c r="F4629" s="447"/>
    </row>
    <row r="4630" spans="1:6" s="310" customFormat="1" x14ac:dyDescent="0.15">
      <c r="A4630" s="701"/>
      <c r="B4630" s="702"/>
      <c r="C4630" s="345" t="s">
        <v>1446</v>
      </c>
      <c r="D4630" s="445"/>
      <c r="E4630" s="530"/>
      <c r="F4630" s="447"/>
    </row>
    <row r="4631" spans="1:6" s="310" customFormat="1" x14ac:dyDescent="0.15">
      <c r="A4631" s="701"/>
      <c r="B4631" s="702"/>
      <c r="C4631" s="453">
        <v>42916</v>
      </c>
      <c r="D4631" s="445"/>
      <c r="E4631" s="530"/>
      <c r="F4631" s="447"/>
    </row>
    <row r="4632" spans="1:6" s="310" customFormat="1" x14ac:dyDescent="0.15">
      <c r="A4632" s="701"/>
      <c r="B4632" s="702"/>
      <c r="C4632" s="445"/>
      <c r="D4632" s="445"/>
      <c r="E4632" s="530"/>
      <c r="F4632" s="447"/>
    </row>
    <row r="4633" spans="1:6" s="310" customFormat="1" ht="14" thickBot="1" x14ac:dyDescent="0.2">
      <c r="A4633" s="708"/>
      <c r="B4633" s="709"/>
      <c r="C4633" s="710" t="s">
        <v>1174</v>
      </c>
      <c r="D4633" s="710"/>
      <c r="E4633" s="711">
        <f>SUM(E4598,E4627)</f>
        <v>170603.09999999998</v>
      </c>
      <c r="F4633" s="712">
        <f>SUM(F4598,F4627)</f>
        <v>29612.379999999997</v>
      </c>
    </row>
  </sheetData>
  <mergeCells count="5">
    <mergeCell ref="A920:F920"/>
    <mergeCell ref="A1704:F1704"/>
    <mergeCell ref="A2438:F2438"/>
    <mergeCell ref="A3160:F3160"/>
    <mergeCell ref="A3897:F3897"/>
  </mergeCells>
  <printOptions horizontalCentered="1"/>
  <pageMargins left="0.25" right="0.25" top="0.5" bottom="0.5" header="0.25" footer="0.25"/>
  <pageSetup scale="91" orientation="portrait" r:id="rId1"/>
  <headerFooter alignWithMargins="0">
    <oddHeader>&amp;C&amp;"Arial,Bold"&amp;16****Please pay with next check run****</oddHeader>
    <oddFooter xml:space="preserve">&amp;L&amp;D&amp;CEversource
</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3:V421"/>
  <sheetViews>
    <sheetView topLeftCell="A374" workbookViewId="0">
      <selection activeCell="C419" sqref="C419"/>
    </sheetView>
  </sheetViews>
  <sheetFormatPr baseColWidth="10" defaultColWidth="8.83203125" defaultRowHeight="13" x14ac:dyDescent="0.15"/>
  <cols>
    <col min="1" max="1" width="11.6640625" style="103" bestFit="1" customWidth="1"/>
    <col min="2" max="2" width="11.1640625" style="103" customWidth="1"/>
    <col min="3" max="3" width="8.83203125" style="103"/>
    <col min="4" max="4" width="10.6640625" style="103" customWidth="1"/>
    <col min="5" max="5" width="9.83203125" style="103" bestFit="1" customWidth="1"/>
    <col min="6" max="6" width="11.1640625" style="103" customWidth="1"/>
    <col min="7" max="7" width="10.33203125" style="103" customWidth="1"/>
    <col min="8" max="8" width="9.83203125" style="103" bestFit="1" customWidth="1"/>
    <col min="9" max="9" width="9" style="103" bestFit="1" customWidth="1"/>
    <col min="10" max="10" width="8.83203125" style="103"/>
    <col min="11" max="11" width="9.6640625" style="103" customWidth="1"/>
    <col min="12" max="12" width="9" style="103" bestFit="1" customWidth="1"/>
    <col min="13" max="14" width="9" style="103" customWidth="1"/>
    <col min="15" max="15" width="9.6640625" style="103" customWidth="1"/>
    <col min="16" max="17" width="9" style="103" bestFit="1" customWidth="1"/>
    <col min="18" max="258" width="8.83203125" style="103"/>
    <col min="259" max="259" width="13.6640625" style="103" customWidth="1"/>
    <col min="260" max="260" width="10.6640625" style="103" customWidth="1"/>
    <col min="261" max="261" width="8.83203125" style="103"/>
    <col min="262" max="262" width="10.6640625" style="103" customWidth="1"/>
    <col min="263" max="263" width="9.5" style="103" bestFit="1" customWidth="1"/>
    <col min="264" max="264" width="11.1640625" style="103" customWidth="1"/>
    <col min="265" max="265" width="10.33203125" style="103" customWidth="1"/>
    <col min="266" max="266" width="9.83203125" style="103" bestFit="1" customWidth="1"/>
    <col min="267" max="267" width="9" style="103" bestFit="1" customWidth="1"/>
    <col min="268" max="514" width="8.83203125" style="103"/>
    <col min="515" max="515" width="13.6640625" style="103" customWidth="1"/>
    <col min="516" max="516" width="10.6640625" style="103" customWidth="1"/>
    <col min="517" max="517" width="8.83203125" style="103"/>
    <col min="518" max="518" width="10.6640625" style="103" customWidth="1"/>
    <col min="519" max="519" width="9.5" style="103" bestFit="1" customWidth="1"/>
    <col min="520" max="520" width="11.1640625" style="103" customWidth="1"/>
    <col min="521" max="521" width="10.33203125" style="103" customWidth="1"/>
    <col min="522" max="522" width="9.83203125" style="103" bestFit="1" customWidth="1"/>
    <col min="523" max="523" width="9" style="103" bestFit="1" customWidth="1"/>
    <col min="524" max="770" width="8.83203125" style="103"/>
    <col min="771" max="771" width="13.6640625" style="103" customWidth="1"/>
    <col min="772" max="772" width="10.6640625" style="103" customWidth="1"/>
    <col min="773" max="773" width="8.83203125" style="103"/>
    <col min="774" max="774" width="10.6640625" style="103" customWidth="1"/>
    <col min="775" max="775" width="9.5" style="103" bestFit="1" customWidth="1"/>
    <col min="776" max="776" width="11.1640625" style="103" customWidth="1"/>
    <col min="777" max="777" width="10.33203125" style="103" customWidth="1"/>
    <col min="778" max="778" width="9.83203125" style="103" bestFit="1" customWidth="1"/>
    <col min="779" max="779" width="9" style="103" bestFit="1" customWidth="1"/>
    <col min="780" max="1026" width="8.83203125" style="103"/>
    <col min="1027" max="1027" width="13.6640625" style="103" customWidth="1"/>
    <col min="1028" max="1028" width="10.6640625" style="103" customWidth="1"/>
    <col min="1029" max="1029" width="8.83203125" style="103"/>
    <col min="1030" max="1030" width="10.6640625" style="103" customWidth="1"/>
    <col min="1031" max="1031" width="9.5" style="103" bestFit="1" customWidth="1"/>
    <col min="1032" max="1032" width="11.1640625" style="103" customWidth="1"/>
    <col min="1033" max="1033" width="10.33203125" style="103" customWidth="1"/>
    <col min="1034" max="1034" width="9.83203125" style="103" bestFit="1" customWidth="1"/>
    <col min="1035" max="1035" width="9" style="103" bestFit="1" customWidth="1"/>
    <col min="1036" max="1282" width="8.83203125" style="103"/>
    <col min="1283" max="1283" width="13.6640625" style="103" customWidth="1"/>
    <col min="1284" max="1284" width="10.6640625" style="103" customWidth="1"/>
    <col min="1285" max="1285" width="8.83203125" style="103"/>
    <col min="1286" max="1286" width="10.6640625" style="103" customWidth="1"/>
    <col min="1287" max="1287" width="9.5" style="103" bestFit="1" customWidth="1"/>
    <col min="1288" max="1288" width="11.1640625" style="103" customWidth="1"/>
    <col min="1289" max="1289" width="10.33203125" style="103" customWidth="1"/>
    <col min="1290" max="1290" width="9.83203125" style="103" bestFit="1" customWidth="1"/>
    <col min="1291" max="1291" width="9" style="103" bestFit="1" customWidth="1"/>
    <col min="1292" max="1538" width="8.83203125" style="103"/>
    <col min="1539" max="1539" width="13.6640625" style="103" customWidth="1"/>
    <col min="1540" max="1540" width="10.6640625" style="103" customWidth="1"/>
    <col min="1541" max="1541" width="8.83203125" style="103"/>
    <col min="1542" max="1542" width="10.6640625" style="103" customWidth="1"/>
    <col min="1543" max="1543" width="9.5" style="103" bestFit="1" customWidth="1"/>
    <col min="1544" max="1544" width="11.1640625" style="103" customWidth="1"/>
    <col min="1545" max="1545" width="10.33203125" style="103" customWidth="1"/>
    <col min="1546" max="1546" width="9.83203125" style="103" bestFit="1" customWidth="1"/>
    <col min="1547" max="1547" width="9" style="103" bestFit="1" customWidth="1"/>
    <col min="1548" max="1794" width="8.83203125" style="103"/>
    <col min="1795" max="1795" width="13.6640625" style="103" customWidth="1"/>
    <col min="1796" max="1796" width="10.6640625" style="103" customWidth="1"/>
    <col min="1797" max="1797" width="8.83203125" style="103"/>
    <col min="1798" max="1798" width="10.6640625" style="103" customWidth="1"/>
    <col min="1799" max="1799" width="9.5" style="103" bestFit="1" customWidth="1"/>
    <col min="1800" max="1800" width="11.1640625" style="103" customWidth="1"/>
    <col min="1801" max="1801" width="10.33203125" style="103" customWidth="1"/>
    <col min="1802" max="1802" width="9.83203125" style="103" bestFit="1" customWidth="1"/>
    <col min="1803" max="1803" width="9" style="103" bestFit="1" customWidth="1"/>
    <col min="1804" max="2050" width="8.83203125" style="103"/>
    <col min="2051" max="2051" width="13.6640625" style="103" customWidth="1"/>
    <col min="2052" max="2052" width="10.6640625" style="103" customWidth="1"/>
    <col min="2053" max="2053" width="8.83203125" style="103"/>
    <col min="2054" max="2054" width="10.6640625" style="103" customWidth="1"/>
    <col min="2055" max="2055" width="9.5" style="103" bestFit="1" customWidth="1"/>
    <col min="2056" max="2056" width="11.1640625" style="103" customWidth="1"/>
    <col min="2057" max="2057" width="10.33203125" style="103" customWidth="1"/>
    <col min="2058" max="2058" width="9.83203125" style="103" bestFit="1" customWidth="1"/>
    <col min="2059" max="2059" width="9" style="103" bestFit="1" customWidth="1"/>
    <col min="2060" max="2306" width="8.83203125" style="103"/>
    <col min="2307" max="2307" width="13.6640625" style="103" customWidth="1"/>
    <col min="2308" max="2308" width="10.6640625" style="103" customWidth="1"/>
    <col min="2309" max="2309" width="8.83203125" style="103"/>
    <col min="2310" max="2310" width="10.6640625" style="103" customWidth="1"/>
    <col min="2311" max="2311" width="9.5" style="103" bestFit="1" customWidth="1"/>
    <col min="2312" max="2312" width="11.1640625" style="103" customWidth="1"/>
    <col min="2313" max="2313" width="10.33203125" style="103" customWidth="1"/>
    <col min="2314" max="2314" width="9.83203125" style="103" bestFit="1" customWidth="1"/>
    <col min="2315" max="2315" width="9" style="103" bestFit="1" customWidth="1"/>
    <col min="2316" max="2562" width="8.83203125" style="103"/>
    <col min="2563" max="2563" width="13.6640625" style="103" customWidth="1"/>
    <col min="2564" max="2564" width="10.6640625" style="103" customWidth="1"/>
    <col min="2565" max="2565" width="8.83203125" style="103"/>
    <col min="2566" max="2566" width="10.6640625" style="103" customWidth="1"/>
    <col min="2567" max="2567" width="9.5" style="103" bestFit="1" customWidth="1"/>
    <col min="2568" max="2568" width="11.1640625" style="103" customWidth="1"/>
    <col min="2569" max="2569" width="10.33203125" style="103" customWidth="1"/>
    <col min="2570" max="2570" width="9.83203125" style="103" bestFit="1" customWidth="1"/>
    <col min="2571" max="2571" width="9" style="103" bestFit="1" customWidth="1"/>
    <col min="2572" max="2818" width="8.83203125" style="103"/>
    <col min="2819" max="2819" width="13.6640625" style="103" customWidth="1"/>
    <col min="2820" max="2820" width="10.6640625" style="103" customWidth="1"/>
    <col min="2821" max="2821" width="8.83203125" style="103"/>
    <col min="2822" max="2822" width="10.6640625" style="103" customWidth="1"/>
    <col min="2823" max="2823" width="9.5" style="103" bestFit="1" customWidth="1"/>
    <col min="2824" max="2824" width="11.1640625" style="103" customWidth="1"/>
    <col min="2825" max="2825" width="10.33203125" style="103" customWidth="1"/>
    <col min="2826" max="2826" width="9.83203125" style="103" bestFit="1" customWidth="1"/>
    <col min="2827" max="2827" width="9" style="103" bestFit="1" customWidth="1"/>
    <col min="2828" max="3074" width="8.83203125" style="103"/>
    <col min="3075" max="3075" width="13.6640625" style="103" customWidth="1"/>
    <col min="3076" max="3076" width="10.6640625" style="103" customWidth="1"/>
    <col min="3077" max="3077" width="8.83203125" style="103"/>
    <col min="3078" max="3078" width="10.6640625" style="103" customWidth="1"/>
    <col min="3079" max="3079" width="9.5" style="103" bestFit="1" customWidth="1"/>
    <col min="3080" max="3080" width="11.1640625" style="103" customWidth="1"/>
    <col min="3081" max="3081" width="10.33203125" style="103" customWidth="1"/>
    <col min="3082" max="3082" width="9.83203125" style="103" bestFit="1" customWidth="1"/>
    <col min="3083" max="3083" width="9" style="103" bestFit="1" customWidth="1"/>
    <col min="3084" max="3330" width="8.83203125" style="103"/>
    <col min="3331" max="3331" width="13.6640625" style="103" customWidth="1"/>
    <col min="3332" max="3332" width="10.6640625" style="103" customWidth="1"/>
    <col min="3333" max="3333" width="8.83203125" style="103"/>
    <col min="3334" max="3334" width="10.6640625" style="103" customWidth="1"/>
    <col min="3335" max="3335" width="9.5" style="103" bestFit="1" customWidth="1"/>
    <col min="3336" max="3336" width="11.1640625" style="103" customWidth="1"/>
    <col min="3337" max="3337" width="10.33203125" style="103" customWidth="1"/>
    <col min="3338" max="3338" width="9.83203125" style="103" bestFit="1" customWidth="1"/>
    <col min="3339" max="3339" width="9" style="103" bestFit="1" customWidth="1"/>
    <col min="3340" max="3586" width="8.83203125" style="103"/>
    <col min="3587" max="3587" width="13.6640625" style="103" customWidth="1"/>
    <col min="3588" max="3588" width="10.6640625" style="103" customWidth="1"/>
    <col min="3589" max="3589" width="8.83203125" style="103"/>
    <col min="3590" max="3590" width="10.6640625" style="103" customWidth="1"/>
    <col min="3591" max="3591" width="9.5" style="103" bestFit="1" customWidth="1"/>
    <col min="3592" max="3592" width="11.1640625" style="103" customWidth="1"/>
    <col min="3593" max="3593" width="10.33203125" style="103" customWidth="1"/>
    <col min="3594" max="3594" width="9.83203125" style="103" bestFit="1" customWidth="1"/>
    <col min="3595" max="3595" width="9" style="103" bestFit="1" customWidth="1"/>
    <col min="3596" max="3842" width="8.83203125" style="103"/>
    <col min="3843" max="3843" width="13.6640625" style="103" customWidth="1"/>
    <col min="3844" max="3844" width="10.6640625" style="103" customWidth="1"/>
    <col min="3845" max="3845" width="8.83203125" style="103"/>
    <col min="3846" max="3846" width="10.6640625" style="103" customWidth="1"/>
    <col min="3847" max="3847" width="9.5" style="103" bestFit="1" customWidth="1"/>
    <col min="3848" max="3848" width="11.1640625" style="103" customWidth="1"/>
    <col min="3849" max="3849" width="10.33203125" style="103" customWidth="1"/>
    <col min="3850" max="3850" width="9.83203125" style="103" bestFit="1" customWidth="1"/>
    <col min="3851" max="3851" width="9" style="103" bestFit="1" customWidth="1"/>
    <col min="3852" max="4098" width="8.83203125" style="103"/>
    <col min="4099" max="4099" width="13.6640625" style="103" customWidth="1"/>
    <col min="4100" max="4100" width="10.6640625" style="103" customWidth="1"/>
    <col min="4101" max="4101" width="8.83203125" style="103"/>
    <col min="4102" max="4102" width="10.6640625" style="103" customWidth="1"/>
    <col min="4103" max="4103" width="9.5" style="103" bestFit="1" customWidth="1"/>
    <col min="4104" max="4104" width="11.1640625" style="103" customWidth="1"/>
    <col min="4105" max="4105" width="10.33203125" style="103" customWidth="1"/>
    <col min="4106" max="4106" width="9.83203125" style="103" bestFit="1" customWidth="1"/>
    <col min="4107" max="4107" width="9" style="103" bestFit="1" customWidth="1"/>
    <col min="4108" max="4354" width="8.83203125" style="103"/>
    <col min="4355" max="4355" width="13.6640625" style="103" customWidth="1"/>
    <col min="4356" max="4356" width="10.6640625" style="103" customWidth="1"/>
    <col min="4357" max="4357" width="8.83203125" style="103"/>
    <col min="4358" max="4358" width="10.6640625" style="103" customWidth="1"/>
    <col min="4359" max="4359" width="9.5" style="103" bestFit="1" customWidth="1"/>
    <col min="4360" max="4360" width="11.1640625" style="103" customWidth="1"/>
    <col min="4361" max="4361" width="10.33203125" style="103" customWidth="1"/>
    <col min="4362" max="4362" width="9.83203125" style="103" bestFit="1" customWidth="1"/>
    <col min="4363" max="4363" width="9" style="103" bestFit="1" customWidth="1"/>
    <col min="4364" max="4610" width="8.83203125" style="103"/>
    <col min="4611" max="4611" width="13.6640625" style="103" customWidth="1"/>
    <col min="4612" max="4612" width="10.6640625" style="103" customWidth="1"/>
    <col min="4613" max="4613" width="8.83203125" style="103"/>
    <col min="4614" max="4614" width="10.6640625" style="103" customWidth="1"/>
    <col min="4615" max="4615" width="9.5" style="103" bestFit="1" customWidth="1"/>
    <col min="4616" max="4616" width="11.1640625" style="103" customWidth="1"/>
    <col min="4617" max="4617" width="10.33203125" style="103" customWidth="1"/>
    <col min="4618" max="4618" width="9.83203125" style="103" bestFit="1" customWidth="1"/>
    <col min="4619" max="4619" width="9" style="103" bestFit="1" customWidth="1"/>
    <col min="4620" max="4866" width="8.83203125" style="103"/>
    <col min="4867" max="4867" width="13.6640625" style="103" customWidth="1"/>
    <col min="4868" max="4868" width="10.6640625" style="103" customWidth="1"/>
    <col min="4869" max="4869" width="8.83203125" style="103"/>
    <col min="4870" max="4870" width="10.6640625" style="103" customWidth="1"/>
    <col min="4871" max="4871" width="9.5" style="103" bestFit="1" customWidth="1"/>
    <col min="4872" max="4872" width="11.1640625" style="103" customWidth="1"/>
    <col min="4873" max="4873" width="10.33203125" style="103" customWidth="1"/>
    <col min="4874" max="4874" width="9.83203125" style="103" bestFit="1" customWidth="1"/>
    <col min="4875" max="4875" width="9" style="103" bestFit="1" customWidth="1"/>
    <col min="4876" max="5122" width="8.83203125" style="103"/>
    <col min="5123" max="5123" width="13.6640625" style="103" customWidth="1"/>
    <col min="5124" max="5124" width="10.6640625" style="103" customWidth="1"/>
    <col min="5125" max="5125" width="8.83203125" style="103"/>
    <col min="5126" max="5126" width="10.6640625" style="103" customWidth="1"/>
    <col min="5127" max="5127" width="9.5" style="103" bestFit="1" customWidth="1"/>
    <col min="5128" max="5128" width="11.1640625" style="103" customWidth="1"/>
    <col min="5129" max="5129" width="10.33203125" style="103" customWidth="1"/>
    <col min="5130" max="5130" width="9.83203125" style="103" bestFit="1" customWidth="1"/>
    <col min="5131" max="5131" width="9" style="103" bestFit="1" customWidth="1"/>
    <col min="5132" max="5378" width="8.83203125" style="103"/>
    <col min="5379" max="5379" width="13.6640625" style="103" customWidth="1"/>
    <col min="5380" max="5380" width="10.6640625" style="103" customWidth="1"/>
    <col min="5381" max="5381" width="8.83203125" style="103"/>
    <col min="5382" max="5382" width="10.6640625" style="103" customWidth="1"/>
    <col min="5383" max="5383" width="9.5" style="103" bestFit="1" customWidth="1"/>
    <col min="5384" max="5384" width="11.1640625" style="103" customWidth="1"/>
    <col min="5385" max="5385" width="10.33203125" style="103" customWidth="1"/>
    <col min="5386" max="5386" width="9.83203125" style="103" bestFit="1" customWidth="1"/>
    <col min="5387" max="5387" width="9" style="103" bestFit="1" customWidth="1"/>
    <col min="5388" max="5634" width="8.83203125" style="103"/>
    <col min="5635" max="5635" width="13.6640625" style="103" customWidth="1"/>
    <col min="5636" max="5636" width="10.6640625" style="103" customWidth="1"/>
    <col min="5637" max="5637" width="8.83203125" style="103"/>
    <col min="5638" max="5638" width="10.6640625" style="103" customWidth="1"/>
    <col min="5639" max="5639" width="9.5" style="103" bestFit="1" customWidth="1"/>
    <col min="5640" max="5640" width="11.1640625" style="103" customWidth="1"/>
    <col min="5641" max="5641" width="10.33203125" style="103" customWidth="1"/>
    <col min="5642" max="5642" width="9.83203125" style="103" bestFit="1" customWidth="1"/>
    <col min="5643" max="5643" width="9" style="103" bestFit="1" customWidth="1"/>
    <col min="5644" max="5890" width="8.83203125" style="103"/>
    <col min="5891" max="5891" width="13.6640625" style="103" customWidth="1"/>
    <col min="5892" max="5892" width="10.6640625" style="103" customWidth="1"/>
    <col min="5893" max="5893" width="8.83203125" style="103"/>
    <col min="5894" max="5894" width="10.6640625" style="103" customWidth="1"/>
    <col min="5895" max="5895" width="9.5" style="103" bestFit="1" customWidth="1"/>
    <col min="5896" max="5896" width="11.1640625" style="103" customWidth="1"/>
    <col min="5897" max="5897" width="10.33203125" style="103" customWidth="1"/>
    <col min="5898" max="5898" width="9.83203125" style="103" bestFit="1" customWidth="1"/>
    <col min="5899" max="5899" width="9" style="103" bestFit="1" customWidth="1"/>
    <col min="5900" max="6146" width="8.83203125" style="103"/>
    <col min="6147" max="6147" width="13.6640625" style="103" customWidth="1"/>
    <col min="6148" max="6148" width="10.6640625" style="103" customWidth="1"/>
    <col min="6149" max="6149" width="8.83203125" style="103"/>
    <col min="6150" max="6150" width="10.6640625" style="103" customWidth="1"/>
    <col min="6151" max="6151" width="9.5" style="103" bestFit="1" customWidth="1"/>
    <col min="6152" max="6152" width="11.1640625" style="103" customWidth="1"/>
    <col min="6153" max="6153" width="10.33203125" style="103" customWidth="1"/>
    <col min="6154" max="6154" width="9.83203125" style="103" bestFit="1" customWidth="1"/>
    <col min="6155" max="6155" width="9" style="103" bestFit="1" customWidth="1"/>
    <col min="6156" max="6402" width="8.83203125" style="103"/>
    <col min="6403" max="6403" width="13.6640625" style="103" customWidth="1"/>
    <col min="6404" max="6404" width="10.6640625" style="103" customWidth="1"/>
    <col min="6405" max="6405" width="8.83203125" style="103"/>
    <col min="6406" max="6406" width="10.6640625" style="103" customWidth="1"/>
    <col min="6407" max="6407" width="9.5" style="103" bestFit="1" customWidth="1"/>
    <col min="6408" max="6408" width="11.1640625" style="103" customWidth="1"/>
    <col min="6409" max="6409" width="10.33203125" style="103" customWidth="1"/>
    <col min="6410" max="6410" width="9.83203125" style="103" bestFit="1" customWidth="1"/>
    <col min="6411" max="6411" width="9" style="103" bestFit="1" customWidth="1"/>
    <col min="6412" max="6658" width="8.83203125" style="103"/>
    <col min="6659" max="6659" width="13.6640625" style="103" customWidth="1"/>
    <col min="6660" max="6660" width="10.6640625" style="103" customWidth="1"/>
    <col min="6661" max="6661" width="8.83203125" style="103"/>
    <col min="6662" max="6662" width="10.6640625" style="103" customWidth="1"/>
    <col min="6663" max="6663" width="9.5" style="103" bestFit="1" customWidth="1"/>
    <col min="6664" max="6664" width="11.1640625" style="103" customWidth="1"/>
    <col min="6665" max="6665" width="10.33203125" style="103" customWidth="1"/>
    <col min="6666" max="6666" width="9.83203125" style="103" bestFit="1" customWidth="1"/>
    <col min="6667" max="6667" width="9" style="103" bestFit="1" customWidth="1"/>
    <col min="6668" max="6914" width="8.83203125" style="103"/>
    <col min="6915" max="6915" width="13.6640625" style="103" customWidth="1"/>
    <col min="6916" max="6916" width="10.6640625" style="103" customWidth="1"/>
    <col min="6917" max="6917" width="8.83203125" style="103"/>
    <col min="6918" max="6918" width="10.6640625" style="103" customWidth="1"/>
    <col min="6919" max="6919" width="9.5" style="103" bestFit="1" customWidth="1"/>
    <col min="6920" max="6920" width="11.1640625" style="103" customWidth="1"/>
    <col min="6921" max="6921" width="10.33203125" style="103" customWidth="1"/>
    <col min="6922" max="6922" width="9.83203125" style="103" bestFit="1" customWidth="1"/>
    <col min="6923" max="6923" width="9" style="103" bestFit="1" customWidth="1"/>
    <col min="6924" max="7170" width="8.83203125" style="103"/>
    <col min="7171" max="7171" width="13.6640625" style="103" customWidth="1"/>
    <col min="7172" max="7172" width="10.6640625" style="103" customWidth="1"/>
    <col min="7173" max="7173" width="8.83203125" style="103"/>
    <col min="7174" max="7174" width="10.6640625" style="103" customWidth="1"/>
    <col min="7175" max="7175" width="9.5" style="103" bestFit="1" customWidth="1"/>
    <col min="7176" max="7176" width="11.1640625" style="103" customWidth="1"/>
    <col min="7177" max="7177" width="10.33203125" style="103" customWidth="1"/>
    <col min="7178" max="7178" width="9.83203125" style="103" bestFit="1" customWidth="1"/>
    <col min="7179" max="7179" width="9" style="103" bestFit="1" customWidth="1"/>
    <col min="7180" max="7426" width="8.83203125" style="103"/>
    <col min="7427" max="7427" width="13.6640625" style="103" customWidth="1"/>
    <col min="7428" max="7428" width="10.6640625" style="103" customWidth="1"/>
    <col min="7429" max="7429" width="8.83203125" style="103"/>
    <col min="7430" max="7430" width="10.6640625" style="103" customWidth="1"/>
    <col min="7431" max="7431" width="9.5" style="103" bestFit="1" customWidth="1"/>
    <col min="7432" max="7432" width="11.1640625" style="103" customWidth="1"/>
    <col min="7433" max="7433" width="10.33203125" style="103" customWidth="1"/>
    <col min="7434" max="7434" width="9.83203125" style="103" bestFit="1" customWidth="1"/>
    <col min="7435" max="7435" width="9" style="103" bestFit="1" customWidth="1"/>
    <col min="7436" max="7682" width="8.83203125" style="103"/>
    <col min="7683" max="7683" width="13.6640625" style="103" customWidth="1"/>
    <col min="7684" max="7684" width="10.6640625" style="103" customWidth="1"/>
    <col min="7685" max="7685" width="8.83203125" style="103"/>
    <col min="7686" max="7686" width="10.6640625" style="103" customWidth="1"/>
    <col min="7687" max="7687" width="9.5" style="103" bestFit="1" customWidth="1"/>
    <col min="7688" max="7688" width="11.1640625" style="103" customWidth="1"/>
    <col min="7689" max="7689" width="10.33203125" style="103" customWidth="1"/>
    <col min="7690" max="7690" width="9.83203125" style="103" bestFit="1" customWidth="1"/>
    <col min="7691" max="7691" width="9" style="103" bestFit="1" customWidth="1"/>
    <col min="7692" max="7938" width="8.83203125" style="103"/>
    <col min="7939" max="7939" width="13.6640625" style="103" customWidth="1"/>
    <col min="7940" max="7940" width="10.6640625" style="103" customWidth="1"/>
    <col min="7941" max="7941" width="8.83203125" style="103"/>
    <col min="7942" max="7942" width="10.6640625" style="103" customWidth="1"/>
    <col min="7943" max="7943" width="9.5" style="103" bestFit="1" customWidth="1"/>
    <col min="7944" max="7944" width="11.1640625" style="103" customWidth="1"/>
    <col min="7945" max="7945" width="10.33203125" style="103" customWidth="1"/>
    <col min="7946" max="7946" width="9.83203125" style="103" bestFit="1" customWidth="1"/>
    <col min="7947" max="7947" width="9" style="103" bestFit="1" customWidth="1"/>
    <col min="7948" max="8194" width="8.83203125" style="103"/>
    <col min="8195" max="8195" width="13.6640625" style="103" customWidth="1"/>
    <col min="8196" max="8196" width="10.6640625" style="103" customWidth="1"/>
    <col min="8197" max="8197" width="8.83203125" style="103"/>
    <col min="8198" max="8198" width="10.6640625" style="103" customWidth="1"/>
    <col min="8199" max="8199" width="9.5" style="103" bestFit="1" customWidth="1"/>
    <col min="8200" max="8200" width="11.1640625" style="103" customWidth="1"/>
    <col min="8201" max="8201" width="10.33203125" style="103" customWidth="1"/>
    <col min="8202" max="8202" width="9.83203125" style="103" bestFit="1" customWidth="1"/>
    <col min="8203" max="8203" width="9" style="103" bestFit="1" customWidth="1"/>
    <col min="8204" max="8450" width="8.83203125" style="103"/>
    <col min="8451" max="8451" width="13.6640625" style="103" customWidth="1"/>
    <col min="8452" max="8452" width="10.6640625" style="103" customWidth="1"/>
    <col min="8453" max="8453" width="8.83203125" style="103"/>
    <col min="8454" max="8454" width="10.6640625" style="103" customWidth="1"/>
    <col min="8455" max="8455" width="9.5" style="103" bestFit="1" customWidth="1"/>
    <col min="8456" max="8456" width="11.1640625" style="103" customWidth="1"/>
    <col min="8457" max="8457" width="10.33203125" style="103" customWidth="1"/>
    <col min="8458" max="8458" width="9.83203125" style="103" bestFit="1" customWidth="1"/>
    <col min="8459" max="8459" width="9" style="103" bestFit="1" customWidth="1"/>
    <col min="8460" max="8706" width="8.83203125" style="103"/>
    <col min="8707" max="8707" width="13.6640625" style="103" customWidth="1"/>
    <col min="8708" max="8708" width="10.6640625" style="103" customWidth="1"/>
    <col min="8709" max="8709" width="8.83203125" style="103"/>
    <col min="8710" max="8710" width="10.6640625" style="103" customWidth="1"/>
    <col min="8711" max="8711" width="9.5" style="103" bestFit="1" customWidth="1"/>
    <col min="8712" max="8712" width="11.1640625" style="103" customWidth="1"/>
    <col min="8713" max="8713" width="10.33203125" style="103" customWidth="1"/>
    <col min="8714" max="8714" width="9.83203125" style="103" bestFit="1" customWidth="1"/>
    <col min="8715" max="8715" width="9" style="103" bestFit="1" customWidth="1"/>
    <col min="8716" max="8962" width="8.83203125" style="103"/>
    <col min="8963" max="8963" width="13.6640625" style="103" customWidth="1"/>
    <col min="8964" max="8964" width="10.6640625" style="103" customWidth="1"/>
    <col min="8965" max="8965" width="8.83203125" style="103"/>
    <col min="8966" max="8966" width="10.6640625" style="103" customWidth="1"/>
    <col min="8967" max="8967" width="9.5" style="103" bestFit="1" customWidth="1"/>
    <col min="8968" max="8968" width="11.1640625" style="103" customWidth="1"/>
    <col min="8969" max="8969" width="10.33203125" style="103" customWidth="1"/>
    <col min="8970" max="8970" width="9.83203125" style="103" bestFit="1" customWidth="1"/>
    <col min="8971" max="8971" width="9" style="103" bestFit="1" customWidth="1"/>
    <col min="8972" max="9218" width="8.83203125" style="103"/>
    <col min="9219" max="9219" width="13.6640625" style="103" customWidth="1"/>
    <col min="9220" max="9220" width="10.6640625" style="103" customWidth="1"/>
    <col min="9221" max="9221" width="8.83203125" style="103"/>
    <col min="9222" max="9222" width="10.6640625" style="103" customWidth="1"/>
    <col min="9223" max="9223" width="9.5" style="103" bestFit="1" customWidth="1"/>
    <col min="9224" max="9224" width="11.1640625" style="103" customWidth="1"/>
    <col min="9225" max="9225" width="10.33203125" style="103" customWidth="1"/>
    <col min="9226" max="9226" width="9.83203125" style="103" bestFit="1" customWidth="1"/>
    <col min="9227" max="9227" width="9" style="103" bestFit="1" customWidth="1"/>
    <col min="9228" max="9474" width="8.83203125" style="103"/>
    <col min="9475" max="9475" width="13.6640625" style="103" customWidth="1"/>
    <col min="9476" max="9476" width="10.6640625" style="103" customWidth="1"/>
    <col min="9477" max="9477" width="8.83203125" style="103"/>
    <col min="9478" max="9478" width="10.6640625" style="103" customWidth="1"/>
    <col min="9479" max="9479" width="9.5" style="103" bestFit="1" customWidth="1"/>
    <col min="9480" max="9480" width="11.1640625" style="103" customWidth="1"/>
    <col min="9481" max="9481" width="10.33203125" style="103" customWidth="1"/>
    <col min="9482" max="9482" width="9.83203125" style="103" bestFit="1" customWidth="1"/>
    <col min="9483" max="9483" width="9" style="103" bestFit="1" customWidth="1"/>
    <col min="9484" max="9730" width="8.83203125" style="103"/>
    <col min="9731" max="9731" width="13.6640625" style="103" customWidth="1"/>
    <col min="9732" max="9732" width="10.6640625" style="103" customWidth="1"/>
    <col min="9733" max="9733" width="8.83203125" style="103"/>
    <col min="9734" max="9734" width="10.6640625" style="103" customWidth="1"/>
    <col min="9735" max="9735" width="9.5" style="103" bestFit="1" customWidth="1"/>
    <col min="9736" max="9736" width="11.1640625" style="103" customWidth="1"/>
    <col min="9737" max="9737" width="10.33203125" style="103" customWidth="1"/>
    <col min="9738" max="9738" width="9.83203125" style="103" bestFit="1" customWidth="1"/>
    <col min="9739" max="9739" width="9" style="103" bestFit="1" customWidth="1"/>
    <col min="9740" max="9986" width="8.83203125" style="103"/>
    <col min="9987" max="9987" width="13.6640625" style="103" customWidth="1"/>
    <col min="9988" max="9988" width="10.6640625" style="103" customWidth="1"/>
    <col min="9989" max="9989" width="8.83203125" style="103"/>
    <col min="9990" max="9990" width="10.6640625" style="103" customWidth="1"/>
    <col min="9991" max="9991" width="9.5" style="103" bestFit="1" customWidth="1"/>
    <col min="9992" max="9992" width="11.1640625" style="103" customWidth="1"/>
    <col min="9993" max="9993" width="10.33203125" style="103" customWidth="1"/>
    <col min="9994" max="9994" width="9.83203125" style="103" bestFit="1" customWidth="1"/>
    <col min="9995" max="9995" width="9" style="103" bestFit="1" customWidth="1"/>
    <col min="9996" max="10242" width="8.83203125" style="103"/>
    <col min="10243" max="10243" width="13.6640625" style="103" customWidth="1"/>
    <col min="10244" max="10244" width="10.6640625" style="103" customWidth="1"/>
    <col min="10245" max="10245" width="8.83203125" style="103"/>
    <col min="10246" max="10246" width="10.6640625" style="103" customWidth="1"/>
    <col min="10247" max="10247" width="9.5" style="103" bestFit="1" customWidth="1"/>
    <col min="10248" max="10248" width="11.1640625" style="103" customWidth="1"/>
    <col min="10249" max="10249" width="10.33203125" style="103" customWidth="1"/>
    <col min="10250" max="10250" width="9.83203125" style="103" bestFit="1" customWidth="1"/>
    <col min="10251" max="10251" width="9" style="103" bestFit="1" customWidth="1"/>
    <col min="10252" max="10498" width="8.83203125" style="103"/>
    <col min="10499" max="10499" width="13.6640625" style="103" customWidth="1"/>
    <col min="10500" max="10500" width="10.6640625" style="103" customWidth="1"/>
    <col min="10501" max="10501" width="8.83203125" style="103"/>
    <col min="10502" max="10502" width="10.6640625" style="103" customWidth="1"/>
    <col min="10503" max="10503" width="9.5" style="103" bestFit="1" customWidth="1"/>
    <col min="10504" max="10504" width="11.1640625" style="103" customWidth="1"/>
    <col min="10505" max="10505" width="10.33203125" style="103" customWidth="1"/>
    <col min="10506" max="10506" width="9.83203125" style="103" bestFit="1" customWidth="1"/>
    <col min="10507" max="10507" width="9" style="103" bestFit="1" customWidth="1"/>
    <col min="10508" max="10754" width="8.83203125" style="103"/>
    <col min="10755" max="10755" width="13.6640625" style="103" customWidth="1"/>
    <col min="10756" max="10756" width="10.6640625" style="103" customWidth="1"/>
    <col min="10757" max="10757" width="8.83203125" style="103"/>
    <col min="10758" max="10758" width="10.6640625" style="103" customWidth="1"/>
    <col min="10759" max="10759" width="9.5" style="103" bestFit="1" customWidth="1"/>
    <col min="10760" max="10760" width="11.1640625" style="103" customWidth="1"/>
    <col min="10761" max="10761" width="10.33203125" style="103" customWidth="1"/>
    <col min="10762" max="10762" width="9.83203125" style="103" bestFit="1" customWidth="1"/>
    <col min="10763" max="10763" width="9" style="103" bestFit="1" customWidth="1"/>
    <col min="10764" max="11010" width="8.83203125" style="103"/>
    <col min="11011" max="11011" width="13.6640625" style="103" customWidth="1"/>
    <col min="11012" max="11012" width="10.6640625" style="103" customWidth="1"/>
    <col min="11013" max="11013" width="8.83203125" style="103"/>
    <col min="11014" max="11014" width="10.6640625" style="103" customWidth="1"/>
    <col min="11015" max="11015" width="9.5" style="103" bestFit="1" customWidth="1"/>
    <col min="11016" max="11016" width="11.1640625" style="103" customWidth="1"/>
    <col min="11017" max="11017" width="10.33203125" style="103" customWidth="1"/>
    <col min="11018" max="11018" width="9.83203125" style="103" bestFit="1" customWidth="1"/>
    <col min="11019" max="11019" width="9" style="103" bestFit="1" customWidth="1"/>
    <col min="11020" max="11266" width="8.83203125" style="103"/>
    <col min="11267" max="11267" width="13.6640625" style="103" customWidth="1"/>
    <col min="11268" max="11268" width="10.6640625" style="103" customWidth="1"/>
    <col min="11269" max="11269" width="8.83203125" style="103"/>
    <col min="11270" max="11270" width="10.6640625" style="103" customWidth="1"/>
    <col min="11271" max="11271" width="9.5" style="103" bestFit="1" customWidth="1"/>
    <col min="11272" max="11272" width="11.1640625" style="103" customWidth="1"/>
    <col min="11273" max="11273" width="10.33203125" style="103" customWidth="1"/>
    <col min="11274" max="11274" width="9.83203125" style="103" bestFit="1" customWidth="1"/>
    <col min="11275" max="11275" width="9" style="103" bestFit="1" customWidth="1"/>
    <col min="11276" max="11522" width="8.83203125" style="103"/>
    <col min="11523" max="11523" width="13.6640625" style="103" customWidth="1"/>
    <col min="11524" max="11524" width="10.6640625" style="103" customWidth="1"/>
    <col min="11525" max="11525" width="8.83203125" style="103"/>
    <col min="11526" max="11526" width="10.6640625" style="103" customWidth="1"/>
    <col min="11527" max="11527" width="9.5" style="103" bestFit="1" customWidth="1"/>
    <col min="11528" max="11528" width="11.1640625" style="103" customWidth="1"/>
    <col min="11529" max="11529" width="10.33203125" style="103" customWidth="1"/>
    <col min="11530" max="11530" width="9.83203125" style="103" bestFit="1" customWidth="1"/>
    <col min="11531" max="11531" width="9" style="103" bestFit="1" customWidth="1"/>
    <col min="11532" max="11778" width="8.83203125" style="103"/>
    <col min="11779" max="11779" width="13.6640625" style="103" customWidth="1"/>
    <col min="11780" max="11780" width="10.6640625" style="103" customWidth="1"/>
    <col min="11781" max="11781" width="8.83203125" style="103"/>
    <col min="11782" max="11782" width="10.6640625" style="103" customWidth="1"/>
    <col min="11783" max="11783" width="9.5" style="103" bestFit="1" customWidth="1"/>
    <col min="11784" max="11784" width="11.1640625" style="103" customWidth="1"/>
    <col min="11785" max="11785" width="10.33203125" style="103" customWidth="1"/>
    <col min="11786" max="11786" width="9.83203125" style="103" bestFit="1" customWidth="1"/>
    <col min="11787" max="11787" width="9" style="103" bestFit="1" customWidth="1"/>
    <col min="11788" max="12034" width="8.83203125" style="103"/>
    <col min="12035" max="12035" width="13.6640625" style="103" customWidth="1"/>
    <col min="12036" max="12036" width="10.6640625" style="103" customWidth="1"/>
    <col min="12037" max="12037" width="8.83203125" style="103"/>
    <col min="12038" max="12038" width="10.6640625" style="103" customWidth="1"/>
    <col min="12039" max="12039" width="9.5" style="103" bestFit="1" customWidth="1"/>
    <col min="12040" max="12040" width="11.1640625" style="103" customWidth="1"/>
    <col min="12041" max="12041" width="10.33203125" style="103" customWidth="1"/>
    <col min="12042" max="12042" width="9.83203125" style="103" bestFit="1" customWidth="1"/>
    <col min="12043" max="12043" width="9" style="103" bestFit="1" customWidth="1"/>
    <col min="12044" max="12290" width="8.83203125" style="103"/>
    <col min="12291" max="12291" width="13.6640625" style="103" customWidth="1"/>
    <col min="12292" max="12292" width="10.6640625" style="103" customWidth="1"/>
    <col min="12293" max="12293" width="8.83203125" style="103"/>
    <col min="12294" max="12294" width="10.6640625" style="103" customWidth="1"/>
    <col min="12295" max="12295" width="9.5" style="103" bestFit="1" customWidth="1"/>
    <col min="12296" max="12296" width="11.1640625" style="103" customWidth="1"/>
    <col min="12297" max="12297" width="10.33203125" style="103" customWidth="1"/>
    <col min="12298" max="12298" width="9.83203125" style="103" bestFit="1" customWidth="1"/>
    <col min="12299" max="12299" width="9" style="103" bestFit="1" customWidth="1"/>
    <col min="12300" max="12546" width="8.83203125" style="103"/>
    <col min="12547" max="12547" width="13.6640625" style="103" customWidth="1"/>
    <col min="12548" max="12548" width="10.6640625" style="103" customWidth="1"/>
    <col min="12549" max="12549" width="8.83203125" style="103"/>
    <col min="12550" max="12550" width="10.6640625" style="103" customWidth="1"/>
    <col min="12551" max="12551" width="9.5" style="103" bestFit="1" customWidth="1"/>
    <col min="12552" max="12552" width="11.1640625" style="103" customWidth="1"/>
    <col min="12553" max="12553" width="10.33203125" style="103" customWidth="1"/>
    <col min="12554" max="12554" width="9.83203125" style="103" bestFit="1" customWidth="1"/>
    <col min="12555" max="12555" width="9" style="103" bestFit="1" customWidth="1"/>
    <col min="12556" max="12802" width="8.83203125" style="103"/>
    <col min="12803" max="12803" width="13.6640625" style="103" customWidth="1"/>
    <col min="12804" max="12804" width="10.6640625" style="103" customWidth="1"/>
    <col min="12805" max="12805" width="8.83203125" style="103"/>
    <col min="12806" max="12806" width="10.6640625" style="103" customWidth="1"/>
    <col min="12807" max="12807" width="9.5" style="103" bestFit="1" customWidth="1"/>
    <col min="12808" max="12808" width="11.1640625" style="103" customWidth="1"/>
    <col min="12809" max="12809" width="10.33203125" style="103" customWidth="1"/>
    <col min="12810" max="12810" width="9.83203125" style="103" bestFit="1" customWidth="1"/>
    <col min="12811" max="12811" width="9" style="103" bestFit="1" customWidth="1"/>
    <col min="12812" max="13058" width="8.83203125" style="103"/>
    <col min="13059" max="13059" width="13.6640625" style="103" customWidth="1"/>
    <col min="13060" max="13060" width="10.6640625" style="103" customWidth="1"/>
    <col min="13061" max="13061" width="8.83203125" style="103"/>
    <col min="13062" max="13062" width="10.6640625" style="103" customWidth="1"/>
    <col min="13063" max="13063" width="9.5" style="103" bestFit="1" customWidth="1"/>
    <col min="13064" max="13064" width="11.1640625" style="103" customWidth="1"/>
    <col min="13065" max="13065" width="10.33203125" style="103" customWidth="1"/>
    <col min="13066" max="13066" width="9.83203125" style="103" bestFit="1" customWidth="1"/>
    <col min="13067" max="13067" width="9" style="103" bestFit="1" customWidth="1"/>
    <col min="13068" max="13314" width="8.83203125" style="103"/>
    <col min="13315" max="13315" width="13.6640625" style="103" customWidth="1"/>
    <col min="13316" max="13316" width="10.6640625" style="103" customWidth="1"/>
    <col min="13317" max="13317" width="8.83203125" style="103"/>
    <col min="13318" max="13318" width="10.6640625" style="103" customWidth="1"/>
    <col min="13319" max="13319" width="9.5" style="103" bestFit="1" customWidth="1"/>
    <col min="13320" max="13320" width="11.1640625" style="103" customWidth="1"/>
    <col min="13321" max="13321" width="10.33203125" style="103" customWidth="1"/>
    <col min="13322" max="13322" width="9.83203125" style="103" bestFit="1" customWidth="1"/>
    <col min="13323" max="13323" width="9" style="103" bestFit="1" customWidth="1"/>
    <col min="13324" max="13570" width="8.83203125" style="103"/>
    <col min="13571" max="13571" width="13.6640625" style="103" customWidth="1"/>
    <col min="13572" max="13572" width="10.6640625" style="103" customWidth="1"/>
    <col min="13573" max="13573" width="8.83203125" style="103"/>
    <col min="13574" max="13574" width="10.6640625" style="103" customWidth="1"/>
    <col min="13575" max="13575" width="9.5" style="103" bestFit="1" customWidth="1"/>
    <col min="13576" max="13576" width="11.1640625" style="103" customWidth="1"/>
    <col min="13577" max="13577" width="10.33203125" style="103" customWidth="1"/>
    <col min="13578" max="13578" width="9.83203125" style="103" bestFit="1" customWidth="1"/>
    <col min="13579" max="13579" width="9" style="103" bestFit="1" customWidth="1"/>
    <col min="13580" max="13826" width="8.83203125" style="103"/>
    <col min="13827" max="13827" width="13.6640625" style="103" customWidth="1"/>
    <col min="13828" max="13828" width="10.6640625" style="103" customWidth="1"/>
    <col min="13829" max="13829" width="8.83203125" style="103"/>
    <col min="13830" max="13830" width="10.6640625" style="103" customWidth="1"/>
    <col min="13831" max="13831" width="9.5" style="103" bestFit="1" customWidth="1"/>
    <col min="13832" max="13832" width="11.1640625" style="103" customWidth="1"/>
    <col min="13833" max="13833" width="10.33203125" style="103" customWidth="1"/>
    <col min="13834" max="13834" width="9.83203125" style="103" bestFit="1" customWidth="1"/>
    <col min="13835" max="13835" width="9" style="103" bestFit="1" customWidth="1"/>
    <col min="13836" max="14082" width="8.83203125" style="103"/>
    <col min="14083" max="14083" width="13.6640625" style="103" customWidth="1"/>
    <col min="14084" max="14084" width="10.6640625" style="103" customWidth="1"/>
    <col min="14085" max="14085" width="8.83203125" style="103"/>
    <col min="14086" max="14086" width="10.6640625" style="103" customWidth="1"/>
    <col min="14087" max="14087" width="9.5" style="103" bestFit="1" customWidth="1"/>
    <col min="14088" max="14088" width="11.1640625" style="103" customWidth="1"/>
    <col min="14089" max="14089" width="10.33203125" style="103" customWidth="1"/>
    <col min="14090" max="14090" width="9.83203125" style="103" bestFit="1" customWidth="1"/>
    <col min="14091" max="14091" width="9" style="103" bestFit="1" customWidth="1"/>
    <col min="14092" max="14338" width="8.83203125" style="103"/>
    <col min="14339" max="14339" width="13.6640625" style="103" customWidth="1"/>
    <col min="14340" max="14340" width="10.6640625" style="103" customWidth="1"/>
    <col min="14341" max="14341" width="8.83203125" style="103"/>
    <col min="14342" max="14342" width="10.6640625" style="103" customWidth="1"/>
    <col min="14343" max="14343" width="9.5" style="103" bestFit="1" customWidth="1"/>
    <col min="14344" max="14344" width="11.1640625" style="103" customWidth="1"/>
    <col min="14345" max="14345" width="10.33203125" style="103" customWidth="1"/>
    <col min="14346" max="14346" width="9.83203125" style="103" bestFit="1" customWidth="1"/>
    <col min="14347" max="14347" width="9" style="103" bestFit="1" customWidth="1"/>
    <col min="14348" max="14594" width="8.83203125" style="103"/>
    <col min="14595" max="14595" width="13.6640625" style="103" customWidth="1"/>
    <col min="14596" max="14596" width="10.6640625" style="103" customWidth="1"/>
    <col min="14597" max="14597" width="8.83203125" style="103"/>
    <col min="14598" max="14598" width="10.6640625" style="103" customWidth="1"/>
    <col min="14599" max="14599" width="9.5" style="103" bestFit="1" customWidth="1"/>
    <col min="14600" max="14600" width="11.1640625" style="103" customWidth="1"/>
    <col min="14601" max="14601" width="10.33203125" style="103" customWidth="1"/>
    <col min="14602" max="14602" width="9.83203125" style="103" bestFit="1" customWidth="1"/>
    <col min="14603" max="14603" width="9" style="103" bestFit="1" customWidth="1"/>
    <col min="14604" max="14850" width="8.83203125" style="103"/>
    <col min="14851" max="14851" width="13.6640625" style="103" customWidth="1"/>
    <col min="14852" max="14852" width="10.6640625" style="103" customWidth="1"/>
    <col min="14853" max="14853" width="8.83203125" style="103"/>
    <col min="14854" max="14854" width="10.6640625" style="103" customWidth="1"/>
    <col min="14855" max="14855" width="9.5" style="103" bestFit="1" customWidth="1"/>
    <col min="14856" max="14856" width="11.1640625" style="103" customWidth="1"/>
    <col min="14857" max="14857" width="10.33203125" style="103" customWidth="1"/>
    <col min="14858" max="14858" width="9.83203125" style="103" bestFit="1" customWidth="1"/>
    <col min="14859" max="14859" width="9" style="103" bestFit="1" customWidth="1"/>
    <col min="14860" max="15106" width="8.83203125" style="103"/>
    <col min="15107" max="15107" width="13.6640625" style="103" customWidth="1"/>
    <col min="15108" max="15108" width="10.6640625" style="103" customWidth="1"/>
    <col min="15109" max="15109" width="8.83203125" style="103"/>
    <col min="15110" max="15110" width="10.6640625" style="103" customWidth="1"/>
    <col min="15111" max="15111" width="9.5" style="103" bestFit="1" customWidth="1"/>
    <col min="15112" max="15112" width="11.1640625" style="103" customWidth="1"/>
    <col min="15113" max="15113" width="10.33203125" style="103" customWidth="1"/>
    <col min="15114" max="15114" width="9.83203125" style="103" bestFit="1" customWidth="1"/>
    <col min="15115" max="15115" width="9" style="103" bestFit="1" customWidth="1"/>
    <col min="15116" max="15362" width="8.83203125" style="103"/>
    <col min="15363" max="15363" width="13.6640625" style="103" customWidth="1"/>
    <col min="15364" max="15364" width="10.6640625" style="103" customWidth="1"/>
    <col min="15365" max="15365" width="8.83203125" style="103"/>
    <col min="15366" max="15366" width="10.6640625" style="103" customWidth="1"/>
    <col min="15367" max="15367" width="9.5" style="103" bestFit="1" customWidth="1"/>
    <col min="15368" max="15368" width="11.1640625" style="103" customWidth="1"/>
    <col min="15369" max="15369" width="10.33203125" style="103" customWidth="1"/>
    <col min="15370" max="15370" width="9.83203125" style="103" bestFit="1" customWidth="1"/>
    <col min="15371" max="15371" width="9" style="103" bestFit="1" customWidth="1"/>
    <col min="15372" max="15618" width="8.83203125" style="103"/>
    <col min="15619" max="15619" width="13.6640625" style="103" customWidth="1"/>
    <col min="15620" max="15620" width="10.6640625" style="103" customWidth="1"/>
    <col min="15621" max="15621" width="8.83203125" style="103"/>
    <col min="15622" max="15622" width="10.6640625" style="103" customWidth="1"/>
    <col min="15623" max="15623" width="9.5" style="103" bestFit="1" customWidth="1"/>
    <col min="15624" max="15624" width="11.1640625" style="103" customWidth="1"/>
    <col min="15625" max="15625" width="10.33203125" style="103" customWidth="1"/>
    <col min="15626" max="15626" width="9.83203125" style="103" bestFit="1" customWidth="1"/>
    <col min="15627" max="15627" width="9" style="103" bestFit="1" customWidth="1"/>
    <col min="15628" max="15874" width="8.83203125" style="103"/>
    <col min="15875" max="15875" width="13.6640625" style="103" customWidth="1"/>
    <col min="15876" max="15876" width="10.6640625" style="103" customWidth="1"/>
    <col min="15877" max="15877" width="8.83203125" style="103"/>
    <col min="15878" max="15878" width="10.6640625" style="103" customWidth="1"/>
    <col min="15879" max="15879" width="9.5" style="103" bestFit="1" customWidth="1"/>
    <col min="15880" max="15880" width="11.1640625" style="103" customWidth="1"/>
    <col min="15881" max="15881" width="10.33203125" style="103" customWidth="1"/>
    <col min="15882" max="15882" width="9.83203125" style="103" bestFit="1" customWidth="1"/>
    <col min="15883" max="15883" width="9" style="103" bestFit="1" customWidth="1"/>
    <col min="15884" max="16130" width="8.83203125" style="103"/>
    <col min="16131" max="16131" width="13.6640625" style="103" customWidth="1"/>
    <col min="16132" max="16132" width="10.6640625" style="103" customWidth="1"/>
    <col min="16133" max="16133" width="8.83203125" style="103"/>
    <col min="16134" max="16134" width="10.6640625" style="103" customWidth="1"/>
    <col min="16135" max="16135" width="9.5" style="103" bestFit="1" customWidth="1"/>
    <col min="16136" max="16136" width="11.1640625" style="103" customWidth="1"/>
    <col min="16137" max="16137" width="10.33203125" style="103" customWidth="1"/>
    <col min="16138" max="16138" width="9.83203125" style="103" bestFit="1" customWidth="1"/>
    <col min="16139" max="16139" width="9" style="103" bestFit="1" customWidth="1"/>
    <col min="16140" max="16383" width="8.83203125" style="103"/>
    <col min="16384" max="16384" width="7.6640625" style="103" customWidth="1"/>
  </cols>
  <sheetData>
    <row r="3" spans="1:9" x14ac:dyDescent="0.15">
      <c r="A3" s="100" t="s">
        <v>112</v>
      </c>
      <c r="B3" s="101" t="s">
        <v>113</v>
      </c>
      <c r="C3" s="102"/>
    </row>
    <row r="4" spans="1:9" x14ac:dyDescent="0.15">
      <c r="B4" s="104" t="s">
        <v>21</v>
      </c>
      <c r="C4" s="104" t="s">
        <v>114</v>
      </c>
      <c r="D4" s="104" t="s">
        <v>115</v>
      </c>
      <c r="E4" s="104" t="s">
        <v>116</v>
      </c>
      <c r="F4" s="104" t="s">
        <v>117</v>
      </c>
      <c r="G4" s="104" t="s">
        <v>118</v>
      </c>
      <c r="H4" s="104" t="s">
        <v>115</v>
      </c>
    </row>
    <row r="5" spans="1:9" x14ac:dyDescent="0.15">
      <c r="A5" s="105">
        <v>38320</v>
      </c>
      <c r="B5" s="103">
        <v>565</v>
      </c>
      <c r="C5" s="103">
        <v>140</v>
      </c>
      <c r="D5" s="103">
        <v>705</v>
      </c>
      <c r="E5" s="103">
        <v>2.1196000000000002</v>
      </c>
      <c r="F5" s="106">
        <v>1494.32</v>
      </c>
      <c r="G5" s="106">
        <v>337.7</v>
      </c>
      <c r="H5" s="106">
        <f t="shared" ref="H5:H12" si="0">SUM(F5:G5)</f>
        <v>1832.02</v>
      </c>
    </row>
    <row r="6" spans="1:9" x14ac:dyDescent="0.15">
      <c r="A6" s="105">
        <v>38302</v>
      </c>
      <c r="B6" s="103">
        <v>484</v>
      </c>
      <c r="C6" s="103">
        <v>185</v>
      </c>
      <c r="D6" s="103">
        <v>669</v>
      </c>
      <c r="E6" s="103">
        <v>2.0274999999999999</v>
      </c>
      <c r="F6" s="106">
        <v>1356.4</v>
      </c>
      <c r="G6" s="106">
        <v>320.45999999999998</v>
      </c>
      <c r="H6" s="106">
        <f t="shared" si="0"/>
        <v>1676.8600000000001</v>
      </c>
    </row>
    <row r="7" spans="1:9" x14ac:dyDescent="0.15">
      <c r="A7" s="105">
        <v>38355</v>
      </c>
      <c r="B7" s="103">
        <v>460</v>
      </c>
      <c r="C7" s="103">
        <v>140</v>
      </c>
      <c r="D7" s="103">
        <v>700</v>
      </c>
      <c r="E7" s="103">
        <v>2.0394999999999999</v>
      </c>
      <c r="F7" s="106">
        <v>1427.65</v>
      </c>
      <c r="G7" s="106">
        <v>293.3</v>
      </c>
      <c r="H7" s="106">
        <f t="shared" si="0"/>
        <v>1720.95</v>
      </c>
    </row>
    <row r="8" spans="1:9" x14ac:dyDescent="0.15">
      <c r="A8" s="105">
        <v>38373</v>
      </c>
      <c r="B8" s="103">
        <v>458</v>
      </c>
      <c r="C8" s="103">
        <v>120</v>
      </c>
      <c r="D8" s="103">
        <v>578</v>
      </c>
      <c r="E8" s="103">
        <v>1.994</v>
      </c>
      <c r="F8" s="106">
        <v>1152.53</v>
      </c>
      <c r="G8" s="106">
        <v>276.86</v>
      </c>
      <c r="H8" s="106">
        <f t="shared" si="0"/>
        <v>1429.3899999999999</v>
      </c>
    </row>
    <row r="9" spans="1:9" x14ac:dyDescent="0.15">
      <c r="A9" s="105">
        <v>38383</v>
      </c>
      <c r="B9" s="103">
        <v>480</v>
      </c>
      <c r="C9" s="103">
        <v>133</v>
      </c>
      <c r="D9" s="103">
        <v>613</v>
      </c>
      <c r="E9" s="103">
        <v>2.0065</v>
      </c>
      <c r="F9" s="106">
        <v>1229.98</v>
      </c>
      <c r="G9" s="106">
        <v>293.63</v>
      </c>
      <c r="H9" s="106">
        <f t="shared" si="0"/>
        <v>1523.6100000000001</v>
      </c>
    </row>
    <row r="10" spans="1:9" x14ac:dyDescent="0.15">
      <c r="A10" s="105">
        <v>38405</v>
      </c>
      <c r="B10" s="103">
        <v>480</v>
      </c>
      <c r="C10" s="103">
        <v>120</v>
      </c>
      <c r="D10" s="103">
        <v>534</v>
      </c>
      <c r="E10" s="103">
        <v>2.0150000000000001</v>
      </c>
      <c r="F10" s="106">
        <v>1076.01</v>
      </c>
      <c r="G10" s="106">
        <v>305.79000000000002</v>
      </c>
      <c r="H10" s="106">
        <f t="shared" si="0"/>
        <v>1381.8</v>
      </c>
    </row>
    <row r="11" spans="1:9" x14ac:dyDescent="0.15">
      <c r="A11" s="105">
        <v>38429</v>
      </c>
      <c r="B11" s="103">
        <v>480</v>
      </c>
      <c r="C11" s="103">
        <v>140</v>
      </c>
      <c r="D11" s="103">
        <v>620</v>
      </c>
      <c r="E11" s="103">
        <v>2.2071999999999998</v>
      </c>
      <c r="F11" s="106">
        <v>1368.46</v>
      </c>
      <c r="G11" s="106">
        <v>296.98</v>
      </c>
      <c r="H11" s="106">
        <f t="shared" si="0"/>
        <v>1665.44</v>
      </c>
    </row>
    <row r="12" spans="1:9" x14ac:dyDescent="0.15">
      <c r="A12" s="105">
        <v>38462</v>
      </c>
      <c r="B12" s="103">
        <v>600</v>
      </c>
      <c r="C12" s="103">
        <v>150</v>
      </c>
      <c r="D12" s="103">
        <v>747</v>
      </c>
      <c r="E12" s="103">
        <v>2.1631999999999998</v>
      </c>
      <c r="F12" s="106">
        <v>1615.91</v>
      </c>
      <c r="G12" s="106">
        <v>357.82</v>
      </c>
      <c r="H12" s="106">
        <f t="shared" si="0"/>
        <v>1973.73</v>
      </c>
    </row>
    <row r="13" spans="1:9" x14ac:dyDescent="0.15">
      <c r="A13" s="105">
        <v>38490</v>
      </c>
      <c r="B13" s="103">
        <v>480</v>
      </c>
      <c r="C13" s="103">
        <v>120</v>
      </c>
      <c r="D13" s="103">
        <v>602</v>
      </c>
      <c r="E13" s="103">
        <v>2.1743999999999999</v>
      </c>
      <c r="F13" s="106">
        <v>1310.51</v>
      </c>
      <c r="G13" s="106">
        <v>288.7</v>
      </c>
      <c r="H13" s="106">
        <v>1599.21</v>
      </c>
    </row>
    <row r="14" spans="1:9" x14ac:dyDescent="0.15">
      <c r="A14" s="105">
        <v>38512</v>
      </c>
      <c r="B14" s="103">
        <v>492</v>
      </c>
      <c r="C14" s="103">
        <v>120</v>
      </c>
      <c r="D14" s="103">
        <v>612</v>
      </c>
      <c r="E14" s="103">
        <v>2.2275999999999998</v>
      </c>
      <c r="F14" s="106">
        <v>1363.29</v>
      </c>
      <c r="G14" s="106">
        <v>293.14999999999998</v>
      </c>
      <c r="H14" s="106">
        <v>1656.44</v>
      </c>
    </row>
    <row r="15" spans="1:9" ht="14" thickBot="1" x14ac:dyDescent="0.2">
      <c r="B15" s="107">
        <f>SUM(B5:B14)</f>
        <v>4979</v>
      </c>
      <c r="C15" s="107">
        <f>SUM(C5:C14)</f>
        <v>1368</v>
      </c>
      <c r="D15" s="108">
        <f>SUM(D5:D14)</f>
        <v>6380</v>
      </c>
      <c r="E15" s="107"/>
      <c r="F15" s="109">
        <f>SUM(F5:F14)</f>
        <v>13395.060000000001</v>
      </c>
      <c r="G15" s="109">
        <f>SUM(G5:G14)</f>
        <v>3064.3900000000003</v>
      </c>
      <c r="H15" s="109">
        <f>SUM(H5:H14)</f>
        <v>16459.449999999997</v>
      </c>
      <c r="I15" s="110">
        <f>(H15/D15)</f>
        <v>2.579851097178683</v>
      </c>
    </row>
    <row r="16" spans="1:9" ht="14" thickTop="1" x14ac:dyDescent="0.15">
      <c r="F16" s="106"/>
      <c r="G16" s="106"/>
      <c r="H16" s="106"/>
    </row>
    <row r="17" spans="1:9" x14ac:dyDescent="0.15">
      <c r="A17" s="100" t="s">
        <v>112</v>
      </c>
      <c r="B17" s="101" t="s">
        <v>119</v>
      </c>
      <c r="C17" s="102"/>
    </row>
    <row r="19" spans="1:9" x14ac:dyDescent="0.15">
      <c r="A19" s="105">
        <v>38538</v>
      </c>
      <c r="B19" s="103">
        <v>600</v>
      </c>
      <c r="C19" s="103">
        <v>155</v>
      </c>
      <c r="D19" s="103">
        <v>755</v>
      </c>
      <c r="E19" s="103">
        <v>2.3216000000000001</v>
      </c>
      <c r="F19" s="111">
        <v>1753.5</v>
      </c>
      <c r="G19" s="111">
        <f>(H19-F19)</f>
        <v>361.7800000000002</v>
      </c>
      <c r="H19" s="111">
        <v>2115.2800000000002</v>
      </c>
    </row>
    <row r="20" spans="1:9" x14ac:dyDescent="0.15">
      <c r="A20" s="105">
        <v>38573</v>
      </c>
      <c r="B20" s="103">
        <v>480</v>
      </c>
      <c r="C20" s="103">
        <v>120</v>
      </c>
      <c r="D20" s="103">
        <v>600</v>
      </c>
      <c r="E20" s="103">
        <v>2.3418000000000001</v>
      </c>
      <c r="F20" s="111">
        <v>1376.28</v>
      </c>
      <c r="G20" s="111">
        <v>281.51</v>
      </c>
      <c r="H20" s="111">
        <v>1657.79</v>
      </c>
    </row>
    <row r="21" spans="1:9" x14ac:dyDescent="0.15">
      <c r="A21" s="105">
        <v>38618</v>
      </c>
      <c r="B21" s="103">
        <v>480</v>
      </c>
      <c r="C21" s="103">
        <v>120</v>
      </c>
      <c r="D21" s="103">
        <v>600</v>
      </c>
      <c r="E21" s="103">
        <v>2.778</v>
      </c>
      <c r="F21" s="111">
        <v>1717.85</v>
      </c>
      <c r="G21" s="111">
        <v>296.12</v>
      </c>
      <c r="H21" s="111">
        <f t="shared" ref="H21:H26" si="1">SUM(F21:G21)</f>
        <v>2013.9699999999998</v>
      </c>
    </row>
    <row r="22" spans="1:9" x14ac:dyDescent="0.15">
      <c r="A22" s="105">
        <v>38597</v>
      </c>
      <c r="B22" s="103">
        <v>600</v>
      </c>
      <c r="C22" s="103">
        <v>150</v>
      </c>
      <c r="D22" s="103">
        <v>750</v>
      </c>
      <c r="E22" s="103">
        <v>2.7831999999999999</v>
      </c>
      <c r="F22" s="111">
        <v>2087.4</v>
      </c>
      <c r="G22" s="111">
        <v>359.25</v>
      </c>
      <c r="H22" s="111">
        <f t="shared" si="1"/>
        <v>2446.65</v>
      </c>
    </row>
    <row r="23" spans="1:9" x14ac:dyDescent="0.15">
      <c r="A23" s="105">
        <v>38646</v>
      </c>
      <c r="B23" s="103">
        <v>480</v>
      </c>
      <c r="C23" s="103">
        <v>120</v>
      </c>
      <c r="D23" s="103">
        <v>600</v>
      </c>
      <c r="E23" s="103">
        <v>2.6351</v>
      </c>
      <c r="F23" s="111">
        <v>1588.7</v>
      </c>
      <c r="G23" s="111">
        <v>291.2</v>
      </c>
      <c r="H23" s="111">
        <f t="shared" si="1"/>
        <v>1879.9</v>
      </c>
    </row>
    <row r="24" spans="1:9" x14ac:dyDescent="0.15">
      <c r="A24" s="105">
        <v>38666</v>
      </c>
      <c r="B24" s="103">
        <v>480</v>
      </c>
      <c r="C24" s="103">
        <v>120</v>
      </c>
      <c r="D24" s="103">
        <v>600</v>
      </c>
      <c r="E24" s="103">
        <v>2.3976000000000002</v>
      </c>
      <c r="F24" s="111">
        <v>1454.14</v>
      </c>
      <c r="G24" s="111">
        <v>290.52</v>
      </c>
      <c r="H24" s="111">
        <f t="shared" si="1"/>
        <v>1744.66</v>
      </c>
    </row>
    <row r="25" spans="1:9" x14ac:dyDescent="0.15">
      <c r="A25" s="105">
        <v>38695</v>
      </c>
      <c r="B25" s="103">
        <v>480</v>
      </c>
      <c r="C25" s="103">
        <v>120</v>
      </c>
      <c r="D25" s="103">
        <v>600</v>
      </c>
      <c r="E25" s="103">
        <v>2.3683999999999998</v>
      </c>
      <c r="F25" s="111">
        <v>1436.91</v>
      </c>
      <c r="G25" s="111">
        <v>290.61</v>
      </c>
      <c r="H25" s="111">
        <f t="shared" si="1"/>
        <v>1727.52</v>
      </c>
    </row>
    <row r="26" spans="1:9" x14ac:dyDescent="0.15">
      <c r="A26" s="105">
        <v>38721</v>
      </c>
      <c r="B26" s="103">
        <v>480</v>
      </c>
      <c r="C26" s="103">
        <v>180</v>
      </c>
      <c r="D26" s="103">
        <v>660</v>
      </c>
      <c r="E26" s="103">
        <v>2.3683999999999998</v>
      </c>
      <c r="F26" s="111">
        <v>1522.89</v>
      </c>
      <c r="G26" s="111">
        <v>289.89999999999998</v>
      </c>
      <c r="H26" s="111">
        <f t="shared" si="1"/>
        <v>1812.79</v>
      </c>
    </row>
    <row r="27" spans="1:9" x14ac:dyDescent="0.15">
      <c r="A27" s="105">
        <v>38745</v>
      </c>
      <c r="B27" s="103">
        <v>480</v>
      </c>
      <c r="C27" s="103">
        <v>120</v>
      </c>
      <c r="D27" s="103">
        <v>600</v>
      </c>
      <c r="E27" s="103">
        <v>2.4805999999999999</v>
      </c>
      <c r="F27" s="111">
        <v>1495.06</v>
      </c>
      <c r="G27" s="111">
        <v>259.17</v>
      </c>
      <c r="H27" s="111">
        <v>1754.23</v>
      </c>
    </row>
    <row r="28" spans="1:9" x14ac:dyDescent="0.15">
      <c r="A28" s="105">
        <v>38755</v>
      </c>
      <c r="B28" s="103">
        <v>480</v>
      </c>
      <c r="C28" s="103">
        <v>120</v>
      </c>
      <c r="D28" s="103">
        <v>600</v>
      </c>
      <c r="E28" s="103">
        <v>2.5165999999999999</v>
      </c>
      <c r="F28" s="111">
        <v>1519.02</v>
      </c>
      <c r="G28" s="111">
        <v>262.01</v>
      </c>
      <c r="H28" s="111">
        <v>1781.03</v>
      </c>
    </row>
    <row r="29" spans="1:9" x14ac:dyDescent="0.15">
      <c r="A29" s="105">
        <v>38782</v>
      </c>
      <c r="B29" s="112">
        <v>360</v>
      </c>
      <c r="C29" s="112">
        <v>240</v>
      </c>
      <c r="D29" s="112">
        <v>600</v>
      </c>
      <c r="E29" s="112">
        <v>2.2806999999999999</v>
      </c>
      <c r="F29" s="113">
        <v>1380.51</v>
      </c>
      <c r="G29" s="113">
        <v>263.07</v>
      </c>
      <c r="H29" s="113">
        <v>1643.58</v>
      </c>
      <c r="I29" s="112" t="s">
        <v>120</v>
      </c>
    </row>
    <row r="30" spans="1:9" x14ac:dyDescent="0.15">
      <c r="A30" s="105">
        <v>38806</v>
      </c>
      <c r="B30" s="103">
        <v>480</v>
      </c>
      <c r="C30" s="103">
        <v>120</v>
      </c>
      <c r="D30" s="103">
        <v>600</v>
      </c>
      <c r="E30" s="103">
        <v>2.3969999999999998</v>
      </c>
      <c r="F30" s="111">
        <v>1467.68</v>
      </c>
      <c r="G30" s="111">
        <v>266.45999999999998</v>
      </c>
      <c r="H30" s="111">
        <v>1734.14</v>
      </c>
    </row>
    <row r="31" spans="1:9" x14ac:dyDescent="0.15">
      <c r="A31" s="105">
        <v>38855</v>
      </c>
      <c r="D31" s="103">
        <v>600</v>
      </c>
      <c r="E31" s="103">
        <v>2.698</v>
      </c>
      <c r="F31" s="111">
        <v>1619.07</v>
      </c>
      <c r="G31" s="111">
        <v>261.27999999999997</v>
      </c>
      <c r="H31" s="111">
        <v>1880.35</v>
      </c>
    </row>
    <row r="32" spans="1:9" x14ac:dyDescent="0.15">
      <c r="A32" s="105">
        <v>38856</v>
      </c>
      <c r="B32" s="103">
        <v>480</v>
      </c>
      <c r="C32" s="103">
        <v>120</v>
      </c>
      <c r="D32" s="103">
        <v>600</v>
      </c>
      <c r="E32" s="103">
        <v>2.58</v>
      </c>
      <c r="F32" s="111">
        <v>1564.06</v>
      </c>
      <c r="G32" s="111">
        <v>265.76</v>
      </c>
      <c r="H32" s="111">
        <v>1829.82</v>
      </c>
    </row>
    <row r="33" spans="1:10" x14ac:dyDescent="0.15">
      <c r="A33" s="105">
        <v>38874</v>
      </c>
      <c r="B33" s="103">
        <v>480</v>
      </c>
      <c r="C33" s="103">
        <v>120</v>
      </c>
      <c r="D33" s="103">
        <v>600</v>
      </c>
      <c r="E33" s="103">
        <v>2.6804999999999999</v>
      </c>
      <c r="F33" s="111">
        <v>1610.44</v>
      </c>
      <c r="G33" s="111">
        <v>263.14</v>
      </c>
      <c r="H33" s="111">
        <v>1873.58</v>
      </c>
    </row>
    <row r="34" spans="1:10" x14ac:dyDescent="0.15">
      <c r="A34" s="105"/>
      <c r="F34" s="111"/>
      <c r="G34" s="111"/>
      <c r="H34" s="111"/>
    </row>
    <row r="35" spans="1:10" ht="14" thickBot="1" x14ac:dyDescent="0.2">
      <c r="A35" s="105"/>
      <c r="B35" s="107">
        <f>SUM(B19:B34)</f>
        <v>6840</v>
      </c>
      <c r="C35" s="107">
        <f>SUM(C19:C34)</f>
        <v>1925</v>
      </c>
      <c r="D35" s="108">
        <f>SUM(D19:D34)</f>
        <v>9365</v>
      </c>
      <c r="E35" s="107"/>
      <c r="F35" s="114">
        <f>SUM(F19:F34)</f>
        <v>23593.51</v>
      </c>
      <c r="G35" s="114">
        <f>SUM(G19:G34)</f>
        <v>4301.7800000000016</v>
      </c>
      <c r="H35" s="114">
        <f>SUM(H19:H34)</f>
        <v>27895.29</v>
      </c>
      <c r="I35" s="115">
        <f>(H35/D35)</f>
        <v>2.978674853176722</v>
      </c>
    </row>
    <row r="36" spans="1:10" ht="14" thickTop="1" x14ac:dyDescent="0.15">
      <c r="F36" s="111"/>
      <c r="G36" s="111"/>
      <c r="H36" s="111"/>
    </row>
    <row r="37" spans="1:10" x14ac:dyDescent="0.15">
      <c r="A37" s="100" t="s">
        <v>121</v>
      </c>
      <c r="B37" s="116" t="s">
        <v>122</v>
      </c>
    </row>
    <row r="38" spans="1:10" x14ac:dyDescent="0.15">
      <c r="A38" s="117" t="s">
        <v>113</v>
      </c>
      <c r="B38" s="118" t="s">
        <v>123</v>
      </c>
      <c r="C38" s="118" t="s">
        <v>116</v>
      </c>
      <c r="D38" s="118" t="s">
        <v>115</v>
      </c>
      <c r="E38" s="118" t="s">
        <v>118</v>
      </c>
      <c r="F38" s="118"/>
    </row>
    <row r="39" spans="1:10" x14ac:dyDescent="0.15">
      <c r="A39" s="105">
        <v>38223</v>
      </c>
      <c r="B39" s="103">
        <v>540</v>
      </c>
      <c r="C39" s="103">
        <v>1.46</v>
      </c>
      <c r="D39" s="106">
        <v>788.4</v>
      </c>
      <c r="E39" s="106">
        <v>212.76</v>
      </c>
      <c r="F39" s="106">
        <f>SUM(D39:E39)</f>
        <v>1001.16</v>
      </c>
    </row>
    <row r="40" spans="1:10" x14ac:dyDescent="0.15">
      <c r="A40" s="105">
        <v>38264</v>
      </c>
      <c r="B40" s="103">
        <v>268.7</v>
      </c>
      <c r="C40" s="103">
        <v>1.49</v>
      </c>
      <c r="D40" s="106">
        <v>400.36</v>
      </c>
      <c r="E40" s="106">
        <v>105.87</v>
      </c>
      <c r="F40" s="106">
        <f>SUM(D40:E40)</f>
        <v>506.23</v>
      </c>
    </row>
    <row r="41" spans="1:10" x14ac:dyDescent="0.15">
      <c r="A41" s="105">
        <v>38350</v>
      </c>
      <c r="B41" s="103">
        <v>486.1</v>
      </c>
      <c r="C41" s="103">
        <v>1.38</v>
      </c>
      <c r="D41" s="106">
        <v>670.82</v>
      </c>
      <c r="E41" s="106">
        <v>191.52</v>
      </c>
      <c r="F41" s="106">
        <f>SUM(D41:E41)</f>
        <v>862.34</v>
      </c>
    </row>
    <row r="42" spans="1:10" x14ac:dyDescent="0.15">
      <c r="A42" s="105">
        <v>38462</v>
      </c>
      <c r="B42" s="103">
        <v>303.2</v>
      </c>
      <c r="C42" s="103">
        <v>1.64</v>
      </c>
      <c r="D42" s="106">
        <v>497.25</v>
      </c>
      <c r="E42" s="106">
        <v>119.46</v>
      </c>
      <c r="F42" s="106">
        <f>SUM(D42:E42)</f>
        <v>616.71</v>
      </c>
    </row>
    <row r="43" spans="1:10" x14ac:dyDescent="0.15">
      <c r="A43" s="105">
        <v>38527</v>
      </c>
      <c r="B43" s="103">
        <v>253.1</v>
      </c>
      <c r="C43" s="103">
        <v>1.83</v>
      </c>
      <c r="D43" s="106">
        <v>463.17</v>
      </c>
      <c r="E43" s="106">
        <v>99.72</v>
      </c>
      <c r="F43" s="106">
        <f>SUM(D43:E43)</f>
        <v>562.89</v>
      </c>
    </row>
    <row r="44" spans="1:10" x14ac:dyDescent="0.15">
      <c r="D44" s="106"/>
      <c r="E44" s="106"/>
      <c r="F44" s="106"/>
    </row>
    <row r="45" spans="1:10" x14ac:dyDescent="0.15">
      <c r="D45" s="106"/>
      <c r="E45" s="106"/>
      <c r="F45" s="106"/>
    </row>
    <row r="46" spans="1:10" ht="14" thickBot="1" x14ac:dyDescent="0.2">
      <c r="B46" s="107">
        <f>SUM(B39:B45)</f>
        <v>1851.1000000000001</v>
      </c>
      <c r="C46" s="107"/>
      <c r="D46" s="109">
        <f>SUM(D39:D45)</f>
        <v>2820</v>
      </c>
      <c r="E46" s="109">
        <f>SUM(E39:E45)</f>
        <v>729.33</v>
      </c>
      <c r="F46" s="109">
        <f>SUM(F39:F45)</f>
        <v>3549.33</v>
      </c>
      <c r="G46" s="119">
        <f>(F46/B46)</f>
        <v>1.9174166711684941</v>
      </c>
    </row>
    <row r="47" spans="1:10" ht="14" thickTop="1" x14ac:dyDescent="0.15">
      <c r="A47" s="120"/>
      <c r="B47" s="121"/>
      <c r="C47" s="121"/>
      <c r="D47" s="119"/>
      <c r="E47" s="119"/>
      <c r="F47" s="119"/>
      <c r="G47" s="119"/>
      <c r="H47" s="120"/>
      <c r="I47" s="120"/>
      <c r="J47" s="120"/>
    </row>
    <row r="48" spans="1:10" x14ac:dyDescent="0.15">
      <c r="A48" s="120"/>
      <c r="B48" s="121"/>
      <c r="C48" s="121"/>
      <c r="D48" s="119"/>
      <c r="E48" s="119"/>
      <c r="F48" s="119"/>
      <c r="G48" s="119"/>
      <c r="H48" s="120"/>
      <c r="I48" s="120"/>
      <c r="J48" s="120"/>
    </row>
    <row r="49" spans="1:10" x14ac:dyDescent="0.15">
      <c r="B49" s="122"/>
      <c r="C49" s="122"/>
      <c r="D49" s="123"/>
      <c r="E49" s="123"/>
      <c r="F49" s="123"/>
      <c r="G49" s="119"/>
    </row>
    <row r="50" spans="1:10" x14ac:dyDescent="0.15">
      <c r="D50" s="106"/>
      <c r="E50" s="106"/>
      <c r="F50" s="106"/>
    </row>
    <row r="51" spans="1:10" x14ac:dyDescent="0.15">
      <c r="A51" s="117" t="s">
        <v>119</v>
      </c>
      <c r="D51" s="106"/>
      <c r="E51" s="106"/>
      <c r="F51" s="106"/>
    </row>
    <row r="52" spans="1:10" x14ac:dyDescent="0.15">
      <c r="A52" s="105">
        <v>38590</v>
      </c>
      <c r="B52" s="103">
        <v>308.2</v>
      </c>
      <c r="C52" s="103">
        <v>2.17</v>
      </c>
      <c r="D52" s="106">
        <v>668.79</v>
      </c>
      <c r="E52" s="106">
        <v>121.43</v>
      </c>
      <c r="F52" s="106">
        <f>SUM(D52:E52)</f>
        <v>790.22</v>
      </c>
    </row>
    <row r="53" spans="1:10" x14ac:dyDescent="0.15">
      <c r="A53" s="105">
        <v>38691</v>
      </c>
      <c r="B53" s="103">
        <v>614</v>
      </c>
      <c r="C53" s="103">
        <v>1.69</v>
      </c>
      <c r="D53" s="106">
        <v>1037.6600000000001</v>
      </c>
      <c r="E53" s="106">
        <v>241.92</v>
      </c>
      <c r="F53" s="106">
        <f>SUM(D53:E53)</f>
        <v>1279.5800000000002</v>
      </c>
    </row>
    <row r="54" spans="1:10" x14ac:dyDescent="0.15">
      <c r="A54" s="105">
        <v>38743</v>
      </c>
      <c r="B54" s="103">
        <v>323.89999999999998</v>
      </c>
      <c r="C54" s="103">
        <v>1.95</v>
      </c>
      <c r="D54" s="106">
        <v>631.61</v>
      </c>
      <c r="E54" s="106">
        <f>(F54-D54)</f>
        <v>127.62</v>
      </c>
      <c r="F54" s="106">
        <v>759.23</v>
      </c>
    </row>
    <row r="55" spans="1:10" x14ac:dyDescent="0.15">
      <c r="D55" s="106"/>
      <c r="E55" s="106"/>
      <c r="F55" s="106"/>
    </row>
    <row r="58" spans="1:10" ht="14" thickBot="1" x14ac:dyDescent="0.2">
      <c r="B58" s="107">
        <f>SUM(B52:B57)</f>
        <v>1246.0999999999999</v>
      </c>
      <c r="C58" s="107"/>
      <c r="D58" s="109">
        <f>SUM(D52:D57)</f>
        <v>2338.06</v>
      </c>
      <c r="E58" s="109">
        <f>SUM(E52:E57)</f>
        <v>490.97</v>
      </c>
      <c r="F58" s="109">
        <f>SUM(F52:F57)</f>
        <v>2829.03</v>
      </c>
      <c r="G58" s="119">
        <f>(F58/B58)</f>
        <v>2.2703073589599554</v>
      </c>
    </row>
    <row r="59" spans="1:10" ht="14" thickTop="1" x14ac:dyDescent="0.15"/>
    <row r="60" spans="1:10" x14ac:dyDescent="0.15">
      <c r="A60" s="124"/>
      <c r="B60" s="124"/>
      <c r="C60" s="124"/>
      <c r="D60" s="124"/>
      <c r="E60" s="124"/>
      <c r="F60" s="124"/>
      <c r="G60" s="124"/>
      <c r="H60" s="124"/>
      <c r="I60" s="124"/>
      <c r="J60" s="124"/>
    </row>
    <row r="61" spans="1:10" x14ac:dyDescent="0.15">
      <c r="A61" s="124"/>
      <c r="B61" s="125" t="s">
        <v>21</v>
      </c>
      <c r="C61" s="125" t="s">
        <v>114</v>
      </c>
      <c r="D61" s="125" t="s">
        <v>115</v>
      </c>
      <c r="E61" s="125" t="s">
        <v>116</v>
      </c>
      <c r="F61" s="125" t="s">
        <v>117</v>
      </c>
      <c r="G61" s="125" t="s">
        <v>118</v>
      </c>
      <c r="H61" s="125" t="s">
        <v>115</v>
      </c>
      <c r="I61" s="124"/>
      <c r="J61" s="124"/>
    </row>
    <row r="62" spans="1:10" x14ac:dyDescent="0.15">
      <c r="A62" s="100" t="s">
        <v>112</v>
      </c>
      <c r="B62" s="101" t="s">
        <v>124</v>
      </c>
      <c r="C62" s="102"/>
    </row>
    <row r="63" spans="1:10" x14ac:dyDescent="0.15">
      <c r="A63" s="105">
        <v>38910</v>
      </c>
      <c r="B63" s="103">
        <v>608.16</v>
      </c>
      <c r="C63" s="103">
        <v>152.04</v>
      </c>
      <c r="D63" s="103">
        <v>760.2</v>
      </c>
      <c r="E63" s="103">
        <v>2.6966999999999999</v>
      </c>
      <c r="F63" s="106">
        <v>2050.0300000000002</v>
      </c>
      <c r="G63" s="106">
        <v>325.57</v>
      </c>
      <c r="H63" s="106">
        <v>2375.6</v>
      </c>
      <c r="I63" s="106"/>
    </row>
    <row r="64" spans="1:10" x14ac:dyDescent="0.15">
      <c r="A64" s="105">
        <v>38936</v>
      </c>
      <c r="B64" s="103">
        <v>480</v>
      </c>
      <c r="C64" s="103">
        <v>120</v>
      </c>
      <c r="D64" s="103">
        <v>600</v>
      </c>
      <c r="E64" s="103">
        <v>2.7852000000000001</v>
      </c>
      <c r="F64" s="106">
        <v>1336.9</v>
      </c>
      <c r="G64" s="106">
        <v>596.96</v>
      </c>
      <c r="H64" s="106">
        <f>SUM(F64:G64)</f>
        <v>1933.8600000000001</v>
      </c>
      <c r="I64" s="106"/>
    </row>
    <row r="65" spans="1:9" x14ac:dyDescent="0.15">
      <c r="A65" s="105">
        <v>38961</v>
      </c>
      <c r="B65" s="103">
        <v>483.76</v>
      </c>
      <c r="C65" s="103">
        <v>120.94</v>
      </c>
      <c r="D65" s="103">
        <v>604.70000000000005</v>
      </c>
      <c r="E65" s="103">
        <v>2.6303999999999998</v>
      </c>
      <c r="F65" s="106">
        <v>1590.6</v>
      </c>
      <c r="G65" s="106">
        <v>294.32</v>
      </c>
      <c r="H65" s="106">
        <f>SUM(F65:G65)</f>
        <v>1884.9199999999998</v>
      </c>
      <c r="I65" s="106"/>
    </row>
    <row r="66" spans="1:9" x14ac:dyDescent="0.15">
      <c r="A66" s="105">
        <v>38993</v>
      </c>
      <c r="B66" s="103">
        <v>640</v>
      </c>
      <c r="C66" s="103">
        <v>160</v>
      </c>
      <c r="D66" s="103">
        <v>800</v>
      </c>
      <c r="E66" s="103">
        <v>2.2195999999999998</v>
      </c>
      <c r="F66" s="106">
        <v>1775.68</v>
      </c>
      <c r="G66" s="106">
        <v>389.36</v>
      </c>
      <c r="H66" s="106">
        <v>2165.04</v>
      </c>
      <c r="I66" s="106"/>
    </row>
    <row r="67" spans="1:9" x14ac:dyDescent="0.15">
      <c r="A67" s="105">
        <v>39006</v>
      </c>
      <c r="B67" s="103">
        <v>481.44</v>
      </c>
      <c r="C67" s="103">
        <v>120.36</v>
      </c>
      <c r="D67" s="103">
        <v>601.79999999999995</v>
      </c>
      <c r="E67" s="103">
        <v>2.3246000000000002</v>
      </c>
      <c r="F67" s="106">
        <v>1398.94</v>
      </c>
      <c r="G67" s="106">
        <v>292.89999999999998</v>
      </c>
      <c r="H67" s="106">
        <v>1691.84</v>
      </c>
      <c r="I67" s="106"/>
    </row>
    <row r="68" spans="1:9" x14ac:dyDescent="0.15">
      <c r="A68" s="105">
        <v>39028</v>
      </c>
      <c r="B68" s="103">
        <v>601.44000000000005</v>
      </c>
      <c r="C68" s="103">
        <v>150.36000000000001</v>
      </c>
      <c r="D68" s="103">
        <v>751.8</v>
      </c>
      <c r="E68" s="103">
        <v>2.2360000000000002</v>
      </c>
      <c r="F68" s="106">
        <v>1681.02</v>
      </c>
      <c r="G68" s="106">
        <v>365.91</v>
      </c>
      <c r="H68" s="106">
        <v>2046.93</v>
      </c>
      <c r="I68" s="106"/>
    </row>
    <row r="69" spans="1:9" x14ac:dyDescent="0.15">
      <c r="A69" s="105">
        <v>39053</v>
      </c>
      <c r="B69" s="103">
        <v>486.96</v>
      </c>
      <c r="C69" s="103">
        <v>121.74</v>
      </c>
      <c r="D69" s="103">
        <v>608.70000000000005</v>
      </c>
      <c r="E69" s="103">
        <v>2.4176000000000002</v>
      </c>
      <c r="F69" s="106">
        <v>1471.59</v>
      </c>
      <c r="G69" s="106">
        <v>296.26</v>
      </c>
      <c r="H69" s="106">
        <f>SUM(F69:G69)</f>
        <v>1767.85</v>
      </c>
      <c r="I69" s="106"/>
    </row>
    <row r="70" spans="1:9" x14ac:dyDescent="0.15">
      <c r="A70" s="105">
        <v>39080</v>
      </c>
      <c r="B70" s="103">
        <v>480.16</v>
      </c>
      <c r="C70" s="103">
        <v>120.04</v>
      </c>
      <c r="D70" s="103">
        <v>600.20000000000005</v>
      </c>
      <c r="E70" s="103">
        <v>2.3144</v>
      </c>
      <c r="F70" s="106">
        <v>1389.1</v>
      </c>
      <c r="G70" s="106">
        <v>292.12</v>
      </c>
      <c r="H70" s="106">
        <f>SUM(F70:G70)</f>
        <v>1681.2199999999998</v>
      </c>
      <c r="I70" s="106"/>
    </row>
    <row r="71" spans="1:9" x14ac:dyDescent="0.15">
      <c r="A71" s="105">
        <v>39107</v>
      </c>
      <c r="B71" s="103">
        <v>482.16</v>
      </c>
      <c r="C71" s="103">
        <v>120.54</v>
      </c>
      <c r="D71" s="103">
        <v>602.70000000000005</v>
      </c>
      <c r="E71" s="103">
        <v>2.1015999999999999</v>
      </c>
      <c r="F71" s="106">
        <v>1266.6300000000001</v>
      </c>
      <c r="G71" s="106">
        <v>293.33999999999997</v>
      </c>
      <c r="H71" s="106">
        <f>SUM(F71:G71)</f>
        <v>1559.97</v>
      </c>
      <c r="I71" s="106"/>
    </row>
    <row r="72" spans="1:9" x14ac:dyDescent="0.15">
      <c r="A72" s="105">
        <v>39120</v>
      </c>
      <c r="B72" s="103">
        <v>482.8</v>
      </c>
      <c r="C72" s="103">
        <v>120.7</v>
      </c>
      <c r="D72" s="103">
        <v>603.5</v>
      </c>
      <c r="E72" s="103">
        <v>2.2972000000000001</v>
      </c>
      <c r="F72" s="106">
        <v>1386.36</v>
      </c>
      <c r="G72" s="106">
        <v>293.72000000000003</v>
      </c>
      <c r="H72" s="106">
        <v>1680.08</v>
      </c>
      <c r="I72" s="106"/>
    </row>
    <row r="73" spans="1:9" x14ac:dyDescent="0.15">
      <c r="A73" s="105">
        <v>39136</v>
      </c>
      <c r="B73" s="103">
        <v>482.88</v>
      </c>
      <c r="C73" s="103">
        <v>120.72</v>
      </c>
      <c r="D73" s="103">
        <v>603.6</v>
      </c>
      <c r="E73" s="103">
        <v>2.3832</v>
      </c>
      <c r="F73" s="106">
        <v>1438.5</v>
      </c>
      <c r="G73" s="106">
        <v>289.85000000000002</v>
      </c>
      <c r="H73" s="106">
        <v>1728.35</v>
      </c>
      <c r="I73" s="106"/>
    </row>
    <row r="74" spans="1:9" x14ac:dyDescent="0.15">
      <c r="A74" s="105">
        <v>39160</v>
      </c>
      <c r="B74" s="103">
        <v>485.28</v>
      </c>
      <c r="C74" s="103">
        <v>121.32</v>
      </c>
      <c r="D74" s="103">
        <v>606.6</v>
      </c>
      <c r="E74" s="103">
        <v>2.4500000000000002</v>
      </c>
      <c r="F74" s="106">
        <v>1486.17</v>
      </c>
      <c r="G74" s="106">
        <v>295.24</v>
      </c>
      <c r="H74" s="106">
        <v>1781.41</v>
      </c>
      <c r="I74" s="106"/>
    </row>
    <row r="75" spans="1:9" x14ac:dyDescent="0.15">
      <c r="A75" s="105">
        <v>39183</v>
      </c>
      <c r="B75" s="103">
        <v>485.2</v>
      </c>
      <c r="C75" s="103">
        <v>121.3</v>
      </c>
      <c r="D75" s="103">
        <v>606.5</v>
      </c>
      <c r="E75" s="103">
        <v>2.5729000000000002</v>
      </c>
      <c r="F75" s="106">
        <v>1560.46</v>
      </c>
      <c r="G75" s="106">
        <v>291.25</v>
      </c>
      <c r="H75" s="106">
        <v>1851.71</v>
      </c>
      <c r="I75" s="106"/>
    </row>
    <row r="76" spans="1:9" x14ac:dyDescent="0.15">
      <c r="A76" s="105">
        <v>39206</v>
      </c>
      <c r="B76" s="103">
        <v>486.64</v>
      </c>
      <c r="C76" s="103">
        <v>121.66</v>
      </c>
      <c r="D76" s="103">
        <v>608.29999999999995</v>
      </c>
      <c r="E76" s="103">
        <v>2.6008</v>
      </c>
      <c r="F76" s="106">
        <v>1582.07</v>
      </c>
      <c r="G76" s="106">
        <v>296.06</v>
      </c>
      <c r="H76" s="106">
        <v>1878.13</v>
      </c>
      <c r="I76" s="106"/>
    </row>
    <row r="77" spans="1:9" x14ac:dyDescent="0.15">
      <c r="A77" s="105">
        <v>39225</v>
      </c>
      <c r="B77" s="103">
        <v>484.08</v>
      </c>
      <c r="C77" s="103">
        <v>121.02</v>
      </c>
      <c r="D77" s="103">
        <v>605.1</v>
      </c>
      <c r="E77" s="103">
        <v>2.6476000000000002</v>
      </c>
      <c r="F77" s="106">
        <v>1602.06</v>
      </c>
      <c r="G77" s="106">
        <v>279.37</v>
      </c>
      <c r="H77" s="106">
        <v>1881.43</v>
      </c>
      <c r="I77" s="106"/>
    </row>
    <row r="78" spans="1:9" x14ac:dyDescent="0.15">
      <c r="A78" s="105">
        <v>39259</v>
      </c>
      <c r="F78" s="106"/>
      <c r="G78" s="106">
        <v>15.13</v>
      </c>
      <c r="H78" s="106">
        <v>15.13</v>
      </c>
      <c r="I78" s="106" t="s">
        <v>125</v>
      </c>
    </row>
    <row r="79" spans="1:9" x14ac:dyDescent="0.15">
      <c r="A79" s="105">
        <v>39260</v>
      </c>
      <c r="B79" s="103">
        <f>600/750*758.6</f>
        <v>606.88</v>
      </c>
      <c r="C79" s="103">
        <f>150/750*758.6</f>
        <v>151.72</v>
      </c>
      <c r="D79" s="103">
        <f>B79+C79</f>
        <v>758.6</v>
      </c>
      <c r="E79" s="103">
        <v>2.7328000000000001</v>
      </c>
      <c r="F79" s="106">
        <v>2073.1</v>
      </c>
      <c r="G79" s="106">
        <f>H79-F79</f>
        <v>308.78999999999996</v>
      </c>
      <c r="H79" s="106">
        <v>2381.89</v>
      </c>
      <c r="I79" s="106"/>
    </row>
    <row r="80" spans="1:9" ht="14" thickBot="1" x14ac:dyDescent="0.2">
      <c r="A80" s="105"/>
      <c r="B80" s="107">
        <f>SUM(B63:B79)</f>
        <v>8257.84</v>
      </c>
      <c r="C80" s="107">
        <f>SUM(C63:C79)</f>
        <v>2064.46</v>
      </c>
      <c r="D80" s="107">
        <f>SUM(D63:D79)</f>
        <v>10322.299999999999</v>
      </c>
      <c r="E80" s="107"/>
      <c r="F80" s="109">
        <f>SUM(F63:F79)</f>
        <v>25089.210000000003</v>
      </c>
      <c r="G80" s="109">
        <f>SUM(G63:G79)</f>
        <v>5216.1500000000005</v>
      </c>
      <c r="H80" s="109">
        <f>SUM(H63:H79)</f>
        <v>30305.359999999997</v>
      </c>
      <c r="I80" s="110">
        <f>(H80/D80)</f>
        <v>2.9359115700958118</v>
      </c>
    </row>
    <row r="81" spans="1:10" ht="14" thickTop="1" x14ac:dyDescent="0.15">
      <c r="A81" s="105"/>
      <c r="F81" s="106"/>
      <c r="G81" s="106"/>
      <c r="H81" s="106"/>
      <c r="I81" s="106"/>
    </row>
    <row r="82" spans="1:10" x14ac:dyDescent="0.15">
      <c r="A82" s="105"/>
      <c r="F82" s="106"/>
      <c r="G82" s="106"/>
      <c r="H82" s="106"/>
      <c r="I82" s="106"/>
    </row>
    <row r="83" spans="1:10" x14ac:dyDescent="0.15">
      <c r="A83" s="100" t="s">
        <v>121</v>
      </c>
      <c r="B83" s="116" t="s">
        <v>122</v>
      </c>
    </row>
    <row r="84" spans="1:10" x14ac:dyDescent="0.15">
      <c r="A84" s="117" t="s">
        <v>124</v>
      </c>
      <c r="B84" s="118" t="s">
        <v>123</v>
      </c>
      <c r="C84" s="118" t="s">
        <v>116</v>
      </c>
      <c r="D84" s="118" t="s">
        <v>115</v>
      </c>
      <c r="E84" s="118" t="s">
        <v>118</v>
      </c>
      <c r="F84" s="118"/>
    </row>
    <row r="85" spans="1:10" x14ac:dyDescent="0.15">
      <c r="A85" s="105"/>
      <c r="D85" s="106"/>
      <c r="E85" s="106"/>
      <c r="F85" s="106">
        <f>SUM(D85:E85)</f>
        <v>0</v>
      </c>
    </row>
    <row r="86" spans="1:10" x14ac:dyDescent="0.15">
      <c r="A86" s="105">
        <v>38939</v>
      </c>
      <c r="B86" s="103">
        <v>404.4</v>
      </c>
      <c r="C86" s="103">
        <v>2.75</v>
      </c>
      <c r="D86" s="106">
        <v>1112.0999999999999</v>
      </c>
      <c r="E86" s="106">
        <v>138.71</v>
      </c>
      <c r="F86" s="106">
        <f>SUM(D86:E86)</f>
        <v>1250.81</v>
      </c>
    </row>
    <row r="87" spans="1:10" x14ac:dyDescent="0.15">
      <c r="A87" s="105">
        <v>39029</v>
      </c>
      <c r="B87" s="103">
        <v>500</v>
      </c>
      <c r="C87" s="103">
        <v>1.9255</v>
      </c>
      <c r="D87" s="106">
        <v>962.75</v>
      </c>
      <c r="E87" s="106">
        <v>209.02</v>
      </c>
      <c r="F87" s="106">
        <f>SUM(D87:E87)</f>
        <v>1171.77</v>
      </c>
    </row>
    <row r="88" spans="1:10" x14ac:dyDescent="0.15">
      <c r="A88" s="105">
        <v>39108</v>
      </c>
      <c r="B88" s="103">
        <v>374.6</v>
      </c>
      <c r="C88" s="103">
        <v>1.696</v>
      </c>
      <c r="D88" s="106">
        <v>635.32000000000005</v>
      </c>
      <c r="E88" s="106">
        <v>128.49</v>
      </c>
      <c r="F88" s="106">
        <f>SUM(D88:E88)</f>
        <v>763.81000000000006</v>
      </c>
    </row>
    <row r="89" spans="1:10" x14ac:dyDescent="0.15">
      <c r="A89" s="105">
        <v>39254</v>
      </c>
      <c r="B89" s="103">
        <v>525.20000000000005</v>
      </c>
      <c r="C89" s="103">
        <v>2.5710000000000002</v>
      </c>
      <c r="D89" s="106">
        <v>1350.29</v>
      </c>
      <c r="E89" s="106">
        <f>110.29+69.85</f>
        <v>180.14</v>
      </c>
      <c r="F89" s="106">
        <f>SUM(D89:E89)</f>
        <v>1530.4299999999998</v>
      </c>
    </row>
    <row r="90" spans="1:10" x14ac:dyDescent="0.15">
      <c r="A90" s="105"/>
      <c r="D90" s="106"/>
      <c r="E90" s="106"/>
      <c r="F90" s="106"/>
    </row>
    <row r="91" spans="1:10" x14ac:dyDescent="0.15">
      <c r="D91" s="106"/>
      <c r="E91" s="106"/>
      <c r="F91" s="106"/>
    </row>
    <row r="92" spans="1:10" ht="14" thickBot="1" x14ac:dyDescent="0.2">
      <c r="B92" s="107">
        <f>SUM(B85:B91)</f>
        <v>1804.2</v>
      </c>
      <c r="C92" s="107"/>
      <c r="D92" s="109">
        <f>SUM(D85:D91)</f>
        <v>4060.46</v>
      </c>
      <c r="E92" s="109">
        <f>SUM(E85:E91)</f>
        <v>656.36</v>
      </c>
      <c r="F92" s="109">
        <f>SUM(F85:F91)</f>
        <v>4716.82</v>
      </c>
      <c r="G92" s="119">
        <f>(F92/B92)</f>
        <v>2.6143553929719543</v>
      </c>
    </row>
    <row r="93" spans="1:10" ht="14" thickTop="1" x14ac:dyDescent="0.15"/>
    <row r="95" spans="1:10" x14ac:dyDescent="0.15">
      <c r="A95" s="124"/>
      <c r="B95" s="124"/>
      <c r="C95" s="124"/>
      <c r="D95" s="124"/>
      <c r="E95" s="124"/>
      <c r="F95" s="124"/>
      <c r="G95" s="124"/>
      <c r="H95" s="124"/>
      <c r="I95" s="124"/>
      <c r="J95" s="124"/>
    </row>
    <row r="96" spans="1:10" x14ac:dyDescent="0.15">
      <c r="A96" s="124"/>
      <c r="B96" s="125" t="s">
        <v>21</v>
      </c>
      <c r="C96" s="125" t="s">
        <v>114</v>
      </c>
      <c r="D96" s="125" t="s">
        <v>115</v>
      </c>
      <c r="E96" s="125" t="s">
        <v>116</v>
      </c>
      <c r="F96" s="125" t="s">
        <v>117</v>
      </c>
      <c r="G96" s="125" t="s">
        <v>118</v>
      </c>
      <c r="H96" s="125" t="s">
        <v>115</v>
      </c>
      <c r="I96" s="124"/>
      <c r="J96" s="124"/>
    </row>
    <row r="97" spans="1:9" x14ac:dyDescent="0.15">
      <c r="A97" s="100" t="s">
        <v>112</v>
      </c>
      <c r="B97" s="101" t="s">
        <v>126</v>
      </c>
      <c r="C97" s="102"/>
    </row>
    <row r="98" spans="1:9" x14ac:dyDescent="0.15">
      <c r="A98" s="105">
        <v>39281</v>
      </c>
      <c r="B98" s="103">
        <f>480/600*602</f>
        <v>481.6</v>
      </c>
      <c r="C98" s="103">
        <f>120/600*602</f>
        <v>120.4</v>
      </c>
      <c r="D98" s="103">
        <f>B98+C98</f>
        <v>602</v>
      </c>
      <c r="E98" s="103">
        <v>2.746</v>
      </c>
      <c r="F98" s="106">
        <v>1653.09</v>
      </c>
      <c r="G98" s="106">
        <f>H98-F98</f>
        <v>277.94000000000005</v>
      </c>
      <c r="H98" s="106">
        <v>1931.03</v>
      </c>
      <c r="I98" s="126">
        <f>F98+G98</f>
        <v>1931.03</v>
      </c>
    </row>
    <row r="99" spans="1:9" x14ac:dyDescent="0.15">
      <c r="A99" s="105">
        <v>39291</v>
      </c>
      <c r="F99" s="106"/>
      <c r="G99" s="106">
        <v>15.05</v>
      </c>
      <c r="H99" s="106">
        <v>15.05</v>
      </c>
      <c r="I99" s="106" t="s">
        <v>127</v>
      </c>
    </row>
    <row r="100" spans="1:9" x14ac:dyDescent="0.15">
      <c r="A100" s="105">
        <v>39291</v>
      </c>
      <c r="F100" s="106"/>
      <c r="G100" s="106">
        <v>18.97</v>
      </c>
      <c r="H100" s="106">
        <v>18.97</v>
      </c>
      <c r="I100" s="106" t="s">
        <v>127</v>
      </c>
    </row>
    <row r="101" spans="1:9" x14ac:dyDescent="0.15">
      <c r="A101" s="105">
        <v>39314</v>
      </c>
      <c r="B101" s="103">
        <v>2500</v>
      </c>
      <c r="C101" s="103">
        <v>0</v>
      </c>
      <c r="D101" s="103">
        <f t="shared" ref="D101:D106" si="2">B101+C101</f>
        <v>2500</v>
      </c>
      <c r="E101" s="103">
        <v>2.2583000000000002</v>
      </c>
      <c r="F101" s="106">
        <v>5662.24</v>
      </c>
      <c r="G101" s="106">
        <f t="shared" ref="G101:G106" si="3">H101-F101</f>
        <v>1220.3000000000002</v>
      </c>
      <c r="H101" s="106">
        <v>6882.54</v>
      </c>
      <c r="I101" s="126">
        <f t="shared" ref="I101:I106" si="4">F101+G101</f>
        <v>6882.54</v>
      </c>
    </row>
    <row r="102" spans="1:9" x14ac:dyDescent="0.15">
      <c r="A102" s="105">
        <v>39379</v>
      </c>
      <c r="B102" s="103">
        <f>480/600*1987.6</f>
        <v>1590.08</v>
      </c>
      <c r="C102" s="103">
        <f>120/600*1987.6</f>
        <v>397.52</v>
      </c>
      <c r="D102" s="103">
        <f t="shared" si="2"/>
        <v>1987.6</v>
      </c>
      <c r="E102" s="103">
        <v>2.7250000000000001</v>
      </c>
      <c r="F102" s="106">
        <v>5416.21</v>
      </c>
      <c r="G102" s="106">
        <f t="shared" si="3"/>
        <v>954.44999999999982</v>
      </c>
      <c r="H102" s="106">
        <v>6370.66</v>
      </c>
      <c r="I102" s="126">
        <f t="shared" si="4"/>
        <v>6370.66</v>
      </c>
    </row>
    <row r="103" spans="1:9" x14ac:dyDescent="0.15">
      <c r="A103" s="105">
        <v>39433</v>
      </c>
      <c r="B103" s="103">
        <v>1516.5</v>
      </c>
      <c r="C103" s="103">
        <v>0</v>
      </c>
      <c r="D103" s="103">
        <f t="shared" si="2"/>
        <v>1516.5</v>
      </c>
      <c r="E103" s="103">
        <v>2.879</v>
      </c>
      <c r="F103" s="106">
        <v>4366</v>
      </c>
      <c r="G103" s="106">
        <f t="shared" si="3"/>
        <v>738.09000000000015</v>
      </c>
      <c r="H103" s="106">
        <v>5104.09</v>
      </c>
      <c r="I103" s="126">
        <f t="shared" si="4"/>
        <v>5104.09</v>
      </c>
    </row>
    <row r="104" spans="1:9" x14ac:dyDescent="0.15">
      <c r="A104" s="105">
        <v>39482</v>
      </c>
      <c r="B104" s="103">
        <v>1504</v>
      </c>
      <c r="C104" s="103">
        <v>0</v>
      </c>
      <c r="D104" s="103">
        <f t="shared" si="2"/>
        <v>1504</v>
      </c>
      <c r="E104" s="103">
        <v>2.8955000000000002</v>
      </c>
      <c r="F104" s="106">
        <v>4354.83</v>
      </c>
      <c r="G104" s="106">
        <f t="shared" si="3"/>
        <v>732</v>
      </c>
      <c r="H104" s="106">
        <v>5086.83</v>
      </c>
      <c r="I104" s="126">
        <f t="shared" si="4"/>
        <v>5086.83</v>
      </c>
    </row>
    <row r="105" spans="1:9" x14ac:dyDescent="0.15">
      <c r="A105" s="105">
        <v>39524</v>
      </c>
      <c r="B105" s="103">
        <f>1600/2000*2038.2</f>
        <v>1630.5600000000002</v>
      </c>
      <c r="C105" s="103">
        <f>400/2000*2038.2</f>
        <v>407.64000000000004</v>
      </c>
      <c r="D105" s="103">
        <f t="shared" si="2"/>
        <v>2038.2000000000003</v>
      </c>
      <c r="E105" s="103">
        <v>3.5436000000000001</v>
      </c>
      <c r="F105" s="106">
        <v>7222.57</v>
      </c>
      <c r="G105" s="106">
        <f t="shared" si="3"/>
        <v>978.75</v>
      </c>
      <c r="H105" s="106">
        <v>8201.32</v>
      </c>
      <c r="I105" s="126">
        <f t="shared" si="4"/>
        <v>8201.32</v>
      </c>
    </row>
    <row r="106" spans="1:9" x14ac:dyDescent="0.15">
      <c r="A106" s="105">
        <v>39590</v>
      </c>
      <c r="B106" s="103">
        <f>1600/2000*1758.2</f>
        <v>1406.5600000000002</v>
      </c>
      <c r="C106" s="103">
        <f>400/2000*1758.2</f>
        <v>351.64000000000004</v>
      </c>
      <c r="D106" s="103">
        <f t="shared" si="2"/>
        <v>1758.2000000000003</v>
      </c>
      <c r="E106" s="103">
        <v>4.4596</v>
      </c>
      <c r="F106" s="106">
        <v>7840.87</v>
      </c>
      <c r="G106" s="106">
        <f t="shared" si="3"/>
        <v>855.72000000000025</v>
      </c>
      <c r="H106" s="106">
        <v>8696.59</v>
      </c>
      <c r="I106" s="126">
        <f t="shared" si="4"/>
        <v>8696.59</v>
      </c>
    </row>
    <row r="107" spans="1:9" ht="14" thickBot="1" x14ac:dyDescent="0.2">
      <c r="A107" s="105"/>
      <c r="B107" s="107">
        <f>SUM(B98:B106)</f>
        <v>10629.3</v>
      </c>
      <c r="C107" s="107">
        <f>SUM(C98:C106)</f>
        <v>1277.2</v>
      </c>
      <c r="D107" s="107">
        <f>SUM(D98:D106)</f>
        <v>11906.500000000002</v>
      </c>
      <c r="E107" s="107"/>
      <c r="F107" s="109">
        <f>SUM(F98:F106)</f>
        <v>36515.810000000005</v>
      </c>
      <c r="G107" s="109">
        <f>SUM(G98:G106)</f>
        <v>5791.27</v>
      </c>
      <c r="H107" s="109">
        <f>SUM(H98:H106)</f>
        <v>42307.08</v>
      </c>
      <c r="I107" s="110">
        <f>(H107/D107)</f>
        <v>3.5532759417125095</v>
      </c>
    </row>
    <row r="108" spans="1:9" ht="14" thickTop="1" x14ac:dyDescent="0.15"/>
    <row r="109" spans="1:9" x14ac:dyDescent="0.15">
      <c r="A109" s="100" t="s">
        <v>121</v>
      </c>
      <c r="B109" s="116" t="s">
        <v>122</v>
      </c>
    </row>
    <row r="110" spans="1:9" x14ac:dyDescent="0.15">
      <c r="A110" s="117" t="s">
        <v>126</v>
      </c>
      <c r="B110" s="118" t="s">
        <v>123</v>
      </c>
      <c r="C110" s="118" t="s">
        <v>116</v>
      </c>
      <c r="D110" s="118" t="s">
        <v>115</v>
      </c>
      <c r="E110" s="118" t="s">
        <v>118</v>
      </c>
      <c r="F110" s="118"/>
    </row>
    <row r="111" spans="1:9" x14ac:dyDescent="0.15">
      <c r="A111" s="105"/>
      <c r="D111" s="106"/>
      <c r="E111" s="106"/>
      <c r="F111" s="106">
        <f>SUM(D111:E111)</f>
        <v>0</v>
      </c>
    </row>
    <row r="112" spans="1:9" x14ac:dyDescent="0.15">
      <c r="A112" s="105">
        <v>39374</v>
      </c>
      <c r="B112" s="103">
        <v>433.7</v>
      </c>
      <c r="C112" s="103">
        <v>2.4460000000000002</v>
      </c>
      <c r="D112" s="106">
        <v>1060.83</v>
      </c>
      <c r="E112" s="106">
        <f>91.08+57.68</f>
        <v>148.76</v>
      </c>
      <c r="F112" s="106">
        <f>SUM(D112:E112)</f>
        <v>1209.5899999999999</v>
      </c>
    </row>
    <row r="113" spans="1:10" x14ac:dyDescent="0.15">
      <c r="A113" s="105">
        <v>39433</v>
      </c>
      <c r="B113" s="103">
        <v>453.9</v>
      </c>
      <c r="C113" s="103">
        <v>2.6059999999999999</v>
      </c>
      <c r="D113" s="106">
        <v>1182.8599999999999</v>
      </c>
      <c r="E113" s="106">
        <f>F113-D113</f>
        <v>155.69000000000005</v>
      </c>
      <c r="F113" s="106">
        <v>1338.55</v>
      </c>
    </row>
    <row r="114" spans="1:10" x14ac:dyDescent="0.15">
      <c r="A114" s="105">
        <v>39503</v>
      </c>
      <c r="B114" s="103">
        <v>438.3</v>
      </c>
      <c r="C114" s="103">
        <v>2.786</v>
      </c>
      <c r="D114" s="106">
        <v>1221.0999999999999</v>
      </c>
      <c r="E114" s="106">
        <f>92.04+58.29</f>
        <v>150.33000000000001</v>
      </c>
      <c r="F114" s="106">
        <v>1371.43</v>
      </c>
    </row>
    <row r="115" spans="1:10" x14ac:dyDescent="0.15">
      <c r="A115" s="105">
        <v>39601</v>
      </c>
      <c r="B115" s="103">
        <v>506.6</v>
      </c>
      <c r="C115" s="103">
        <v>3.8210000000000002</v>
      </c>
      <c r="D115" s="106">
        <v>1935.72</v>
      </c>
      <c r="E115" s="106">
        <f>106.39+67.38</f>
        <v>173.76999999999998</v>
      </c>
      <c r="F115" s="106">
        <v>2109.4899999999998</v>
      </c>
    </row>
    <row r="116" spans="1:10" ht="14" thickBot="1" x14ac:dyDescent="0.2">
      <c r="B116" s="107">
        <f>SUM(B111:B115)</f>
        <v>1832.5</v>
      </c>
      <c r="C116" s="107"/>
      <c r="D116" s="109">
        <f>SUM(D111:D115)</f>
        <v>5400.5099999999993</v>
      </c>
      <c r="E116" s="109">
        <f>SUM(E111:E115)</f>
        <v>628.55000000000007</v>
      </c>
      <c r="F116" s="109">
        <f>SUM(F111:F115)</f>
        <v>6029.0599999999995</v>
      </c>
    </row>
    <row r="117" spans="1:10" ht="14" thickTop="1" x14ac:dyDescent="0.15">
      <c r="G117" s="119">
        <f>(F116/B116)</f>
        <v>3.2900736698499315</v>
      </c>
    </row>
    <row r="120" spans="1:10" x14ac:dyDescent="0.15">
      <c r="A120" s="124"/>
      <c r="B120" s="124"/>
      <c r="C120" s="124"/>
      <c r="D120" s="124"/>
      <c r="E120" s="124"/>
      <c r="F120" s="124"/>
      <c r="G120" s="124"/>
      <c r="H120" s="124"/>
      <c r="I120" s="124"/>
      <c r="J120" s="124"/>
    </row>
    <row r="121" spans="1:10" x14ac:dyDescent="0.15">
      <c r="A121" s="124"/>
      <c r="B121" s="125" t="s">
        <v>21</v>
      </c>
      <c r="C121" s="125" t="s">
        <v>114</v>
      </c>
      <c r="D121" s="125" t="s">
        <v>115</v>
      </c>
      <c r="E121" s="125" t="s">
        <v>116</v>
      </c>
      <c r="F121" s="125" t="s">
        <v>117</v>
      </c>
      <c r="G121" s="125" t="s">
        <v>118</v>
      </c>
      <c r="H121" s="125" t="s">
        <v>115</v>
      </c>
      <c r="I121" s="124"/>
      <c r="J121" s="124"/>
    </row>
    <row r="122" spans="1:10" x14ac:dyDescent="0.15">
      <c r="A122" s="100" t="s">
        <v>112</v>
      </c>
      <c r="B122" s="101" t="s">
        <v>128</v>
      </c>
      <c r="C122" s="102"/>
    </row>
    <row r="123" spans="1:10" x14ac:dyDescent="0.15">
      <c r="A123" s="105">
        <v>39660</v>
      </c>
      <c r="B123" s="103">
        <f>1600/2000*1650.8</f>
        <v>1320.64</v>
      </c>
      <c r="C123" s="103">
        <f>400/2000*1650.8</f>
        <v>330.16</v>
      </c>
      <c r="D123" s="103">
        <f t="shared" ref="D123:D128" si="5">B123+C123</f>
        <v>1650.8000000000002</v>
      </c>
      <c r="E123" s="103">
        <v>4.18</v>
      </c>
      <c r="F123" s="106">
        <v>6900.34</v>
      </c>
      <c r="G123" s="106">
        <f t="shared" ref="G123:G128" si="6">H123-F123</f>
        <v>803.44999999999982</v>
      </c>
      <c r="H123" s="106">
        <v>7703.79</v>
      </c>
      <c r="I123" s="126">
        <f t="shared" ref="I123:I128" si="7">F123+G123</f>
        <v>7703.79</v>
      </c>
    </row>
    <row r="124" spans="1:10" x14ac:dyDescent="0.15">
      <c r="A124" s="105">
        <v>39729</v>
      </c>
      <c r="B124" s="103">
        <f>1600/2000*1960.6</f>
        <v>1568.48</v>
      </c>
      <c r="C124" s="103">
        <f>400/2000*1960.6</f>
        <v>392.12</v>
      </c>
      <c r="D124" s="103">
        <f t="shared" si="5"/>
        <v>1960.6</v>
      </c>
      <c r="E124" s="103">
        <v>3.8016999999999999</v>
      </c>
      <c r="F124" s="106">
        <v>7453.61</v>
      </c>
      <c r="G124" s="106">
        <f t="shared" si="6"/>
        <v>954.23000000000047</v>
      </c>
      <c r="H124" s="106">
        <v>8407.84</v>
      </c>
      <c r="I124" s="126">
        <f t="shared" si="7"/>
        <v>8407.84</v>
      </c>
    </row>
    <row r="125" spans="1:10" x14ac:dyDescent="0.15">
      <c r="A125" s="105">
        <v>39778</v>
      </c>
      <c r="B125" s="103">
        <f>1600/2000*1723.5</f>
        <v>1378.8000000000002</v>
      </c>
      <c r="C125" s="103">
        <f>400/2000*1723.5</f>
        <v>344.70000000000005</v>
      </c>
      <c r="D125" s="103">
        <f t="shared" si="5"/>
        <v>1723.5000000000002</v>
      </c>
      <c r="E125" s="103">
        <v>2.4916</v>
      </c>
      <c r="F125" s="106">
        <v>4294.2700000000004</v>
      </c>
      <c r="G125" s="106">
        <f t="shared" si="6"/>
        <v>838.82999999999993</v>
      </c>
      <c r="H125" s="106">
        <v>5133.1000000000004</v>
      </c>
      <c r="I125" s="126">
        <f t="shared" si="7"/>
        <v>5133.1000000000004</v>
      </c>
    </row>
    <row r="126" spans="1:10" x14ac:dyDescent="0.15">
      <c r="A126" s="105">
        <v>39839</v>
      </c>
      <c r="B126" s="103">
        <f>1600/2000*1767.9</f>
        <v>1414.3200000000002</v>
      </c>
      <c r="C126" s="103">
        <f>400/2000*1767.9</f>
        <v>353.58000000000004</v>
      </c>
      <c r="D126" s="103">
        <f t="shared" si="5"/>
        <v>1767.9</v>
      </c>
      <c r="E126" s="103">
        <v>2.3008000000000002</v>
      </c>
      <c r="F126" s="106">
        <v>4067.58</v>
      </c>
      <c r="G126" s="106">
        <f t="shared" si="6"/>
        <v>850.19000000000051</v>
      </c>
      <c r="H126" s="106">
        <v>4917.7700000000004</v>
      </c>
      <c r="I126" s="126">
        <f t="shared" si="7"/>
        <v>4917.7700000000004</v>
      </c>
    </row>
    <row r="127" spans="1:10" x14ac:dyDescent="0.15">
      <c r="A127" s="105">
        <v>39896</v>
      </c>
      <c r="B127" s="103">
        <f>1600/2000*1719.7</f>
        <v>1375.7600000000002</v>
      </c>
      <c r="C127" s="103">
        <f>400/2000*1719.7</f>
        <v>343.94000000000005</v>
      </c>
      <c r="D127" s="103">
        <f t="shared" si="5"/>
        <v>1719.7000000000003</v>
      </c>
      <c r="E127" s="103">
        <v>2.1215999999999999</v>
      </c>
      <c r="F127" s="106">
        <v>3648.52</v>
      </c>
      <c r="G127" s="106">
        <f t="shared" si="6"/>
        <v>833.88999999999987</v>
      </c>
      <c r="H127" s="106">
        <v>4482.41</v>
      </c>
      <c r="I127" s="126">
        <f t="shared" si="7"/>
        <v>4482.41</v>
      </c>
    </row>
    <row r="128" spans="1:10" x14ac:dyDescent="0.15">
      <c r="A128" s="105">
        <v>39980</v>
      </c>
      <c r="B128" s="103">
        <f>1600/2000*1706.5</f>
        <v>1365.2</v>
      </c>
      <c r="C128" s="103">
        <f>400/2000*1706.5</f>
        <v>341.3</v>
      </c>
      <c r="D128" s="103">
        <f t="shared" si="5"/>
        <v>1706.5</v>
      </c>
      <c r="E128" s="103">
        <v>2.2847</v>
      </c>
      <c r="F128" s="106">
        <v>3898.84</v>
      </c>
      <c r="G128" s="106">
        <f t="shared" si="6"/>
        <v>820.65999999999985</v>
      </c>
      <c r="H128" s="106">
        <v>4719.5</v>
      </c>
      <c r="I128" s="126">
        <f t="shared" si="7"/>
        <v>4719.5</v>
      </c>
    </row>
    <row r="129" spans="1:10" ht="14" thickBot="1" x14ac:dyDescent="0.2">
      <c r="A129" s="105"/>
      <c r="B129" s="107">
        <f>SUM(B123:B128)</f>
        <v>8423.2000000000007</v>
      </c>
      <c r="C129" s="107">
        <f>SUM(C123:C128)</f>
        <v>2105.8000000000002</v>
      </c>
      <c r="D129" s="107">
        <f>SUM(D123:D128)</f>
        <v>10529.000000000002</v>
      </c>
      <c r="E129" s="107"/>
      <c r="F129" s="109">
        <f>SUM(F123:F128)</f>
        <v>30263.160000000003</v>
      </c>
      <c r="G129" s="109">
        <f>SUM(G123:G128)</f>
        <v>5101.25</v>
      </c>
      <c r="H129" s="109">
        <f>SUM(H123:H128)</f>
        <v>35364.410000000003</v>
      </c>
      <c r="I129" s="110">
        <f>(H129/D129)</f>
        <v>3.3587624655712789</v>
      </c>
    </row>
    <row r="130" spans="1:10" ht="14" thickTop="1" x14ac:dyDescent="0.15"/>
    <row r="132" spans="1:10" x14ac:dyDescent="0.15">
      <c r="A132" s="100" t="s">
        <v>121</v>
      </c>
      <c r="B132" s="116" t="s">
        <v>122</v>
      </c>
    </row>
    <row r="133" spans="1:10" x14ac:dyDescent="0.15">
      <c r="A133" s="117" t="s">
        <v>128</v>
      </c>
      <c r="B133" s="118" t="s">
        <v>123</v>
      </c>
      <c r="C133" s="118" t="s">
        <v>116</v>
      </c>
      <c r="D133" s="118" t="s">
        <v>129</v>
      </c>
      <c r="E133" s="118" t="s">
        <v>118</v>
      </c>
      <c r="F133" s="118" t="s">
        <v>115</v>
      </c>
    </row>
    <row r="134" spans="1:10" x14ac:dyDescent="0.15">
      <c r="A134" s="105">
        <v>39672</v>
      </c>
      <c r="B134" s="103">
        <v>325.39999999999998</v>
      </c>
      <c r="C134" s="103">
        <v>3.3759999999999999</v>
      </c>
      <c r="D134" s="106">
        <v>1098.55</v>
      </c>
      <c r="E134" s="106">
        <f>F134-D134</f>
        <v>111.61000000000013</v>
      </c>
      <c r="F134" s="106">
        <v>1210.1600000000001</v>
      </c>
    </row>
    <row r="135" spans="1:10" x14ac:dyDescent="0.15">
      <c r="A135" s="105">
        <v>39762</v>
      </c>
      <c r="B135" s="103">
        <v>509.2</v>
      </c>
      <c r="C135" s="103">
        <v>1.986</v>
      </c>
      <c r="D135" s="106">
        <v>1011.27</v>
      </c>
      <c r="E135" s="106">
        <f>F135-D135</f>
        <v>174.65000000000009</v>
      </c>
      <c r="F135" s="106">
        <v>1185.92</v>
      </c>
    </row>
    <row r="136" spans="1:10" x14ac:dyDescent="0.15">
      <c r="A136" s="105">
        <v>39846</v>
      </c>
      <c r="B136" s="103">
        <v>535</v>
      </c>
      <c r="C136" s="103">
        <v>1.6850000000000001</v>
      </c>
      <c r="D136" s="106">
        <v>901.48</v>
      </c>
      <c r="E136" s="106">
        <f>F136-D136</f>
        <v>186.72000000000003</v>
      </c>
      <c r="F136" s="106">
        <v>1088.2</v>
      </c>
    </row>
    <row r="137" spans="1:10" x14ac:dyDescent="0.15">
      <c r="A137" s="105">
        <v>39982</v>
      </c>
      <c r="B137" s="103">
        <v>334.4</v>
      </c>
      <c r="C137" s="103">
        <v>2.4495</v>
      </c>
      <c r="D137" s="106">
        <v>819.11</v>
      </c>
      <c r="E137" s="106">
        <f>F137-D137</f>
        <v>116.69999999999993</v>
      </c>
      <c r="F137" s="106">
        <v>935.81</v>
      </c>
    </row>
    <row r="138" spans="1:10" ht="14" thickBot="1" x14ac:dyDescent="0.2">
      <c r="B138" s="107">
        <f>SUM(B134:B137)</f>
        <v>1704</v>
      </c>
      <c r="C138" s="107"/>
      <c r="D138" s="109">
        <f>SUM(D134:D137)</f>
        <v>3830.41</v>
      </c>
      <c r="E138" s="109">
        <f>SUM(E134:E137)</f>
        <v>589.68000000000018</v>
      </c>
      <c r="F138" s="109">
        <f>SUM(F134:F137)</f>
        <v>4420.09</v>
      </c>
    </row>
    <row r="139" spans="1:10" ht="14" thickTop="1" x14ac:dyDescent="0.15">
      <c r="G139" s="119">
        <f>(F138/B138)</f>
        <v>2.593949530516432</v>
      </c>
    </row>
    <row r="142" spans="1:10" x14ac:dyDescent="0.15">
      <c r="A142" s="124"/>
      <c r="B142" s="124"/>
      <c r="C142" s="124"/>
      <c r="D142" s="124"/>
      <c r="E142" s="124"/>
      <c r="F142" s="124"/>
      <c r="G142" s="124"/>
      <c r="H142" s="124"/>
      <c r="I142" s="124"/>
      <c r="J142" s="124"/>
    </row>
    <row r="143" spans="1:10" x14ac:dyDescent="0.15">
      <c r="A143" s="124"/>
      <c r="B143" s="125" t="s">
        <v>21</v>
      </c>
      <c r="C143" s="125" t="s">
        <v>114</v>
      </c>
      <c r="D143" s="125" t="s">
        <v>115</v>
      </c>
      <c r="E143" s="125" t="s">
        <v>116</v>
      </c>
      <c r="F143" s="125" t="s">
        <v>117</v>
      </c>
      <c r="G143" s="125" t="s">
        <v>118</v>
      </c>
      <c r="H143" s="125" t="s">
        <v>115</v>
      </c>
      <c r="I143" s="124"/>
      <c r="J143" s="124"/>
    </row>
    <row r="144" spans="1:10" x14ac:dyDescent="0.15">
      <c r="A144" s="100" t="s">
        <v>112</v>
      </c>
      <c r="B144" s="101" t="s">
        <v>130</v>
      </c>
      <c r="C144" s="102"/>
    </row>
    <row r="145" spans="1:9" s="128" customFormat="1" x14ac:dyDescent="0.15">
      <c r="A145" s="127">
        <v>40037</v>
      </c>
      <c r="B145" s="128">
        <f>1400/1800*1800</f>
        <v>1400</v>
      </c>
      <c r="C145" s="128">
        <f>400/1800*1800</f>
        <v>400</v>
      </c>
      <c r="D145" s="128">
        <f>B145+C145</f>
        <v>1800</v>
      </c>
      <c r="E145" s="128">
        <v>2.448</v>
      </c>
      <c r="F145" s="129">
        <v>4406.3999999999996</v>
      </c>
      <c r="G145" s="129">
        <f>H145-F145</f>
        <v>872.82000000000062</v>
      </c>
      <c r="H145" s="129">
        <v>5279.22</v>
      </c>
      <c r="I145" s="126">
        <f>F145+G145</f>
        <v>5279.22</v>
      </c>
    </row>
    <row r="146" spans="1:9" s="128" customFormat="1" x14ac:dyDescent="0.15">
      <c r="A146" s="127">
        <v>40115</v>
      </c>
      <c r="B146" s="128">
        <f>1600/2000*1837</f>
        <v>1469.6000000000001</v>
      </c>
      <c r="C146" s="128">
        <f>400/2000*1837</f>
        <v>367.40000000000003</v>
      </c>
      <c r="D146" s="128">
        <f>B146+C146</f>
        <v>1837.0000000000002</v>
      </c>
      <c r="E146" s="128">
        <v>2.6019999999999999</v>
      </c>
      <c r="F146" s="129">
        <v>4779.87</v>
      </c>
      <c r="G146" s="129">
        <f>H146-F146</f>
        <v>882.72000000000025</v>
      </c>
      <c r="H146" s="129">
        <v>5662.59</v>
      </c>
      <c r="I146" s="126">
        <f>F146+G146</f>
        <v>5662.59</v>
      </c>
    </row>
    <row r="147" spans="1:9" s="128" customFormat="1" x14ac:dyDescent="0.15">
      <c r="A147" s="127">
        <v>40184</v>
      </c>
      <c r="B147" s="128">
        <f>1800/1800*1827</f>
        <v>1827</v>
      </c>
      <c r="C147" s="128">
        <f>0/1800*0</f>
        <v>0</v>
      </c>
      <c r="D147" s="128">
        <f>B147+C147</f>
        <v>1827</v>
      </c>
      <c r="E147" s="128">
        <v>2.4815</v>
      </c>
      <c r="F147" s="129">
        <v>4282.08</v>
      </c>
      <c r="G147" s="129">
        <f>H147-F147</f>
        <v>829.85000000000036</v>
      </c>
      <c r="H147" s="129">
        <v>5111.93</v>
      </c>
      <c r="I147" s="126">
        <f>F147+G147</f>
        <v>5111.93</v>
      </c>
    </row>
    <row r="148" spans="1:9" s="128" customFormat="1" x14ac:dyDescent="0.15">
      <c r="A148" s="127">
        <v>40259</v>
      </c>
      <c r="B148" s="128">
        <f>1600/2000*1739</f>
        <v>1391.2</v>
      </c>
      <c r="C148" s="128">
        <f>400/2000*1739</f>
        <v>347.8</v>
      </c>
      <c r="D148" s="128">
        <f>B148+C148</f>
        <v>1739</v>
      </c>
      <c r="E148" s="128">
        <v>2.8557999999999999</v>
      </c>
      <c r="F148" s="129">
        <v>4966.24</v>
      </c>
      <c r="G148" s="129">
        <f>H148-F148</f>
        <v>835.63000000000011</v>
      </c>
      <c r="H148" s="129">
        <v>5801.87</v>
      </c>
      <c r="I148" s="126">
        <f>F148+G148</f>
        <v>5801.87</v>
      </c>
    </row>
    <row r="149" spans="1:9" s="128" customFormat="1" x14ac:dyDescent="0.15">
      <c r="A149" s="127">
        <v>40340</v>
      </c>
      <c r="B149" s="128">
        <f>1600/2000*1733.2</f>
        <v>1386.5600000000002</v>
      </c>
      <c r="C149" s="128">
        <f>400/2000*1733.2</f>
        <v>346.64000000000004</v>
      </c>
      <c r="D149" s="128">
        <f>B149+C149</f>
        <v>1733.2000000000003</v>
      </c>
      <c r="E149" s="128">
        <v>2.7553000000000001</v>
      </c>
      <c r="F149" s="129">
        <v>4775.49</v>
      </c>
      <c r="G149" s="129">
        <f>H149-F149</f>
        <v>832.82999999999993</v>
      </c>
      <c r="H149" s="129">
        <v>5608.32</v>
      </c>
      <c r="I149" s="126">
        <f>F149+G149</f>
        <v>5608.32</v>
      </c>
    </row>
    <row r="150" spans="1:9" ht="14" thickBot="1" x14ac:dyDescent="0.2">
      <c r="A150" s="105"/>
      <c r="B150" s="107">
        <f>SUM(B145:B149)</f>
        <v>7474.3600000000006</v>
      </c>
      <c r="C150" s="107">
        <f>SUM(C145:C149)</f>
        <v>1461.8400000000001</v>
      </c>
      <c r="D150" s="107">
        <f>SUM(D145:D149)</f>
        <v>8936.2000000000007</v>
      </c>
      <c r="E150" s="107"/>
      <c r="F150" s="109">
        <f>SUM(F145:F149)</f>
        <v>23210.080000000002</v>
      </c>
      <c r="G150" s="109">
        <f>SUM(G145:G149)</f>
        <v>4253.8500000000013</v>
      </c>
      <c r="H150" s="109">
        <f>SUM(H145:H149)</f>
        <v>27463.93</v>
      </c>
      <c r="I150" s="110">
        <f>(H150/D150)</f>
        <v>3.0733343031713702</v>
      </c>
    </row>
    <row r="151" spans="1:9" ht="14" thickTop="1" x14ac:dyDescent="0.15"/>
    <row r="153" spans="1:9" x14ac:dyDescent="0.15">
      <c r="A153" s="100" t="s">
        <v>121</v>
      </c>
      <c r="B153" s="116" t="s">
        <v>122</v>
      </c>
    </row>
    <row r="154" spans="1:9" x14ac:dyDescent="0.15">
      <c r="A154" s="117" t="s">
        <v>130</v>
      </c>
      <c r="B154" s="118" t="s">
        <v>123</v>
      </c>
      <c r="C154" s="118" t="s">
        <v>116</v>
      </c>
      <c r="D154" s="118" t="s">
        <v>129</v>
      </c>
      <c r="E154" s="118" t="s">
        <v>118</v>
      </c>
      <c r="F154" s="118" t="s">
        <v>115</v>
      </c>
    </row>
    <row r="155" spans="1:9" x14ac:dyDescent="0.15">
      <c r="A155" s="105">
        <v>40043</v>
      </c>
      <c r="B155" s="103">
        <v>605.1</v>
      </c>
      <c r="C155" s="103">
        <v>2.4510000000000001</v>
      </c>
      <c r="D155" s="106">
        <v>1483.1</v>
      </c>
      <c r="E155" s="106">
        <f>F155-D155</f>
        <v>84.110000000000127</v>
      </c>
      <c r="F155" s="106">
        <v>1567.21</v>
      </c>
    </row>
    <row r="156" spans="1:9" x14ac:dyDescent="0.15">
      <c r="A156" s="105">
        <v>40140</v>
      </c>
      <c r="B156" s="103">
        <v>583</v>
      </c>
      <c r="C156" s="103">
        <v>2.4184999999999999</v>
      </c>
      <c r="D156" s="106">
        <v>1409.99</v>
      </c>
      <c r="E156" s="106">
        <f>F156-D156</f>
        <v>-46.029999999999973</v>
      </c>
      <c r="F156" s="106">
        <f>1491.03-127.07</f>
        <v>1363.96</v>
      </c>
    </row>
    <row r="157" spans="1:9" x14ac:dyDescent="0.15">
      <c r="A157" s="105">
        <v>40240</v>
      </c>
      <c r="B157" s="103">
        <v>600</v>
      </c>
      <c r="C157" s="103">
        <v>2.4925000000000002</v>
      </c>
      <c r="D157" s="106">
        <v>1495.5</v>
      </c>
      <c r="E157" s="106">
        <f>F157-D157</f>
        <v>83.400000000000091</v>
      </c>
      <c r="F157" s="106">
        <v>1578.9</v>
      </c>
    </row>
    <row r="158" spans="1:9" ht="14" thickBot="1" x14ac:dyDescent="0.2">
      <c r="B158" s="107">
        <f>SUM(B155:B157)</f>
        <v>1788.1</v>
      </c>
      <c r="C158" s="107"/>
      <c r="D158" s="109">
        <f>SUM(D155:D157)</f>
        <v>4388.59</v>
      </c>
      <c r="E158" s="109">
        <f>SUM(E155:E157)</f>
        <v>121.48000000000025</v>
      </c>
      <c r="F158" s="109">
        <f>SUM(F155:F157)</f>
        <v>4510.07</v>
      </c>
    </row>
    <row r="159" spans="1:9" ht="14" thickTop="1" x14ac:dyDescent="0.15">
      <c r="G159" s="119">
        <f>(F158/B158)</f>
        <v>2.5222694480174486</v>
      </c>
    </row>
    <row r="163" spans="1:10" x14ac:dyDescent="0.15">
      <c r="A163" s="124"/>
      <c r="B163" s="124"/>
      <c r="C163" s="124"/>
      <c r="D163" s="124"/>
      <c r="E163" s="124"/>
      <c r="F163" s="124"/>
      <c r="G163" s="124"/>
      <c r="H163" s="124"/>
      <c r="I163" s="124"/>
      <c r="J163" s="124"/>
    </row>
    <row r="164" spans="1:10" x14ac:dyDescent="0.15">
      <c r="A164" s="124"/>
      <c r="B164" s="125" t="s">
        <v>21</v>
      </c>
      <c r="C164" s="125" t="s">
        <v>114</v>
      </c>
      <c r="D164" s="125" t="s">
        <v>115</v>
      </c>
      <c r="E164" s="125" t="s">
        <v>116</v>
      </c>
      <c r="F164" s="125" t="s">
        <v>117</v>
      </c>
      <c r="G164" s="125" t="s">
        <v>118</v>
      </c>
      <c r="H164" s="125" t="s">
        <v>131</v>
      </c>
      <c r="I164" s="124"/>
      <c r="J164" s="124"/>
    </row>
    <row r="165" spans="1:10" x14ac:dyDescent="0.15">
      <c r="A165" s="100" t="s">
        <v>112</v>
      </c>
      <c r="B165" s="101" t="s">
        <v>132</v>
      </c>
      <c r="C165" s="102"/>
    </row>
    <row r="166" spans="1:10" s="128" customFormat="1" x14ac:dyDescent="0.15">
      <c r="A166" s="127">
        <v>40415</v>
      </c>
      <c r="B166" s="128">
        <f>1600/2000*1589.7</f>
        <v>1271.7600000000002</v>
      </c>
      <c r="C166" s="128">
        <f>400/2000*1589.7</f>
        <v>317.94000000000005</v>
      </c>
      <c r="D166" s="128">
        <f t="shared" ref="D166:D174" si="8">B166+C166</f>
        <v>1589.7000000000003</v>
      </c>
      <c r="E166" s="128">
        <v>2.7446999999999999</v>
      </c>
      <c r="F166" s="129">
        <v>4363.25</v>
      </c>
      <c r="G166" s="129">
        <f t="shared" ref="G166:G174" si="9">H166-F166</f>
        <v>763.89000000000033</v>
      </c>
      <c r="H166" s="129">
        <v>5127.1400000000003</v>
      </c>
      <c r="I166" s="126">
        <f t="shared" ref="I166:I174" si="10">F166+G166</f>
        <v>5127.1400000000003</v>
      </c>
    </row>
    <row r="167" spans="1:10" s="128" customFormat="1" x14ac:dyDescent="0.15">
      <c r="A167" s="127">
        <v>40415</v>
      </c>
      <c r="B167" s="128">
        <f>1600/2000*1800.2</f>
        <v>1440.16</v>
      </c>
      <c r="C167" s="128">
        <f>400/2000*1800.2</f>
        <v>360.04</v>
      </c>
      <c r="D167" s="128">
        <f>B167+C167</f>
        <v>1800.2</v>
      </c>
      <c r="E167" s="128">
        <v>3.0171999999999999</v>
      </c>
      <c r="F167" s="129">
        <v>5431.56</v>
      </c>
      <c r="G167" s="129">
        <f>H167-F167</f>
        <v>865.04</v>
      </c>
      <c r="H167" s="129">
        <v>6296.6</v>
      </c>
      <c r="I167" s="126">
        <f>F167+G167</f>
        <v>6296.6</v>
      </c>
    </row>
    <row r="168" spans="1:10" s="128" customFormat="1" x14ac:dyDescent="0.15">
      <c r="A168" s="127">
        <v>40554</v>
      </c>
      <c r="B168" s="128">
        <f>1600/2000*1925.1</f>
        <v>1540.08</v>
      </c>
      <c r="C168" s="128">
        <f>400/2000*1925.1</f>
        <v>385.02</v>
      </c>
      <c r="D168" s="128">
        <f>B168+C168</f>
        <v>1925.1</v>
      </c>
      <c r="E168" s="128">
        <v>2.9954999999999998</v>
      </c>
      <c r="F168" s="129">
        <v>5766.64</v>
      </c>
      <c r="G168" s="129">
        <f>H168-F168</f>
        <v>925.79</v>
      </c>
      <c r="H168" s="129">
        <v>6692.43</v>
      </c>
      <c r="I168" s="126">
        <f>F168+G168</f>
        <v>6692.43</v>
      </c>
    </row>
    <row r="169" spans="1:10" s="128" customFormat="1" x14ac:dyDescent="0.15">
      <c r="A169" s="127">
        <v>40595</v>
      </c>
      <c r="B169" s="128">
        <f>1600/2000*1580.2</f>
        <v>1264.1600000000001</v>
      </c>
      <c r="C169" s="128">
        <f>400/2000*1580.2</f>
        <v>316.04000000000002</v>
      </c>
      <c r="D169" s="128">
        <f>B169+C169</f>
        <v>1580.2</v>
      </c>
      <c r="E169" s="128">
        <v>3.3351999999999999</v>
      </c>
      <c r="F169" s="129">
        <v>5270.28</v>
      </c>
      <c r="G169" s="129">
        <f>H169-F169</f>
        <v>759.32000000000062</v>
      </c>
      <c r="H169" s="129">
        <v>6029.6</v>
      </c>
      <c r="I169" s="126">
        <f>F169+G169</f>
        <v>6029.6</v>
      </c>
    </row>
    <row r="170" spans="1:10" s="128" customFormat="1" x14ac:dyDescent="0.15">
      <c r="A170" s="127">
        <v>40673</v>
      </c>
      <c r="B170" s="128">
        <f>1600/2000*1675.1</f>
        <v>1340.08</v>
      </c>
      <c r="C170" s="128">
        <f>400/2000*1675.01</f>
        <v>335.00200000000001</v>
      </c>
      <c r="D170" s="128">
        <v>1675.1</v>
      </c>
      <c r="E170" s="128">
        <v>4.0936000000000003</v>
      </c>
      <c r="F170" s="129">
        <v>6857.19</v>
      </c>
      <c r="G170" s="129">
        <f>H170-F170</f>
        <v>804.93000000000029</v>
      </c>
      <c r="H170" s="129">
        <v>7662.12</v>
      </c>
      <c r="I170" s="126">
        <f>F170+G170</f>
        <v>7662.12</v>
      </c>
    </row>
    <row r="171" spans="1:10" x14ac:dyDescent="0.15">
      <c r="A171" s="105"/>
      <c r="D171" s="103">
        <f t="shared" si="8"/>
        <v>0</v>
      </c>
      <c r="F171" s="106"/>
      <c r="G171" s="106">
        <f t="shared" si="9"/>
        <v>0</v>
      </c>
      <c r="H171" s="106"/>
      <c r="I171" s="126">
        <f t="shared" si="10"/>
        <v>0</v>
      </c>
    </row>
    <row r="172" spans="1:10" x14ac:dyDescent="0.15">
      <c r="A172" s="105"/>
      <c r="D172" s="103">
        <f t="shared" si="8"/>
        <v>0</v>
      </c>
      <c r="F172" s="106"/>
      <c r="G172" s="106">
        <f t="shared" si="9"/>
        <v>0</v>
      </c>
      <c r="H172" s="106"/>
      <c r="I172" s="126">
        <f t="shared" si="10"/>
        <v>0</v>
      </c>
    </row>
    <row r="173" spans="1:10" x14ac:dyDescent="0.15">
      <c r="A173" s="105"/>
      <c r="D173" s="103">
        <f t="shared" si="8"/>
        <v>0</v>
      </c>
      <c r="F173" s="106"/>
      <c r="G173" s="106">
        <f t="shared" si="9"/>
        <v>0</v>
      </c>
      <c r="H173" s="106"/>
      <c r="I173" s="126">
        <f t="shared" si="10"/>
        <v>0</v>
      </c>
    </row>
    <row r="174" spans="1:10" x14ac:dyDescent="0.15">
      <c r="A174" s="105"/>
      <c r="D174" s="103">
        <f t="shared" si="8"/>
        <v>0</v>
      </c>
      <c r="F174" s="106"/>
      <c r="G174" s="106">
        <f t="shared" si="9"/>
        <v>0</v>
      </c>
      <c r="H174" s="106"/>
      <c r="I174" s="126">
        <f t="shared" si="10"/>
        <v>0</v>
      </c>
    </row>
    <row r="175" spans="1:10" ht="11.25" customHeight="1" x14ac:dyDescent="0.15">
      <c r="A175" s="105"/>
      <c r="F175" s="106"/>
      <c r="G175" s="106"/>
      <c r="H175" s="106"/>
      <c r="I175" s="106"/>
    </row>
    <row r="176" spans="1:10" x14ac:dyDescent="0.15">
      <c r="A176" s="105"/>
      <c r="F176" s="106"/>
      <c r="G176" s="106"/>
      <c r="H176" s="106"/>
      <c r="I176" s="106"/>
    </row>
    <row r="177" spans="1:9" x14ac:dyDescent="0.15">
      <c r="A177" s="105"/>
      <c r="F177" s="106"/>
      <c r="G177" s="106"/>
      <c r="H177" s="106"/>
      <c r="I177" s="106"/>
    </row>
    <row r="178" spans="1:9" x14ac:dyDescent="0.15">
      <c r="A178" s="105"/>
      <c r="F178" s="106"/>
      <c r="G178" s="106"/>
      <c r="H178" s="106"/>
      <c r="I178" s="106"/>
    </row>
    <row r="179" spans="1:9" x14ac:dyDescent="0.15">
      <c r="A179" s="105"/>
      <c r="F179" s="106"/>
      <c r="G179" s="106"/>
      <c r="H179" s="106"/>
      <c r="I179" s="106"/>
    </row>
    <row r="180" spans="1:9" x14ac:dyDescent="0.15">
      <c r="A180" s="105"/>
      <c r="F180" s="106"/>
      <c r="G180" s="106"/>
      <c r="H180" s="106"/>
      <c r="I180" s="106"/>
    </row>
    <row r="181" spans="1:9" x14ac:dyDescent="0.15">
      <c r="A181" s="105"/>
      <c r="F181" s="106"/>
      <c r="G181" s="106"/>
      <c r="H181" s="106"/>
      <c r="I181" s="106"/>
    </row>
    <row r="182" spans="1:9" x14ac:dyDescent="0.15">
      <c r="A182" s="105"/>
      <c r="F182" s="106"/>
      <c r="G182" s="106"/>
      <c r="H182" s="106"/>
      <c r="I182" s="106"/>
    </row>
    <row r="183" spans="1:9" ht="14" thickBot="1" x14ac:dyDescent="0.2">
      <c r="A183" s="105"/>
      <c r="B183" s="107">
        <f>SUM(B166:B182)</f>
        <v>6856.24</v>
      </c>
      <c r="C183" s="107">
        <f>SUM(C166:C182)</f>
        <v>1714.0419999999999</v>
      </c>
      <c r="D183" s="107">
        <f>SUM(D166:D182)</f>
        <v>8570.2999999999993</v>
      </c>
      <c r="E183" s="107"/>
      <c r="F183" s="109">
        <f>SUM(F166:F182)</f>
        <v>27688.92</v>
      </c>
      <c r="G183" s="109">
        <f>SUM(G166:G182)</f>
        <v>4118.9700000000012</v>
      </c>
      <c r="H183" s="109">
        <f>SUM(H166:H182)</f>
        <v>31807.890000000003</v>
      </c>
      <c r="I183" s="110">
        <f>(H183/D183)</f>
        <v>3.7114091688739026</v>
      </c>
    </row>
    <row r="184" spans="1:9" ht="14" thickTop="1" x14ac:dyDescent="0.15"/>
    <row r="186" spans="1:9" x14ac:dyDescent="0.15">
      <c r="A186" s="100" t="s">
        <v>121</v>
      </c>
      <c r="B186" s="116" t="s">
        <v>122</v>
      </c>
    </row>
    <row r="187" spans="1:9" x14ac:dyDescent="0.15">
      <c r="A187" s="117" t="s">
        <v>132</v>
      </c>
      <c r="B187" s="118" t="s">
        <v>123</v>
      </c>
      <c r="C187" s="118" t="s">
        <v>116</v>
      </c>
      <c r="D187" s="118" t="s">
        <v>129</v>
      </c>
      <c r="E187" s="118" t="s">
        <v>118</v>
      </c>
      <c r="F187" s="118" t="s">
        <v>115</v>
      </c>
    </row>
    <row r="188" spans="1:9" x14ac:dyDescent="0.15">
      <c r="A188" s="105">
        <v>40392</v>
      </c>
      <c r="B188" s="103">
        <v>558</v>
      </c>
      <c r="C188" s="103">
        <v>2.3580000000000001</v>
      </c>
      <c r="D188" s="106">
        <v>1315.76</v>
      </c>
      <c r="E188" s="106">
        <f>F188-D188</f>
        <v>77.559999999999945</v>
      </c>
      <c r="F188" s="106">
        <v>1393.32</v>
      </c>
    </row>
    <row r="189" spans="1:9" x14ac:dyDescent="0.15">
      <c r="A189" s="105">
        <v>40505</v>
      </c>
      <c r="B189" s="103">
        <v>750</v>
      </c>
      <c r="C189" s="103">
        <v>2.7725</v>
      </c>
      <c r="D189" s="106">
        <v>2079.38</v>
      </c>
      <c r="E189" s="106">
        <v>104.25</v>
      </c>
      <c r="F189" s="106">
        <v>2183.63</v>
      </c>
    </row>
    <row r="190" spans="1:9" x14ac:dyDescent="0.15">
      <c r="A190" s="105">
        <v>40567</v>
      </c>
      <c r="B190" s="103">
        <v>580</v>
      </c>
      <c r="C190" s="103">
        <v>2.8915000000000002</v>
      </c>
      <c r="D190" s="106">
        <v>1677.07</v>
      </c>
      <c r="E190" s="106">
        <f>F190-D190</f>
        <v>80.620000000000118</v>
      </c>
      <c r="F190" s="106">
        <v>1757.69</v>
      </c>
    </row>
    <row r="191" spans="1:9" x14ac:dyDescent="0.15">
      <c r="A191" s="105">
        <v>40679</v>
      </c>
      <c r="B191" s="103">
        <v>580</v>
      </c>
      <c r="C191" s="103">
        <v>3.6116000000000001</v>
      </c>
      <c r="D191" s="106">
        <v>2094.73</v>
      </c>
      <c r="E191" s="106">
        <f>F191-D191</f>
        <v>80.619999999999891</v>
      </c>
      <c r="F191" s="106">
        <v>2175.35</v>
      </c>
      <c r="H191" s="103" t="s">
        <v>133</v>
      </c>
    </row>
    <row r="192" spans="1:9" ht="14" thickBot="1" x14ac:dyDescent="0.2">
      <c r="B192" s="107">
        <f>SUM(B188:B191)</f>
        <v>2468</v>
      </c>
      <c r="C192" s="107"/>
      <c r="D192" s="109">
        <f>SUM(D188:D191)</f>
        <v>7166.9400000000005</v>
      </c>
      <c r="E192" s="109">
        <f>SUM(E188:E191)</f>
        <v>343.04999999999995</v>
      </c>
      <c r="F192" s="109">
        <f>SUM(F188:F191)</f>
        <v>7509.99</v>
      </c>
    </row>
    <row r="193" spans="1:10" ht="14" thickTop="1" x14ac:dyDescent="0.15">
      <c r="G193" s="119">
        <f>(F192/B192)</f>
        <v>3.0429457050243109</v>
      </c>
    </row>
    <row r="202" spans="1:10" x14ac:dyDescent="0.15">
      <c r="A202" s="124"/>
      <c r="B202" s="124"/>
      <c r="C202" s="124"/>
      <c r="D202" s="124"/>
      <c r="E202" s="124"/>
      <c r="F202" s="124"/>
      <c r="G202" s="124"/>
      <c r="H202" s="124"/>
      <c r="I202" s="124"/>
      <c r="J202" s="124"/>
    </row>
    <row r="203" spans="1:10" x14ac:dyDescent="0.15">
      <c r="A203" s="124"/>
      <c r="B203" s="125" t="s">
        <v>21</v>
      </c>
      <c r="C203" s="125" t="s">
        <v>114</v>
      </c>
      <c r="D203" s="125" t="s">
        <v>115</v>
      </c>
      <c r="E203" s="125" t="s">
        <v>116</v>
      </c>
      <c r="F203" s="125" t="s">
        <v>117</v>
      </c>
      <c r="G203" s="125" t="s">
        <v>118</v>
      </c>
      <c r="H203" s="125" t="s">
        <v>131</v>
      </c>
      <c r="I203" s="124"/>
      <c r="J203" s="124"/>
    </row>
    <row r="204" spans="1:10" x14ac:dyDescent="0.15">
      <c r="A204" s="100" t="s">
        <v>112</v>
      </c>
      <c r="B204" s="101" t="s">
        <v>134</v>
      </c>
      <c r="C204" s="102"/>
    </row>
    <row r="205" spans="1:10" x14ac:dyDescent="0.15">
      <c r="A205" s="127">
        <v>40798</v>
      </c>
      <c r="B205" s="128">
        <f>1600/2000*3824.38</f>
        <v>3059.5040000000004</v>
      </c>
      <c r="C205" s="128">
        <f>400/2000*3824.38</f>
        <v>764.87600000000009</v>
      </c>
      <c r="D205" s="128">
        <f t="shared" ref="D205:D210" si="11">B205+C205</f>
        <v>3824.3800000000006</v>
      </c>
      <c r="E205" s="128">
        <v>3.8239999999999998</v>
      </c>
      <c r="F205" s="129">
        <v>3824.38</v>
      </c>
      <c r="G205" s="129">
        <f t="shared" ref="G205:G210" si="12">H205-F205</f>
        <v>480.55999999999949</v>
      </c>
      <c r="H205" s="129">
        <v>4304.9399999999996</v>
      </c>
      <c r="I205" s="126">
        <f t="shared" ref="I205:I210" si="13">F205+G205</f>
        <v>4304.9399999999996</v>
      </c>
      <c r="J205" s="128"/>
    </row>
    <row r="206" spans="1:10" x14ac:dyDescent="0.15">
      <c r="A206" s="127">
        <v>40840</v>
      </c>
      <c r="B206" s="128">
        <f>1600/2000*3824.38</f>
        <v>3059.5040000000004</v>
      </c>
      <c r="C206" s="128">
        <f>400/2000*3824.38</f>
        <v>764.87600000000009</v>
      </c>
      <c r="D206" s="128">
        <f t="shared" si="11"/>
        <v>3824.3800000000006</v>
      </c>
      <c r="E206" s="128">
        <v>3.7696999999999998</v>
      </c>
      <c r="F206" s="129">
        <v>6800.54</v>
      </c>
      <c r="G206" s="129">
        <f t="shared" si="12"/>
        <v>866.85000000000036</v>
      </c>
      <c r="H206" s="129">
        <v>7667.39</v>
      </c>
      <c r="I206" s="126">
        <f t="shared" si="13"/>
        <v>7667.39</v>
      </c>
      <c r="J206" s="128"/>
    </row>
    <row r="207" spans="1:10" x14ac:dyDescent="0.15">
      <c r="A207" s="127">
        <v>40910</v>
      </c>
      <c r="B207" s="128">
        <f>1600/2000*5144.99</f>
        <v>4115.9920000000002</v>
      </c>
      <c r="C207" s="128">
        <f>400/2000*5144.99</f>
        <v>1028.998</v>
      </c>
      <c r="D207" s="128">
        <f t="shared" si="11"/>
        <v>5144.99</v>
      </c>
      <c r="E207" s="128">
        <v>3.4211</v>
      </c>
      <c r="F207" s="129">
        <v>3824.38</v>
      </c>
      <c r="G207" s="129">
        <f t="shared" si="12"/>
        <v>2043.2699999999995</v>
      </c>
      <c r="H207" s="129">
        <v>5867.65</v>
      </c>
      <c r="I207" s="126">
        <f t="shared" si="13"/>
        <v>5867.65</v>
      </c>
      <c r="J207" s="128"/>
    </row>
    <row r="208" spans="1:10" x14ac:dyDescent="0.15">
      <c r="A208" s="127">
        <v>40987</v>
      </c>
      <c r="B208" s="128">
        <f>1600/2000*1483.17</f>
        <v>1186.5360000000001</v>
      </c>
      <c r="C208" s="128">
        <f>400/2000*1483.17</f>
        <v>296.63400000000001</v>
      </c>
      <c r="D208" s="128">
        <f t="shared" si="11"/>
        <v>1483.17</v>
      </c>
      <c r="E208" s="128">
        <v>4.9439000000000002</v>
      </c>
      <c r="F208" s="129">
        <v>1483.17</v>
      </c>
      <c r="G208" s="129">
        <f t="shared" si="12"/>
        <v>144.15999999999985</v>
      </c>
      <c r="H208" s="129">
        <v>1627.33</v>
      </c>
      <c r="I208" s="126">
        <f t="shared" si="13"/>
        <v>1627.33</v>
      </c>
      <c r="J208" s="128"/>
    </row>
    <row r="209" spans="1:18" x14ac:dyDescent="0.15">
      <c r="A209" s="127">
        <v>40994</v>
      </c>
      <c r="B209" s="128">
        <f>1600/2000*4573.44</f>
        <v>3658.752</v>
      </c>
      <c r="C209" s="128">
        <f>400/2000*4573.44</f>
        <v>914.68799999999999</v>
      </c>
      <c r="D209" s="128">
        <f t="shared" si="11"/>
        <v>4573.4399999999996</v>
      </c>
      <c r="E209" s="128">
        <v>3.8111999999999999</v>
      </c>
      <c r="F209" s="129">
        <v>4573.4399999999996</v>
      </c>
      <c r="G209" s="129">
        <f t="shared" si="12"/>
        <v>577.08000000000084</v>
      </c>
      <c r="H209" s="129">
        <v>5150.5200000000004</v>
      </c>
      <c r="I209" s="126">
        <f t="shared" si="13"/>
        <v>5150.5200000000004</v>
      </c>
      <c r="J209" s="128"/>
    </row>
    <row r="210" spans="1:18" x14ac:dyDescent="0.15">
      <c r="A210" s="105">
        <v>41059</v>
      </c>
      <c r="B210" s="103">
        <f>1600/2000*7709.33</f>
        <v>6167.4639999999999</v>
      </c>
      <c r="C210" s="103">
        <f>400/2000*7709.33</f>
        <v>1541.866</v>
      </c>
      <c r="D210" s="103">
        <f t="shared" si="11"/>
        <v>7709.33</v>
      </c>
      <c r="E210" s="103">
        <v>3.7875000000000001</v>
      </c>
      <c r="F210" s="130">
        <v>6841.36</v>
      </c>
      <c r="G210" s="103">
        <f t="shared" si="12"/>
        <v>867.97000000000025</v>
      </c>
      <c r="H210" s="103">
        <v>7709.33</v>
      </c>
      <c r="I210" s="103">
        <f t="shared" si="13"/>
        <v>7709.33</v>
      </c>
    </row>
    <row r="214" spans="1:18" x14ac:dyDescent="0.15">
      <c r="A214" s="124"/>
      <c r="B214" s="124"/>
      <c r="C214" s="124"/>
      <c r="D214" s="124"/>
      <c r="E214" s="124"/>
      <c r="F214" s="124"/>
      <c r="G214" s="124"/>
      <c r="H214" s="124"/>
      <c r="I214" s="124"/>
      <c r="J214" s="124"/>
    </row>
    <row r="215" spans="1:18" x14ac:dyDescent="0.15">
      <c r="A215" s="124"/>
      <c r="B215" s="125" t="s">
        <v>21</v>
      </c>
      <c r="C215" s="125" t="s">
        <v>114</v>
      </c>
      <c r="D215" s="125" t="s">
        <v>115</v>
      </c>
      <c r="E215" s="125" t="s">
        <v>116</v>
      </c>
      <c r="F215" s="125" t="s">
        <v>117</v>
      </c>
      <c r="G215" s="125" t="s">
        <v>118</v>
      </c>
      <c r="H215" s="125" t="s">
        <v>131</v>
      </c>
      <c r="I215" s="124"/>
      <c r="J215" s="124"/>
    </row>
    <row r="216" spans="1:18" x14ac:dyDescent="0.15">
      <c r="A216" s="100" t="s">
        <v>112</v>
      </c>
      <c r="B216" s="101" t="s">
        <v>135</v>
      </c>
      <c r="C216" s="102"/>
    </row>
    <row r="217" spans="1:18" x14ac:dyDescent="0.15">
      <c r="A217" s="127"/>
      <c r="B217" s="128">
        <v>6640.9</v>
      </c>
      <c r="C217" s="128">
        <f>400/2000*0</f>
        <v>0</v>
      </c>
      <c r="D217" s="128">
        <f>B217+C217</f>
        <v>6640.9</v>
      </c>
      <c r="E217" s="128">
        <v>3.5047999999999999</v>
      </c>
      <c r="F217" s="129">
        <v>6640.9</v>
      </c>
      <c r="G217" s="129">
        <f>H217-F217</f>
        <v>911.21</v>
      </c>
      <c r="H217" s="129">
        <v>7552.11</v>
      </c>
      <c r="I217" s="126">
        <f>F217+G217</f>
        <v>7552.11</v>
      </c>
      <c r="J217" s="128"/>
    </row>
    <row r="219" spans="1:18" ht="14" thickBot="1" x14ac:dyDescent="0.2"/>
    <row r="220" spans="1:18" ht="24" thickBot="1" x14ac:dyDescent="0.3">
      <c r="A220" s="785" t="s">
        <v>136</v>
      </c>
      <c r="B220" s="786"/>
      <c r="C220" s="786"/>
      <c r="D220" s="786"/>
      <c r="E220" s="786"/>
      <c r="F220" s="786"/>
      <c r="G220" s="786"/>
      <c r="H220" s="786"/>
      <c r="I220" s="786"/>
      <c r="J220" s="786"/>
      <c r="K220" s="786"/>
      <c r="L220" s="786"/>
      <c r="M220" s="786"/>
      <c r="N220" s="786"/>
      <c r="O220" s="786"/>
      <c r="P220" s="786"/>
      <c r="Q220" s="786"/>
      <c r="R220" s="787"/>
    </row>
    <row r="221" spans="1:18" x14ac:dyDescent="0.15">
      <c r="B221" s="788" t="s">
        <v>137</v>
      </c>
      <c r="C221" s="788"/>
      <c r="D221" s="788"/>
      <c r="E221" s="788"/>
      <c r="F221" s="788"/>
      <c r="G221" s="788"/>
    </row>
    <row r="222" spans="1:18" x14ac:dyDescent="0.15">
      <c r="B222" s="131" t="s">
        <v>138</v>
      </c>
      <c r="C222" s="132" t="s">
        <v>123</v>
      </c>
      <c r="D222" s="132" t="s">
        <v>116</v>
      </c>
      <c r="E222" s="132" t="s">
        <v>129</v>
      </c>
      <c r="F222" s="132" t="s">
        <v>118</v>
      </c>
      <c r="G222" s="132" t="s">
        <v>115</v>
      </c>
      <c r="I222" s="124"/>
      <c r="J222" s="124"/>
      <c r="K222" s="124"/>
      <c r="L222" s="124"/>
      <c r="M222" s="124"/>
      <c r="N222" s="124"/>
      <c r="O222" s="124"/>
      <c r="P222" s="124"/>
      <c r="Q222" s="124"/>
    </row>
    <row r="223" spans="1:18" x14ac:dyDescent="0.15">
      <c r="B223" s="105">
        <v>40781</v>
      </c>
      <c r="C223" s="103">
        <v>560</v>
      </c>
      <c r="D223" s="103">
        <v>3.4319000000000002</v>
      </c>
      <c r="E223" s="106">
        <v>1921.86</v>
      </c>
      <c r="F223" s="106">
        <f t="shared" ref="F223:F229" si="14">G223-E223</f>
        <v>105.41000000000008</v>
      </c>
      <c r="G223" s="106">
        <v>2027.27</v>
      </c>
      <c r="H223" s="128" t="s">
        <v>139</v>
      </c>
      <c r="I223" s="124"/>
      <c r="J223" s="125" t="s">
        <v>21</v>
      </c>
      <c r="K223" s="125" t="s">
        <v>114</v>
      </c>
      <c r="L223" s="125" t="s">
        <v>115</v>
      </c>
      <c r="M223" s="125" t="s">
        <v>116</v>
      </c>
      <c r="N223" s="125" t="s">
        <v>117</v>
      </c>
      <c r="O223" s="125" t="s">
        <v>118</v>
      </c>
      <c r="P223" s="125" t="s">
        <v>131</v>
      </c>
      <c r="Q223" s="124"/>
    </row>
    <row r="224" spans="1:18" x14ac:dyDescent="0.15">
      <c r="B224" s="105">
        <v>40864</v>
      </c>
      <c r="C224" s="103">
        <v>560.6</v>
      </c>
      <c r="D224" s="103">
        <v>3.1444000000000001</v>
      </c>
      <c r="E224" s="106">
        <v>1762.86</v>
      </c>
      <c r="F224" s="106">
        <f t="shared" si="14"/>
        <v>77.920000000000073</v>
      </c>
      <c r="G224" s="106">
        <v>1840.78</v>
      </c>
      <c r="H224" s="128" t="s">
        <v>139</v>
      </c>
      <c r="I224" s="100" t="s">
        <v>112</v>
      </c>
      <c r="J224" s="101" t="s">
        <v>134</v>
      </c>
      <c r="K224" s="102"/>
    </row>
    <row r="225" spans="1:18" x14ac:dyDescent="0.15">
      <c r="B225" s="105">
        <v>40995</v>
      </c>
      <c r="C225" s="103">
        <v>550</v>
      </c>
      <c r="D225" s="103">
        <v>3.5659999999999998</v>
      </c>
      <c r="E225" s="106">
        <v>1961.52</v>
      </c>
      <c r="F225" s="106">
        <f t="shared" si="14"/>
        <v>101.19999999999982</v>
      </c>
      <c r="G225" s="106">
        <v>2062.7199999999998</v>
      </c>
      <c r="H225" s="128" t="s">
        <v>139</v>
      </c>
      <c r="I225" s="127">
        <v>40798</v>
      </c>
      <c r="J225" s="128">
        <f>1600/2000*3824.38</f>
        <v>3059.5040000000004</v>
      </c>
      <c r="K225" s="128">
        <f>400/2000*3824.38</f>
        <v>764.87600000000009</v>
      </c>
      <c r="L225" s="128">
        <f t="shared" ref="L225:L230" si="15">J225+K225</f>
        <v>3824.3800000000006</v>
      </c>
      <c r="M225" s="128">
        <v>3.8239999999999998</v>
      </c>
      <c r="N225" s="129">
        <v>3824.38</v>
      </c>
      <c r="O225" s="129">
        <f t="shared" ref="O225:O230" si="16">P225-N225</f>
        <v>480.55999999999949</v>
      </c>
      <c r="P225" s="129">
        <v>4304.9399999999996</v>
      </c>
      <c r="Q225" s="129">
        <f t="shared" ref="Q225:Q230" si="17">N225+O225</f>
        <v>4304.9399999999996</v>
      </c>
    </row>
    <row r="226" spans="1:18" x14ac:dyDescent="0.15">
      <c r="B226" s="105"/>
      <c r="E226" s="106"/>
      <c r="F226" s="106">
        <f t="shared" si="14"/>
        <v>0</v>
      </c>
      <c r="G226" s="106"/>
      <c r="I226" s="127">
        <v>40840</v>
      </c>
      <c r="J226" s="128">
        <f>1600/2000*3824.38</f>
        <v>3059.5040000000004</v>
      </c>
      <c r="K226" s="128">
        <f>400/2000*3824.38</f>
        <v>764.87600000000009</v>
      </c>
      <c r="L226" s="128">
        <f t="shared" si="15"/>
        <v>3824.3800000000006</v>
      </c>
      <c r="M226" s="128">
        <v>3.7696999999999998</v>
      </c>
      <c r="N226" s="129">
        <v>6800.54</v>
      </c>
      <c r="O226" s="129">
        <f t="shared" si="16"/>
        <v>866.85000000000036</v>
      </c>
      <c r="P226" s="129">
        <v>7667.39</v>
      </c>
      <c r="Q226" s="129">
        <f t="shared" si="17"/>
        <v>7667.39</v>
      </c>
    </row>
    <row r="227" spans="1:18" x14ac:dyDescent="0.15">
      <c r="B227" s="105"/>
      <c r="E227" s="106"/>
      <c r="F227" s="106">
        <f t="shared" si="14"/>
        <v>0</v>
      </c>
      <c r="G227" s="106"/>
      <c r="I227" s="127">
        <v>40910</v>
      </c>
      <c r="J227" s="128">
        <f>1600/2000*5144.99</f>
        <v>4115.9920000000002</v>
      </c>
      <c r="K227" s="128">
        <f>400/2000*5144.99</f>
        <v>1028.998</v>
      </c>
      <c r="L227" s="128">
        <f t="shared" si="15"/>
        <v>5144.99</v>
      </c>
      <c r="M227" s="128">
        <v>3.4211</v>
      </c>
      <c r="N227" s="129">
        <v>3824.38</v>
      </c>
      <c r="O227" s="129">
        <f t="shared" si="16"/>
        <v>2043.2699999999995</v>
      </c>
      <c r="P227" s="129">
        <v>5867.65</v>
      </c>
      <c r="Q227" s="129">
        <f t="shared" si="17"/>
        <v>5867.65</v>
      </c>
    </row>
    <row r="228" spans="1:18" x14ac:dyDescent="0.15">
      <c r="B228" s="105"/>
      <c r="E228" s="106"/>
      <c r="F228" s="106">
        <f t="shared" si="14"/>
        <v>0</v>
      </c>
      <c r="G228" s="106"/>
      <c r="I228" s="127">
        <v>40987</v>
      </c>
      <c r="J228" s="128">
        <f>1600/2000*1483.17</f>
        <v>1186.5360000000001</v>
      </c>
      <c r="K228" s="128">
        <f>400/2000*1483.17</f>
        <v>296.63400000000001</v>
      </c>
      <c r="L228" s="128">
        <f t="shared" si="15"/>
        <v>1483.17</v>
      </c>
      <c r="M228" s="128">
        <v>4.9439000000000002</v>
      </c>
      <c r="N228" s="129">
        <v>1483.17</v>
      </c>
      <c r="O228" s="129">
        <f t="shared" si="16"/>
        <v>144.15999999999985</v>
      </c>
      <c r="P228" s="129">
        <v>1627.33</v>
      </c>
      <c r="Q228" s="129">
        <f t="shared" si="17"/>
        <v>1627.33</v>
      </c>
    </row>
    <row r="229" spans="1:18" x14ac:dyDescent="0.15">
      <c r="E229" s="106"/>
      <c r="F229" s="106">
        <f t="shared" si="14"/>
        <v>0</v>
      </c>
      <c r="G229" s="106"/>
      <c r="I229" s="127">
        <v>40994</v>
      </c>
      <c r="J229" s="128">
        <f>1600/2000*4573.44</f>
        <v>3658.752</v>
      </c>
      <c r="K229" s="128">
        <f>400/2000*4573.44</f>
        <v>914.68799999999999</v>
      </c>
      <c r="L229" s="128">
        <f t="shared" si="15"/>
        <v>4573.4399999999996</v>
      </c>
      <c r="M229" s="128">
        <v>3.8111999999999999</v>
      </c>
      <c r="N229" s="129">
        <v>4573.4399999999996</v>
      </c>
      <c r="O229" s="129">
        <f t="shared" si="16"/>
        <v>577.08000000000084</v>
      </c>
      <c r="P229" s="129">
        <v>5150.5200000000004</v>
      </c>
      <c r="Q229" s="129">
        <f t="shared" si="17"/>
        <v>5150.5200000000004</v>
      </c>
    </row>
    <row r="230" spans="1:18" ht="14" thickBot="1" x14ac:dyDescent="0.2">
      <c r="C230" s="107">
        <f>SUM(C224:C229)</f>
        <v>1110.5999999999999</v>
      </c>
      <c r="D230" s="107"/>
      <c r="E230" s="109">
        <f>SUM(E224:E229)</f>
        <v>3724.38</v>
      </c>
      <c r="F230" s="109">
        <f>SUM(F224:F229)</f>
        <v>179.11999999999989</v>
      </c>
      <c r="G230" s="109">
        <f>SUM(G224:G229)</f>
        <v>3903.5</v>
      </c>
      <c r="I230" s="127">
        <v>41059</v>
      </c>
      <c r="J230" s="128">
        <f>1600/2000*7709.33</f>
        <v>6167.4639999999999</v>
      </c>
      <c r="K230" s="128">
        <f>400/2000*7709.33</f>
        <v>1541.866</v>
      </c>
      <c r="L230" s="128">
        <f t="shared" si="15"/>
        <v>7709.33</v>
      </c>
      <c r="M230" s="128">
        <v>3.7875000000000001</v>
      </c>
      <c r="N230" s="129">
        <v>6841.36</v>
      </c>
      <c r="O230" s="129">
        <f t="shared" si="16"/>
        <v>867.97000000000025</v>
      </c>
      <c r="P230" s="129">
        <v>7709.33</v>
      </c>
      <c r="Q230" s="129">
        <f t="shared" si="17"/>
        <v>7709.33</v>
      </c>
    </row>
    <row r="231" spans="1:18" ht="14" thickTop="1" x14ac:dyDescent="0.15">
      <c r="H231" s="119">
        <f>(G230/C230)</f>
        <v>3.5147667927246538</v>
      </c>
    </row>
    <row r="232" spans="1:18" ht="14" thickBot="1" x14ac:dyDescent="0.2">
      <c r="G232" s="119"/>
    </row>
    <row r="233" spans="1:18" ht="24" thickBot="1" x14ac:dyDescent="0.3">
      <c r="A233" s="785" t="s">
        <v>140</v>
      </c>
      <c r="B233" s="786"/>
      <c r="C233" s="786"/>
      <c r="D233" s="786"/>
      <c r="E233" s="786"/>
      <c r="F233" s="786"/>
      <c r="G233" s="786"/>
      <c r="H233" s="786"/>
      <c r="I233" s="786"/>
      <c r="J233" s="786"/>
      <c r="K233" s="786"/>
      <c r="L233" s="786"/>
      <c r="M233" s="786"/>
      <c r="N233" s="786"/>
      <c r="O233" s="786"/>
      <c r="P233" s="786"/>
      <c r="Q233" s="786"/>
      <c r="R233" s="787"/>
    </row>
    <row r="234" spans="1:18" x14ac:dyDescent="0.15">
      <c r="B234" s="779" t="s">
        <v>141</v>
      </c>
      <c r="C234" s="780"/>
      <c r="D234" s="780"/>
      <c r="E234" s="780"/>
      <c r="F234" s="780"/>
      <c r="G234" s="781"/>
      <c r="I234" s="779" t="s">
        <v>142</v>
      </c>
      <c r="J234" s="780"/>
      <c r="K234" s="780"/>
      <c r="L234" s="780"/>
      <c r="M234" s="780"/>
      <c r="N234" s="780"/>
      <c r="O234" s="780"/>
      <c r="P234" s="780"/>
      <c r="Q234" s="781"/>
    </row>
    <row r="235" spans="1:18" x14ac:dyDescent="0.15">
      <c r="B235" s="133" t="s">
        <v>138</v>
      </c>
      <c r="C235" s="134" t="s">
        <v>123</v>
      </c>
      <c r="D235" s="134" t="s">
        <v>116</v>
      </c>
      <c r="E235" s="134" t="s">
        <v>129</v>
      </c>
      <c r="F235" s="134" t="s">
        <v>118</v>
      </c>
      <c r="G235" s="135" t="s">
        <v>115</v>
      </c>
      <c r="I235" s="133" t="s">
        <v>138</v>
      </c>
      <c r="J235" s="134" t="s">
        <v>123</v>
      </c>
      <c r="K235" s="134" t="s">
        <v>116</v>
      </c>
      <c r="L235" s="134" t="s">
        <v>129</v>
      </c>
      <c r="M235" s="134" t="s">
        <v>143</v>
      </c>
      <c r="N235" s="134" t="s">
        <v>144</v>
      </c>
      <c r="O235" s="134" t="s">
        <v>118</v>
      </c>
      <c r="P235" s="134" t="s">
        <v>145</v>
      </c>
      <c r="Q235" s="135" t="s">
        <v>115</v>
      </c>
    </row>
    <row r="236" spans="1:18" x14ac:dyDescent="0.15">
      <c r="B236" s="136">
        <v>41127</v>
      </c>
      <c r="C236" s="137">
        <v>579.9</v>
      </c>
      <c r="D236" s="137">
        <v>3.4710000000000001</v>
      </c>
      <c r="E236" s="138">
        <v>2013.12</v>
      </c>
      <c r="F236" s="138">
        <f t="shared" ref="F236:F239" si="18">G236-E236</f>
        <v>106.70000000000027</v>
      </c>
      <c r="G236" s="139">
        <v>2119.8200000000002</v>
      </c>
      <c r="H236" s="128"/>
      <c r="I236" s="136">
        <v>41210</v>
      </c>
      <c r="J236" s="137">
        <f>93.4+100.1+204.7+103+105.1</f>
        <v>606.29999999999995</v>
      </c>
      <c r="K236" s="137">
        <v>3.7490000000000001</v>
      </c>
      <c r="L236" s="138">
        <f>J236*K236</f>
        <v>2273.0187000000001</v>
      </c>
      <c r="M236" s="138">
        <f>9+9+9+9+9</f>
        <v>45</v>
      </c>
      <c r="N236" s="138">
        <f>75+75+75+75+75</f>
        <v>375</v>
      </c>
      <c r="O236" s="138">
        <f>Q236-SUM(L236:N236,P236)</f>
        <v>1.299999999901047E-3</v>
      </c>
      <c r="P236" s="138">
        <v>-18</v>
      </c>
      <c r="Q236" s="139">
        <v>2675.02</v>
      </c>
    </row>
    <row r="237" spans="1:18" x14ac:dyDescent="0.15">
      <c r="B237" s="136">
        <v>41583</v>
      </c>
      <c r="C237" s="137">
        <v>400.6</v>
      </c>
      <c r="D237" s="137">
        <v>3.1589999999999998</v>
      </c>
      <c r="E237" s="138">
        <v>1265.6600000000001</v>
      </c>
      <c r="F237" s="138">
        <f t="shared" si="18"/>
        <v>73.709999999999809</v>
      </c>
      <c r="G237" s="139">
        <v>1339.37</v>
      </c>
      <c r="H237" s="128"/>
      <c r="I237" s="136">
        <v>41320</v>
      </c>
      <c r="J237" s="137">
        <v>552.20000000000005</v>
      </c>
      <c r="K237" s="137">
        <v>3.7490000000000001</v>
      </c>
      <c r="L237" s="138">
        <f>J237*K237</f>
        <v>2070.1978000000004</v>
      </c>
      <c r="M237" s="138">
        <v>0</v>
      </c>
      <c r="N237" s="138">
        <v>0</v>
      </c>
      <c r="O237" s="138">
        <f>Q237-SUM(L237:N237,P237)</f>
        <v>2.1999999994477548E-3</v>
      </c>
      <c r="P237" s="138">
        <v>0</v>
      </c>
      <c r="Q237" s="139">
        <v>2070.1999999999998</v>
      </c>
    </row>
    <row r="238" spans="1:18" x14ac:dyDescent="0.15">
      <c r="B238" s="136">
        <v>41311</v>
      </c>
      <c r="C238" s="137">
        <v>585</v>
      </c>
      <c r="D238" s="137">
        <v>3.4340000000000002</v>
      </c>
      <c r="E238" s="138">
        <v>2009.01</v>
      </c>
      <c r="F238" s="138">
        <f t="shared" si="18"/>
        <v>107.6400000000001</v>
      </c>
      <c r="G238" s="139">
        <v>2116.65</v>
      </c>
      <c r="H238" s="128"/>
      <c r="I238" s="136"/>
      <c r="J238" s="137"/>
      <c r="K238" s="137"/>
      <c r="L238" s="138"/>
      <c r="M238" s="138"/>
      <c r="N238" s="138"/>
      <c r="O238" s="138"/>
      <c r="P238" s="138"/>
      <c r="Q238" s="139"/>
    </row>
    <row r="239" spans="1:18" x14ac:dyDescent="0.15">
      <c r="B239" s="136">
        <v>41449</v>
      </c>
      <c r="C239" s="137">
        <v>520.70000000000005</v>
      </c>
      <c r="D239" s="137">
        <f>3.226+0.184</f>
        <v>3.41</v>
      </c>
      <c r="E239" s="138">
        <v>1679.88</v>
      </c>
      <c r="F239" s="138">
        <f t="shared" si="18"/>
        <v>95.809999999999945</v>
      </c>
      <c r="G239" s="139">
        <v>1775.69</v>
      </c>
      <c r="I239" s="136"/>
      <c r="J239" s="137"/>
      <c r="K239" s="137"/>
      <c r="L239" s="138"/>
      <c r="M239" s="138"/>
      <c r="N239" s="138"/>
      <c r="O239" s="138"/>
      <c r="P239" s="138"/>
      <c r="Q239" s="139"/>
    </row>
    <row r="240" spans="1:18" x14ac:dyDescent="0.15">
      <c r="B240" s="136"/>
      <c r="C240" s="137"/>
      <c r="D240" s="137"/>
      <c r="E240" s="138"/>
      <c r="F240" s="138"/>
      <c r="G240" s="139"/>
      <c r="I240" s="136"/>
      <c r="J240" s="137"/>
      <c r="K240" s="137"/>
      <c r="L240" s="138"/>
      <c r="M240" s="138"/>
      <c r="N240" s="138"/>
      <c r="O240" s="138"/>
      <c r="P240" s="138"/>
      <c r="Q240" s="139"/>
    </row>
    <row r="241" spans="2:17" x14ac:dyDescent="0.15">
      <c r="B241" s="136"/>
      <c r="C241" s="137"/>
      <c r="D241" s="137"/>
      <c r="E241" s="138"/>
      <c r="F241" s="138"/>
      <c r="G241" s="139"/>
      <c r="I241" s="136"/>
      <c r="J241" s="137"/>
      <c r="K241" s="137"/>
      <c r="L241" s="138"/>
      <c r="M241" s="138"/>
      <c r="N241" s="138"/>
      <c r="O241" s="138"/>
      <c r="P241" s="138"/>
      <c r="Q241" s="139"/>
    </row>
    <row r="242" spans="2:17" x14ac:dyDescent="0.15">
      <c r="B242" s="140"/>
      <c r="C242" s="137"/>
      <c r="D242" s="137"/>
      <c r="E242" s="138"/>
      <c r="F242" s="138"/>
      <c r="G242" s="139"/>
      <c r="I242" s="140"/>
      <c r="J242" s="137"/>
      <c r="K242" s="137"/>
      <c r="L242" s="138"/>
      <c r="M242" s="138"/>
      <c r="N242" s="138"/>
      <c r="O242" s="138"/>
      <c r="P242" s="138"/>
      <c r="Q242" s="139"/>
    </row>
    <row r="243" spans="2:17" ht="14" thickBot="1" x14ac:dyDescent="0.2">
      <c r="B243" s="141" t="s">
        <v>146</v>
      </c>
      <c r="C243" s="142">
        <f>SUM(C236:C242)</f>
        <v>2086.1999999999998</v>
      </c>
      <c r="D243" s="143">
        <f>AVERAGE(D236:D242)</f>
        <v>3.3685</v>
      </c>
      <c r="E243" s="144">
        <f>SUM(E237:E242)</f>
        <v>4954.55</v>
      </c>
      <c r="F243" s="144">
        <f>SUM(F237:F242)</f>
        <v>277.15999999999985</v>
      </c>
      <c r="G243" s="145">
        <f>SUM(G236:G242)</f>
        <v>7351.5300000000007</v>
      </c>
      <c r="I243" s="141" t="s">
        <v>146</v>
      </c>
      <c r="J243" s="142">
        <f>SUM(J236:J242)</f>
        <v>1158.5</v>
      </c>
      <c r="K243" s="142">
        <f>AVERAGE(K236:K242)</f>
        <v>3.7490000000000001</v>
      </c>
      <c r="L243" s="144">
        <f>SUM(L236:L242)</f>
        <v>4343.2165000000005</v>
      </c>
      <c r="M243" s="144">
        <f t="shared" ref="M243:P243" si="19">SUM(M236:M242)</f>
        <v>45</v>
      </c>
      <c r="N243" s="144">
        <f t="shared" si="19"/>
        <v>375</v>
      </c>
      <c r="O243" s="144">
        <f t="shared" si="19"/>
        <v>3.4999999993488018E-3</v>
      </c>
      <c r="P243" s="144">
        <f t="shared" si="19"/>
        <v>-18</v>
      </c>
      <c r="Q243" s="145">
        <f>SUM(Q236:Q242)</f>
        <v>4745.2199999999993</v>
      </c>
    </row>
    <row r="244" spans="2:17" x14ac:dyDescent="0.15">
      <c r="G244" s="119">
        <f>(G243/C243)</f>
        <v>3.5238855335058967</v>
      </c>
      <c r="Q244" s="119">
        <f>(Q243/J243)</f>
        <v>4.0960034527406126</v>
      </c>
    </row>
    <row r="245" spans="2:17" ht="14" thickBot="1" x14ac:dyDescent="0.2"/>
    <row r="246" spans="2:17" x14ac:dyDescent="0.15">
      <c r="B246" s="782" t="s">
        <v>147</v>
      </c>
      <c r="C246" s="783"/>
      <c r="D246" s="783"/>
      <c r="E246" s="783"/>
      <c r="F246" s="783"/>
      <c r="G246" s="784"/>
    </row>
    <row r="247" spans="2:17" x14ac:dyDescent="0.15">
      <c r="B247" s="133" t="s">
        <v>138</v>
      </c>
      <c r="C247" s="134" t="s">
        <v>123</v>
      </c>
      <c r="D247" s="134" t="s">
        <v>116</v>
      </c>
      <c r="E247" s="134" t="s">
        <v>129</v>
      </c>
      <c r="F247" s="134" t="s">
        <v>118</v>
      </c>
      <c r="G247" s="135" t="s">
        <v>115</v>
      </c>
    </row>
    <row r="248" spans="2:17" x14ac:dyDescent="0.15">
      <c r="B248" s="136">
        <v>41134</v>
      </c>
      <c r="C248" s="137">
        <v>1894.8</v>
      </c>
      <c r="D248" s="137">
        <v>3.5047999999999999</v>
      </c>
      <c r="E248" s="146">
        <v>6640.9</v>
      </c>
      <c r="F248" s="138">
        <f t="shared" ref="F248:F254" si="20">G248-E248</f>
        <v>911.21</v>
      </c>
      <c r="G248" s="147">
        <v>7552.11</v>
      </c>
    </row>
    <row r="249" spans="2:17" x14ac:dyDescent="0.15">
      <c r="B249" s="136">
        <v>41206</v>
      </c>
      <c r="C249" s="137">
        <v>1806.7</v>
      </c>
      <c r="D249" s="137">
        <v>3.82742</v>
      </c>
      <c r="E249" s="146">
        <v>6915</v>
      </c>
      <c r="F249" s="138">
        <f t="shared" si="20"/>
        <v>868.17000000000007</v>
      </c>
      <c r="G249" s="147">
        <v>7783.17</v>
      </c>
    </row>
    <row r="250" spans="2:17" x14ac:dyDescent="0.15">
      <c r="B250" s="136">
        <v>41271</v>
      </c>
      <c r="C250" s="137">
        <v>1804.2</v>
      </c>
      <c r="D250" s="137">
        <v>3.8174999999999999</v>
      </c>
      <c r="E250" s="146">
        <v>6887.53</v>
      </c>
      <c r="F250" s="138">
        <f t="shared" si="20"/>
        <v>866.94999999999982</v>
      </c>
      <c r="G250" s="147">
        <v>7754.48</v>
      </c>
    </row>
    <row r="251" spans="2:17" x14ac:dyDescent="0.15">
      <c r="B251" s="136">
        <v>41333</v>
      </c>
      <c r="C251" s="137">
        <v>1274.5999999999999</v>
      </c>
      <c r="D251" s="137">
        <v>3.4159899999999999</v>
      </c>
      <c r="E251" s="146">
        <v>4354.0200000000004</v>
      </c>
      <c r="F251" s="138">
        <f t="shared" si="20"/>
        <v>612.95999999999913</v>
      </c>
      <c r="G251" s="147">
        <v>4966.9799999999996</v>
      </c>
    </row>
    <row r="252" spans="2:17" x14ac:dyDescent="0.15">
      <c r="B252" s="136">
        <v>41333</v>
      </c>
      <c r="C252" s="137">
        <v>360</v>
      </c>
      <c r="D252" s="137">
        <v>5.22</v>
      </c>
      <c r="E252" s="146">
        <v>1879.2</v>
      </c>
      <c r="F252" s="138">
        <f t="shared" si="20"/>
        <v>172.99</v>
      </c>
      <c r="G252" s="147">
        <v>2052.19</v>
      </c>
    </row>
    <row r="253" spans="2:17" x14ac:dyDescent="0.15">
      <c r="B253" s="136">
        <v>41411</v>
      </c>
      <c r="C253" s="137">
        <v>1500</v>
      </c>
      <c r="D253" s="137">
        <v>3.5</v>
      </c>
      <c r="E253" s="146">
        <v>5250</v>
      </c>
      <c r="F253" s="138">
        <f t="shared" si="20"/>
        <v>720.77999999999975</v>
      </c>
      <c r="G253" s="147">
        <v>5970.78</v>
      </c>
    </row>
    <row r="254" spans="2:17" x14ac:dyDescent="0.15">
      <c r="B254" s="136">
        <v>41451</v>
      </c>
      <c r="C254" s="137">
        <v>1400.7</v>
      </c>
      <c r="D254" s="137">
        <v>3.7</v>
      </c>
      <c r="E254" s="146">
        <v>5182.59</v>
      </c>
      <c r="F254" s="138">
        <f t="shared" si="20"/>
        <v>673.06999999999971</v>
      </c>
      <c r="G254" s="147">
        <v>5855.66</v>
      </c>
    </row>
    <row r="255" spans="2:17" x14ac:dyDescent="0.15">
      <c r="B255" s="136"/>
      <c r="C255" s="137"/>
      <c r="D255" s="137"/>
      <c r="E255" s="146"/>
      <c r="F255" s="138"/>
      <c r="G255" s="147"/>
    </row>
    <row r="256" spans="2:17" ht="14" thickBot="1" x14ac:dyDescent="0.2">
      <c r="B256" s="141" t="s">
        <v>146</v>
      </c>
      <c r="C256" s="142">
        <f>SUM(C248:C255)</f>
        <v>10041</v>
      </c>
      <c r="D256" s="142"/>
      <c r="E256" s="144">
        <f>SUM(E248:E255)</f>
        <v>37109.240000000005</v>
      </c>
      <c r="F256" s="144">
        <f t="shared" ref="F256:G256" si="21">SUM(F248:F255)</f>
        <v>4826.1299999999983</v>
      </c>
      <c r="G256" s="145">
        <f t="shared" si="21"/>
        <v>41935.369999999995</v>
      </c>
    </row>
    <row r="257" spans="1:18" x14ac:dyDescent="0.15">
      <c r="B257" s="105"/>
      <c r="G257" s="119">
        <f>(G256/C256)</f>
        <v>4.1764137038143607</v>
      </c>
    </row>
    <row r="258" spans="1:18" ht="14" thickBot="1" x14ac:dyDescent="0.2">
      <c r="A258" s="105"/>
      <c r="D258" s="148"/>
      <c r="E258" s="106"/>
      <c r="F258" s="148"/>
    </row>
    <row r="259" spans="1:18" ht="24" thickBot="1" x14ac:dyDescent="0.3">
      <c r="A259" s="785" t="s">
        <v>148</v>
      </c>
      <c r="B259" s="786"/>
      <c r="C259" s="786"/>
      <c r="D259" s="786"/>
      <c r="E259" s="786"/>
      <c r="F259" s="786"/>
      <c r="G259" s="786"/>
      <c r="H259" s="786"/>
      <c r="I259" s="786"/>
      <c r="J259" s="786"/>
      <c r="K259" s="786"/>
      <c r="L259" s="786"/>
      <c r="M259" s="786"/>
      <c r="N259" s="786"/>
      <c r="O259" s="786"/>
      <c r="P259" s="786"/>
      <c r="Q259" s="786"/>
      <c r="R259" s="787"/>
    </row>
    <row r="260" spans="1:18" x14ac:dyDescent="0.15">
      <c r="B260" s="779" t="s">
        <v>141</v>
      </c>
      <c r="C260" s="780"/>
      <c r="D260" s="780"/>
      <c r="E260" s="780"/>
      <c r="F260" s="780"/>
      <c r="G260" s="781"/>
      <c r="I260" s="779" t="s">
        <v>142</v>
      </c>
      <c r="J260" s="780"/>
      <c r="K260" s="780"/>
      <c r="L260" s="780"/>
      <c r="M260" s="780"/>
      <c r="N260" s="780"/>
      <c r="O260" s="780"/>
      <c r="P260" s="780"/>
      <c r="Q260" s="781"/>
    </row>
    <row r="261" spans="1:18" x14ac:dyDescent="0.15">
      <c r="B261" s="133" t="s">
        <v>138</v>
      </c>
      <c r="C261" s="134" t="s">
        <v>123</v>
      </c>
      <c r="D261" s="134" t="s">
        <v>116</v>
      </c>
      <c r="E261" s="134" t="s">
        <v>129</v>
      </c>
      <c r="F261" s="134" t="s">
        <v>118</v>
      </c>
      <c r="G261" s="135" t="s">
        <v>115</v>
      </c>
      <c r="I261" s="133" t="s">
        <v>138</v>
      </c>
      <c r="J261" s="134" t="s">
        <v>123</v>
      </c>
      <c r="K261" s="134" t="s">
        <v>116</v>
      </c>
      <c r="L261" s="134" t="s">
        <v>129</v>
      </c>
      <c r="M261" s="134" t="s">
        <v>143</v>
      </c>
      <c r="N261" s="134" t="s">
        <v>144</v>
      </c>
      <c r="O261" s="134" t="s">
        <v>118</v>
      </c>
      <c r="P261" s="134" t="s">
        <v>145</v>
      </c>
      <c r="Q261" s="135" t="s">
        <v>115</v>
      </c>
    </row>
    <row r="262" spans="1:18" x14ac:dyDescent="0.15">
      <c r="B262" s="136">
        <v>41495</v>
      </c>
      <c r="C262" s="137">
        <v>393.8</v>
      </c>
      <c r="D262" s="137">
        <v>3.2770000000000001</v>
      </c>
      <c r="E262" s="138">
        <v>1290.8399999999999</v>
      </c>
      <c r="F262" s="138">
        <f t="shared" ref="F262:F265" si="22">G262-E262</f>
        <v>72.460000000000036</v>
      </c>
      <c r="G262" s="139">
        <v>1363.3</v>
      </c>
      <c r="H262" s="129">
        <f t="shared" ref="H262:H265" si="23">G262/C262</f>
        <v>3.4619095987811068</v>
      </c>
      <c r="I262" s="136">
        <v>41628</v>
      </c>
      <c r="J262" s="137">
        <f>61.2+76.3+107.9+154.8+75.4+38.5+59</f>
        <v>573.1</v>
      </c>
      <c r="K262" s="137">
        <v>3.649</v>
      </c>
      <c r="L262" s="138">
        <f>J262*K262</f>
        <v>2091.2419</v>
      </c>
      <c r="M262" s="138">
        <f>75+75+75+75+75+75+75</f>
        <v>525</v>
      </c>
      <c r="N262" s="138"/>
      <c r="O262" s="138">
        <f>Q262-SUM(L262:N262,P262)</f>
        <v>-1.900000000205182E-3</v>
      </c>
      <c r="P262" s="138">
        <v>0.01</v>
      </c>
      <c r="Q262" s="139">
        <v>2616.25</v>
      </c>
    </row>
    <row r="263" spans="1:18" x14ac:dyDescent="0.15">
      <c r="B263" s="136">
        <v>41596</v>
      </c>
      <c r="C263" s="137">
        <v>600</v>
      </c>
      <c r="D263" s="137">
        <v>3.0609999999999999</v>
      </c>
      <c r="E263" s="138">
        <v>1837.02</v>
      </c>
      <c r="F263" s="138">
        <f t="shared" si="22"/>
        <v>110.40000000000009</v>
      </c>
      <c r="G263" s="139">
        <v>1947.42</v>
      </c>
      <c r="H263" s="129">
        <f t="shared" si="23"/>
        <v>3.2457000000000003</v>
      </c>
      <c r="I263" s="136"/>
      <c r="J263" s="137"/>
      <c r="K263" s="137"/>
      <c r="L263" s="138">
        <f>J263*K263</f>
        <v>0</v>
      </c>
      <c r="M263" s="138"/>
      <c r="N263" s="138"/>
      <c r="O263" s="138">
        <f>Q263-SUM(L263:N263,P263)</f>
        <v>0</v>
      </c>
      <c r="P263" s="138"/>
      <c r="Q263" s="139"/>
    </row>
    <row r="264" spans="1:18" x14ac:dyDescent="0.15">
      <c r="B264" s="136">
        <v>41670</v>
      </c>
      <c r="C264" s="137">
        <v>350</v>
      </c>
      <c r="D264" s="137">
        <v>3.0739999999999998</v>
      </c>
      <c r="E264" s="138">
        <v>1076.18</v>
      </c>
      <c r="F264" s="138">
        <f t="shared" si="22"/>
        <v>64.399999999999864</v>
      </c>
      <c r="G264" s="139">
        <v>1140.58</v>
      </c>
      <c r="H264" s="129">
        <f t="shared" si="23"/>
        <v>3.2587999999999999</v>
      </c>
      <c r="I264" s="136"/>
      <c r="J264" s="137"/>
      <c r="K264" s="137"/>
      <c r="L264" s="138"/>
      <c r="M264" s="138"/>
      <c r="N264" s="138"/>
      <c r="O264" s="138"/>
      <c r="P264" s="138"/>
      <c r="Q264" s="139"/>
    </row>
    <row r="265" spans="1:18" x14ac:dyDescent="0.15">
      <c r="B265" s="136">
        <v>41794</v>
      </c>
      <c r="C265" s="137">
        <v>427.4</v>
      </c>
      <c r="D265" s="137">
        <v>3.343</v>
      </c>
      <c r="E265" s="138">
        <v>1429.01</v>
      </c>
      <c r="F265" s="138">
        <f t="shared" si="22"/>
        <v>78.6400000000001</v>
      </c>
      <c r="G265" s="139">
        <v>1507.65</v>
      </c>
      <c r="H265" s="129">
        <f t="shared" si="23"/>
        <v>3.5274918109499303</v>
      </c>
      <c r="I265" s="136"/>
      <c r="J265" s="137"/>
      <c r="K265" s="137"/>
      <c r="L265" s="138"/>
      <c r="M265" s="138"/>
      <c r="N265" s="138"/>
      <c r="O265" s="138"/>
      <c r="P265" s="138"/>
      <c r="Q265" s="139"/>
    </row>
    <row r="266" spans="1:18" x14ac:dyDescent="0.15">
      <c r="B266" s="136"/>
      <c r="C266" s="137"/>
      <c r="D266" s="137"/>
      <c r="E266" s="138"/>
      <c r="F266" s="138"/>
      <c r="G266" s="139"/>
      <c r="I266" s="136"/>
      <c r="J266" s="137"/>
      <c r="K266" s="137"/>
      <c r="L266" s="138"/>
      <c r="M266" s="138"/>
      <c r="N266" s="138"/>
      <c r="O266" s="138"/>
      <c r="P266" s="138"/>
      <c r="Q266" s="139"/>
    </row>
    <row r="267" spans="1:18" x14ac:dyDescent="0.15">
      <c r="B267" s="136"/>
      <c r="C267" s="137"/>
      <c r="D267" s="137"/>
      <c r="E267" s="138"/>
      <c r="F267" s="138"/>
      <c r="G267" s="139"/>
      <c r="I267" s="136"/>
      <c r="J267" s="137"/>
      <c r="K267" s="137"/>
      <c r="L267" s="138"/>
      <c r="M267" s="138"/>
      <c r="N267" s="138"/>
      <c r="O267" s="138"/>
      <c r="P267" s="138"/>
      <c r="Q267" s="139"/>
    </row>
    <row r="268" spans="1:18" x14ac:dyDescent="0.15">
      <c r="B268" s="140"/>
      <c r="C268" s="137"/>
      <c r="D268" s="137"/>
      <c r="E268" s="138"/>
      <c r="F268" s="138"/>
      <c r="G268" s="139"/>
      <c r="I268" s="140"/>
      <c r="J268" s="137"/>
      <c r="K268" s="137"/>
      <c r="L268" s="138"/>
      <c r="M268" s="138"/>
      <c r="N268" s="138"/>
      <c r="O268" s="138"/>
      <c r="P268" s="138"/>
      <c r="Q268" s="139"/>
    </row>
    <row r="269" spans="1:18" ht="14" thickBot="1" x14ac:dyDescent="0.2">
      <c r="B269" s="141" t="s">
        <v>146</v>
      </c>
      <c r="C269" s="142">
        <f>SUM(C262:C268)</f>
        <v>1771.1999999999998</v>
      </c>
      <c r="D269" s="143">
        <f>AVERAGE(D262:D268)</f>
        <v>3.1887499999999998</v>
      </c>
      <c r="E269" s="144">
        <f>SUM(E263:E268)</f>
        <v>4342.21</v>
      </c>
      <c r="F269" s="144">
        <f>SUM(F263:F268)</f>
        <v>253.44000000000005</v>
      </c>
      <c r="G269" s="145">
        <f>SUM(G262:G268)</f>
        <v>5958.9500000000007</v>
      </c>
      <c r="I269" s="141" t="s">
        <v>146</v>
      </c>
      <c r="J269" s="142">
        <f>SUM(J262:J268)</f>
        <v>573.1</v>
      </c>
      <c r="K269" s="142">
        <f>AVERAGE(K262:K268)</f>
        <v>3.649</v>
      </c>
      <c r="L269" s="144">
        <f>SUM(L262:L268)</f>
        <v>2091.2419</v>
      </c>
      <c r="M269" s="144">
        <f t="shared" ref="M269:P269" si="24">SUM(M262:M268)</f>
        <v>525</v>
      </c>
      <c r="N269" s="144">
        <f t="shared" si="24"/>
        <v>0</v>
      </c>
      <c r="O269" s="144">
        <f t="shared" si="24"/>
        <v>-1.900000000205182E-3</v>
      </c>
      <c r="P269" s="144">
        <f t="shared" si="24"/>
        <v>0.01</v>
      </c>
      <c r="Q269" s="145">
        <f>SUM(Q262:Q268)</f>
        <v>2616.25</v>
      </c>
    </row>
    <row r="270" spans="1:18" x14ac:dyDescent="0.15">
      <c r="G270" s="119">
        <f>(G269/C269)</f>
        <v>3.3643574977416448</v>
      </c>
      <c r="Q270" s="119">
        <f>(Q269/J269)</f>
        <v>4.5650846274646657</v>
      </c>
    </row>
    <row r="271" spans="1:18" ht="14" thickBot="1" x14ac:dyDescent="0.2"/>
    <row r="272" spans="1:18" x14ac:dyDescent="0.15">
      <c r="B272" s="782" t="s">
        <v>147</v>
      </c>
      <c r="C272" s="783"/>
      <c r="D272" s="783"/>
      <c r="E272" s="783"/>
      <c r="F272" s="783"/>
      <c r="G272" s="784"/>
    </row>
    <row r="273" spans="1:22" x14ac:dyDescent="0.15">
      <c r="B273" s="133" t="s">
        <v>138</v>
      </c>
      <c r="C273" s="134" t="s">
        <v>123</v>
      </c>
      <c r="D273" s="134" t="s">
        <v>116</v>
      </c>
      <c r="E273" s="134" t="s">
        <v>129</v>
      </c>
      <c r="F273" s="134" t="s">
        <v>118</v>
      </c>
      <c r="G273" s="135" t="s">
        <v>115</v>
      </c>
    </row>
    <row r="274" spans="1:22" x14ac:dyDescent="0.15">
      <c r="B274" s="136">
        <v>41512</v>
      </c>
      <c r="C274" s="137">
        <v>1512.2</v>
      </c>
      <c r="D274" s="137">
        <v>3.5545</v>
      </c>
      <c r="E274" s="146">
        <v>5375.11</v>
      </c>
      <c r="F274" s="138">
        <f t="shared" ref="F274:F280" si="25">G274-E274</f>
        <v>772.01000000000022</v>
      </c>
      <c r="G274" s="147">
        <v>6147.12</v>
      </c>
    </row>
    <row r="275" spans="1:22" x14ac:dyDescent="0.15">
      <c r="B275" s="136">
        <v>41571</v>
      </c>
      <c r="C275" s="137">
        <v>1800</v>
      </c>
      <c r="D275" s="137">
        <v>3.4691000000000001</v>
      </c>
      <c r="E275" s="146">
        <v>6244.38</v>
      </c>
      <c r="F275" s="138">
        <f t="shared" si="25"/>
        <v>918.9399999999996</v>
      </c>
      <c r="G275" s="147">
        <v>7163.32</v>
      </c>
    </row>
    <row r="276" spans="1:22" x14ac:dyDescent="0.15">
      <c r="B276" s="136">
        <v>41669</v>
      </c>
      <c r="C276" s="137">
        <v>1480.9</v>
      </c>
      <c r="D276" s="137">
        <v>3.7869000000000002</v>
      </c>
      <c r="E276" s="146">
        <v>5608.02</v>
      </c>
      <c r="F276" s="138">
        <f t="shared" si="25"/>
        <v>756.02999999999975</v>
      </c>
      <c r="G276" s="147">
        <v>6364.05</v>
      </c>
    </row>
    <row r="277" spans="1:22" x14ac:dyDescent="0.15">
      <c r="B277" s="136">
        <v>41698</v>
      </c>
      <c r="C277" s="137">
        <v>1314.2</v>
      </c>
      <c r="D277" s="137">
        <v>3.8186</v>
      </c>
      <c r="E277" s="146">
        <v>5018.3999999999996</v>
      </c>
      <c r="F277" s="138">
        <f t="shared" si="25"/>
        <v>670.93000000000029</v>
      </c>
      <c r="G277" s="147">
        <v>5689.33</v>
      </c>
    </row>
    <row r="278" spans="1:22" x14ac:dyDescent="0.15">
      <c r="B278" s="136">
        <v>41778</v>
      </c>
      <c r="C278" s="137">
        <v>1752.1</v>
      </c>
      <c r="D278" s="137">
        <v>3.3891</v>
      </c>
      <c r="E278" s="146">
        <v>5938.04</v>
      </c>
      <c r="F278" s="138">
        <f t="shared" si="25"/>
        <v>894.47000000000025</v>
      </c>
      <c r="G278" s="147">
        <v>6832.51</v>
      </c>
    </row>
    <row r="279" spans="1:22" x14ac:dyDescent="0.15">
      <c r="B279" s="136"/>
      <c r="C279" s="137"/>
      <c r="D279" s="137"/>
      <c r="E279" s="146"/>
      <c r="F279" s="138">
        <f t="shared" si="25"/>
        <v>0</v>
      </c>
      <c r="G279" s="147"/>
    </row>
    <row r="280" spans="1:22" x14ac:dyDescent="0.15">
      <c r="B280" s="136"/>
      <c r="C280" s="137"/>
      <c r="D280" s="137"/>
      <c r="E280" s="146"/>
      <c r="F280" s="138">
        <f t="shared" si="25"/>
        <v>0</v>
      </c>
      <c r="G280" s="147"/>
    </row>
    <row r="281" spans="1:22" x14ac:dyDescent="0.15">
      <c r="B281" s="136"/>
      <c r="C281" s="137"/>
      <c r="D281" s="137"/>
      <c r="E281" s="146"/>
      <c r="F281" s="138"/>
      <c r="G281" s="147"/>
    </row>
    <row r="282" spans="1:22" ht="14" thickBot="1" x14ac:dyDescent="0.2">
      <c r="B282" s="141" t="s">
        <v>146</v>
      </c>
      <c r="C282" s="142">
        <f>SUM(C274:C281)</f>
        <v>7859.4</v>
      </c>
      <c r="D282" s="142"/>
      <c r="E282" s="144">
        <f>SUM(E274:E281)</f>
        <v>28183.950000000004</v>
      </c>
      <c r="F282" s="144">
        <f t="shared" ref="F282:G282" si="26">SUM(F274:F281)</f>
        <v>4012.38</v>
      </c>
      <c r="G282" s="145">
        <f t="shared" si="26"/>
        <v>32196.33</v>
      </c>
    </row>
    <row r="283" spans="1:22" x14ac:dyDescent="0.15">
      <c r="B283" s="105"/>
      <c r="G283" s="119">
        <f>(G282/C282)</f>
        <v>4.0965379036567677</v>
      </c>
    </row>
    <row r="284" spans="1:22" ht="14" thickBot="1" x14ac:dyDescent="0.2">
      <c r="A284" s="105"/>
      <c r="D284" s="148"/>
      <c r="E284" s="106"/>
      <c r="F284" s="148"/>
    </row>
    <row r="285" spans="1:22" ht="24" thickBot="1" x14ac:dyDescent="0.3">
      <c r="A285" s="785" t="s">
        <v>149</v>
      </c>
      <c r="B285" s="786"/>
      <c r="C285" s="786"/>
      <c r="D285" s="786"/>
      <c r="E285" s="786"/>
      <c r="F285" s="786"/>
      <c r="G285" s="786"/>
      <c r="H285" s="786"/>
      <c r="I285" s="786"/>
      <c r="J285" s="786"/>
      <c r="K285" s="786"/>
      <c r="L285" s="786"/>
      <c r="M285" s="786"/>
      <c r="N285" s="786"/>
      <c r="O285" s="786"/>
      <c r="P285" s="786"/>
      <c r="Q285" s="786"/>
      <c r="R285" s="787"/>
    </row>
    <row r="286" spans="1:22" x14ac:dyDescent="0.15">
      <c r="B286" s="779" t="s">
        <v>141</v>
      </c>
      <c r="C286" s="780"/>
      <c r="D286" s="780"/>
      <c r="E286" s="780"/>
      <c r="F286" s="780"/>
      <c r="G286" s="781"/>
      <c r="I286" s="779" t="s">
        <v>150</v>
      </c>
      <c r="J286" s="780"/>
      <c r="K286" s="780"/>
      <c r="L286" s="780"/>
      <c r="M286" s="780"/>
      <c r="N286" s="780"/>
      <c r="O286" s="780"/>
      <c r="P286" s="780"/>
      <c r="Q286" s="781"/>
    </row>
    <row r="287" spans="1:22" x14ac:dyDescent="0.15">
      <c r="B287" s="133" t="s">
        <v>138</v>
      </c>
      <c r="C287" s="134" t="s">
        <v>123</v>
      </c>
      <c r="D287" s="134" t="s">
        <v>116</v>
      </c>
      <c r="E287" s="134" t="s">
        <v>129</v>
      </c>
      <c r="F287" s="134" t="s">
        <v>118</v>
      </c>
      <c r="G287" s="135" t="s">
        <v>115</v>
      </c>
      <c r="I287" s="133" t="s">
        <v>138</v>
      </c>
      <c r="J287" s="134" t="s">
        <v>123</v>
      </c>
      <c r="K287" s="134" t="s">
        <v>116</v>
      </c>
      <c r="L287" s="134" t="s">
        <v>129</v>
      </c>
      <c r="M287" s="134" t="s">
        <v>143</v>
      </c>
      <c r="N287" s="134" t="s">
        <v>144</v>
      </c>
      <c r="O287" s="134" t="s">
        <v>118</v>
      </c>
      <c r="P287" s="134" t="s">
        <v>145</v>
      </c>
      <c r="Q287" s="135" t="s">
        <v>115</v>
      </c>
    </row>
    <row r="288" spans="1:22" x14ac:dyDescent="0.15">
      <c r="B288" s="149">
        <v>41913</v>
      </c>
      <c r="C288" s="150">
        <v>585</v>
      </c>
      <c r="D288" s="150">
        <v>2.9180000000000001</v>
      </c>
      <c r="E288" s="151">
        <v>1707.21</v>
      </c>
      <c r="F288" s="151">
        <f t="shared" ref="F288:F291" si="27">G288-E288</f>
        <v>107.63999999999987</v>
      </c>
      <c r="G288" s="152">
        <v>1814.85</v>
      </c>
      <c r="H288" s="129">
        <f>G288/C288</f>
        <v>3.1023076923076922</v>
      </c>
      <c r="I288" s="149">
        <v>41912</v>
      </c>
      <c r="J288" s="150">
        <f>57.6+160.5+127.4+205.2+55.1+50+75</f>
        <v>730.80000000000007</v>
      </c>
      <c r="K288" s="150">
        <v>3.3490000000000002</v>
      </c>
      <c r="L288" s="151">
        <f>J288*K288</f>
        <v>2447.4492000000005</v>
      </c>
      <c r="M288" s="151">
        <f>9+9+9+9+9+9</f>
        <v>54</v>
      </c>
      <c r="N288" s="138">
        <f>75+75+75+75+75+75+75</f>
        <v>525</v>
      </c>
      <c r="O288" s="151">
        <f>Q288-SUM(L288:N288,P288)</f>
        <v>-9.2000000004190952E-3</v>
      </c>
      <c r="P288" s="151"/>
      <c r="Q288" s="152">
        <v>3026.44</v>
      </c>
      <c r="T288" s="103">
        <f>E288/F288</f>
        <v>15.860367892976608</v>
      </c>
      <c r="V288" s="106">
        <f>F288/C288</f>
        <v>0.18399999999999977</v>
      </c>
    </row>
    <row r="289" spans="2:22" x14ac:dyDescent="0.15">
      <c r="B289" s="149">
        <v>42033</v>
      </c>
      <c r="C289" s="150">
        <v>519.20000000000005</v>
      </c>
      <c r="D289" s="150">
        <v>1.7</v>
      </c>
      <c r="E289" s="151">
        <v>882.9</v>
      </c>
      <c r="F289" s="151">
        <f t="shared" si="27"/>
        <v>95.529999999999973</v>
      </c>
      <c r="G289" s="152">
        <v>978.43</v>
      </c>
      <c r="H289" s="129">
        <f t="shared" ref="H289:H291" si="28">G289/C289</f>
        <v>1.8844953775038518</v>
      </c>
      <c r="I289" s="136"/>
      <c r="J289" s="137"/>
      <c r="K289" s="137"/>
      <c r="L289" s="138">
        <f>J289*K289</f>
        <v>0</v>
      </c>
      <c r="M289" s="138"/>
      <c r="N289" s="138"/>
      <c r="O289" s="138">
        <f>Q289-SUM(L289:N289,P289)</f>
        <v>0</v>
      </c>
      <c r="P289" s="138"/>
      <c r="Q289" s="139"/>
      <c r="T289" s="103">
        <f t="shared" ref="T289:T291" si="29">E289/F289</f>
        <v>9.2421228933319401</v>
      </c>
      <c r="V289" s="106">
        <f t="shared" ref="V289:V291" si="30">F289/C289</f>
        <v>0.18399460708782736</v>
      </c>
    </row>
    <row r="290" spans="2:22" x14ac:dyDescent="0.15">
      <c r="B290" s="149">
        <v>42067</v>
      </c>
      <c r="C290" s="150">
        <v>544.6</v>
      </c>
      <c r="D290" s="150">
        <v>2.0609999999999999</v>
      </c>
      <c r="E290" s="151">
        <v>1122.69</v>
      </c>
      <c r="F290" s="151">
        <f t="shared" si="27"/>
        <v>100.21000000000004</v>
      </c>
      <c r="G290" s="152">
        <v>1222.9000000000001</v>
      </c>
      <c r="H290" s="129">
        <f t="shared" si="28"/>
        <v>2.2455012853470437</v>
      </c>
      <c r="I290" s="136"/>
      <c r="J290" s="137"/>
      <c r="K290" s="137"/>
      <c r="L290" s="138"/>
      <c r="M290" s="138"/>
      <c r="N290" s="138"/>
      <c r="O290" s="138"/>
      <c r="P290" s="138"/>
      <c r="Q290" s="139"/>
      <c r="T290" s="103">
        <f t="shared" si="29"/>
        <v>11.20337291687456</v>
      </c>
      <c r="V290" s="106">
        <f t="shared" si="30"/>
        <v>0.18400661035622481</v>
      </c>
    </row>
    <row r="291" spans="2:22" x14ac:dyDescent="0.15">
      <c r="B291" s="149">
        <v>42163</v>
      </c>
      <c r="C291" s="150">
        <v>519.1</v>
      </c>
      <c r="D291" s="150">
        <v>2.391</v>
      </c>
      <c r="E291" s="151">
        <v>1241.43</v>
      </c>
      <c r="F291" s="151">
        <f t="shared" si="27"/>
        <v>95.509999999999991</v>
      </c>
      <c r="G291" s="152">
        <v>1336.94</v>
      </c>
      <c r="H291" s="129">
        <f t="shared" si="28"/>
        <v>2.5754960508572529</v>
      </c>
      <c r="I291" s="136"/>
      <c r="J291" s="137"/>
      <c r="K291" s="137"/>
      <c r="L291" s="138"/>
      <c r="M291" s="138"/>
      <c r="N291" s="138"/>
      <c r="O291" s="138"/>
      <c r="P291" s="138"/>
      <c r="Q291" s="139"/>
      <c r="T291" s="103">
        <f t="shared" si="29"/>
        <v>12.99790597843158</v>
      </c>
      <c r="V291" s="106">
        <f t="shared" si="30"/>
        <v>0.183991523791177</v>
      </c>
    </row>
    <row r="292" spans="2:22" x14ac:dyDescent="0.15">
      <c r="B292" s="136"/>
      <c r="C292" s="137"/>
      <c r="D292" s="137"/>
      <c r="E292" s="138"/>
      <c r="F292" s="138"/>
      <c r="G292" s="139"/>
      <c r="I292" s="136"/>
      <c r="J292" s="137"/>
      <c r="K292" s="137"/>
      <c r="L292" s="138"/>
      <c r="M292" s="138"/>
      <c r="N292" s="138"/>
      <c r="O292" s="138"/>
      <c r="P292" s="138"/>
      <c r="Q292" s="139"/>
    </row>
    <row r="293" spans="2:22" x14ac:dyDescent="0.15">
      <c r="B293" s="136"/>
      <c r="C293" s="137"/>
      <c r="D293" s="137"/>
      <c r="E293" s="138"/>
      <c r="F293" s="138"/>
      <c r="G293" s="139"/>
      <c r="I293" s="136"/>
      <c r="J293" s="137"/>
      <c r="K293" s="137"/>
      <c r="L293" s="138"/>
      <c r="M293" s="138"/>
      <c r="N293" s="138"/>
      <c r="O293" s="138"/>
      <c r="P293" s="138"/>
      <c r="Q293" s="139"/>
    </row>
    <row r="294" spans="2:22" x14ac:dyDescent="0.15">
      <c r="B294" s="140"/>
      <c r="C294" s="137"/>
      <c r="D294" s="137"/>
      <c r="E294" s="138"/>
      <c r="F294" s="138"/>
      <c r="G294" s="139"/>
      <c r="I294" s="140"/>
      <c r="J294" s="137"/>
      <c r="K294" s="137"/>
      <c r="L294" s="138"/>
      <c r="M294" s="138"/>
      <c r="N294" s="138"/>
      <c r="O294" s="138"/>
      <c r="P294" s="138"/>
      <c r="Q294" s="139"/>
    </row>
    <row r="295" spans="2:22" ht="14" thickBot="1" x14ac:dyDescent="0.2">
      <c r="B295" s="141" t="s">
        <v>146</v>
      </c>
      <c r="C295" s="142">
        <f>SUM(C288:C294)</f>
        <v>2167.9</v>
      </c>
      <c r="D295" s="143">
        <f>AVERAGE(D288:D294)</f>
        <v>2.2675000000000001</v>
      </c>
      <c r="E295" s="144">
        <f>SUM(E289:E294)</f>
        <v>3247.0200000000004</v>
      </c>
      <c r="F295" s="144">
        <f>SUM(F289:F294)</f>
        <v>291.25</v>
      </c>
      <c r="G295" s="145">
        <f>SUM(G288:G294)</f>
        <v>5353.12</v>
      </c>
      <c r="I295" s="141" t="s">
        <v>146</v>
      </c>
      <c r="J295" s="142">
        <f>SUM(J288:J294)</f>
        <v>730.80000000000007</v>
      </c>
      <c r="K295" s="142">
        <f>AVERAGE(K288:K294)</f>
        <v>3.3490000000000002</v>
      </c>
      <c r="L295" s="144">
        <f>SUM(L288:L294)</f>
        <v>2447.4492000000005</v>
      </c>
      <c r="M295" s="144">
        <f t="shared" ref="M295:P295" si="31">SUM(M288:M294)</f>
        <v>54</v>
      </c>
      <c r="N295" s="144">
        <f t="shared" si="31"/>
        <v>525</v>
      </c>
      <c r="O295" s="144">
        <f t="shared" si="31"/>
        <v>-9.2000000004190952E-3</v>
      </c>
      <c r="P295" s="144">
        <f t="shared" si="31"/>
        <v>0</v>
      </c>
      <c r="Q295" s="145">
        <f>SUM(Q288:Q294)</f>
        <v>3026.44</v>
      </c>
    </row>
    <row r="296" spans="2:22" x14ac:dyDescent="0.15">
      <c r="G296" s="119">
        <f>(G295/C295)</f>
        <v>2.4692651875086487</v>
      </c>
      <c r="Q296" s="119">
        <f>(Q295/J295)</f>
        <v>4.1412698412698408</v>
      </c>
    </row>
    <row r="297" spans="2:22" ht="14" thickBot="1" x14ac:dyDescent="0.2"/>
    <row r="298" spans="2:22" x14ac:dyDescent="0.15">
      <c r="B298" s="782" t="s">
        <v>147</v>
      </c>
      <c r="C298" s="783"/>
      <c r="D298" s="783"/>
      <c r="E298" s="783"/>
      <c r="F298" s="783"/>
      <c r="G298" s="784"/>
    </row>
    <row r="299" spans="2:22" x14ac:dyDescent="0.15">
      <c r="B299" s="133" t="s">
        <v>138</v>
      </c>
      <c r="C299" s="134" t="s">
        <v>123</v>
      </c>
      <c r="D299" s="134" t="s">
        <v>116</v>
      </c>
      <c r="E299" s="134" t="s">
        <v>129</v>
      </c>
      <c r="F299" s="134" t="s">
        <v>118</v>
      </c>
      <c r="G299" s="135" t="s">
        <v>115</v>
      </c>
    </row>
    <row r="300" spans="2:22" x14ac:dyDescent="0.15">
      <c r="B300" s="149">
        <v>41845</v>
      </c>
      <c r="C300" s="150">
        <v>1521</v>
      </c>
      <c r="D300" s="150">
        <v>3.4287999999999998</v>
      </c>
      <c r="E300" s="153">
        <v>5215.2</v>
      </c>
      <c r="F300" s="151">
        <f t="shared" ref="F300:F307" si="32">G300-E300</f>
        <v>739.05000000000018</v>
      </c>
      <c r="G300" s="154">
        <v>5954.25</v>
      </c>
      <c r="V300" s="106">
        <f>F300/C300</f>
        <v>0.485897435897436</v>
      </c>
    </row>
    <row r="301" spans="2:22" x14ac:dyDescent="0.15">
      <c r="B301" s="149">
        <v>41906</v>
      </c>
      <c r="C301" s="150">
        <v>1731</v>
      </c>
      <c r="D301" s="150">
        <v>3.2433000000000001</v>
      </c>
      <c r="E301" s="153">
        <v>5614.15</v>
      </c>
      <c r="F301" s="151">
        <f t="shared" si="32"/>
        <v>841.09000000000015</v>
      </c>
      <c r="G301" s="154">
        <v>6455.24</v>
      </c>
      <c r="V301" s="106">
        <f t="shared" ref="V301:V306" si="33">F301/C301</f>
        <v>0.48589832466782218</v>
      </c>
    </row>
    <row r="302" spans="2:22" x14ac:dyDescent="0.15">
      <c r="B302" s="149">
        <v>41956</v>
      </c>
      <c r="C302" s="150">
        <v>1485.3</v>
      </c>
      <c r="D302" s="150">
        <v>3.0501</v>
      </c>
      <c r="E302" s="153">
        <v>4530.3100000000004</v>
      </c>
      <c r="F302" s="151">
        <f t="shared" si="32"/>
        <v>721.71</v>
      </c>
      <c r="G302" s="154">
        <v>5252.02</v>
      </c>
      <c r="V302" s="106">
        <f t="shared" si="33"/>
        <v>0.48590183801252274</v>
      </c>
    </row>
    <row r="303" spans="2:22" x14ac:dyDescent="0.15">
      <c r="B303" s="149">
        <v>42020</v>
      </c>
      <c r="C303" s="150">
        <v>1304.5999999999999</v>
      </c>
      <c r="D303" s="150">
        <v>2.2294999999999998</v>
      </c>
      <c r="E303" s="153">
        <v>2908.61</v>
      </c>
      <c r="F303" s="151">
        <f t="shared" si="32"/>
        <v>633.90000000000009</v>
      </c>
      <c r="G303" s="154">
        <v>3542.51</v>
      </c>
      <c r="V303" s="106">
        <f t="shared" si="33"/>
        <v>0.48589606009504838</v>
      </c>
    </row>
    <row r="304" spans="2:22" x14ac:dyDescent="0.15">
      <c r="B304" s="149">
        <v>42054</v>
      </c>
      <c r="C304" s="150">
        <v>1422</v>
      </c>
      <c r="D304" s="150">
        <v>2.4607000000000001</v>
      </c>
      <c r="E304" s="153">
        <v>3499.12</v>
      </c>
      <c r="F304" s="151">
        <f t="shared" si="32"/>
        <v>690.94999999999982</v>
      </c>
      <c r="G304" s="154">
        <v>4190.07</v>
      </c>
      <c r="V304" s="106">
        <f t="shared" si="33"/>
        <v>0.48590014064697595</v>
      </c>
    </row>
    <row r="305" spans="1:22" x14ac:dyDescent="0.15">
      <c r="B305" s="136">
        <v>42095</v>
      </c>
      <c r="C305" s="137">
        <v>1017.1</v>
      </c>
      <c r="D305" s="137">
        <v>2.3618000000000001</v>
      </c>
      <c r="E305" s="146">
        <v>2402.19</v>
      </c>
      <c r="F305" s="138">
        <f t="shared" si="32"/>
        <v>494.21000000000004</v>
      </c>
      <c r="G305" s="147">
        <v>2896.4</v>
      </c>
      <c r="V305" s="106">
        <f t="shared" si="33"/>
        <v>0.48590109133811821</v>
      </c>
    </row>
    <row r="306" spans="1:22" x14ac:dyDescent="0.15">
      <c r="B306" s="136">
        <v>42159</v>
      </c>
      <c r="C306" s="137">
        <v>1494.1</v>
      </c>
      <c r="D306" s="137">
        <v>2.4317000000000002</v>
      </c>
      <c r="E306" s="146">
        <v>3633.2</v>
      </c>
      <c r="F306" s="138">
        <f t="shared" si="32"/>
        <v>725.98000000000047</v>
      </c>
      <c r="G306" s="147">
        <v>4359.18</v>
      </c>
      <c r="V306" s="106">
        <f t="shared" si="33"/>
        <v>0.48589786493541298</v>
      </c>
    </row>
    <row r="307" spans="1:22" x14ac:dyDescent="0.15">
      <c r="B307" s="136"/>
      <c r="C307" s="137"/>
      <c r="D307" s="137"/>
      <c r="E307" s="146"/>
      <c r="F307" s="138">
        <f t="shared" si="32"/>
        <v>0</v>
      </c>
      <c r="G307" s="147"/>
      <c r="V307" s="106"/>
    </row>
    <row r="308" spans="1:22" x14ac:dyDescent="0.15">
      <c r="B308" s="136"/>
      <c r="C308" s="137"/>
      <c r="D308" s="137"/>
      <c r="E308" s="146"/>
      <c r="F308" s="138"/>
      <c r="G308" s="147"/>
    </row>
    <row r="309" spans="1:22" ht="14" thickBot="1" x14ac:dyDescent="0.2">
      <c r="B309" s="141" t="s">
        <v>146</v>
      </c>
      <c r="C309" s="142">
        <f>SUM(C300:C308)</f>
        <v>9975.1</v>
      </c>
      <c r="D309" s="142"/>
      <c r="E309" s="144">
        <f>SUM(E300:E308)</f>
        <v>27802.78</v>
      </c>
      <c r="F309" s="144">
        <f t="shared" ref="F309:G309" si="34">SUM(F300:F308)</f>
        <v>4846.8900000000003</v>
      </c>
      <c r="G309" s="145">
        <f t="shared" si="34"/>
        <v>32649.670000000006</v>
      </c>
    </row>
    <row r="310" spans="1:22" x14ac:dyDescent="0.15">
      <c r="B310" s="105"/>
      <c r="G310" s="119">
        <f>(G309/C309)</f>
        <v>3.2731170614830933</v>
      </c>
    </row>
    <row r="311" spans="1:22" ht="14" thickBot="1" x14ac:dyDescent="0.2">
      <c r="A311" s="105"/>
      <c r="D311" s="148"/>
      <c r="E311" s="106"/>
      <c r="F311" s="148"/>
    </row>
    <row r="312" spans="1:22" ht="24" thickBot="1" x14ac:dyDescent="0.3">
      <c r="A312" s="785" t="s">
        <v>151</v>
      </c>
      <c r="B312" s="786"/>
      <c r="C312" s="786"/>
      <c r="D312" s="786"/>
      <c r="E312" s="786"/>
      <c r="F312" s="786"/>
      <c r="G312" s="786"/>
      <c r="H312" s="786"/>
      <c r="I312" s="786"/>
      <c r="J312" s="786"/>
      <c r="K312" s="786"/>
      <c r="L312" s="786"/>
      <c r="M312" s="786"/>
      <c r="N312" s="786"/>
      <c r="O312" s="786"/>
      <c r="P312" s="786"/>
      <c r="Q312" s="786"/>
      <c r="R312" s="787"/>
    </row>
    <row r="313" spans="1:22" x14ac:dyDescent="0.15">
      <c r="B313" s="779" t="s">
        <v>152</v>
      </c>
      <c r="C313" s="780"/>
      <c r="D313" s="780"/>
      <c r="E313" s="780"/>
      <c r="F313" s="780"/>
      <c r="G313" s="781"/>
    </row>
    <row r="314" spans="1:22" x14ac:dyDescent="0.15">
      <c r="B314" s="133" t="s">
        <v>138</v>
      </c>
      <c r="C314" s="134" t="s">
        <v>123</v>
      </c>
      <c r="D314" s="134" t="s">
        <v>116</v>
      </c>
      <c r="E314" s="134" t="s">
        <v>129</v>
      </c>
      <c r="F314" s="134" t="s">
        <v>118</v>
      </c>
      <c r="G314" s="135" t="s">
        <v>115</v>
      </c>
    </row>
    <row r="315" spans="1:22" x14ac:dyDescent="0.15">
      <c r="A315" s="132" t="s">
        <v>153</v>
      </c>
      <c r="B315" s="149">
        <v>42219</v>
      </c>
      <c r="C315" s="150">
        <v>480</v>
      </c>
      <c r="D315" s="150">
        <v>2.2080000000000002</v>
      </c>
      <c r="E315" s="151">
        <v>1060.08</v>
      </c>
      <c r="F315" s="151">
        <f t="shared" ref="F315:F349" si="35">G315-E315</f>
        <v>88.320000000000164</v>
      </c>
      <c r="G315" s="152">
        <v>1148.4000000000001</v>
      </c>
      <c r="H315" s="129">
        <f>G315/C315</f>
        <v>2.3925000000000001</v>
      </c>
    </row>
    <row r="316" spans="1:22" x14ac:dyDescent="0.15">
      <c r="A316" s="132" t="s">
        <v>153</v>
      </c>
      <c r="B316" s="149">
        <v>42241</v>
      </c>
      <c r="C316" s="150">
        <v>725</v>
      </c>
      <c r="D316" s="150">
        <v>2.0724999999999998</v>
      </c>
      <c r="E316" s="151">
        <v>1502.56</v>
      </c>
      <c r="F316" s="151">
        <f t="shared" si="35"/>
        <v>307.40000000000009</v>
      </c>
      <c r="G316" s="152">
        <v>1809.96</v>
      </c>
      <c r="H316" s="129">
        <f t="shared" ref="H316:H349" si="36">G316/C316</f>
        <v>2.496496551724138</v>
      </c>
    </row>
    <row r="317" spans="1:22" x14ac:dyDescent="0.15">
      <c r="A317" s="132" t="s">
        <v>153</v>
      </c>
      <c r="B317" s="149">
        <v>42247</v>
      </c>
      <c r="C317" s="150">
        <v>585</v>
      </c>
      <c r="D317" s="150">
        <v>1.9075</v>
      </c>
      <c r="E317" s="151">
        <v>1115.8900000000001</v>
      </c>
      <c r="F317" s="151">
        <f t="shared" si="35"/>
        <v>248.03999999999996</v>
      </c>
      <c r="G317" s="152">
        <v>1363.93</v>
      </c>
      <c r="H317" s="129">
        <f t="shared" si="36"/>
        <v>2.3315042735042737</v>
      </c>
    </row>
    <row r="318" spans="1:22" x14ac:dyDescent="0.15">
      <c r="A318" s="132" t="s">
        <v>153</v>
      </c>
      <c r="B318" s="149">
        <v>42251</v>
      </c>
      <c r="C318" s="150">
        <v>320</v>
      </c>
      <c r="D318" s="150">
        <v>1.9775</v>
      </c>
      <c r="E318" s="151">
        <v>632.79999999999995</v>
      </c>
      <c r="F318" s="151">
        <f t="shared" si="35"/>
        <v>76.800000000000068</v>
      </c>
      <c r="G318" s="152">
        <v>709.6</v>
      </c>
      <c r="H318" s="129">
        <f t="shared" si="36"/>
        <v>2.2175000000000002</v>
      </c>
    </row>
    <row r="319" spans="1:22" x14ac:dyDescent="0.15">
      <c r="A319" s="132" t="s">
        <v>153</v>
      </c>
      <c r="B319" s="136">
        <v>42261</v>
      </c>
      <c r="C319" s="137">
        <v>375</v>
      </c>
      <c r="D319" s="137">
        <v>1.7375</v>
      </c>
      <c r="E319" s="138">
        <v>651.55999999999995</v>
      </c>
      <c r="F319" s="138">
        <f t="shared" si="35"/>
        <v>69</v>
      </c>
      <c r="G319" s="139">
        <v>720.56</v>
      </c>
      <c r="H319" s="129">
        <f t="shared" si="36"/>
        <v>1.9214933333333333</v>
      </c>
    </row>
    <row r="320" spans="1:22" x14ac:dyDescent="0.15">
      <c r="A320" s="132" t="s">
        <v>153</v>
      </c>
      <c r="B320" s="136">
        <v>42268</v>
      </c>
      <c r="C320" s="137">
        <v>380</v>
      </c>
      <c r="D320" s="137">
        <v>1.7775000000000001</v>
      </c>
      <c r="E320" s="138">
        <v>675.45</v>
      </c>
      <c r="F320" s="138">
        <f t="shared" si="35"/>
        <v>69.919999999999959</v>
      </c>
      <c r="G320" s="139">
        <v>745.37</v>
      </c>
      <c r="H320" s="129">
        <f t="shared" si="36"/>
        <v>1.9615</v>
      </c>
    </row>
    <row r="321" spans="1:8" ht="14" thickBot="1" x14ac:dyDescent="0.2">
      <c r="A321" s="155" t="s">
        <v>153</v>
      </c>
      <c r="B321" s="156">
        <v>42275</v>
      </c>
      <c r="C321" s="157">
        <v>382</v>
      </c>
      <c r="D321" s="157">
        <v>1.8045</v>
      </c>
      <c r="E321" s="158">
        <v>689.32</v>
      </c>
      <c r="F321" s="158">
        <f t="shared" si="35"/>
        <v>70.289999999999964</v>
      </c>
      <c r="G321" s="159">
        <v>759.61</v>
      </c>
      <c r="H321" s="160">
        <f t="shared" si="36"/>
        <v>1.9885078534031413</v>
      </c>
    </row>
    <row r="322" spans="1:8" x14ac:dyDescent="0.15">
      <c r="A322" s="132" t="s">
        <v>28</v>
      </c>
      <c r="B322" s="136">
        <v>42289</v>
      </c>
      <c r="C322" s="137">
        <v>700</v>
      </c>
      <c r="D322" s="137">
        <v>2.0659999999999998</v>
      </c>
      <c r="E322" s="138">
        <v>1446.2</v>
      </c>
      <c r="F322" s="151">
        <f t="shared" si="35"/>
        <v>170.73000000000002</v>
      </c>
      <c r="G322" s="139">
        <v>1616.93</v>
      </c>
      <c r="H322" s="129">
        <f t="shared" si="36"/>
        <v>2.3099000000000003</v>
      </c>
    </row>
    <row r="323" spans="1:8" x14ac:dyDescent="0.15">
      <c r="A323" s="132" t="s">
        <v>28</v>
      </c>
      <c r="B323" s="136">
        <v>42300</v>
      </c>
      <c r="C323" s="137">
        <v>600</v>
      </c>
      <c r="D323" s="137">
        <v>2.0659999999999998</v>
      </c>
      <c r="E323" s="138">
        <v>1239.5999999999999</v>
      </c>
      <c r="F323" s="151">
        <f t="shared" si="35"/>
        <v>146.34000000000015</v>
      </c>
      <c r="G323" s="139">
        <v>1385.94</v>
      </c>
      <c r="H323" s="129">
        <f t="shared" si="36"/>
        <v>2.3099000000000003</v>
      </c>
    </row>
    <row r="324" spans="1:8" x14ac:dyDescent="0.15">
      <c r="A324" s="132" t="s">
        <v>28</v>
      </c>
      <c r="B324" s="136">
        <v>42317</v>
      </c>
      <c r="C324" s="137">
        <v>598.20000000000005</v>
      </c>
      <c r="D324" s="137">
        <v>2.0659999999999998</v>
      </c>
      <c r="E324" s="138">
        <v>1235.8800000000001</v>
      </c>
      <c r="F324" s="151">
        <f t="shared" si="35"/>
        <v>145.89999999999986</v>
      </c>
      <c r="G324" s="139">
        <v>1381.78</v>
      </c>
      <c r="H324" s="129">
        <f t="shared" si="36"/>
        <v>2.3098963557338679</v>
      </c>
    </row>
    <row r="325" spans="1:8" x14ac:dyDescent="0.15">
      <c r="A325" s="132" t="s">
        <v>28</v>
      </c>
      <c r="B325" s="136">
        <v>42319</v>
      </c>
      <c r="C325" s="137">
        <v>300</v>
      </c>
      <c r="D325" s="137">
        <v>2.0659999999999998</v>
      </c>
      <c r="E325" s="138">
        <v>619.79999999999995</v>
      </c>
      <c r="F325" s="151">
        <f t="shared" si="35"/>
        <v>73.170000000000073</v>
      </c>
      <c r="G325" s="139">
        <v>692.97</v>
      </c>
      <c r="H325" s="129">
        <f t="shared" si="36"/>
        <v>2.3099000000000003</v>
      </c>
    </row>
    <row r="326" spans="1:8" x14ac:dyDescent="0.15">
      <c r="A326" s="132" t="s">
        <v>28</v>
      </c>
      <c r="B326" s="136">
        <v>42328</v>
      </c>
      <c r="C326" s="137">
        <v>597.1</v>
      </c>
      <c r="D326" s="137">
        <v>2.0659999999999998</v>
      </c>
      <c r="E326" s="138">
        <v>1233.6099999999999</v>
      </c>
      <c r="F326" s="151">
        <f t="shared" si="35"/>
        <v>145.63000000000011</v>
      </c>
      <c r="G326" s="139">
        <v>1379.24</v>
      </c>
      <c r="H326" s="129">
        <f t="shared" si="36"/>
        <v>2.3098978395578631</v>
      </c>
    </row>
    <row r="327" spans="1:8" x14ac:dyDescent="0.15">
      <c r="A327" s="132" t="s">
        <v>28</v>
      </c>
      <c r="B327" s="136">
        <v>42342</v>
      </c>
      <c r="C327" s="137">
        <v>594</v>
      </c>
      <c r="D327" s="137">
        <v>2.0659999999999998</v>
      </c>
      <c r="E327" s="138">
        <v>1227.2</v>
      </c>
      <c r="F327" s="151">
        <f t="shared" si="35"/>
        <v>144.87999999999988</v>
      </c>
      <c r="G327" s="139">
        <v>1372.08</v>
      </c>
      <c r="H327" s="129">
        <f t="shared" si="36"/>
        <v>2.3098989898989899</v>
      </c>
    </row>
    <row r="328" spans="1:8" x14ac:dyDescent="0.15">
      <c r="A328" s="132" t="s">
        <v>28</v>
      </c>
      <c r="B328" s="136">
        <v>42356</v>
      </c>
      <c r="C328" s="137">
        <v>592.20000000000005</v>
      </c>
      <c r="D328" s="137">
        <v>2.0659999999999998</v>
      </c>
      <c r="E328" s="138">
        <v>1227.2</v>
      </c>
      <c r="F328" s="151">
        <f t="shared" si="35"/>
        <v>140.72000000000003</v>
      </c>
      <c r="G328" s="139">
        <v>1367.92</v>
      </c>
      <c r="H328" s="129">
        <f t="shared" si="36"/>
        <v>2.3098953056399862</v>
      </c>
    </row>
    <row r="329" spans="1:8" x14ac:dyDescent="0.15">
      <c r="A329" s="132" t="s">
        <v>28</v>
      </c>
      <c r="B329" s="136">
        <v>42373</v>
      </c>
      <c r="C329" s="137">
        <v>600</v>
      </c>
      <c r="D329" s="137">
        <v>2.0659999999999998</v>
      </c>
      <c r="E329" s="138">
        <v>1239.5999999999999</v>
      </c>
      <c r="F329" s="151">
        <f t="shared" si="35"/>
        <v>146.34000000000015</v>
      </c>
      <c r="G329" s="139">
        <v>1385.94</v>
      </c>
      <c r="H329" s="129">
        <f t="shared" si="36"/>
        <v>2.3099000000000003</v>
      </c>
    </row>
    <row r="330" spans="1:8" x14ac:dyDescent="0.15">
      <c r="A330" s="132" t="s">
        <v>28</v>
      </c>
      <c r="B330" s="136">
        <v>42386</v>
      </c>
      <c r="C330" s="137">
        <v>602.20000000000005</v>
      </c>
      <c r="D330" s="137">
        <v>2.0659999999999998</v>
      </c>
      <c r="E330" s="138">
        <v>1244.1500000000001</v>
      </c>
      <c r="F330" s="151">
        <f t="shared" si="35"/>
        <v>146.87999999999988</v>
      </c>
      <c r="G330" s="139">
        <v>1391.03</v>
      </c>
      <c r="H330" s="129">
        <f t="shared" si="36"/>
        <v>2.3099136499501824</v>
      </c>
    </row>
    <row r="331" spans="1:8" x14ac:dyDescent="0.15">
      <c r="A331" s="132" t="s">
        <v>28</v>
      </c>
      <c r="B331" s="136">
        <v>42397</v>
      </c>
      <c r="C331" s="137">
        <v>600</v>
      </c>
      <c r="D331" s="137">
        <v>2.0659999999999998</v>
      </c>
      <c r="E331" s="138">
        <f t="shared" ref="E331:E349" si="37">C331*D331</f>
        <v>1239.5999999999999</v>
      </c>
      <c r="F331" s="151">
        <f t="shared" si="35"/>
        <v>146.34000000000015</v>
      </c>
      <c r="G331" s="139">
        <v>1385.94</v>
      </c>
      <c r="H331" s="129">
        <f t="shared" si="36"/>
        <v>2.3099000000000003</v>
      </c>
    </row>
    <row r="332" spans="1:8" x14ac:dyDescent="0.15">
      <c r="A332" s="132" t="s">
        <v>28</v>
      </c>
      <c r="B332" s="136">
        <v>42411</v>
      </c>
      <c r="C332" s="137">
        <v>828.4</v>
      </c>
      <c r="D332" s="137">
        <v>2.0659999999999998</v>
      </c>
      <c r="E332" s="138">
        <f t="shared" si="37"/>
        <v>1711.4743999999998</v>
      </c>
      <c r="F332" s="151">
        <f t="shared" si="35"/>
        <v>202.05560000000014</v>
      </c>
      <c r="G332" s="139">
        <v>1913.53</v>
      </c>
      <c r="H332" s="129">
        <f t="shared" si="36"/>
        <v>2.3099106711733461</v>
      </c>
    </row>
    <row r="333" spans="1:8" x14ac:dyDescent="0.15">
      <c r="A333" s="132" t="s">
        <v>28</v>
      </c>
      <c r="B333" s="136">
        <v>42420</v>
      </c>
      <c r="C333" s="137">
        <v>600</v>
      </c>
      <c r="D333" s="137">
        <v>2.0659999999999998</v>
      </c>
      <c r="E333" s="138">
        <f t="shared" si="37"/>
        <v>1239.5999999999999</v>
      </c>
      <c r="F333" s="151">
        <f t="shared" si="35"/>
        <v>146.34000000000015</v>
      </c>
      <c r="G333" s="139">
        <v>1385.94</v>
      </c>
      <c r="H333" s="129">
        <f t="shared" si="36"/>
        <v>2.3099000000000003</v>
      </c>
    </row>
    <row r="334" spans="1:8" x14ac:dyDescent="0.15">
      <c r="A334" s="132" t="s">
        <v>28</v>
      </c>
      <c r="B334" s="136">
        <v>42426</v>
      </c>
      <c r="C334" s="137">
        <v>450</v>
      </c>
      <c r="D334" s="137">
        <v>2.0659999999999998</v>
      </c>
      <c r="E334" s="138">
        <f t="shared" si="37"/>
        <v>929.69999999999993</v>
      </c>
      <c r="F334" s="151">
        <f t="shared" si="35"/>
        <v>109.7600000000001</v>
      </c>
      <c r="G334" s="139">
        <v>1039.46</v>
      </c>
      <c r="H334" s="129">
        <f t="shared" si="36"/>
        <v>2.309911111111111</v>
      </c>
    </row>
    <row r="335" spans="1:8" x14ac:dyDescent="0.15">
      <c r="A335" s="132" t="s">
        <v>28</v>
      </c>
      <c r="B335" s="136">
        <v>42436</v>
      </c>
      <c r="C335" s="137">
        <v>400</v>
      </c>
      <c r="D335" s="137">
        <v>2.0659999999999998</v>
      </c>
      <c r="E335" s="138">
        <f t="shared" si="37"/>
        <v>826.4</v>
      </c>
      <c r="F335" s="151">
        <f t="shared" si="35"/>
        <v>97.560000000000059</v>
      </c>
      <c r="G335" s="139">
        <v>923.96</v>
      </c>
      <c r="H335" s="129">
        <f t="shared" si="36"/>
        <v>2.3099000000000003</v>
      </c>
    </row>
    <row r="336" spans="1:8" x14ac:dyDescent="0.15">
      <c r="A336" s="132" t="s">
        <v>28</v>
      </c>
      <c r="B336" s="136">
        <v>42440</v>
      </c>
      <c r="C336" s="137">
        <v>314.3</v>
      </c>
      <c r="D336" s="137">
        <v>2.0659999999999998</v>
      </c>
      <c r="E336" s="138">
        <f t="shared" si="37"/>
        <v>649.34379999999999</v>
      </c>
      <c r="F336" s="151">
        <f t="shared" si="35"/>
        <v>76.646200000000022</v>
      </c>
      <c r="G336" s="139">
        <v>725.99</v>
      </c>
      <c r="H336" s="129">
        <f t="shared" si="36"/>
        <v>2.3098631880369074</v>
      </c>
    </row>
    <row r="337" spans="1:8" x14ac:dyDescent="0.15">
      <c r="A337" s="132" t="s">
        <v>28</v>
      </c>
      <c r="B337" s="136">
        <v>42448</v>
      </c>
      <c r="C337" s="137">
        <v>344.1</v>
      </c>
      <c r="D337" s="137">
        <v>2.0659999999999998</v>
      </c>
      <c r="E337" s="138">
        <f t="shared" si="37"/>
        <v>710.91060000000004</v>
      </c>
      <c r="F337" s="151">
        <f t="shared" si="35"/>
        <v>83.919399999999996</v>
      </c>
      <c r="G337" s="139">
        <v>794.83</v>
      </c>
      <c r="H337" s="129">
        <f t="shared" si="36"/>
        <v>2.309880848590526</v>
      </c>
    </row>
    <row r="338" spans="1:8" x14ac:dyDescent="0.15">
      <c r="A338" s="132" t="s">
        <v>28</v>
      </c>
      <c r="B338" s="136">
        <v>42457</v>
      </c>
      <c r="C338" s="137">
        <v>300</v>
      </c>
      <c r="D338" s="137">
        <v>2.0659999999999998</v>
      </c>
      <c r="E338" s="138">
        <f t="shared" si="37"/>
        <v>619.79999999999995</v>
      </c>
      <c r="F338" s="151">
        <f t="shared" si="35"/>
        <v>73.170000000000073</v>
      </c>
      <c r="G338" s="139">
        <v>692.97</v>
      </c>
      <c r="H338" s="129">
        <f t="shared" si="36"/>
        <v>2.3099000000000003</v>
      </c>
    </row>
    <row r="339" spans="1:8" x14ac:dyDescent="0.15">
      <c r="A339" s="132" t="s">
        <v>28</v>
      </c>
      <c r="B339" s="136">
        <v>42465</v>
      </c>
      <c r="C339" s="137">
        <v>589.6</v>
      </c>
      <c r="D339" s="137">
        <v>2.0659999999999998</v>
      </c>
      <c r="E339" s="138">
        <f t="shared" si="37"/>
        <v>1218.1135999999999</v>
      </c>
      <c r="F339" s="151">
        <f t="shared" si="35"/>
        <v>143.79640000000018</v>
      </c>
      <c r="G339" s="139">
        <v>1361.91</v>
      </c>
      <c r="H339" s="129">
        <f t="shared" si="36"/>
        <v>2.3098880597014926</v>
      </c>
    </row>
    <row r="340" spans="1:8" x14ac:dyDescent="0.15">
      <c r="A340" s="132" t="s">
        <v>28</v>
      </c>
      <c r="B340" s="136">
        <v>42471</v>
      </c>
      <c r="C340" s="137">
        <v>204.2</v>
      </c>
      <c r="D340" s="137">
        <v>2.0659999999999998</v>
      </c>
      <c r="E340" s="138">
        <f t="shared" si="37"/>
        <v>421.87719999999996</v>
      </c>
      <c r="F340" s="151">
        <f t="shared" si="35"/>
        <v>49.802800000000047</v>
      </c>
      <c r="G340" s="139">
        <v>471.68</v>
      </c>
      <c r="H340" s="129">
        <f t="shared" si="36"/>
        <v>2.3098922624877574</v>
      </c>
    </row>
    <row r="341" spans="1:8" x14ac:dyDescent="0.15">
      <c r="A341" s="132" t="s">
        <v>28</v>
      </c>
      <c r="B341" s="136">
        <v>42475</v>
      </c>
      <c r="C341" s="137">
        <v>175</v>
      </c>
      <c r="D341" s="137">
        <v>2.0659999999999998</v>
      </c>
      <c r="E341" s="138">
        <f t="shared" si="37"/>
        <v>361.54999999999995</v>
      </c>
      <c r="F341" s="151">
        <f t="shared" si="35"/>
        <v>42.690000000000055</v>
      </c>
      <c r="G341" s="139">
        <v>404.24</v>
      </c>
      <c r="H341" s="129">
        <f t="shared" si="36"/>
        <v>2.3099428571428571</v>
      </c>
    </row>
    <row r="342" spans="1:8" x14ac:dyDescent="0.15">
      <c r="A342" s="132" t="s">
        <v>28</v>
      </c>
      <c r="B342" s="136">
        <v>42485</v>
      </c>
      <c r="C342" s="137">
        <v>406.9</v>
      </c>
      <c r="D342" s="137">
        <v>2.0659999999999998</v>
      </c>
      <c r="E342" s="138">
        <f t="shared" si="37"/>
        <v>840.65539999999987</v>
      </c>
      <c r="F342" s="151">
        <f t="shared" si="35"/>
        <v>99.254600000000096</v>
      </c>
      <c r="G342" s="139">
        <v>939.91</v>
      </c>
      <c r="H342" s="129">
        <f t="shared" si="36"/>
        <v>2.3099287294175475</v>
      </c>
    </row>
    <row r="343" spans="1:8" x14ac:dyDescent="0.15">
      <c r="A343" s="132" t="s">
        <v>28</v>
      </c>
      <c r="B343" s="136">
        <v>42492</v>
      </c>
      <c r="C343" s="137">
        <v>200</v>
      </c>
      <c r="D343" s="137">
        <v>2.0659999999999998</v>
      </c>
      <c r="E343" s="138">
        <f t="shared" si="37"/>
        <v>413.2</v>
      </c>
      <c r="F343" s="151">
        <f t="shared" si="35"/>
        <v>48.78000000000003</v>
      </c>
      <c r="G343" s="139">
        <v>461.98</v>
      </c>
      <c r="H343" s="129">
        <f t="shared" si="36"/>
        <v>2.3099000000000003</v>
      </c>
    </row>
    <row r="344" spans="1:8" x14ac:dyDescent="0.15">
      <c r="A344" s="132" t="s">
        <v>28</v>
      </c>
      <c r="B344" s="136">
        <v>42500</v>
      </c>
      <c r="C344" s="137">
        <v>507.1</v>
      </c>
      <c r="D344" s="137">
        <v>2.0659999999999998</v>
      </c>
      <c r="E344" s="138">
        <f t="shared" si="37"/>
        <v>1047.6686</v>
      </c>
      <c r="F344" s="151">
        <f t="shared" si="35"/>
        <v>123.68139999999994</v>
      </c>
      <c r="G344" s="139">
        <v>1171.3499999999999</v>
      </c>
      <c r="H344" s="129">
        <f t="shared" si="36"/>
        <v>2.3098994281206862</v>
      </c>
    </row>
    <row r="345" spans="1:8" x14ac:dyDescent="0.15">
      <c r="A345" s="132" t="s">
        <v>28</v>
      </c>
      <c r="B345" s="136">
        <v>42513</v>
      </c>
      <c r="C345" s="137">
        <v>163.30000000000001</v>
      </c>
      <c r="D345" s="137">
        <v>2.0659999999999998</v>
      </c>
      <c r="E345" s="138">
        <f t="shared" si="37"/>
        <v>337.37779999999998</v>
      </c>
      <c r="F345" s="151">
        <f t="shared" si="35"/>
        <v>39.822200000000009</v>
      </c>
      <c r="G345" s="139">
        <v>377.2</v>
      </c>
      <c r="H345" s="129">
        <f t="shared" si="36"/>
        <v>2.3098591549295771</v>
      </c>
    </row>
    <row r="346" spans="1:8" x14ac:dyDescent="0.15">
      <c r="A346" s="132" t="s">
        <v>28</v>
      </c>
      <c r="B346" s="136">
        <v>42522</v>
      </c>
      <c r="C346" s="137">
        <v>616.5</v>
      </c>
      <c r="D346" s="137">
        <v>2.0659999999999998</v>
      </c>
      <c r="E346" s="138">
        <f t="shared" si="37"/>
        <v>1273.6889999999999</v>
      </c>
      <c r="F346" s="151">
        <f t="shared" si="35"/>
        <v>150.3610000000001</v>
      </c>
      <c r="G346" s="139">
        <v>1424.05</v>
      </c>
      <c r="H346" s="129">
        <f t="shared" si="36"/>
        <v>2.3098945660989454</v>
      </c>
    </row>
    <row r="347" spans="1:8" x14ac:dyDescent="0.15">
      <c r="A347" s="132" t="s">
        <v>28</v>
      </c>
      <c r="B347" s="136">
        <v>42524</v>
      </c>
      <c r="C347" s="137">
        <v>300</v>
      </c>
      <c r="D347" s="137">
        <v>2.0659999999999998</v>
      </c>
      <c r="E347" s="138">
        <f t="shared" si="37"/>
        <v>619.79999999999995</v>
      </c>
      <c r="F347" s="151">
        <f t="shared" si="35"/>
        <v>73.170000000000073</v>
      </c>
      <c r="G347" s="139">
        <v>692.97</v>
      </c>
      <c r="H347" s="129">
        <f t="shared" si="36"/>
        <v>2.3099000000000003</v>
      </c>
    </row>
    <row r="348" spans="1:8" x14ac:dyDescent="0.15">
      <c r="A348" s="132" t="s">
        <v>28</v>
      </c>
      <c r="B348" s="136">
        <v>42530</v>
      </c>
      <c r="C348" s="137">
        <v>144</v>
      </c>
      <c r="D348" s="137">
        <v>2.0659999999999998</v>
      </c>
      <c r="E348" s="138">
        <f t="shared" si="37"/>
        <v>297.50399999999996</v>
      </c>
      <c r="F348" s="151">
        <f t="shared" si="35"/>
        <v>35.116000000000042</v>
      </c>
      <c r="G348" s="139">
        <v>332.62</v>
      </c>
      <c r="H348" s="129">
        <f t="shared" si="36"/>
        <v>2.3098611111111111</v>
      </c>
    </row>
    <row r="349" spans="1:8" x14ac:dyDescent="0.15">
      <c r="A349" s="132" t="s">
        <v>28</v>
      </c>
      <c r="B349" s="136">
        <v>42541</v>
      </c>
      <c r="C349" s="137">
        <v>599.5</v>
      </c>
      <c r="D349" s="137">
        <v>2.0659999999999998</v>
      </c>
      <c r="E349" s="138">
        <f t="shared" si="37"/>
        <v>1238.567</v>
      </c>
      <c r="F349" s="151">
        <f t="shared" si="35"/>
        <v>146.22299999999996</v>
      </c>
      <c r="G349" s="139">
        <v>1384.79</v>
      </c>
      <c r="H349" s="129">
        <f t="shared" si="36"/>
        <v>2.3099082568807341</v>
      </c>
    </row>
    <row r="350" spans="1:8" x14ac:dyDescent="0.15">
      <c r="B350" s="136"/>
      <c r="C350" s="137"/>
      <c r="D350" s="137"/>
      <c r="E350" s="138"/>
      <c r="F350" s="138"/>
      <c r="G350" s="139"/>
      <c r="H350" s="129"/>
    </row>
    <row r="351" spans="1:8" x14ac:dyDescent="0.15">
      <c r="B351" s="140"/>
      <c r="C351" s="137"/>
      <c r="D351" s="137"/>
      <c r="E351" s="138"/>
      <c r="F351" s="138"/>
      <c r="G351" s="139"/>
      <c r="H351" s="129"/>
    </row>
    <row r="352" spans="1:8" ht="14" thickBot="1" x14ac:dyDescent="0.2">
      <c r="B352" s="141" t="s">
        <v>146</v>
      </c>
      <c r="C352" s="142">
        <f>SUM(C315:C351)</f>
        <v>16173.6</v>
      </c>
      <c r="D352" s="143">
        <f>AVERAGE(D315:D351)</f>
        <v>2.0380857142857156</v>
      </c>
      <c r="E352" s="144">
        <f>SUM(E316:E351)</f>
        <v>31977.651399999992</v>
      </c>
      <c r="F352" s="144">
        <f>SUM(F316:F351)</f>
        <v>3990.5286000000015</v>
      </c>
      <c r="G352" s="145">
        <f>SUM(G315:G351)</f>
        <v>37116.58</v>
      </c>
    </row>
    <row r="353" spans="1:17" x14ac:dyDescent="0.15">
      <c r="G353" s="119">
        <f>(G352/C352)</f>
        <v>2.2948867289904538</v>
      </c>
    </row>
    <row r="354" spans="1:17" ht="14" thickBot="1" x14ac:dyDescent="0.2"/>
    <row r="355" spans="1:17" x14ac:dyDescent="0.15">
      <c r="B355" s="782" t="s">
        <v>154</v>
      </c>
      <c r="C355" s="783"/>
      <c r="D355" s="783"/>
      <c r="E355" s="783"/>
      <c r="F355" s="783"/>
      <c r="G355" s="784"/>
      <c r="I355" s="782" t="s">
        <v>150</v>
      </c>
      <c r="J355" s="783"/>
      <c r="K355" s="783"/>
      <c r="L355" s="783"/>
      <c r="M355" s="783"/>
      <c r="N355" s="783"/>
      <c r="O355" s="783"/>
      <c r="P355" s="783"/>
      <c r="Q355" s="784"/>
    </row>
    <row r="356" spans="1:17" x14ac:dyDescent="0.15">
      <c r="B356" s="133" t="s">
        <v>138</v>
      </c>
      <c r="C356" s="134" t="s">
        <v>123</v>
      </c>
      <c r="D356" s="134" t="s">
        <v>116</v>
      </c>
      <c r="E356" s="134" t="s">
        <v>129</v>
      </c>
      <c r="F356" s="134" t="s">
        <v>118</v>
      </c>
      <c r="G356" s="135" t="s">
        <v>115</v>
      </c>
      <c r="I356" s="133" t="s">
        <v>138</v>
      </c>
      <c r="J356" s="134" t="s">
        <v>123</v>
      </c>
      <c r="K356" s="134" t="s">
        <v>116</v>
      </c>
      <c r="L356" s="134" t="s">
        <v>129</v>
      </c>
      <c r="M356" s="134" t="s">
        <v>143</v>
      </c>
      <c r="N356" s="134" t="s">
        <v>144</v>
      </c>
      <c r="O356" s="134" t="s">
        <v>118</v>
      </c>
      <c r="P356" s="134" t="s">
        <v>145</v>
      </c>
      <c r="Q356" s="135" t="s">
        <v>115</v>
      </c>
    </row>
    <row r="357" spans="1:17" x14ac:dyDescent="0.15">
      <c r="A357" s="132" t="s">
        <v>112</v>
      </c>
      <c r="B357" s="149">
        <v>42219</v>
      </c>
      <c r="C357" s="150">
        <v>1000</v>
      </c>
      <c r="D357" s="150">
        <v>2.2717000000000001</v>
      </c>
      <c r="E357" s="153">
        <v>2271.6999999999998</v>
      </c>
      <c r="F357" s="151">
        <f t="shared" ref="F357:F364" si="38">G357-E357</f>
        <v>245.90000000000009</v>
      </c>
      <c r="G357" s="154">
        <v>2517.6</v>
      </c>
      <c r="H357" s="106">
        <f>G357/C357</f>
        <v>2.5175999999999998</v>
      </c>
      <c r="I357" s="149">
        <v>42311</v>
      </c>
      <c r="J357" s="150">
        <f>98.2+60.7+69.2+64.4+44.2+33.2+150.7</f>
        <v>520.59999999999991</v>
      </c>
      <c r="K357" s="150">
        <v>2.0990000000000002</v>
      </c>
      <c r="L357" s="151">
        <f>J357*K357</f>
        <v>1092.7393999999999</v>
      </c>
      <c r="M357" s="151">
        <f>9+9+9+9+9+9+9</f>
        <v>63</v>
      </c>
      <c r="N357" s="151">
        <f>75+75+75+75+75+75+75</f>
        <v>525</v>
      </c>
      <c r="O357" s="151">
        <f>Q357-SUM(L357:N357,P357)</f>
        <v>1.0600000000067666E-2</v>
      </c>
      <c r="P357" s="151"/>
      <c r="Q357" s="152">
        <v>1680.75</v>
      </c>
    </row>
    <row r="358" spans="1:17" x14ac:dyDescent="0.15">
      <c r="A358" s="132" t="s">
        <v>112</v>
      </c>
      <c r="B358" s="149">
        <v>42255</v>
      </c>
      <c r="C358" s="150">
        <v>1250</v>
      </c>
      <c r="D358" s="150">
        <v>2.2482000000000002</v>
      </c>
      <c r="E358" s="153">
        <v>2810.25</v>
      </c>
      <c r="F358" s="151">
        <f t="shared" si="38"/>
        <v>607.38000000000011</v>
      </c>
      <c r="G358" s="154">
        <v>3417.63</v>
      </c>
      <c r="H358" s="106">
        <f t="shared" ref="H358:H362" si="39">G358/C358</f>
        <v>2.7341039999999999</v>
      </c>
      <c r="I358" s="136"/>
      <c r="J358" s="137"/>
      <c r="K358" s="137"/>
      <c r="L358" s="138">
        <f>J358*K358</f>
        <v>0</v>
      </c>
      <c r="M358" s="138"/>
      <c r="N358" s="138"/>
      <c r="O358" s="138">
        <f>Q358-SUM(L358:N358,P358)</f>
        <v>0</v>
      </c>
      <c r="P358" s="138"/>
      <c r="Q358" s="139"/>
    </row>
    <row r="359" spans="1:17" s="120" customFormat="1" ht="14" thickBot="1" x14ac:dyDescent="0.2">
      <c r="A359" s="155" t="s">
        <v>112</v>
      </c>
      <c r="B359" s="161">
        <v>42269</v>
      </c>
      <c r="C359" s="162">
        <v>0</v>
      </c>
      <c r="D359" s="162">
        <v>0</v>
      </c>
      <c r="E359" s="163">
        <v>0</v>
      </c>
      <c r="F359" s="164">
        <f t="shared" si="38"/>
        <v>240</v>
      </c>
      <c r="G359" s="165">
        <v>240</v>
      </c>
      <c r="H359" s="106"/>
      <c r="I359" s="136"/>
      <c r="J359" s="137"/>
      <c r="K359" s="137"/>
      <c r="L359" s="138"/>
      <c r="M359" s="138"/>
      <c r="N359" s="138"/>
      <c r="O359" s="138"/>
      <c r="P359" s="138"/>
      <c r="Q359" s="139"/>
    </row>
    <row r="360" spans="1:17" x14ac:dyDescent="0.15">
      <c r="A360" s="132" t="s">
        <v>28</v>
      </c>
      <c r="B360" s="149">
        <v>42324</v>
      </c>
      <c r="C360" s="150">
        <f>1615+85</f>
        <v>1700</v>
      </c>
      <c r="D360" s="150">
        <v>2.2938000000000001</v>
      </c>
      <c r="E360" s="153">
        <f>3704.49+194.97</f>
        <v>3899.4599999999996</v>
      </c>
      <c r="F360" s="151">
        <f t="shared" si="38"/>
        <v>828.07000000000016</v>
      </c>
      <c r="G360" s="154">
        <v>4727.53</v>
      </c>
      <c r="H360" s="106">
        <f t="shared" si="39"/>
        <v>2.7808999999999999</v>
      </c>
      <c r="I360" s="136"/>
      <c r="J360" s="137"/>
      <c r="K360" s="137"/>
      <c r="L360" s="138"/>
      <c r="M360" s="138"/>
      <c r="N360" s="138"/>
      <c r="O360" s="138"/>
      <c r="P360" s="138"/>
      <c r="Q360" s="139"/>
    </row>
    <row r="361" spans="1:17" x14ac:dyDescent="0.15">
      <c r="A361" s="132" t="s">
        <v>28</v>
      </c>
      <c r="B361" s="149">
        <v>42405</v>
      </c>
      <c r="C361" s="150">
        <v>1501</v>
      </c>
      <c r="D361" s="150">
        <v>2.2938000000000001</v>
      </c>
      <c r="E361" s="153">
        <v>3443</v>
      </c>
      <c r="F361" s="151">
        <f t="shared" si="38"/>
        <v>731.14000000000033</v>
      </c>
      <c r="G361" s="154">
        <v>4174.1400000000003</v>
      </c>
      <c r="H361" s="106">
        <f t="shared" si="39"/>
        <v>2.7809060626249171</v>
      </c>
      <c r="I361" s="136"/>
      <c r="J361" s="137"/>
      <c r="K361" s="137"/>
      <c r="L361" s="138"/>
      <c r="M361" s="138"/>
      <c r="N361" s="138"/>
      <c r="O361" s="138"/>
      <c r="P361" s="138"/>
      <c r="Q361" s="139"/>
    </row>
    <row r="362" spans="1:17" x14ac:dyDescent="0.15">
      <c r="A362" s="132" t="s">
        <v>28</v>
      </c>
      <c r="B362" s="149">
        <v>42495</v>
      </c>
      <c r="C362" s="150">
        <f>1568+82</f>
        <v>1650</v>
      </c>
      <c r="D362" s="150">
        <v>2.2938000000000001</v>
      </c>
      <c r="E362" s="153">
        <f>3596.68+188.09</f>
        <v>3784.77</v>
      </c>
      <c r="F362" s="151">
        <f t="shared" si="38"/>
        <v>803.70999999999958</v>
      </c>
      <c r="G362" s="154">
        <v>4588.4799999999996</v>
      </c>
      <c r="H362" s="106">
        <f t="shared" si="39"/>
        <v>2.7808969696969696</v>
      </c>
      <c r="I362" s="136"/>
      <c r="J362" s="137"/>
      <c r="K362" s="137"/>
      <c r="L362" s="138"/>
      <c r="M362" s="138"/>
      <c r="N362" s="138"/>
      <c r="O362" s="138"/>
      <c r="P362" s="138"/>
      <c r="Q362" s="139"/>
    </row>
    <row r="363" spans="1:17" x14ac:dyDescent="0.15">
      <c r="A363" s="132" t="s">
        <v>28</v>
      </c>
      <c r="B363" s="149">
        <v>42541</v>
      </c>
      <c r="C363" s="150">
        <v>1130</v>
      </c>
      <c r="D363" s="150">
        <v>2.2938000000000001</v>
      </c>
      <c r="E363" s="153">
        <v>2591.9899999999998</v>
      </c>
      <c r="F363" s="151">
        <f t="shared" si="38"/>
        <v>550.41000000000031</v>
      </c>
      <c r="G363" s="154">
        <v>3142.4</v>
      </c>
      <c r="I363" s="136"/>
      <c r="J363" s="137"/>
      <c r="K363" s="137"/>
      <c r="L363" s="138"/>
      <c r="M363" s="138"/>
      <c r="N363" s="138"/>
      <c r="O363" s="138"/>
      <c r="P363" s="138"/>
      <c r="Q363" s="139"/>
    </row>
    <row r="364" spans="1:17" x14ac:dyDescent="0.15">
      <c r="A364" s="132"/>
      <c r="B364" s="136"/>
      <c r="C364" s="137"/>
      <c r="D364" s="137"/>
      <c r="E364" s="146"/>
      <c r="F364" s="138">
        <f t="shared" si="38"/>
        <v>0</v>
      </c>
      <c r="G364" s="147"/>
      <c r="I364" s="136"/>
      <c r="J364" s="137"/>
      <c r="K364" s="137"/>
      <c r="L364" s="138"/>
      <c r="M364" s="138"/>
      <c r="N364" s="138"/>
      <c r="O364" s="138"/>
      <c r="P364" s="138"/>
      <c r="Q364" s="139"/>
    </row>
    <row r="365" spans="1:17" x14ac:dyDescent="0.15">
      <c r="A365" s="132"/>
      <c r="B365" s="136"/>
      <c r="C365" s="137"/>
      <c r="D365" s="137"/>
      <c r="E365" s="146"/>
      <c r="F365" s="138"/>
      <c r="G365" s="147"/>
      <c r="I365" s="140"/>
      <c r="J365" s="137"/>
      <c r="K365" s="137"/>
      <c r="L365" s="138"/>
      <c r="M365" s="138"/>
      <c r="N365" s="138"/>
      <c r="O365" s="138"/>
      <c r="P365" s="138"/>
      <c r="Q365" s="139"/>
    </row>
    <row r="366" spans="1:17" ht="14" thickBot="1" x14ac:dyDescent="0.2">
      <c r="B366" s="141" t="s">
        <v>146</v>
      </c>
      <c r="C366" s="142">
        <f>SUM(C357:C365)</f>
        <v>8231</v>
      </c>
      <c r="D366" s="142"/>
      <c r="E366" s="144">
        <f>SUM(E357:E365)</f>
        <v>18801.169999999998</v>
      </c>
      <c r="F366" s="144">
        <f t="shared" ref="F366:G366" si="40">SUM(F357:F365)</f>
        <v>4006.6100000000006</v>
      </c>
      <c r="G366" s="145">
        <f t="shared" si="40"/>
        <v>22807.78</v>
      </c>
      <c r="I366" s="141" t="s">
        <v>146</v>
      </c>
      <c r="J366" s="142">
        <f>SUM(J357:J365)</f>
        <v>520.59999999999991</v>
      </c>
      <c r="K366" s="142">
        <f>AVERAGE(K357:K365)</f>
        <v>2.0990000000000002</v>
      </c>
      <c r="L366" s="144">
        <f t="shared" ref="L366:Q366" si="41">SUM(L357:L365)</f>
        <v>1092.7393999999999</v>
      </c>
      <c r="M366" s="144">
        <f t="shared" si="41"/>
        <v>63</v>
      </c>
      <c r="N366" s="144">
        <f t="shared" si="41"/>
        <v>525</v>
      </c>
      <c r="O366" s="144">
        <f t="shared" si="41"/>
        <v>1.0600000000067666E-2</v>
      </c>
      <c r="P366" s="144">
        <f t="shared" si="41"/>
        <v>0</v>
      </c>
      <c r="Q366" s="145">
        <f t="shared" si="41"/>
        <v>1680.75</v>
      </c>
    </row>
    <row r="367" spans="1:17" x14ac:dyDescent="0.15">
      <c r="B367" s="105"/>
      <c r="G367" s="119">
        <f>(G366/C366)</f>
        <v>2.7709610010934274</v>
      </c>
      <c r="Q367" s="119">
        <f>(Q366/J366)</f>
        <v>3.2284863618901274</v>
      </c>
    </row>
    <row r="368" spans="1:17" ht="14" thickBot="1" x14ac:dyDescent="0.2">
      <c r="A368" s="105"/>
      <c r="D368" s="148"/>
      <c r="E368" s="106"/>
      <c r="F368" s="148"/>
    </row>
    <row r="369" spans="1:18" ht="24" thickBot="1" x14ac:dyDescent="0.3">
      <c r="A369" s="785" t="s">
        <v>155</v>
      </c>
      <c r="B369" s="786"/>
      <c r="C369" s="786"/>
      <c r="D369" s="786"/>
      <c r="E369" s="786"/>
      <c r="F369" s="786"/>
      <c r="G369" s="786"/>
      <c r="H369" s="786"/>
      <c r="I369" s="786"/>
      <c r="J369" s="786"/>
      <c r="K369" s="786"/>
      <c r="L369" s="786"/>
      <c r="M369" s="786"/>
      <c r="N369" s="786"/>
      <c r="O369" s="786"/>
      <c r="P369" s="786"/>
      <c r="Q369" s="786"/>
      <c r="R369" s="787"/>
    </row>
    <row r="370" spans="1:18" x14ac:dyDescent="0.15">
      <c r="B370" s="779" t="s">
        <v>152</v>
      </c>
      <c r="C370" s="780"/>
      <c r="D370" s="780"/>
      <c r="E370" s="780"/>
      <c r="F370" s="780"/>
      <c r="G370" s="781"/>
    </row>
    <row r="371" spans="1:18" x14ac:dyDescent="0.15">
      <c r="B371" s="133" t="s">
        <v>138</v>
      </c>
      <c r="C371" s="134" t="s">
        <v>123</v>
      </c>
      <c r="D371" s="134" t="s">
        <v>116</v>
      </c>
      <c r="E371" s="134" t="s">
        <v>129</v>
      </c>
      <c r="F371" s="134" t="s">
        <v>118</v>
      </c>
      <c r="G371" s="135" t="s">
        <v>115</v>
      </c>
    </row>
    <row r="372" spans="1:18" x14ac:dyDescent="0.15">
      <c r="A372" s="132" t="s">
        <v>28</v>
      </c>
      <c r="B372" s="136">
        <v>42556</v>
      </c>
      <c r="C372" s="137">
        <v>550</v>
      </c>
      <c r="D372" s="137">
        <v>2.0659999999999998</v>
      </c>
      <c r="E372" s="138">
        <v>1136.3</v>
      </c>
      <c r="F372" s="151">
        <f t="shared" ref="F372:F405" si="42">G372-E372</f>
        <v>134.1400000000001</v>
      </c>
      <c r="G372" s="139">
        <v>1270.44</v>
      </c>
      <c r="H372" s="129">
        <f t="shared" ref="H372:H405" si="43">G372/C372</f>
        <v>2.309890909090909</v>
      </c>
    </row>
    <row r="373" spans="1:18" s="120" customFormat="1" x14ac:dyDescent="0.15">
      <c r="A373" s="131" t="s">
        <v>28</v>
      </c>
      <c r="B373" s="149">
        <v>42571</v>
      </c>
      <c r="C373" s="150">
        <v>702</v>
      </c>
      <c r="D373" s="150">
        <v>2.0659999999999998</v>
      </c>
      <c r="E373" s="151">
        <v>1450.33</v>
      </c>
      <c r="F373" s="151">
        <f t="shared" si="42"/>
        <v>171.22000000000003</v>
      </c>
      <c r="G373" s="152">
        <v>1621.55</v>
      </c>
      <c r="H373" s="166">
        <f t="shared" si="43"/>
        <v>2.309900284900285</v>
      </c>
    </row>
    <row r="374" spans="1:18" x14ac:dyDescent="0.15">
      <c r="A374" s="132" t="s">
        <v>28</v>
      </c>
      <c r="B374" s="149">
        <v>42587</v>
      </c>
      <c r="C374" s="150">
        <v>600</v>
      </c>
      <c r="D374" s="150">
        <v>2.0659999999999998</v>
      </c>
      <c r="E374" s="151">
        <v>1239.5999999999999</v>
      </c>
      <c r="F374" s="151">
        <f t="shared" si="42"/>
        <v>146.34000000000015</v>
      </c>
      <c r="G374" s="152">
        <v>1385.94</v>
      </c>
      <c r="H374" s="129">
        <f t="shared" si="43"/>
        <v>2.3099000000000003</v>
      </c>
    </row>
    <row r="375" spans="1:18" s="120" customFormat="1" x14ac:dyDescent="0.15">
      <c r="A375" s="131" t="s">
        <v>28</v>
      </c>
      <c r="B375" s="149">
        <v>42598</v>
      </c>
      <c r="C375" s="150">
        <v>560</v>
      </c>
      <c r="D375" s="150">
        <v>2.0659999999999998</v>
      </c>
      <c r="E375" s="151">
        <v>1156.96</v>
      </c>
      <c r="F375" s="151">
        <f t="shared" si="42"/>
        <v>136.58999999999992</v>
      </c>
      <c r="G375" s="152">
        <v>1293.55</v>
      </c>
      <c r="H375" s="166">
        <f t="shared" si="43"/>
        <v>2.309910714285714</v>
      </c>
    </row>
    <row r="376" spans="1:18" x14ac:dyDescent="0.15">
      <c r="A376" s="132" t="s">
        <v>28</v>
      </c>
      <c r="B376" s="149">
        <v>42611</v>
      </c>
      <c r="C376" s="150">
        <v>536.5</v>
      </c>
      <c r="D376" s="150">
        <v>2.0659999999999998</v>
      </c>
      <c r="E376" s="151">
        <v>1108.4100000000001</v>
      </c>
      <c r="F376" s="151">
        <f t="shared" si="42"/>
        <v>130.8599999999999</v>
      </c>
      <c r="G376" s="152">
        <v>1239.27</v>
      </c>
      <c r="H376" s="129">
        <f t="shared" si="43"/>
        <v>2.3099161230195713</v>
      </c>
    </row>
    <row r="377" spans="1:18" x14ac:dyDescent="0.15">
      <c r="A377" s="132" t="s">
        <v>28</v>
      </c>
      <c r="B377" s="149">
        <v>42613</v>
      </c>
      <c r="C377" s="150">
        <v>215</v>
      </c>
      <c r="D377" s="150">
        <v>2.0659999999999998</v>
      </c>
      <c r="E377" s="151">
        <v>444.19</v>
      </c>
      <c r="F377" s="151">
        <f t="shared" si="42"/>
        <v>52.449999999999989</v>
      </c>
      <c r="G377" s="152">
        <v>496.64</v>
      </c>
      <c r="H377" s="129">
        <f t="shared" si="43"/>
        <v>2.3099534883720931</v>
      </c>
    </row>
    <row r="378" spans="1:18" s="120" customFormat="1" x14ac:dyDescent="0.15">
      <c r="A378" s="131" t="s">
        <v>28</v>
      </c>
      <c r="B378" s="149">
        <v>42626</v>
      </c>
      <c r="C378" s="150">
        <v>348.3</v>
      </c>
      <c r="D378" s="150">
        <v>2.0659999999999998</v>
      </c>
      <c r="E378" s="151">
        <v>719.59</v>
      </c>
      <c r="F378" s="151">
        <f t="shared" si="42"/>
        <v>84.949999999999932</v>
      </c>
      <c r="G378" s="152">
        <v>804.54</v>
      </c>
      <c r="H378" s="166">
        <f t="shared" si="43"/>
        <v>2.3099052540913005</v>
      </c>
    </row>
    <row r="379" spans="1:18" s="120" customFormat="1" x14ac:dyDescent="0.15">
      <c r="A379" s="131" t="s">
        <v>28</v>
      </c>
      <c r="B379" s="149">
        <v>42632</v>
      </c>
      <c r="C379" s="150">
        <v>500.5</v>
      </c>
      <c r="D379" s="150">
        <v>2.0659999999999998</v>
      </c>
      <c r="E379" s="151">
        <v>1034.03</v>
      </c>
      <c r="F379" s="151">
        <f t="shared" si="42"/>
        <v>122.07999999999993</v>
      </c>
      <c r="G379" s="152">
        <v>1156.1099999999999</v>
      </c>
      <c r="H379" s="166">
        <f t="shared" si="43"/>
        <v>2.3099100899100895</v>
      </c>
    </row>
    <row r="380" spans="1:18" s="120" customFormat="1" x14ac:dyDescent="0.15">
      <c r="A380" s="131" t="s">
        <v>28</v>
      </c>
      <c r="B380" s="149">
        <v>42643</v>
      </c>
      <c r="C380" s="150">
        <v>700</v>
      </c>
      <c r="D380" s="150">
        <v>2.0659999999999998</v>
      </c>
      <c r="E380" s="151">
        <f t="shared" ref="E380:E405" si="44">C380*D380</f>
        <v>1446.1999999999998</v>
      </c>
      <c r="F380" s="151">
        <f t="shared" si="42"/>
        <v>170.73000000000025</v>
      </c>
      <c r="G380" s="152">
        <v>1616.93</v>
      </c>
      <c r="H380" s="166">
        <f t="shared" si="43"/>
        <v>2.3099000000000003</v>
      </c>
    </row>
    <row r="381" spans="1:18" s="120" customFormat="1" x14ac:dyDescent="0.15">
      <c r="A381" s="131" t="s">
        <v>28</v>
      </c>
      <c r="B381" s="149">
        <v>42654</v>
      </c>
      <c r="C381" s="150">
        <v>500</v>
      </c>
      <c r="D381" s="150">
        <v>2.0659999999999998</v>
      </c>
      <c r="E381" s="151">
        <f t="shared" si="44"/>
        <v>1033</v>
      </c>
      <c r="F381" s="151">
        <f t="shared" si="42"/>
        <v>121.96000000000004</v>
      </c>
      <c r="G381" s="152">
        <v>1154.96</v>
      </c>
      <c r="H381" s="166">
        <f t="shared" si="43"/>
        <v>2.30992</v>
      </c>
    </row>
    <row r="382" spans="1:18" s="120" customFormat="1" x14ac:dyDescent="0.15">
      <c r="A382" s="131" t="s">
        <v>28</v>
      </c>
      <c r="B382" s="149">
        <v>42664</v>
      </c>
      <c r="C382" s="150">
        <v>595</v>
      </c>
      <c r="D382" s="150">
        <v>2.0659999999999998</v>
      </c>
      <c r="E382" s="151">
        <f t="shared" si="44"/>
        <v>1229.27</v>
      </c>
      <c r="F382" s="151">
        <f t="shared" si="42"/>
        <v>145.13000000000011</v>
      </c>
      <c r="G382" s="152">
        <v>1374.4</v>
      </c>
      <c r="H382" s="166">
        <f t="shared" si="43"/>
        <v>2.3099159663865549</v>
      </c>
    </row>
    <row r="383" spans="1:18" s="120" customFormat="1" x14ac:dyDescent="0.15">
      <c r="A383" s="131" t="s">
        <v>28</v>
      </c>
      <c r="B383" s="149">
        <v>42676</v>
      </c>
      <c r="C383" s="150">
        <v>600</v>
      </c>
      <c r="D383" s="150">
        <v>2.0659999999999998</v>
      </c>
      <c r="E383" s="151">
        <f t="shared" si="44"/>
        <v>1239.5999999999999</v>
      </c>
      <c r="F383" s="151">
        <f t="shared" si="42"/>
        <v>146.34000000000015</v>
      </c>
      <c r="G383" s="152">
        <v>1385.94</v>
      </c>
      <c r="H383" s="166">
        <f t="shared" si="43"/>
        <v>2.3099000000000003</v>
      </c>
    </row>
    <row r="384" spans="1:18" x14ac:dyDescent="0.15">
      <c r="A384" s="132" t="s">
        <v>28</v>
      </c>
      <c r="B384" s="149">
        <v>42688</v>
      </c>
      <c r="C384" s="150">
        <v>550</v>
      </c>
      <c r="D384" s="150">
        <v>2.0659999999999998</v>
      </c>
      <c r="E384" s="151">
        <f t="shared" si="44"/>
        <v>1136.3</v>
      </c>
      <c r="F384" s="151">
        <f t="shared" si="42"/>
        <v>134.1400000000001</v>
      </c>
      <c r="G384" s="152">
        <v>1270.44</v>
      </c>
      <c r="H384" s="129">
        <f t="shared" si="43"/>
        <v>2.309890909090909</v>
      </c>
    </row>
    <row r="385" spans="1:8" s="120" customFormat="1" x14ac:dyDescent="0.15">
      <c r="A385" s="131" t="s">
        <v>28</v>
      </c>
      <c r="B385" s="149">
        <v>42696</v>
      </c>
      <c r="C385" s="150">
        <v>575.5</v>
      </c>
      <c r="D385" s="150">
        <v>2.0659999999999998</v>
      </c>
      <c r="E385" s="151">
        <f t="shared" si="44"/>
        <v>1188.9829999999999</v>
      </c>
      <c r="F385" s="151">
        <f t="shared" si="42"/>
        <v>140.35699999999997</v>
      </c>
      <c r="G385" s="152">
        <v>1329.34</v>
      </c>
      <c r="H385" s="166">
        <f t="shared" si="43"/>
        <v>2.3098870547350128</v>
      </c>
    </row>
    <row r="386" spans="1:8" s="120" customFormat="1" x14ac:dyDescent="0.15">
      <c r="A386" s="131" t="s">
        <v>28</v>
      </c>
      <c r="B386" s="149">
        <v>42697</v>
      </c>
      <c r="C386" s="150">
        <v>23.6</v>
      </c>
      <c r="D386" s="150">
        <v>2.0659999999999998</v>
      </c>
      <c r="E386" s="151">
        <f t="shared" si="44"/>
        <v>48.757599999999996</v>
      </c>
      <c r="F386" s="151">
        <f t="shared" si="42"/>
        <v>5.7524000000000015</v>
      </c>
      <c r="G386" s="152">
        <v>54.51</v>
      </c>
      <c r="H386" s="166">
        <f t="shared" si="43"/>
        <v>2.3097457627118643</v>
      </c>
    </row>
    <row r="387" spans="1:8" s="120" customFormat="1" x14ac:dyDescent="0.15">
      <c r="A387" s="131" t="s">
        <v>28</v>
      </c>
      <c r="B387" s="149">
        <v>42712</v>
      </c>
      <c r="C387" s="150">
        <v>550.70000000000005</v>
      </c>
      <c r="D387" s="150">
        <v>2.0659999999999998</v>
      </c>
      <c r="E387" s="151">
        <f t="shared" si="44"/>
        <v>1137.7462</v>
      </c>
      <c r="F387" s="151">
        <f t="shared" si="42"/>
        <v>134.32379999999989</v>
      </c>
      <c r="G387" s="152">
        <v>1272.07</v>
      </c>
      <c r="H387" s="166">
        <f t="shared" si="43"/>
        <v>2.3099146540766293</v>
      </c>
    </row>
    <row r="388" spans="1:8" x14ac:dyDescent="0.15">
      <c r="A388" s="132" t="s">
        <v>28</v>
      </c>
      <c r="B388" s="149">
        <v>42723</v>
      </c>
      <c r="C388" s="150">
        <v>704.5</v>
      </c>
      <c r="D388" s="150">
        <v>2.0659999999999998</v>
      </c>
      <c r="E388" s="151">
        <f t="shared" si="44"/>
        <v>1455.4969999999998</v>
      </c>
      <c r="F388" s="151">
        <f t="shared" si="42"/>
        <v>171.82300000000009</v>
      </c>
      <c r="G388" s="152">
        <v>1627.32</v>
      </c>
      <c r="H388" s="129">
        <f t="shared" si="43"/>
        <v>2.3098935415188078</v>
      </c>
    </row>
    <row r="389" spans="1:8" s="120" customFormat="1" x14ac:dyDescent="0.15">
      <c r="A389" s="131" t="s">
        <v>28</v>
      </c>
      <c r="B389" s="149">
        <v>42732</v>
      </c>
      <c r="C389" s="150">
        <v>401</v>
      </c>
      <c r="D389" s="150">
        <v>2.0659999999999998</v>
      </c>
      <c r="E389" s="151">
        <f t="shared" si="44"/>
        <v>828.46599999999989</v>
      </c>
      <c r="F389" s="151">
        <f t="shared" si="42"/>
        <v>97.814000000000078</v>
      </c>
      <c r="G389" s="152">
        <v>926.28</v>
      </c>
      <c r="H389" s="166">
        <f t="shared" si="43"/>
        <v>2.3099251870324187</v>
      </c>
    </row>
    <row r="390" spans="1:8" x14ac:dyDescent="0.15">
      <c r="A390" s="132" t="s">
        <v>28</v>
      </c>
      <c r="B390" s="149">
        <v>42745</v>
      </c>
      <c r="C390" s="150">
        <v>549.29999999999995</v>
      </c>
      <c r="D390" s="150">
        <v>2.0659999999999998</v>
      </c>
      <c r="E390" s="151">
        <f t="shared" si="44"/>
        <v>1134.8537999999999</v>
      </c>
      <c r="F390" s="151">
        <f t="shared" si="42"/>
        <v>134.08620000000019</v>
      </c>
      <c r="G390" s="152">
        <v>1268.94</v>
      </c>
      <c r="H390" s="129">
        <f t="shared" si="43"/>
        <v>2.3101037684325507</v>
      </c>
    </row>
    <row r="391" spans="1:8" s="120" customFormat="1" x14ac:dyDescent="0.15">
      <c r="A391" s="131" t="s">
        <v>28</v>
      </c>
      <c r="B391" s="149">
        <v>42755</v>
      </c>
      <c r="C391" s="150">
        <v>544</v>
      </c>
      <c r="D391" s="150">
        <v>2.0659999999999998</v>
      </c>
      <c r="E391" s="151">
        <f t="shared" si="44"/>
        <v>1123.904</v>
      </c>
      <c r="F391" s="151">
        <f t="shared" si="42"/>
        <v>132.79600000000005</v>
      </c>
      <c r="G391" s="152">
        <v>1256.7</v>
      </c>
      <c r="H391" s="166">
        <f t="shared" si="43"/>
        <v>2.310110294117647</v>
      </c>
    </row>
    <row r="392" spans="1:8" s="120" customFormat="1" x14ac:dyDescent="0.15">
      <c r="A392" s="131" t="s">
        <v>28</v>
      </c>
      <c r="B392" s="149">
        <v>42762</v>
      </c>
      <c r="C392" s="150">
        <v>344</v>
      </c>
      <c r="D392" s="150">
        <v>2.0659999999999998</v>
      </c>
      <c r="E392" s="151">
        <f t="shared" si="44"/>
        <v>710.70399999999995</v>
      </c>
      <c r="F392" s="151">
        <f t="shared" si="42"/>
        <v>83.966000000000008</v>
      </c>
      <c r="G392" s="152">
        <v>794.67</v>
      </c>
      <c r="H392" s="166">
        <f t="shared" si="43"/>
        <v>2.3100872093023255</v>
      </c>
    </row>
    <row r="393" spans="1:8" s="120" customFormat="1" x14ac:dyDescent="0.15">
      <c r="A393" s="131" t="s">
        <v>28</v>
      </c>
      <c r="B393" s="149">
        <v>42773</v>
      </c>
      <c r="C393" s="150">
        <v>555.5</v>
      </c>
      <c r="D393" s="150">
        <v>2.0659999999999998</v>
      </c>
      <c r="E393" s="151">
        <f t="shared" si="44"/>
        <v>1147.663</v>
      </c>
      <c r="F393" s="151">
        <f t="shared" si="42"/>
        <v>135.60699999999997</v>
      </c>
      <c r="G393" s="152">
        <v>1283.27</v>
      </c>
      <c r="H393" s="166">
        <f t="shared" si="43"/>
        <v>2.3101170117011702</v>
      </c>
    </row>
    <row r="394" spans="1:8" s="120" customFormat="1" x14ac:dyDescent="0.15">
      <c r="A394" s="131" t="s">
        <v>28</v>
      </c>
      <c r="B394" s="149">
        <v>42783</v>
      </c>
      <c r="C394" s="150">
        <v>581</v>
      </c>
      <c r="D394" s="150">
        <v>2.0659999999999998</v>
      </c>
      <c r="E394" s="151">
        <f t="shared" si="44"/>
        <v>1200.346</v>
      </c>
      <c r="F394" s="151">
        <f t="shared" si="42"/>
        <v>141.83400000000006</v>
      </c>
      <c r="G394" s="152">
        <v>1342.18</v>
      </c>
      <c r="H394" s="166">
        <f t="shared" si="43"/>
        <v>2.310120481927711</v>
      </c>
    </row>
    <row r="395" spans="1:8" x14ac:dyDescent="0.15">
      <c r="A395" s="132" t="s">
        <v>28</v>
      </c>
      <c r="B395" s="149">
        <v>42796</v>
      </c>
      <c r="C395" s="150">
        <v>611.20000000000005</v>
      </c>
      <c r="D395" s="150">
        <v>2.0659999999999998</v>
      </c>
      <c r="E395" s="151">
        <f t="shared" si="44"/>
        <v>1262.7392</v>
      </c>
      <c r="F395" s="151">
        <f t="shared" si="42"/>
        <v>149.21080000000006</v>
      </c>
      <c r="G395" s="152">
        <v>1411.95</v>
      </c>
      <c r="H395" s="129">
        <f t="shared" si="43"/>
        <v>2.3101276178010468</v>
      </c>
    </row>
    <row r="396" spans="1:8" x14ac:dyDescent="0.15">
      <c r="A396" s="132" t="s">
        <v>28</v>
      </c>
      <c r="B396" s="149">
        <v>42804</v>
      </c>
      <c r="C396" s="150">
        <v>455.1</v>
      </c>
      <c r="D396" s="150">
        <v>2.0659999999999998</v>
      </c>
      <c r="E396" s="151">
        <f t="shared" si="44"/>
        <v>940.23659999999995</v>
      </c>
      <c r="F396" s="151">
        <f t="shared" si="42"/>
        <v>111.10339999999997</v>
      </c>
      <c r="G396" s="152">
        <v>1051.3399999999999</v>
      </c>
      <c r="H396" s="129">
        <f t="shared" si="43"/>
        <v>2.3101296418369586</v>
      </c>
    </row>
    <row r="397" spans="1:8" x14ac:dyDescent="0.15">
      <c r="A397" s="132" t="s">
        <v>28</v>
      </c>
      <c r="B397" s="149">
        <v>42815</v>
      </c>
      <c r="C397" s="150">
        <v>400</v>
      </c>
      <c r="D397" s="150">
        <v>2.0659999999999998</v>
      </c>
      <c r="E397" s="151">
        <f t="shared" si="44"/>
        <v>826.4</v>
      </c>
      <c r="F397" s="151">
        <f t="shared" si="42"/>
        <v>97.649999999999977</v>
      </c>
      <c r="G397" s="152">
        <v>924.05</v>
      </c>
      <c r="H397" s="129">
        <f t="shared" si="43"/>
        <v>2.3101249999999998</v>
      </c>
    </row>
    <row r="398" spans="1:8" s="120" customFormat="1" x14ac:dyDescent="0.15">
      <c r="A398" s="131" t="s">
        <v>28</v>
      </c>
      <c r="B398" s="149">
        <v>42824</v>
      </c>
      <c r="C398" s="150">
        <v>460</v>
      </c>
      <c r="D398" s="150">
        <v>2.0659999999999998</v>
      </c>
      <c r="E398" s="151">
        <f t="shared" si="44"/>
        <v>950.3599999999999</v>
      </c>
      <c r="F398" s="151">
        <f t="shared" si="42"/>
        <v>112.30000000000018</v>
      </c>
      <c r="G398" s="152">
        <v>1062.6600000000001</v>
      </c>
      <c r="H398" s="166">
        <f t="shared" si="43"/>
        <v>2.310130434782609</v>
      </c>
    </row>
    <row r="399" spans="1:8" x14ac:dyDescent="0.15">
      <c r="A399" s="132" t="s">
        <v>28</v>
      </c>
      <c r="B399" s="149">
        <v>42835</v>
      </c>
      <c r="C399" s="150">
        <v>480</v>
      </c>
      <c r="D399" s="150">
        <v>2.0659999999999998</v>
      </c>
      <c r="E399" s="151">
        <f t="shared" si="44"/>
        <v>991.68</v>
      </c>
      <c r="F399" s="151">
        <f t="shared" si="42"/>
        <v>117.17999999999995</v>
      </c>
      <c r="G399" s="152">
        <v>1108.8599999999999</v>
      </c>
      <c r="H399" s="129">
        <f t="shared" si="43"/>
        <v>2.3101249999999998</v>
      </c>
    </row>
    <row r="400" spans="1:8" s="120" customFormat="1" x14ac:dyDescent="0.15">
      <c r="A400" s="131" t="s">
        <v>28</v>
      </c>
      <c r="B400" s="149">
        <v>42849</v>
      </c>
      <c r="C400" s="150">
        <v>517.1</v>
      </c>
      <c r="D400" s="150">
        <v>2.0659999999999998</v>
      </c>
      <c r="E400" s="151">
        <f t="shared" si="44"/>
        <v>1068.3286000000001</v>
      </c>
      <c r="F400" s="151">
        <f t="shared" si="42"/>
        <v>126.24139999999989</v>
      </c>
      <c r="G400" s="152">
        <v>1194.57</v>
      </c>
      <c r="H400" s="166">
        <f t="shared" si="43"/>
        <v>2.3101334364726358</v>
      </c>
    </row>
    <row r="401" spans="1:17" s="120" customFormat="1" x14ac:dyDescent="0.15">
      <c r="A401" s="131" t="s">
        <v>28</v>
      </c>
      <c r="B401" s="149">
        <v>42863</v>
      </c>
      <c r="C401" s="150">
        <v>700</v>
      </c>
      <c r="D401" s="150">
        <v>2.0659999999999998</v>
      </c>
      <c r="E401" s="151">
        <f t="shared" si="44"/>
        <v>1446.1999999999998</v>
      </c>
      <c r="F401" s="151">
        <f t="shared" si="42"/>
        <v>170.88000000000011</v>
      </c>
      <c r="G401" s="152">
        <v>1617.08</v>
      </c>
      <c r="H401" s="166">
        <f t="shared" si="43"/>
        <v>2.3101142857142856</v>
      </c>
    </row>
    <row r="402" spans="1:17" s="120" customFormat="1" x14ac:dyDescent="0.15">
      <c r="A402" s="131" t="s">
        <v>28</v>
      </c>
      <c r="B402" s="149">
        <v>42876</v>
      </c>
      <c r="C402" s="150">
        <v>601.4</v>
      </c>
      <c r="D402" s="150">
        <v>2.0659999999999998</v>
      </c>
      <c r="E402" s="151">
        <f t="shared" si="44"/>
        <v>1242.4923999999999</v>
      </c>
      <c r="F402" s="151">
        <f t="shared" si="42"/>
        <v>146.81760000000008</v>
      </c>
      <c r="G402" s="152">
        <v>1389.31</v>
      </c>
      <c r="H402" s="166">
        <f t="shared" si="43"/>
        <v>2.3101263717991354</v>
      </c>
    </row>
    <row r="403" spans="1:17" s="120" customFormat="1" x14ac:dyDescent="0.15">
      <c r="A403" s="131" t="s">
        <v>28</v>
      </c>
      <c r="B403" s="149">
        <v>42886</v>
      </c>
      <c r="C403" s="150">
        <v>644.5</v>
      </c>
      <c r="D403" s="150">
        <v>2.0659999999999998</v>
      </c>
      <c r="E403" s="151">
        <f t="shared" si="44"/>
        <v>1331.5369999999998</v>
      </c>
      <c r="F403" s="151">
        <f t="shared" si="42"/>
        <v>157.33300000000008</v>
      </c>
      <c r="G403" s="152">
        <v>1488.87</v>
      </c>
      <c r="H403" s="166">
        <f t="shared" si="43"/>
        <v>2.3101163692785103</v>
      </c>
    </row>
    <row r="404" spans="1:17" s="120" customFormat="1" x14ac:dyDescent="0.15">
      <c r="A404" s="131" t="s">
        <v>28</v>
      </c>
      <c r="B404" s="149">
        <v>42895</v>
      </c>
      <c r="C404" s="150">
        <v>375</v>
      </c>
      <c r="D404" s="150">
        <v>2.0659999999999998</v>
      </c>
      <c r="E404" s="151">
        <f t="shared" si="44"/>
        <v>774.74999999999989</v>
      </c>
      <c r="F404" s="151">
        <f t="shared" si="42"/>
        <v>91.550000000000068</v>
      </c>
      <c r="G404" s="152">
        <v>866.3</v>
      </c>
      <c r="H404" s="166">
        <f t="shared" si="43"/>
        <v>2.3101333333333334</v>
      </c>
    </row>
    <row r="405" spans="1:17" s="120" customFormat="1" x14ac:dyDescent="0.15">
      <c r="A405" s="131" t="s">
        <v>28</v>
      </c>
      <c r="B405" s="149">
        <v>42907</v>
      </c>
      <c r="C405" s="150">
        <v>604.70000000000005</v>
      </c>
      <c r="D405" s="150">
        <v>2.0659999999999998</v>
      </c>
      <c r="E405" s="151">
        <f t="shared" si="44"/>
        <v>1249.3101999999999</v>
      </c>
      <c r="F405" s="151">
        <f t="shared" si="42"/>
        <v>147.61980000000017</v>
      </c>
      <c r="G405" s="152">
        <v>1396.93</v>
      </c>
      <c r="H405" s="166">
        <f t="shared" si="43"/>
        <v>2.3101207210186869</v>
      </c>
    </row>
    <row r="406" spans="1:17" x14ac:dyDescent="0.15">
      <c r="B406" s="136"/>
      <c r="C406" s="137"/>
      <c r="D406" s="137"/>
      <c r="E406" s="138"/>
      <c r="F406" s="138"/>
      <c r="G406" s="139"/>
      <c r="H406" s="129"/>
    </row>
    <row r="407" spans="1:17" x14ac:dyDescent="0.15">
      <c r="B407" s="140"/>
      <c r="C407" s="137"/>
      <c r="D407" s="137"/>
      <c r="E407" s="138"/>
      <c r="F407" s="138"/>
      <c r="G407" s="139"/>
      <c r="H407" s="129"/>
    </row>
    <row r="408" spans="1:17" ht="14" thickBot="1" x14ac:dyDescent="0.2">
      <c r="B408" s="141" t="s">
        <v>146</v>
      </c>
      <c r="C408" s="142">
        <f>SUM(C372:C407)</f>
        <v>17635.400000000001</v>
      </c>
      <c r="D408" s="143">
        <f>AVERAGE(D372:D407)</f>
        <v>2.0660000000000007</v>
      </c>
      <c r="E408" s="144">
        <f>SUM(E372:E407)</f>
        <v>36434.734600000003</v>
      </c>
      <c r="F408" s="144">
        <f>SUM(F372:F407)</f>
        <v>4303.175400000001</v>
      </c>
      <c r="G408" s="145">
        <f>SUM(G372:G407)</f>
        <v>40737.909999999996</v>
      </c>
    </row>
    <row r="409" spans="1:17" x14ac:dyDescent="0.15">
      <c r="G409" s="119">
        <f>(G408/C408)</f>
        <v>2.3100077117615703</v>
      </c>
    </row>
    <row r="410" spans="1:17" ht="14" thickBot="1" x14ac:dyDescent="0.2"/>
    <row r="411" spans="1:17" x14ac:dyDescent="0.15">
      <c r="B411" s="782" t="s">
        <v>154</v>
      </c>
      <c r="C411" s="783"/>
      <c r="D411" s="783"/>
      <c r="E411" s="783"/>
      <c r="F411" s="783"/>
      <c r="G411" s="784"/>
      <c r="I411" s="782" t="s">
        <v>150</v>
      </c>
      <c r="J411" s="783"/>
      <c r="K411" s="783"/>
      <c r="L411" s="783"/>
      <c r="M411" s="783"/>
      <c r="N411" s="783"/>
      <c r="O411" s="783"/>
      <c r="P411" s="783"/>
      <c r="Q411" s="784"/>
    </row>
    <row r="412" spans="1:17" x14ac:dyDescent="0.15">
      <c r="B412" s="133" t="s">
        <v>138</v>
      </c>
      <c r="C412" s="134" t="s">
        <v>123</v>
      </c>
      <c r="D412" s="134" t="s">
        <v>116</v>
      </c>
      <c r="E412" s="134" t="s">
        <v>129</v>
      </c>
      <c r="F412" s="134" t="s">
        <v>118</v>
      </c>
      <c r="G412" s="135" t="s">
        <v>115</v>
      </c>
      <c r="I412" s="133" t="s">
        <v>138</v>
      </c>
      <c r="J412" s="134" t="s">
        <v>123</v>
      </c>
      <c r="K412" s="134" t="s">
        <v>116</v>
      </c>
      <c r="L412" s="134" t="s">
        <v>129</v>
      </c>
      <c r="M412" s="134" t="s">
        <v>143</v>
      </c>
      <c r="N412" s="134" t="s">
        <v>144</v>
      </c>
      <c r="O412" s="134" t="s">
        <v>118</v>
      </c>
      <c r="P412" s="134" t="s">
        <v>145</v>
      </c>
      <c r="Q412" s="135" t="s">
        <v>115</v>
      </c>
    </row>
    <row r="413" spans="1:17" x14ac:dyDescent="0.15">
      <c r="A413" s="132" t="s">
        <v>28</v>
      </c>
      <c r="B413" s="149">
        <v>42632</v>
      </c>
      <c r="C413" s="150">
        <v>1409.4</v>
      </c>
      <c r="D413" s="150">
        <v>2.2938000000000001</v>
      </c>
      <c r="E413" s="153">
        <v>3232.88</v>
      </c>
      <c r="F413" s="151">
        <f t="shared" ref="F413:F417" si="45">G413-E413</f>
        <v>686.50999999999976</v>
      </c>
      <c r="G413" s="154">
        <v>3919.39</v>
      </c>
      <c r="H413" s="106">
        <f t="shared" ref="H413:H416" si="46">G413/C413</f>
        <v>2.7808925784021565</v>
      </c>
      <c r="I413" s="149">
        <v>42726</v>
      </c>
      <c r="J413" s="150">
        <f>83+49.2+62.2+211.9+102.5+38.2+150.7</f>
        <v>697.7</v>
      </c>
      <c r="K413" s="150">
        <v>2.2989999999999999</v>
      </c>
      <c r="L413" s="151">
        <f>J413*K413</f>
        <v>1604.0123000000001</v>
      </c>
      <c r="M413" s="151">
        <v>0</v>
      </c>
      <c r="N413" s="151">
        <f>75+75+75+75+75+75+75</f>
        <v>525</v>
      </c>
      <c r="O413" s="151">
        <f>Q413-SUM(L413:N413,P413)</f>
        <v>7.6999999996587576E-3</v>
      </c>
      <c r="P413" s="151"/>
      <c r="Q413" s="152">
        <v>2129.02</v>
      </c>
    </row>
    <row r="414" spans="1:17" x14ac:dyDescent="0.15">
      <c r="A414" s="132" t="s">
        <v>28</v>
      </c>
      <c r="B414" s="149">
        <v>42688</v>
      </c>
      <c r="C414" s="150">
        <v>1700</v>
      </c>
      <c r="D414" s="150">
        <v>2.2938000000000001</v>
      </c>
      <c r="E414" s="153">
        <v>3899.46</v>
      </c>
      <c r="F414" s="151">
        <f t="shared" si="45"/>
        <v>828.05000000000018</v>
      </c>
      <c r="G414" s="154">
        <v>4727.51</v>
      </c>
      <c r="H414" s="106">
        <f t="shared" si="46"/>
        <v>2.780888235294118</v>
      </c>
      <c r="I414" s="136"/>
      <c r="J414" s="137"/>
      <c r="K414" s="137"/>
      <c r="L414" s="138">
        <f>J414*K414</f>
        <v>0</v>
      </c>
      <c r="M414" s="138"/>
      <c r="N414" s="138"/>
      <c r="O414" s="138">
        <f>Q414-SUM(L414:N414,P414)</f>
        <v>0</v>
      </c>
      <c r="P414" s="138"/>
      <c r="Q414" s="139"/>
    </row>
    <row r="415" spans="1:17" s="120" customFormat="1" x14ac:dyDescent="0.15">
      <c r="A415" s="132" t="s">
        <v>28</v>
      </c>
      <c r="B415" s="149">
        <v>42767</v>
      </c>
      <c r="C415" s="150">
        <v>1950.1</v>
      </c>
      <c r="D415" s="150">
        <v>2.2938000000000001</v>
      </c>
      <c r="E415" s="153">
        <v>4473.1400000000003</v>
      </c>
      <c r="F415" s="151">
        <f t="shared" si="45"/>
        <v>950.32999999999993</v>
      </c>
      <c r="G415" s="154">
        <v>5423.47</v>
      </c>
      <c r="H415" s="106">
        <f t="shared" si="46"/>
        <v>2.7811240449207735</v>
      </c>
      <c r="I415" s="136"/>
      <c r="J415" s="137"/>
      <c r="K415" s="137"/>
      <c r="L415" s="138"/>
      <c r="M415" s="138"/>
      <c r="N415" s="138"/>
      <c r="O415" s="138"/>
      <c r="P415" s="138"/>
      <c r="Q415" s="139"/>
    </row>
    <row r="416" spans="1:17" s="120" customFormat="1" x14ac:dyDescent="0.15">
      <c r="A416" s="132" t="s">
        <v>28</v>
      </c>
      <c r="B416" s="149">
        <v>42832</v>
      </c>
      <c r="C416" s="150">
        <f>95+1600</f>
        <v>1695</v>
      </c>
      <c r="D416" s="150">
        <v>2.2938000000000001</v>
      </c>
      <c r="E416" s="153">
        <f>217.91+3670.08</f>
        <v>3887.99</v>
      </c>
      <c r="F416" s="151">
        <f t="shared" si="45"/>
        <v>826.02000000000044</v>
      </c>
      <c r="G416" s="154">
        <v>4714.01</v>
      </c>
      <c r="H416" s="106">
        <f t="shared" si="46"/>
        <v>2.7811268436578174</v>
      </c>
      <c r="I416" s="136"/>
      <c r="J416" s="137"/>
      <c r="K416" s="137"/>
      <c r="L416" s="138"/>
      <c r="M416" s="138"/>
      <c r="N416" s="138"/>
      <c r="O416" s="138"/>
      <c r="P416" s="138"/>
      <c r="Q416" s="139"/>
    </row>
    <row r="417" spans="1:17" x14ac:dyDescent="0.15">
      <c r="A417" s="132"/>
      <c r="B417" s="136"/>
      <c r="C417" s="137"/>
      <c r="D417" s="137"/>
      <c r="E417" s="146"/>
      <c r="F417" s="138">
        <f t="shared" si="45"/>
        <v>0</v>
      </c>
      <c r="G417" s="147"/>
      <c r="I417" s="136"/>
      <c r="J417" s="137"/>
      <c r="K417" s="137"/>
      <c r="L417" s="138"/>
      <c r="M417" s="138"/>
      <c r="N417" s="138"/>
      <c r="O417" s="138"/>
      <c r="P417" s="138"/>
      <c r="Q417" s="139"/>
    </row>
    <row r="418" spans="1:17" x14ac:dyDescent="0.15">
      <c r="A418" s="132"/>
      <c r="B418" s="136"/>
      <c r="C418" s="137"/>
      <c r="D418" s="137"/>
      <c r="E418" s="146"/>
      <c r="F418" s="138"/>
      <c r="G418" s="147"/>
      <c r="I418" s="140"/>
      <c r="J418" s="137"/>
      <c r="K418" s="137"/>
      <c r="L418" s="138"/>
      <c r="M418" s="138"/>
      <c r="N418" s="138"/>
      <c r="O418" s="138"/>
      <c r="P418" s="138"/>
      <c r="Q418" s="139"/>
    </row>
    <row r="419" spans="1:17" ht="14" thickBot="1" x14ac:dyDescent="0.2">
      <c r="B419" s="141" t="s">
        <v>146</v>
      </c>
      <c r="C419" s="142">
        <f>SUM(C413:C418)</f>
        <v>6754.5</v>
      </c>
      <c r="D419" s="142"/>
      <c r="E419" s="144">
        <f>SUM(E413:E418)</f>
        <v>15493.47</v>
      </c>
      <c r="F419" s="144">
        <f>SUM(F413:F418)</f>
        <v>3290.9100000000003</v>
      </c>
      <c r="G419" s="145">
        <f>SUM(G413:G418)</f>
        <v>18784.379999999997</v>
      </c>
      <c r="I419" s="141" t="s">
        <v>146</v>
      </c>
      <c r="J419" s="142">
        <f>SUM(J413:J418)</f>
        <v>697.7</v>
      </c>
      <c r="K419" s="142">
        <f>AVERAGE(K413:K418)</f>
        <v>2.2989999999999999</v>
      </c>
      <c r="L419" s="144">
        <f t="shared" ref="L419:Q419" si="47">SUM(L413:L418)</f>
        <v>1604.0123000000001</v>
      </c>
      <c r="M419" s="144">
        <f t="shared" si="47"/>
        <v>0</v>
      </c>
      <c r="N419" s="144">
        <f t="shared" si="47"/>
        <v>525</v>
      </c>
      <c r="O419" s="144">
        <f t="shared" si="47"/>
        <v>7.6999999996587576E-3</v>
      </c>
      <c r="P419" s="144">
        <f t="shared" si="47"/>
        <v>0</v>
      </c>
      <c r="Q419" s="145">
        <f t="shared" si="47"/>
        <v>2129.02</v>
      </c>
    </row>
    <row r="420" spans="1:17" x14ac:dyDescent="0.15">
      <c r="B420" s="105"/>
      <c r="G420" s="119">
        <f>(G419/C419)</f>
        <v>2.7810170997113031</v>
      </c>
      <c r="Q420" s="119">
        <f>(Q419/J419)</f>
        <v>3.0514834456069941</v>
      </c>
    </row>
    <row r="421" spans="1:17" x14ac:dyDescent="0.15">
      <c r="A421" s="105"/>
      <c r="D421" s="148"/>
      <c r="E421" s="106"/>
      <c r="F421" s="148"/>
    </row>
  </sheetData>
  <mergeCells count="22">
    <mergeCell ref="B286:G286"/>
    <mergeCell ref="I286:Q286"/>
    <mergeCell ref="A220:R220"/>
    <mergeCell ref="B221:G221"/>
    <mergeCell ref="A233:R233"/>
    <mergeCell ref="B234:G234"/>
    <mergeCell ref="I234:Q234"/>
    <mergeCell ref="B246:G246"/>
    <mergeCell ref="A259:R259"/>
    <mergeCell ref="B260:G260"/>
    <mergeCell ref="I260:Q260"/>
    <mergeCell ref="B272:G272"/>
    <mergeCell ref="A285:R285"/>
    <mergeCell ref="B370:G370"/>
    <mergeCell ref="B411:G411"/>
    <mergeCell ref="I411:Q411"/>
    <mergeCell ref="B298:G298"/>
    <mergeCell ref="A312:R312"/>
    <mergeCell ref="B313:G313"/>
    <mergeCell ref="B355:G355"/>
    <mergeCell ref="I355:Q355"/>
    <mergeCell ref="A369:R369"/>
  </mergeCells>
  <pageMargins left="0.75" right="0.75" top="1" bottom="1" header="0.5" footer="0.5"/>
  <pageSetup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277"/>
  <sheetViews>
    <sheetView workbookViewId="0">
      <pane ySplit="3" topLeftCell="A244" activePane="bottomLeft" state="frozen"/>
      <selection activeCell="L428" sqref="L428"/>
      <selection pane="bottomLeft" activeCell="A207" sqref="A207:L207"/>
    </sheetView>
  </sheetViews>
  <sheetFormatPr baseColWidth="10" defaultColWidth="8.83203125" defaultRowHeight="13" x14ac:dyDescent="0.15"/>
  <cols>
    <col min="1" max="1" width="10.83203125" style="103" bestFit="1" customWidth="1"/>
    <col min="2" max="2" width="10" style="103" customWidth="1"/>
    <col min="3" max="3" width="12.83203125" style="103" customWidth="1"/>
    <col min="4" max="5" width="8.83203125" style="103"/>
    <col min="6" max="7" width="8.5" style="103" bestFit="1" customWidth="1"/>
    <col min="8" max="8" width="12.1640625" style="103" customWidth="1"/>
    <col min="9" max="9" width="9" style="103" customWidth="1"/>
    <col min="10" max="12" width="8.83203125" style="103"/>
    <col min="13" max="14" width="8.5" style="103" bestFit="1" customWidth="1"/>
    <col min="15" max="16" width="8.83203125" style="103"/>
    <col min="17" max="17" width="8.5" style="103" bestFit="1" customWidth="1"/>
    <col min="18" max="18" width="9" style="103" bestFit="1" customWidth="1"/>
    <col min="19" max="19" width="10.33203125" style="103" bestFit="1" customWidth="1"/>
    <col min="20" max="21" width="8.83203125" style="103"/>
    <col min="22" max="22" width="8.6640625" style="103" bestFit="1" customWidth="1"/>
    <col min="23" max="23" width="8.83203125" style="103" bestFit="1" customWidth="1"/>
    <col min="24" max="24" width="19.5" style="103" bestFit="1" customWidth="1"/>
    <col min="25" max="257" width="8.83203125" style="103"/>
    <col min="258" max="258" width="10" style="103" customWidth="1"/>
    <col min="259" max="259" width="10" style="103" bestFit="1" customWidth="1"/>
    <col min="260" max="261" width="8.83203125" style="103"/>
    <col min="262" max="262" width="8.5" style="103" bestFit="1" customWidth="1"/>
    <col min="263" max="513" width="8.83203125" style="103"/>
    <col min="514" max="514" width="10" style="103" customWidth="1"/>
    <col min="515" max="515" width="10" style="103" bestFit="1" customWidth="1"/>
    <col min="516" max="517" width="8.83203125" style="103"/>
    <col min="518" max="518" width="8.5" style="103" bestFit="1" customWidth="1"/>
    <col min="519" max="769" width="8.83203125" style="103"/>
    <col min="770" max="770" width="10" style="103" customWidth="1"/>
    <col min="771" max="771" width="10" style="103" bestFit="1" customWidth="1"/>
    <col min="772" max="773" width="8.83203125" style="103"/>
    <col min="774" max="774" width="8.5" style="103" bestFit="1" customWidth="1"/>
    <col min="775" max="1025" width="8.83203125" style="103"/>
    <col min="1026" max="1026" width="10" style="103" customWidth="1"/>
    <col min="1027" max="1027" width="10" style="103" bestFit="1" customWidth="1"/>
    <col min="1028" max="1029" width="8.83203125" style="103"/>
    <col min="1030" max="1030" width="8.5" style="103" bestFit="1" customWidth="1"/>
    <col min="1031" max="1281" width="8.83203125" style="103"/>
    <col min="1282" max="1282" width="10" style="103" customWidth="1"/>
    <col min="1283" max="1283" width="10" style="103" bestFit="1" customWidth="1"/>
    <col min="1284" max="1285" width="8.83203125" style="103"/>
    <col min="1286" max="1286" width="8.5" style="103" bestFit="1" customWidth="1"/>
    <col min="1287" max="1537" width="8.83203125" style="103"/>
    <col min="1538" max="1538" width="10" style="103" customWidth="1"/>
    <col min="1539" max="1539" width="10" style="103" bestFit="1" customWidth="1"/>
    <col min="1540" max="1541" width="8.83203125" style="103"/>
    <col min="1542" max="1542" width="8.5" style="103" bestFit="1" customWidth="1"/>
    <col min="1543" max="1793" width="8.83203125" style="103"/>
    <col min="1794" max="1794" width="10" style="103" customWidth="1"/>
    <col min="1795" max="1795" width="10" style="103" bestFit="1" customWidth="1"/>
    <col min="1796" max="1797" width="8.83203125" style="103"/>
    <col min="1798" max="1798" width="8.5" style="103" bestFit="1" customWidth="1"/>
    <col min="1799" max="2049" width="8.83203125" style="103"/>
    <col min="2050" max="2050" width="10" style="103" customWidth="1"/>
    <col min="2051" max="2051" width="10" style="103" bestFit="1" customWidth="1"/>
    <col min="2052" max="2053" width="8.83203125" style="103"/>
    <col min="2054" max="2054" width="8.5" style="103" bestFit="1" customWidth="1"/>
    <col min="2055" max="2305" width="8.83203125" style="103"/>
    <col min="2306" max="2306" width="10" style="103" customWidth="1"/>
    <col min="2307" max="2307" width="10" style="103" bestFit="1" customWidth="1"/>
    <col min="2308" max="2309" width="8.83203125" style="103"/>
    <col min="2310" max="2310" width="8.5" style="103" bestFit="1" customWidth="1"/>
    <col min="2311" max="2561" width="8.83203125" style="103"/>
    <col min="2562" max="2562" width="10" style="103" customWidth="1"/>
    <col min="2563" max="2563" width="10" style="103" bestFit="1" customWidth="1"/>
    <col min="2564" max="2565" width="8.83203125" style="103"/>
    <col min="2566" max="2566" width="8.5" style="103" bestFit="1" customWidth="1"/>
    <col min="2567" max="2817" width="8.83203125" style="103"/>
    <col min="2818" max="2818" width="10" style="103" customWidth="1"/>
    <col min="2819" max="2819" width="10" style="103" bestFit="1" customWidth="1"/>
    <col min="2820" max="2821" width="8.83203125" style="103"/>
    <col min="2822" max="2822" width="8.5" style="103" bestFit="1" customWidth="1"/>
    <col min="2823" max="3073" width="8.83203125" style="103"/>
    <col min="3074" max="3074" width="10" style="103" customWidth="1"/>
    <col min="3075" max="3075" width="10" style="103" bestFit="1" customWidth="1"/>
    <col min="3076" max="3077" width="8.83203125" style="103"/>
    <col min="3078" max="3078" width="8.5" style="103" bestFit="1" customWidth="1"/>
    <col min="3079" max="3329" width="8.83203125" style="103"/>
    <col min="3330" max="3330" width="10" style="103" customWidth="1"/>
    <col min="3331" max="3331" width="10" style="103" bestFit="1" customWidth="1"/>
    <col min="3332" max="3333" width="8.83203125" style="103"/>
    <col min="3334" max="3334" width="8.5" style="103" bestFit="1" customWidth="1"/>
    <col min="3335" max="3585" width="8.83203125" style="103"/>
    <col min="3586" max="3586" width="10" style="103" customWidth="1"/>
    <col min="3587" max="3587" width="10" style="103" bestFit="1" customWidth="1"/>
    <col min="3588" max="3589" width="8.83203125" style="103"/>
    <col min="3590" max="3590" width="8.5" style="103" bestFit="1" customWidth="1"/>
    <col min="3591" max="3841" width="8.83203125" style="103"/>
    <col min="3842" max="3842" width="10" style="103" customWidth="1"/>
    <col min="3843" max="3843" width="10" style="103" bestFit="1" customWidth="1"/>
    <col min="3844" max="3845" width="8.83203125" style="103"/>
    <col min="3846" max="3846" width="8.5" style="103" bestFit="1" customWidth="1"/>
    <col min="3847" max="4097" width="8.83203125" style="103"/>
    <col min="4098" max="4098" width="10" style="103" customWidth="1"/>
    <col min="4099" max="4099" width="10" style="103" bestFit="1" customWidth="1"/>
    <col min="4100" max="4101" width="8.83203125" style="103"/>
    <col min="4102" max="4102" width="8.5" style="103" bestFit="1" customWidth="1"/>
    <col min="4103" max="4353" width="8.83203125" style="103"/>
    <col min="4354" max="4354" width="10" style="103" customWidth="1"/>
    <col min="4355" max="4355" width="10" style="103" bestFit="1" customWidth="1"/>
    <col min="4356" max="4357" width="8.83203125" style="103"/>
    <col min="4358" max="4358" width="8.5" style="103" bestFit="1" customWidth="1"/>
    <col min="4359" max="4609" width="8.83203125" style="103"/>
    <col min="4610" max="4610" width="10" style="103" customWidth="1"/>
    <col min="4611" max="4611" width="10" style="103" bestFit="1" customWidth="1"/>
    <col min="4612" max="4613" width="8.83203125" style="103"/>
    <col min="4614" max="4614" width="8.5" style="103" bestFit="1" customWidth="1"/>
    <col min="4615" max="4865" width="8.83203125" style="103"/>
    <col min="4866" max="4866" width="10" style="103" customWidth="1"/>
    <col min="4867" max="4867" width="10" style="103" bestFit="1" customWidth="1"/>
    <col min="4868" max="4869" width="8.83203125" style="103"/>
    <col min="4870" max="4870" width="8.5" style="103" bestFit="1" customWidth="1"/>
    <col min="4871" max="5121" width="8.83203125" style="103"/>
    <col min="5122" max="5122" width="10" style="103" customWidth="1"/>
    <col min="5123" max="5123" width="10" style="103" bestFit="1" customWidth="1"/>
    <col min="5124" max="5125" width="8.83203125" style="103"/>
    <col min="5126" max="5126" width="8.5" style="103" bestFit="1" customWidth="1"/>
    <col min="5127" max="5377" width="8.83203125" style="103"/>
    <col min="5378" max="5378" width="10" style="103" customWidth="1"/>
    <col min="5379" max="5379" width="10" style="103" bestFit="1" customWidth="1"/>
    <col min="5380" max="5381" width="8.83203125" style="103"/>
    <col min="5382" max="5382" width="8.5" style="103" bestFit="1" customWidth="1"/>
    <col min="5383" max="5633" width="8.83203125" style="103"/>
    <col min="5634" max="5634" width="10" style="103" customWidth="1"/>
    <col min="5635" max="5635" width="10" style="103" bestFit="1" customWidth="1"/>
    <col min="5636" max="5637" width="8.83203125" style="103"/>
    <col min="5638" max="5638" width="8.5" style="103" bestFit="1" customWidth="1"/>
    <col min="5639" max="5889" width="8.83203125" style="103"/>
    <col min="5890" max="5890" width="10" style="103" customWidth="1"/>
    <col min="5891" max="5891" width="10" style="103" bestFit="1" customWidth="1"/>
    <col min="5892" max="5893" width="8.83203125" style="103"/>
    <col min="5894" max="5894" width="8.5" style="103" bestFit="1" customWidth="1"/>
    <col min="5895" max="6145" width="8.83203125" style="103"/>
    <col min="6146" max="6146" width="10" style="103" customWidth="1"/>
    <col min="6147" max="6147" width="10" style="103" bestFit="1" customWidth="1"/>
    <col min="6148" max="6149" width="8.83203125" style="103"/>
    <col min="6150" max="6150" width="8.5" style="103" bestFit="1" customWidth="1"/>
    <col min="6151" max="6401" width="8.83203125" style="103"/>
    <col min="6402" max="6402" width="10" style="103" customWidth="1"/>
    <col min="6403" max="6403" width="10" style="103" bestFit="1" customWidth="1"/>
    <col min="6404" max="6405" width="8.83203125" style="103"/>
    <col min="6406" max="6406" width="8.5" style="103" bestFit="1" customWidth="1"/>
    <col min="6407" max="6657" width="8.83203125" style="103"/>
    <col min="6658" max="6658" width="10" style="103" customWidth="1"/>
    <col min="6659" max="6659" width="10" style="103" bestFit="1" customWidth="1"/>
    <col min="6660" max="6661" width="8.83203125" style="103"/>
    <col min="6662" max="6662" width="8.5" style="103" bestFit="1" customWidth="1"/>
    <col min="6663" max="6913" width="8.83203125" style="103"/>
    <col min="6914" max="6914" width="10" style="103" customWidth="1"/>
    <col min="6915" max="6915" width="10" style="103" bestFit="1" customWidth="1"/>
    <col min="6916" max="6917" width="8.83203125" style="103"/>
    <col min="6918" max="6918" width="8.5" style="103" bestFit="1" customWidth="1"/>
    <col min="6919" max="7169" width="8.83203125" style="103"/>
    <col min="7170" max="7170" width="10" style="103" customWidth="1"/>
    <col min="7171" max="7171" width="10" style="103" bestFit="1" customWidth="1"/>
    <col min="7172" max="7173" width="8.83203125" style="103"/>
    <col min="7174" max="7174" width="8.5" style="103" bestFit="1" customWidth="1"/>
    <col min="7175" max="7425" width="8.83203125" style="103"/>
    <col min="7426" max="7426" width="10" style="103" customWidth="1"/>
    <col min="7427" max="7427" width="10" style="103" bestFit="1" customWidth="1"/>
    <col min="7428" max="7429" width="8.83203125" style="103"/>
    <col min="7430" max="7430" width="8.5" style="103" bestFit="1" customWidth="1"/>
    <col min="7431" max="7681" width="8.83203125" style="103"/>
    <col min="7682" max="7682" width="10" style="103" customWidth="1"/>
    <col min="7683" max="7683" width="10" style="103" bestFit="1" customWidth="1"/>
    <col min="7684" max="7685" width="8.83203125" style="103"/>
    <col min="7686" max="7686" width="8.5" style="103" bestFit="1" customWidth="1"/>
    <col min="7687" max="7937" width="8.83203125" style="103"/>
    <col min="7938" max="7938" width="10" style="103" customWidth="1"/>
    <col min="7939" max="7939" width="10" style="103" bestFit="1" customWidth="1"/>
    <col min="7940" max="7941" width="8.83203125" style="103"/>
    <col min="7942" max="7942" width="8.5" style="103" bestFit="1" customWidth="1"/>
    <col min="7943" max="8193" width="8.83203125" style="103"/>
    <col min="8194" max="8194" width="10" style="103" customWidth="1"/>
    <col min="8195" max="8195" width="10" style="103" bestFit="1" customWidth="1"/>
    <col min="8196" max="8197" width="8.83203125" style="103"/>
    <col min="8198" max="8198" width="8.5" style="103" bestFit="1" customWidth="1"/>
    <col min="8199" max="8449" width="8.83203125" style="103"/>
    <col min="8450" max="8450" width="10" style="103" customWidth="1"/>
    <col min="8451" max="8451" width="10" style="103" bestFit="1" customWidth="1"/>
    <col min="8452" max="8453" width="8.83203125" style="103"/>
    <col min="8454" max="8454" width="8.5" style="103" bestFit="1" customWidth="1"/>
    <col min="8455" max="8705" width="8.83203125" style="103"/>
    <col min="8706" max="8706" width="10" style="103" customWidth="1"/>
    <col min="8707" max="8707" width="10" style="103" bestFit="1" customWidth="1"/>
    <col min="8708" max="8709" width="8.83203125" style="103"/>
    <col min="8710" max="8710" width="8.5" style="103" bestFit="1" customWidth="1"/>
    <col min="8711" max="8961" width="8.83203125" style="103"/>
    <col min="8962" max="8962" width="10" style="103" customWidth="1"/>
    <col min="8963" max="8963" width="10" style="103" bestFit="1" customWidth="1"/>
    <col min="8964" max="8965" width="8.83203125" style="103"/>
    <col min="8966" max="8966" width="8.5" style="103" bestFit="1" customWidth="1"/>
    <col min="8967" max="9217" width="8.83203125" style="103"/>
    <col min="9218" max="9218" width="10" style="103" customWidth="1"/>
    <col min="9219" max="9219" width="10" style="103" bestFit="1" customWidth="1"/>
    <col min="9220" max="9221" width="8.83203125" style="103"/>
    <col min="9222" max="9222" width="8.5" style="103" bestFit="1" customWidth="1"/>
    <col min="9223" max="9473" width="8.83203125" style="103"/>
    <col min="9474" max="9474" width="10" style="103" customWidth="1"/>
    <col min="9475" max="9475" width="10" style="103" bestFit="1" customWidth="1"/>
    <col min="9476" max="9477" width="8.83203125" style="103"/>
    <col min="9478" max="9478" width="8.5" style="103" bestFit="1" customWidth="1"/>
    <col min="9479" max="9729" width="8.83203125" style="103"/>
    <col min="9730" max="9730" width="10" style="103" customWidth="1"/>
    <col min="9731" max="9731" width="10" style="103" bestFit="1" customWidth="1"/>
    <col min="9732" max="9733" width="8.83203125" style="103"/>
    <col min="9734" max="9734" width="8.5" style="103" bestFit="1" customWidth="1"/>
    <col min="9735" max="9985" width="8.83203125" style="103"/>
    <col min="9986" max="9986" width="10" style="103" customWidth="1"/>
    <col min="9987" max="9987" width="10" style="103" bestFit="1" customWidth="1"/>
    <col min="9988" max="9989" width="8.83203125" style="103"/>
    <col min="9990" max="9990" width="8.5" style="103" bestFit="1" customWidth="1"/>
    <col min="9991" max="10241" width="8.83203125" style="103"/>
    <col min="10242" max="10242" width="10" style="103" customWidth="1"/>
    <col min="10243" max="10243" width="10" style="103" bestFit="1" customWidth="1"/>
    <col min="10244" max="10245" width="8.83203125" style="103"/>
    <col min="10246" max="10246" width="8.5" style="103" bestFit="1" customWidth="1"/>
    <col min="10247" max="10497" width="8.83203125" style="103"/>
    <col min="10498" max="10498" width="10" style="103" customWidth="1"/>
    <col min="10499" max="10499" width="10" style="103" bestFit="1" customWidth="1"/>
    <col min="10500" max="10501" width="8.83203125" style="103"/>
    <col min="10502" max="10502" width="8.5" style="103" bestFit="1" customWidth="1"/>
    <col min="10503" max="10753" width="8.83203125" style="103"/>
    <col min="10754" max="10754" width="10" style="103" customWidth="1"/>
    <col min="10755" max="10755" width="10" style="103" bestFit="1" customWidth="1"/>
    <col min="10756" max="10757" width="8.83203125" style="103"/>
    <col min="10758" max="10758" width="8.5" style="103" bestFit="1" customWidth="1"/>
    <col min="10759" max="11009" width="8.83203125" style="103"/>
    <col min="11010" max="11010" width="10" style="103" customWidth="1"/>
    <col min="11011" max="11011" width="10" style="103" bestFit="1" customWidth="1"/>
    <col min="11012" max="11013" width="8.83203125" style="103"/>
    <col min="11014" max="11014" width="8.5" style="103" bestFit="1" customWidth="1"/>
    <col min="11015" max="11265" width="8.83203125" style="103"/>
    <col min="11266" max="11266" width="10" style="103" customWidth="1"/>
    <col min="11267" max="11267" width="10" style="103" bestFit="1" customWidth="1"/>
    <col min="11268" max="11269" width="8.83203125" style="103"/>
    <col min="11270" max="11270" width="8.5" style="103" bestFit="1" customWidth="1"/>
    <col min="11271" max="11521" width="8.83203125" style="103"/>
    <col min="11522" max="11522" width="10" style="103" customWidth="1"/>
    <col min="11523" max="11523" width="10" style="103" bestFit="1" customWidth="1"/>
    <col min="11524" max="11525" width="8.83203125" style="103"/>
    <col min="11526" max="11526" width="8.5" style="103" bestFit="1" customWidth="1"/>
    <col min="11527" max="11777" width="8.83203125" style="103"/>
    <col min="11778" max="11778" width="10" style="103" customWidth="1"/>
    <col min="11779" max="11779" width="10" style="103" bestFit="1" customWidth="1"/>
    <col min="11780" max="11781" width="8.83203125" style="103"/>
    <col min="11782" max="11782" width="8.5" style="103" bestFit="1" customWidth="1"/>
    <col min="11783" max="12033" width="8.83203125" style="103"/>
    <col min="12034" max="12034" width="10" style="103" customWidth="1"/>
    <col min="12035" max="12035" width="10" style="103" bestFit="1" customWidth="1"/>
    <col min="12036" max="12037" width="8.83203125" style="103"/>
    <col min="12038" max="12038" width="8.5" style="103" bestFit="1" customWidth="1"/>
    <col min="12039" max="12289" width="8.83203125" style="103"/>
    <col min="12290" max="12290" width="10" style="103" customWidth="1"/>
    <col min="12291" max="12291" width="10" style="103" bestFit="1" customWidth="1"/>
    <col min="12292" max="12293" width="8.83203125" style="103"/>
    <col min="12294" max="12294" width="8.5" style="103" bestFit="1" customWidth="1"/>
    <col min="12295" max="12545" width="8.83203125" style="103"/>
    <col min="12546" max="12546" width="10" style="103" customWidth="1"/>
    <col min="12547" max="12547" width="10" style="103" bestFit="1" customWidth="1"/>
    <col min="12548" max="12549" width="8.83203125" style="103"/>
    <col min="12550" max="12550" width="8.5" style="103" bestFit="1" customWidth="1"/>
    <col min="12551" max="12801" width="8.83203125" style="103"/>
    <col min="12802" max="12802" width="10" style="103" customWidth="1"/>
    <col min="12803" max="12803" width="10" style="103" bestFit="1" customWidth="1"/>
    <col min="12804" max="12805" width="8.83203125" style="103"/>
    <col min="12806" max="12806" width="8.5" style="103" bestFit="1" customWidth="1"/>
    <col min="12807" max="13057" width="8.83203125" style="103"/>
    <col min="13058" max="13058" width="10" style="103" customWidth="1"/>
    <col min="13059" max="13059" width="10" style="103" bestFit="1" customWidth="1"/>
    <col min="13060" max="13061" width="8.83203125" style="103"/>
    <col min="13062" max="13062" width="8.5" style="103" bestFit="1" customWidth="1"/>
    <col min="13063" max="13313" width="8.83203125" style="103"/>
    <col min="13314" max="13314" width="10" style="103" customWidth="1"/>
    <col min="13315" max="13315" width="10" style="103" bestFit="1" customWidth="1"/>
    <col min="13316" max="13317" width="8.83203125" style="103"/>
    <col min="13318" max="13318" width="8.5" style="103" bestFit="1" customWidth="1"/>
    <col min="13319" max="13569" width="8.83203125" style="103"/>
    <col min="13570" max="13570" width="10" style="103" customWidth="1"/>
    <col min="13571" max="13571" width="10" style="103" bestFit="1" customWidth="1"/>
    <col min="13572" max="13573" width="8.83203125" style="103"/>
    <col min="13574" max="13574" width="8.5" style="103" bestFit="1" customWidth="1"/>
    <col min="13575" max="13825" width="8.83203125" style="103"/>
    <col min="13826" max="13826" width="10" style="103" customWidth="1"/>
    <col min="13827" max="13827" width="10" style="103" bestFit="1" customWidth="1"/>
    <col min="13828" max="13829" width="8.83203125" style="103"/>
    <col min="13830" max="13830" width="8.5" style="103" bestFit="1" customWidth="1"/>
    <col min="13831" max="14081" width="8.83203125" style="103"/>
    <col min="14082" max="14082" width="10" style="103" customWidth="1"/>
    <col min="14083" max="14083" width="10" style="103" bestFit="1" customWidth="1"/>
    <col min="14084" max="14085" width="8.83203125" style="103"/>
    <col min="14086" max="14086" width="8.5" style="103" bestFit="1" customWidth="1"/>
    <col min="14087" max="14337" width="8.83203125" style="103"/>
    <col min="14338" max="14338" width="10" style="103" customWidth="1"/>
    <col min="14339" max="14339" width="10" style="103" bestFit="1" customWidth="1"/>
    <col min="14340" max="14341" width="8.83203125" style="103"/>
    <col min="14342" max="14342" width="8.5" style="103" bestFit="1" customWidth="1"/>
    <col min="14343" max="14593" width="8.83203125" style="103"/>
    <col min="14594" max="14594" width="10" style="103" customWidth="1"/>
    <col min="14595" max="14595" width="10" style="103" bestFit="1" customWidth="1"/>
    <col min="14596" max="14597" width="8.83203125" style="103"/>
    <col min="14598" max="14598" width="8.5" style="103" bestFit="1" customWidth="1"/>
    <col min="14599" max="14849" width="8.83203125" style="103"/>
    <col min="14850" max="14850" width="10" style="103" customWidth="1"/>
    <col min="14851" max="14851" width="10" style="103" bestFit="1" customWidth="1"/>
    <col min="14852" max="14853" width="8.83203125" style="103"/>
    <col min="14854" max="14854" width="8.5" style="103" bestFit="1" customWidth="1"/>
    <col min="14855" max="15105" width="8.83203125" style="103"/>
    <col min="15106" max="15106" width="10" style="103" customWidth="1"/>
    <col min="15107" max="15107" width="10" style="103" bestFit="1" customWidth="1"/>
    <col min="15108" max="15109" width="8.83203125" style="103"/>
    <col min="15110" max="15110" width="8.5" style="103" bestFit="1" customWidth="1"/>
    <col min="15111" max="15361" width="8.83203125" style="103"/>
    <col min="15362" max="15362" width="10" style="103" customWidth="1"/>
    <col min="15363" max="15363" width="10" style="103" bestFit="1" customWidth="1"/>
    <col min="15364" max="15365" width="8.83203125" style="103"/>
    <col min="15366" max="15366" width="8.5" style="103" bestFit="1" customWidth="1"/>
    <col min="15367" max="15617" width="8.83203125" style="103"/>
    <col min="15618" max="15618" width="10" style="103" customWidth="1"/>
    <col min="15619" max="15619" width="10" style="103" bestFit="1" customWidth="1"/>
    <col min="15620" max="15621" width="8.83203125" style="103"/>
    <col min="15622" max="15622" width="8.5" style="103" bestFit="1" customWidth="1"/>
    <col min="15623" max="15873" width="8.83203125" style="103"/>
    <col min="15874" max="15874" width="10" style="103" customWidth="1"/>
    <col min="15875" max="15875" width="10" style="103" bestFit="1" customWidth="1"/>
    <col min="15876" max="15877" width="8.83203125" style="103"/>
    <col min="15878" max="15878" width="8.5" style="103" bestFit="1" customWidth="1"/>
    <col min="15879" max="16129" width="8.83203125" style="103"/>
    <col min="16130" max="16130" width="10" style="103" customWidth="1"/>
    <col min="16131" max="16131" width="10" style="103" bestFit="1" customWidth="1"/>
    <col min="16132" max="16133" width="8.83203125" style="103"/>
    <col min="16134" max="16134" width="8.5" style="103" bestFit="1" customWidth="1"/>
    <col min="16135" max="16384" width="8.83203125" style="103"/>
  </cols>
  <sheetData>
    <row r="1" spans="1:4" s="167" customFormat="1" ht="16" x14ac:dyDescent="0.2">
      <c r="A1" s="167" t="s">
        <v>156</v>
      </c>
      <c r="B1" s="167" t="s">
        <v>157</v>
      </c>
    </row>
    <row r="2" spans="1:4" s="167" customFormat="1" ht="16" x14ac:dyDescent="0.2"/>
    <row r="5" spans="1:4" x14ac:dyDescent="0.15">
      <c r="A5" s="100" t="s">
        <v>113</v>
      </c>
    </row>
    <row r="6" spans="1:4" x14ac:dyDescent="0.15">
      <c r="B6" s="104" t="s">
        <v>123</v>
      </c>
      <c r="C6" s="104" t="s">
        <v>158</v>
      </c>
      <c r="D6" s="104"/>
    </row>
    <row r="7" spans="1:4" x14ac:dyDescent="0.15">
      <c r="B7" s="104"/>
      <c r="C7" s="104"/>
      <c r="D7" s="104"/>
    </row>
    <row r="8" spans="1:4" x14ac:dyDescent="0.15">
      <c r="B8" s="104"/>
      <c r="C8" s="104"/>
      <c r="D8" s="104"/>
    </row>
    <row r="9" spans="1:4" x14ac:dyDescent="0.15">
      <c r="B9" s="104"/>
      <c r="C9" s="104"/>
      <c r="D9" s="104"/>
    </row>
    <row r="10" spans="1:4" x14ac:dyDescent="0.15">
      <c r="A10" s="103" t="s">
        <v>159</v>
      </c>
      <c r="B10" s="168">
        <v>238.28</v>
      </c>
      <c r="C10" s="106">
        <v>414.47</v>
      </c>
      <c r="D10" s="106">
        <v>1.7394242068155112</v>
      </c>
    </row>
    <row r="11" spans="1:4" x14ac:dyDescent="0.15">
      <c r="A11" s="103" t="s">
        <v>160</v>
      </c>
      <c r="B11" s="168">
        <v>1302.1600000000001</v>
      </c>
      <c r="C11" s="106">
        <v>2262.61</v>
      </c>
      <c r="D11" s="106">
        <v>1.7375821711617621</v>
      </c>
    </row>
    <row r="12" spans="1:4" x14ac:dyDescent="0.15">
      <c r="A12" s="103" t="s">
        <v>161</v>
      </c>
      <c r="B12" s="168">
        <v>1304.817</v>
      </c>
      <c r="C12" s="106">
        <v>2224.61</v>
      </c>
      <c r="D12" s="106">
        <v>1.7049210732232949</v>
      </c>
    </row>
    <row r="13" spans="1:4" x14ac:dyDescent="0.15">
      <c r="A13" s="103" t="s">
        <v>162</v>
      </c>
      <c r="B13" s="168">
        <v>1352.116</v>
      </c>
      <c r="C13" s="106">
        <v>2463.39</v>
      </c>
      <c r="D13" s="106">
        <v>1.8218777087172993</v>
      </c>
    </row>
    <row r="14" spans="1:4" x14ac:dyDescent="0.15">
      <c r="A14" s="103" t="s">
        <v>163</v>
      </c>
      <c r="B14" s="168">
        <v>1619.902</v>
      </c>
      <c r="C14" s="106">
        <v>2980.25</v>
      </c>
      <c r="D14" s="106">
        <v>1.8397717886637586</v>
      </c>
    </row>
    <row r="15" spans="1:4" x14ac:dyDescent="0.15">
      <c r="A15" s="103" t="s">
        <v>164</v>
      </c>
      <c r="B15" s="168">
        <v>1550.2940000000001</v>
      </c>
      <c r="C15" s="106">
        <v>2713.43</v>
      </c>
      <c r="D15" s="106">
        <v>1.7502680136799857</v>
      </c>
    </row>
    <row r="16" spans="1:4" x14ac:dyDescent="0.15">
      <c r="A16" s="103" t="s">
        <v>165</v>
      </c>
      <c r="B16" s="168">
        <v>1936.124</v>
      </c>
      <c r="C16" s="106">
        <v>3207.29</v>
      </c>
      <c r="D16" s="106">
        <v>1.6565519563829589</v>
      </c>
    </row>
    <row r="17" spans="1:6" x14ac:dyDescent="0.15">
      <c r="A17" s="103" t="s">
        <v>166</v>
      </c>
      <c r="B17" s="168">
        <v>1548.547</v>
      </c>
      <c r="C17" s="106">
        <v>2718.64</v>
      </c>
      <c r="D17" s="106">
        <v>1.755607030332305</v>
      </c>
    </row>
    <row r="18" spans="1:6" x14ac:dyDescent="0.15">
      <c r="A18" s="103" t="s">
        <v>167</v>
      </c>
      <c r="B18" s="168">
        <v>1960.4549999999999</v>
      </c>
      <c r="C18" s="106">
        <v>3531.99</v>
      </c>
      <c r="D18" s="106">
        <v>1.8016174816560442</v>
      </c>
    </row>
    <row r="19" spans="1:6" x14ac:dyDescent="0.15">
      <c r="A19" s="103" t="s">
        <v>168</v>
      </c>
      <c r="B19" s="168">
        <v>1478.6790000000001</v>
      </c>
      <c r="C19" s="106">
        <v>2950.96</v>
      </c>
      <c r="D19" s="106">
        <v>1.9956731650344666</v>
      </c>
    </row>
    <row r="20" spans="1:6" x14ac:dyDescent="0.15">
      <c r="A20" s="103" t="s">
        <v>169</v>
      </c>
      <c r="B20" s="168">
        <v>1840.9649999999999</v>
      </c>
      <c r="C20" s="106">
        <v>3686.29</v>
      </c>
      <c r="D20" s="106">
        <v>2.0023683231348777</v>
      </c>
    </row>
    <row r="21" spans="1:6" x14ac:dyDescent="0.15">
      <c r="A21" s="103" t="s">
        <v>170</v>
      </c>
      <c r="B21" s="168"/>
      <c r="C21" s="106"/>
      <c r="D21" s="106"/>
    </row>
    <row r="22" spans="1:6" ht="14" thickBot="1" x14ac:dyDescent="0.2">
      <c r="B22" s="169">
        <v>16132.339</v>
      </c>
      <c r="C22" s="109">
        <v>29153.93</v>
      </c>
      <c r="D22" s="109">
        <v>1.8071731569737035</v>
      </c>
      <c r="F22" s="168"/>
    </row>
    <row r="23" spans="1:6" ht="14" thickTop="1" x14ac:dyDescent="0.15"/>
    <row r="27" spans="1:6" x14ac:dyDescent="0.15">
      <c r="A27" s="100" t="s">
        <v>119</v>
      </c>
    </row>
    <row r="28" spans="1:6" x14ac:dyDescent="0.15">
      <c r="B28" s="104" t="s">
        <v>123</v>
      </c>
      <c r="C28" s="104" t="s">
        <v>158</v>
      </c>
      <c r="D28" s="104"/>
    </row>
    <row r="29" spans="1:6" x14ac:dyDescent="0.15">
      <c r="B29" s="104"/>
      <c r="C29" s="104"/>
      <c r="D29" s="104"/>
    </row>
    <row r="30" spans="1:6" x14ac:dyDescent="0.15">
      <c r="B30" s="104"/>
      <c r="C30" s="104"/>
      <c r="D30" s="104"/>
    </row>
    <row r="31" spans="1:6" x14ac:dyDescent="0.15">
      <c r="B31" s="104"/>
      <c r="C31" s="104"/>
      <c r="D31" s="104"/>
    </row>
    <row r="32" spans="1:6" x14ac:dyDescent="0.15">
      <c r="A32" s="103" t="s">
        <v>159</v>
      </c>
      <c r="B32" s="168">
        <v>1430.7370000000001</v>
      </c>
      <c r="C32" s="106">
        <v>3083.17</v>
      </c>
      <c r="D32" s="106">
        <v>2.1549523077966111</v>
      </c>
    </row>
    <row r="33" spans="1:6" x14ac:dyDescent="0.15">
      <c r="A33" s="103" t="s">
        <v>160</v>
      </c>
      <c r="B33" s="168">
        <v>1486.402</v>
      </c>
      <c r="C33" s="106">
        <v>3504.1</v>
      </c>
      <c r="D33" s="106">
        <v>2.3574376245457151</v>
      </c>
    </row>
    <row r="34" spans="1:6" x14ac:dyDescent="0.15">
      <c r="A34" s="103" t="s">
        <v>161</v>
      </c>
      <c r="B34" s="168">
        <v>1408.9469999999999</v>
      </c>
      <c r="C34" s="106">
        <v>4247.88</v>
      </c>
      <c r="D34" s="106">
        <v>3.0149324282602543</v>
      </c>
    </row>
    <row r="35" spans="1:6" x14ac:dyDescent="0.15">
      <c r="A35" s="103" t="s">
        <v>162</v>
      </c>
      <c r="B35" s="168">
        <v>171.727</v>
      </c>
      <c r="C35" s="106">
        <v>436.84</v>
      </c>
      <c r="D35" s="106">
        <v>2.5438049928083526</v>
      </c>
    </row>
    <row r="36" spans="1:6" x14ac:dyDescent="0.15">
      <c r="A36" s="103" t="s">
        <v>163</v>
      </c>
      <c r="B36" s="168">
        <v>1480.019</v>
      </c>
      <c r="C36" s="106">
        <v>3159.05</v>
      </c>
      <c r="D36" s="106">
        <v>2.134465841316902</v>
      </c>
    </row>
    <row r="37" spans="1:6" x14ac:dyDescent="0.15">
      <c r="A37" s="103" t="s">
        <v>164</v>
      </c>
      <c r="B37" s="168">
        <v>23.367999999999999</v>
      </c>
      <c r="C37" s="106">
        <v>45.47</v>
      </c>
      <c r="D37" s="106">
        <v>1.9458233481684355</v>
      </c>
    </row>
    <row r="38" spans="1:6" x14ac:dyDescent="0.15">
      <c r="A38" s="103" t="s">
        <v>165</v>
      </c>
      <c r="B38" s="168">
        <v>0</v>
      </c>
      <c r="C38" s="106">
        <v>0</v>
      </c>
      <c r="D38" s="106"/>
    </row>
    <row r="39" spans="1:6" x14ac:dyDescent="0.15">
      <c r="A39" s="103" t="s">
        <v>166</v>
      </c>
      <c r="B39" s="168">
        <v>460.36</v>
      </c>
      <c r="C39" s="106">
        <v>947.18</v>
      </c>
      <c r="D39" s="106">
        <v>2.0574767573203578</v>
      </c>
    </row>
    <row r="40" spans="1:6" x14ac:dyDescent="0.15">
      <c r="A40" s="103" t="s">
        <v>167</v>
      </c>
      <c r="B40" s="168">
        <v>1372.778</v>
      </c>
      <c r="C40" s="106">
        <v>3020.95</v>
      </c>
      <c r="D40" s="106">
        <v>2.2006107323981006</v>
      </c>
    </row>
    <row r="41" spans="1:6" x14ac:dyDescent="0.15">
      <c r="A41" s="103" t="s">
        <v>168</v>
      </c>
      <c r="B41" s="168">
        <v>1793.73</v>
      </c>
      <c r="C41" s="106">
        <v>4555.99</v>
      </c>
      <c r="D41" s="106">
        <v>2.5399530587100623</v>
      </c>
    </row>
    <row r="42" spans="1:6" x14ac:dyDescent="0.15">
      <c r="A42" s="103" t="s">
        <v>169</v>
      </c>
      <c r="B42" s="168">
        <v>1646.173</v>
      </c>
      <c r="C42" s="106">
        <v>4544</v>
      </c>
      <c r="D42" s="106">
        <v>2.7603417137809938</v>
      </c>
    </row>
    <row r="43" spans="1:6" x14ac:dyDescent="0.15">
      <c r="A43" s="103" t="s">
        <v>170</v>
      </c>
      <c r="B43" s="168">
        <v>1522.877</v>
      </c>
      <c r="C43" s="106">
        <v>4285.51</v>
      </c>
      <c r="D43" s="106">
        <v>2.8140880714594814</v>
      </c>
    </row>
    <row r="44" spans="1:6" ht="14" thickBot="1" x14ac:dyDescent="0.2">
      <c r="B44" s="169">
        <v>12797.118000000002</v>
      </c>
      <c r="C44" s="109">
        <v>31830.14</v>
      </c>
      <c r="D44" s="109">
        <v>2.4872897163251908</v>
      </c>
      <c r="F44" s="168"/>
    </row>
    <row r="45" spans="1:6" ht="14" thickTop="1" x14ac:dyDescent="0.15"/>
    <row r="47" spans="1:6" x14ac:dyDescent="0.15">
      <c r="A47" s="100" t="s">
        <v>124</v>
      </c>
    </row>
    <row r="48" spans="1:6" x14ac:dyDescent="0.15">
      <c r="B48" s="104" t="s">
        <v>123</v>
      </c>
      <c r="C48" s="104" t="s">
        <v>158</v>
      </c>
      <c r="D48" s="104"/>
    </row>
    <row r="49" spans="1:4" x14ac:dyDescent="0.15">
      <c r="B49" s="104"/>
      <c r="C49" s="104"/>
      <c r="D49" s="104"/>
    </row>
    <row r="50" spans="1:4" x14ac:dyDescent="0.15">
      <c r="B50" s="104"/>
      <c r="C50" s="104"/>
      <c r="D50" s="104"/>
    </row>
    <row r="51" spans="1:4" x14ac:dyDescent="0.15">
      <c r="B51" s="104"/>
      <c r="C51" s="104"/>
      <c r="D51" s="104"/>
    </row>
    <row r="52" spans="1:4" x14ac:dyDescent="0.15">
      <c r="A52" s="103" t="s">
        <v>159</v>
      </c>
      <c r="B52" s="168">
        <v>1373.5650000000001</v>
      </c>
      <c r="C52" s="106">
        <v>4156.2700000000004</v>
      </c>
      <c r="D52" s="106">
        <v>3.0258997572011519</v>
      </c>
    </row>
    <row r="53" spans="1:4" x14ac:dyDescent="0.15">
      <c r="A53" s="103" t="s">
        <v>160</v>
      </c>
      <c r="B53" s="168">
        <v>1698.7539999999999</v>
      </c>
      <c r="C53" s="106">
        <v>4993.12</v>
      </c>
      <c r="D53" s="106">
        <v>2.9392837338425695</v>
      </c>
    </row>
    <row r="54" spans="1:4" x14ac:dyDescent="0.15">
      <c r="A54" s="103" t="s">
        <v>161</v>
      </c>
      <c r="B54" s="168">
        <v>1624.05</v>
      </c>
      <c r="C54" s="106">
        <v>4124.04</v>
      </c>
      <c r="D54" s="106">
        <v>2.539355315415166</v>
      </c>
    </row>
    <row r="55" spans="1:4" x14ac:dyDescent="0.15">
      <c r="A55" s="103" t="s">
        <v>162</v>
      </c>
      <c r="B55" s="168">
        <v>2026.67</v>
      </c>
      <c r="C55" s="106">
        <v>4546.8999999999996</v>
      </c>
      <c r="D55" s="106">
        <v>2.2435324941899766</v>
      </c>
    </row>
    <row r="56" spans="1:4" x14ac:dyDescent="0.15">
      <c r="A56" s="103" t="s">
        <v>163</v>
      </c>
      <c r="B56" s="168">
        <v>1633.7529999999999</v>
      </c>
      <c r="C56" s="106">
        <v>3473.8</v>
      </c>
      <c r="D56" s="106">
        <v>2.1262700053190415</v>
      </c>
    </row>
    <row r="57" spans="1:4" x14ac:dyDescent="0.15">
      <c r="A57" s="103" t="s">
        <v>164</v>
      </c>
      <c r="B57" s="168">
        <v>1687.0250000000001</v>
      </c>
      <c r="C57" s="106">
        <v>3783.86</v>
      </c>
      <c r="D57" s="106">
        <v>2.2429187474992962</v>
      </c>
    </row>
    <row r="58" spans="1:4" x14ac:dyDescent="0.15">
      <c r="A58" s="103" t="s">
        <v>165</v>
      </c>
      <c r="B58" s="168">
        <v>1784.2650000000001</v>
      </c>
      <c r="C58" s="106">
        <v>3979.34</v>
      </c>
      <c r="D58" s="106">
        <v>2.2302404631599004</v>
      </c>
    </row>
    <row r="59" spans="1:4" x14ac:dyDescent="0.15">
      <c r="A59" s="103" t="s">
        <v>166</v>
      </c>
      <c r="B59" s="168">
        <v>1955.1510000000001</v>
      </c>
      <c r="C59" s="106">
        <v>4225.18</v>
      </c>
      <c r="D59" s="106">
        <v>2.1610504764082159</v>
      </c>
    </row>
    <row r="60" spans="1:4" x14ac:dyDescent="0.15">
      <c r="A60" s="103" t="s">
        <v>167</v>
      </c>
      <c r="B60" s="168">
        <v>2128.9540000000002</v>
      </c>
      <c r="C60" s="106">
        <v>5219.13</v>
      </c>
      <c r="D60" s="106">
        <v>2.451499656638894</v>
      </c>
    </row>
    <row r="61" spans="1:4" x14ac:dyDescent="0.15">
      <c r="A61" s="103" t="s">
        <v>168</v>
      </c>
      <c r="B61" s="168">
        <v>1890.03</v>
      </c>
      <c r="C61" s="106">
        <v>5047.6499999999996</v>
      </c>
      <c r="D61" s="106">
        <v>2.6706718940969187</v>
      </c>
    </row>
    <row r="62" spans="1:4" x14ac:dyDescent="0.15">
      <c r="A62" s="103" t="s">
        <v>169</v>
      </c>
      <c r="B62" s="168">
        <v>2053.5450000000001</v>
      </c>
      <c r="C62" s="106">
        <v>6034.79</v>
      </c>
      <c r="D62" s="106">
        <v>2.9387181678512033</v>
      </c>
    </row>
    <row r="63" spans="1:4" x14ac:dyDescent="0.15">
      <c r="A63" s="103" t="s">
        <v>170</v>
      </c>
      <c r="B63" s="168">
        <v>1642.7180000000001</v>
      </c>
      <c r="C63" s="106">
        <v>4823.97</v>
      </c>
      <c r="D63" s="106">
        <v>2.9365782806300289</v>
      </c>
    </row>
    <row r="64" spans="1:4" ht="14" thickBot="1" x14ac:dyDescent="0.2">
      <c r="B64" s="169">
        <v>21498.479999999996</v>
      </c>
      <c r="C64" s="109">
        <v>54408.05</v>
      </c>
      <c r="D64" s="109">
        <v>2.5307858974215858</v>
      </c>
    </row>
    <row r="65" spans="1:4" ht="14" thickTop="1" x14ac:dyDescent="0.15"/>
    <row r="67" spans="1:4" x14ac:dyDescent="0.15">
      <c r="A67" s="100" t="s">
        <v>126</v>
      </c>
    </row>
    <row r="68" spans="1:4" x14ac:dyDescent="0.15">
      <c r="B68" s="104" t="s">
        <v>123</v>
      </c>
      <c r="C68" s="104" t="s">
        <v>158</v>
      </c>
      <c r="D68" s="104"/>
    </row>
    <row r="69" spans="1:4" x14ac:dyDescent="0.15">
      <c r="B69" s="104"/>
      <c r="C69" s="104"/>
      <c r="D69" s="104"/>
    </row>
    <row r="70" spans="1:4" x14ac:dyDescent="0.15">
      <c r="A70" s="103" t="s">
        <v>159</v>
      </c>
      <c r="B70" s="168">
        <v>1572.9179999999999</v>
      </c>
      <c r="C70" s="106">
        <v>4509.17</v>
      </c>
      <c r="D70" s="106">
        <v>2.8667546559960533</v>
      </c>
    </row>
    <row r="71" spans="1:4" x14ac:dyDescent="0.15">
      <c r="A71" s="103" t="s">
        <v>160</v>
      </c>
      <c r="B71" s="168">
        <v>1819.434</v>
      </c>
      <c r="C71" s="106">
        <v>4953.29</v>
      </c>
      <c r="D71" s="106">
        <v>2.7224345593189971</v>
      </c>
    </row>
    <row r="72" spans="1:4" x14ac:dyDescent="0.15">
      <c r="A72" s="103" t="s">
        <v>161</v>
      </c>
      <c r="B72" s="168">
        <v>1621.144</v>
      </c>
      <c r="C72" s="106">
        <v>4240.8900000000003</v>
      </c>
      <c r="D72" s="106">
        <v>2.615985995075083</v>
      </c>
    </row>
    <row r="73" spans="1:4" x14ac:dyDescent="0.15">
      <c r="A73" s="103" t="s">
        <v>162</v>
      </c>
      <c r="B73" s="168">
        <v>2333.6860000000001</v>
      </c>
      <c r="C73" s="106">
        <v>6130.44</v>
      </c>
      <c r="D73" s="106">
        <v>2.6269343862027705</v>
      </c>
    </row>
    <row r="74" spans="1:4" x14ac:dyDescent="0.15">
      <c r="A74" s="103" t="s">
        <v>163</v>
      </c>
      <c r="B74" s="168">
        <v>1628.915</v>
      </c>
      <c r="C74" s="106">
        <v>4770.09</v>
      </c>
      <c r="D74" s="106">
        <v>2.9283848451269714</v>
      </c>
    </row>
    <row r="75" spans="1:4" x14ac:dyDescent="0.15">
      <c r="A75" s="103" t="s">
        <v>164</v>
      </c>
      <c r="B75" s="168">
        <v>1817.876</v>
      </c>
      <c r="C75" s="106">
        <v>5409.88</v>
      </c>
      <c r="D75" s="106">
        <v>2.9759345521916787</v>
      </c>
    </row>
    <row r="76" spans="1:4" x14ac:dyDescent="0.15">
      <c r="A76" s="103" t="s">
        <v>165</v>
      </c>
      <c r="B76" s="168">
        <v>1745.134</v>
      </c>
      <c r="C76" s="106">
        <v>5220.6899999999996</v>
      </c>
      <c r="D76" s="106">
        <v>2.9915697018108633</v>
      </c>
    </row>
    <row r="77" spans="1:4" x14ac:dyDescent="0.15">
      <c r="A77" s="103" t="s">
        <v>166</v>
      </c>
      <c r="B77" s="168">
        <v>1807.0119999999999</v>
      </c>
      <c r="C77" s="106">
        <v>5305.09</v>
      </c>
      <c r="D77" s="106">
        <v>2.9358355118837065</v>
      </c>
    </row>
    <row r="78" spans="1:4" x14ac:dyDescent="0.15">
      <c r="A78" s="103" t="s">
        <v>167</v>
      </c>
      <c r="B78" s="168">
        <v>2027.9</v>
      </c>
      <c r="C78" s="106">
        <v>6200.78</v>
      </c>
      <c r="D78" s="106">
        <v>3.0577346022979435</v>
      </c>
    </row>
    <row r="79" spans="1:4" x14ac:dyDescent="0.15">
      <c r="A79" s="103" t="s">
        <v>168</v>
      </c>
      <c r="B79" s="168">
        <v>1926.0219999999999</v>
      </c>
      <c r="C79" s="106">
        <v>6226.68</v>
      </c>
      <c r="D79" s="106">
        <v>3.2329225730547213</v>
      </c>
    </row>
    <row r="80" spans="1:4" x14ac:dyDescent="0.15">
      <c r="A80" s="103" t="s">
        <v>169</v>
      </c>
      <c r="B80" s="168">
        <v>2048.299</v>
      </c>
      <c r="C80" s="106">
        <v>7514.3</v>
      </c>
      <c r="D80" s="106">
        <v>3.6685562019998059</v>
      </c>
    </row>
    <row r="81" spans="1:4" x14ac:dyDescent="0.15">
      <c r="A81" s="103" t="s">
        <v>170</v>
      </c>
      <c r="B81" s="168">
        <v>1830.5309999999999</v>
      </c>
      <c r="C81" s="106">
        <v>7320.55</v>
      </c>
      <c r="D81" s="106">
        <v>3.9991401402106823</v>
      </c>
    </row>
    <row r="82" spans="1:4" ht="14" thickBot="1" x14ac:dyDescent="0.2">
      <c r="B82" s="169">
        <v>22178.870999999999</v>
      </c>
      <c r="C82" s="109">
        <v>67801.849999999991</v>
      </c>
      <c r="D82" s="109">
        <v>3.0570469524801327</v>
      </c>
    </row>
    <row r="83" spans="1:4" ht="14" thickTop="1" x14ac:dyDescent="0.15"/>
    <row r="84" spans="1:4" x14ac:dyDescent="0.15">
      <c r="A84" s="102" t="s">
        <v>171</v>
      </c>
    </row>
    <row r="85" spans="1:4" x14ac:dyDescent="0.15">
      <c r="A85" s="100" t="s">
        <v>128</v>
      </c>
    </row>
    <row r="86" spans="1:4" x14ac:dyDescent="0.15">
      <c r="B86" s="104" t="s">
        <v>123</v>
      </c>
      <c r="C86" s="104" t="s">
        <v>158</v>
      </c>
      <c r="D86" s="104"/>
    </row>
    <row r="87" spans="1:4" x14ac:dyDescent="0.15">
      <c r="B87" s="104"/>
      <c r="C87" s="104"/>
      <c r="D87" s="104"/>
    </row>
    <row r="88" spans="1:4" x14ac:dyDescent="0.15">
      <c r="A88" s="103" t="s">
        <v>159</v>
      </c>
      <c r="B88" s="168">
        <v>1691.6279999999999</v>
      </c>
      <c r="C88" s="106">
        <v>6726.07</v>
      </c>
      <c r="D88" s="106">
        <v>3.976092852565694</v>
      </c>
    </row>
    <row r="89" spans="1:4" x14ac:dyDescent="0.15">
      <c r="A89" s="103" t="s">
        <v>160</v>
      </c>
      <c r="B89" s="168">
        <v>1568.9590000000001</v>
      </c>
      <c r="C89" s="106">
        <v>5759.68</v>
      </c>
      <c r="D89" s="106">
        <v>3.671020084017492</v>
      </c>
    </row>
    <row r="90" spans="1:4" x14ac:dyDescent="0.15">
      <c r="A90" s="103" t="s">
        <v>161</v>
      </c>
      <c r="B90" s="168">
        <v>1660.8839999999998</v>
      </c>
      <c r="C90" s="106">
        <v>5755.07</v>
      </c>
      <c r="D90" s="106">
        <v>3.4650643873985181</v>
      </c>
    </row>
    <row r="91" spans="1:4" x14ac:dyDescent="0.15">
      <c r="A91" s="103" t="s">
        <v>162</v>
      </c>
      <c r="B91" s="168">
        <v>557.18899999999996</v>
      </c>
      <c r="C91" s="106">
        <v>1874.3</v>
      </c>
      <c r="D91" s="106">
        <v>3.3638496093785055</v>
      </c>
    </row>
    <row r="92" spans="1:4" ht="14" thickBot="1" x14ac:dyDescent="0.2">
      <c r="B92" s="169">
        <v>5478.66</v>
      </c>
      <c r="C92" s="109">
        <v>20115.12</v>
      </c>
      <c r="D92" s="109">
        <v>3.6715401211245084</v>
      </c>
    </row>
    <row r="93" spans="1:4" ht="14" thickTop="1" x14ac:dyDescent="0.15"/>
    <row r="94" spans="1:4" x14ac:dyDescent="0.15">
      <c r="A94" s="102" t="s">
        <v>172</v>
      </c>
    </row>
    <row r="95" spans="1:4" x14ac:dyDescent="0.15">
      <c r="A95" s="100" t="s">
        <v>128</v>
      </c>
    </row>
    <row r="96" spans="1:4" x14ac:dyDescent="0.15">
      <c r="B96" s="104" t="s">
        <v>123</v>
      </c>
      <c r="C96" s="104" t="s">
        <v>158</v>
      </c>
      <c r="D96" s="104"/>
    </row>
    <row r="97" spans="1:5" x14ac:dyDescent="0.15">
      <c r="B97" s="104"/>
      <c r="C97" s="104"/>
      <c r="D97" s="104"/>
    </row>
    <row r="98" spans="1:5" x14ac:dyDescent="0.15">
      <c r="A98" s="103" t="s">
        <v>162</v>
      </c>
      <c r="B98" s="168">
        <v>1283.7460000000001</v>
      </c>
      <c r="C98" s="106">
        <v>3556.39</v>
      </c>
      <c r="D98" s="106">
        <v>2.770322166534501</v>
      </c>
    </row>
    <row r="99" spans="1:5" x14ac:dyDescent="0.15">
      <c r="A99" s="103" t="s">
        <v>163</v>
      </c>
      <c r="B99" s="168">
        <v>1610.308</v>
      </c>
      <c r="C99" s="106">
        <v>3401.9</v>
      </c>
      <c r="D99" s="106">
        <v>2.1125772212520837</v>
      </c>
    </row>
    <row r="100" spans="1:5" x14ac:dyDescent="0.15">
      <c r="A100" s="103" t="s">
        <v>164</v>
      </c>
      <c r="B100" s="168">
        <v>1530.4780000000001</v>
      </c>
      <c r="C100" s="106">
        <v>2608.33</v>
      </c>
      <c r="D100" s="106">
        <v>1.7042584081574514</v>
      </c>
    </row>
    <row r="101" spans="1:5" x14ac:dyDescent="0.15">
      <c r="A101" s="103" t="s">
        <v>165</v>
      </c>
      <c r="B101" s="168">
        <v>1649.0640000000001</v>
      </c>
      <c r="C101" s="106">
        <v>2926.4900000000002</v>
      </c>
      <c r="D101" s="106">
        <v>1.7746370062047319</v>
      </c>
      <c r="E101" s="128" t="s">
        <v>173</v>
      </c>
    </row>
    <row r="102" spans="1:5" x14ac:dyDescent="0.15">
      <c r="A102" s="103" t="s">
        <v>166</v>
      </c>
      <c r="B102" s="168">
        <v>1637.7</v>
      </c>
      <c r="C102" s="106">
        <v>3127.98</v>
      </c>
      <c r="D102" s="106">
        <v>1.9099835134640044</v>
      </c>
    </row>
    <row r="103" spans="1:5" x14ac:dyDescent="0.15">
      <c r="A103" s="103" t="s">
        <v>167</v>
      </c>
      <c r="B103" s="168">
        <v>1736.72</v>
      </c>
      <c r="C103" s="106">
        <v>3363.13</v>
      </c>
      <c r="D103" s="106">
        <v>1.9364837164309734</v>
      </c>
    </row>
    <row r="104" spans="1:5" x14ac:dyDescent="0.15">
      <c r="A104" s="103" t="s">
        <v>168</v>
      </c>
      <c r="B104" s="168">
        <v>1781.2909999999999</v>
      </c>
      <c r="C104" s="106">
        <v>3555.47</v>
      </c>
      <c r="D104" s="106">
        <v>1.9960073901456865</v>
      </c>
    </row>
    <row r="105" spans="1:5" x14ac:dyDescent="0.15">
      <c r="A105" s="103" t="s">
        <v>169</v>
      </c>
      <c r="B105" s="168">
        <v>1240.8110000000001</v>
      </c>
      <c r="C105" s="106">
        <v>2805.24</v>
      </c>
      <c r="D105" s="106">
        <v>2.2608116788132917</v>
      </c>
      <c r="E105" s="128" t="s">
        <v>174</v>
      </c>
    </row>
    <row r="106" spans="1:5" x14ac:dyDescent="0.15">
      <c r="A106" s="103" t="s">
        <v>170</v>
      </c>
      <c r="B106" s="168">
        <v>1429.826</v>
      </c>
      <c r="C106" s="106">
        <v>3671.82</v>
      </c>
      <c r="D106" s="106">
        <v>2.5680187659197693</v>
      </c>
    </row>
    <row r="107" spans="1:5" ht="14" thickBot="1" x14ac:dyDescent="0.2">
      <c r="B107" s="169">
        <v>13899.944</v>
      </c>
      <c r="C107" s="109">
        <v>29016.75</v>
      </c>
      <c r="D107" s="109">
        <v>2.0875443814737671</v>
      </c>
    </row>
    <row r="108" spans="1:5" ht="14" thickTop="1" x14ac:dyDescent="0.15"/>
    <row r="109" spans="1:5" x14ac:dyDescent="0.15">
      <c r="A109" s="100" t="s">
        <v>130</v>
      </c>
    </row>
    <row r="110" spans="1:5" x14ac:dyDescent="0.15">
      <c r="B110" s="104" t="s">
        <v>123</v>
      </c>
      <c r="C110" s="104" t="s">
        <v>158</v>
      </c>
      <c r="D110" s="104"/>
    </row>
    <row r="111" spans="1:5" x14ac:dyDescent="0.15">
      <c r="B111" s="104"/>
      <c r="C111" s="104"/>
      <c r="D111" s="104"/>
    </row>
    <row r="112" spans="1:5" x14ac:dyDescent="0.15">
      <c r="A112" s="103" t="s">
        <v>159</v>
      </c>
      <c r="B112" s="168">
        <v>1397.4059999999999</v>
      </c>
      <c r="C112" s="106">
        <v>3484.17</v>
      </c>
      <c r="D112" s="106">
        <v>2.4933126092202267</v>
      </c>
      <c r="E112" s="103" t="s">
        <v>175</v>
      </c>
    </row>
    <row r="113" spans="1:5" x14ac:dyDescent="0.15">
      <c r="A113" s="103" t="s">
        <v>160</v>
      </c>
      <c r="B113" s="168">
        <v>1658.7190000000001</v>
      </c>
      <c r="C113" s="106">
        <v>4462.72</v>
      </c>
      <c r="D113" s="106">
        <v>2.6904617358334955</v>
      </c>
      <c r="E113" s="103" t="s">
        <v>175</v>
      </c>
    </row>
    <row r="114" spans="1:5" x14ac:dyDescent="0.15">
      <c r="A114" s="103" t="s">
        <v>161</v>
      </c>
      <c r="B114" s="168">
        <v>1699.4349999999999</v>
      </c>
      <c r="C114" s="106">
        <v>4205.13</v>
      </c>
      <c r="D114" s="106">
        <v>2.4744282658648316</v>
      </c>
      <c r="E114" s="103" t="s">
        <v>175</v>
      </c>
    </row>
    <row r="115" spans="1:5" x14ac:dyDescent="0.15">
      <c r="A115" s="103" t="s">
        <v>162</v>
      </c>
      <c r="B115" s="168">
        <v>1886.7190000000001</v>
      </c>
      <c r="C115" s="106">
        <v>4465.24</v>
      </c>
      <c r="D115" s="106">
        <v>2.3666693344371894</v>
      </c>
      <c r="E115" s="103" t="s">
        <v>175</v>
      </c>
    </row>
    <row r="116" spans="1:5" x14ac:dyDescent="0.15">
      <c r="A116" s="103" t="s">
        <v>163</v>
      </c>
      <c r="B116" s="168">
        <v>1875.7329999999999</v>
      </c>
      <c r="C116" s="106">
        <v>4285.29</v>
      </c>
      <c r="D116" s="106">
        <v>2.2845948757099226</v>
      </c>
      <c r="E116" s="103" t="s">
        <v>175</v>
      </c>
    </row>
    <row r="117" spans="1:5" x14ac:dyDescent="0.15">
      <c r="A117" s="103" t="s">
        <v>164</v>
      </c>
      <c r="B117" s="168">
        <v>1555.8720000000001</v>
      </c>
      <c r="C117" s="106">
        <v>3853.37</v>
      </c>
      <c r="D117" s="106">
        <v>2.4766626046358566</v>
      </c>
      <c r="E117" s="103" t="s">
        <v>176</v>
      </c>
    </row>
    <row r="118" spans="1:5" x14ac:dyDescent="0.15">
      <c r="A118" s="103" t="s">
        <v>165</v>
      </c>
      <c r="B118" s="168">
        <v>1677.2639999999999</v>
      </c>
      <c r="C118" s="106">
        <v>4118.91</v>
      </c>
      <c r="D118" s="106">
        <v>2.4557314769767906</v>
      </c>
      <c r="E118" s="103" t="s">
        <v>175</v>
      </c>
    </row>
    <row r="119" spans="1:5" x14ac:dyDescent="0.15">
      <c r="A119" s="103" t="s">
        <v>166</v>
      </c>
      <c r="B119" s="168">
        <v>1752.153</v>
      </c>
      <c r="C119" s="106">
        <v>4320.0200000000004</v>
      </c>
      <c r="D119" s="106">
        <v>2.4655495267821932</v>
      </c>
      <c r="E119" s="103" t="s">
        <v>175</v>
      </c>
    </row>
    <row r="120" spans="1:5" x14ac:dyDescent="0.15">
      <c r="A120" s="103" t="s">
        <v>167</v>
      </c>
      <c r="B120" s="168">
        <v>2023.5930000000001</v>
      </c>
      <c r="C120" s="106">
        <v>4939.7700000000004</v>
      </c>
      <c r="D120" s="106">
        <v>2.4410886971836727</v>
      </c>
      <c r="E120" s="103" t="s">
        <v>175</v>
      </c>
    </row>
    <row r="121" spans="1:5" x14ac:dyDescent="0.15">
      <c r="A121" s="103" t="s">
        <v>168</v>
      </c>
      <c r="B121" s="168">
        <v>1935.248</v>
      </c>
      <c r="C121" s="106">
        <v>4258.8599999999997</v>
      </c>
      <c r="D121" s="106">
        <v>2.2006791894372193</v>
      </c>
      <c r="E121" s="103" t="s">
        <v>175</v>
      </c>
    </row>
    <row r="122" spans="1:5" x14ac:dyDescent="0.15">
      <c r="A122" s="103" t="s">
        <v>169</v>
      </c>
      <c r="B122" s="168">
        <v>1781.2349999999999</v>
      </c>
      <c r="C122" s="106">
        <v>4468.55</v>
      </c>
      <c r="D122" s="106">
        <v>2.5086807748556481</v>
      </c>
      <c r="E122" s="103" t="s">
        <v>177</v>
      </c>
    </row>
    <row r="123" spans="1:5" x14ac:dyDescent="0.15">
      <c r="A123" s="103" t="s">
        <v>170</v>
      </c>
      <c r="B123" s="168">
        <v>1452.086</v>
      </c>
      <c r="C123" s="106">
        <v>3802.16</v>
      </c>
      <c r="D123" s="106">
        <v>2.6184124080805131</v>
      </c>
      <c r="E123" s="103" t="s">
        <v>175</v>
      </c>
    </row>
    <row r="124" spans="1:5" ht="14" thickBot="1" x14ac:dyDescent="0.2">
      <c r="B124" s="169">
        <v>20695.463</v>
      </c>
      <c r="C124" s="109">
        <v>50664.190000000017</v>
      </c>
      <c r="D124" s="109">
        <v>2.4480819781611078</v>
      </c>
    </row>
    <row r="125" spans="1:5" ht="14" thickTop="1" x14ac:dyDescent="0.15"/>
    <row r="126" spans="1:5" x14ac:dyDescent="0.15">
      <c r="A126" s="100" t="s">
        <v>132</v>
      </c>
    </row>
    <row r="127" spans="1:5" x14ac:dyDescent="0.15">
      <c r="B127" s="104" t="s">
        <v>123</v>
      </c>
      <c r="C127" s="104" t="s">
        <v>158</v>
      </c>
      <c r="D127" s="104"/>
    </row>
    <row r="128" spans="1:5" x14ac:dyDescent="0.15">
      <c r="B128" s="104"/>
      <c r="C128" s="104"/>
      <c r="D128" s="104"/>
    </row>
    <row r="129" spans="1:5" x14ac:dyDescent="0.15">
      <c r="A129" s="103" t="s">
        <v>159</v>
      </c>
      <c r="B129" s="168">
        <v>1712.4680000000001</v>
      </c>
      <c r="C129" s="106">
        <v>4138.3500000000004</v>
      </c>
      <c r="D129" s="106">
        <v>2.4165999014288153</v>
      </c>
      <c r="E129" s="103" t="s">
        <v>175</v>
      </c>
    </row>
    <row r="130" spans="1:5" x14ac:dyDescent="0.15">
      <c r="A130" s="103" t="s">
        <v>160</v>
      </c>
      <c r="B130" s="168">
        <v>1631.4559999999999</v>
      </c>
      <c r="C130" s="106">
        <v>3938.14</v>
      </c>
      <c r="D130" s="106">
        <v>2.4138806072612442</v>
      </c>
      <c r="E130" s="103" t="s">
        <v>175</v>
      </c>
    </row>
    <row r="131" spans="1:5" x14ac:dyDescent="0.15">
      <c r="A131" s="103" t="s">
        <v>161</v>
      </c>
      <c r="B131" s="168">
        <v>1729.5840000000001</v>
      </c>
      <c r="C131" s="106">
        <v>4198.33</v>
      </c>
      <c r="D131" s="106">
        <v>2.4273640366700895</v>
      </c>
      <c r="E131" s="103" t="s">
        <v>175</v>
      </c>
    </row>
    <row r="132" spans="1:5" x14ac:dyDescent="0.15">
      <c r="A132" s="103" t="s">
        <v>162</v>
      </c>
      <c r="B132" s="168">
        <v>1994.2</v>
      </c>
      <c r="C132" s="106">
        <v>4962.51</v>
      </c>
      <c r="D132" s="106">
        <v>2.4884715675458833</v>
      </c>
      <c r="E132" s="103" t="s">
        <v>175</v>
      </c>
    </row>
    <row r="133" spans="1:5" x14ac:dyDescent="0.15">
      <c r="A133" s="103" t="s">
        <v>163</v>
      </c>
      <c r="B133" s="168">
        <v>1732.278</v>
      </c>
      <c r="C133" s="106">
        <v>4577.9799999999996</v>
      </c>
      <c r="D133" s="106">
        <v>2.6427513366792161</v>
      </c>
      <c r="E133" s="103" t="s">
        <v>175</v>
      </c>
    </row>
    <row r="134" spans="1:5" x14ac:dyDescent="0.15">
      <c r="A134" s="103" t="s">
        <v>164</v>
      </c>
      <c r="B134" s="168">
        <v>1897.3</v>
      </c>
      <c r="C134" s="106">
        <v>5200.51</v>
      </c>
      <c r="D134" s="106">
        <v>2.7410056395931064</v>
      </c>
      <c r="E134" s="103" t="s">
        <v>175</v>
      </c>
    </row>
    <row r="135" spans="1:5" x14ac:dyDescent="0.15">
      <c r="A135" s="103" t="s">
        <v>165</v>
      </c>
      <c r="B135" s="168">
        <v>1938.33</v>
      </c>
      <c r="C135" s="106">
        <v>5160.0600000000004</v>
      </c>
      <c r="D135" s="106">
        <v>2.6621163578957145</v>
      </c>
      <c r="E135" s="103" t="s">
        <v>175</v>
      </c>
    </row>
    <row r="136" spans="1:5" x14ac:dyDescent="0.15">
      <c r="A136" s="103" t="s">
        <v>166</v>
      </c>
      <c r="B136" s="168">
        <v>1763.684</v>
      </c>
      <c r="C136" s="106">
        <v>5575.58</v>
      </c>
      <c r="D136" s="106">
        <v>3.1613259518144976</v>
      </c>
      <c r="E136" s="103" t="s">
        <v>175</v>
      </c>
    </row>
    <row r="137" spans="1:5" x14ac:dyDescent="0.15">
      <c r="A137" s="103" t="s">
        <v>167</v>
      </c>
      <c r="B137" s="168">
        <v>2155.9</v>
      </c>
      <c r="C137" s="106">
        <v>6870.04</v>
      </c>
      <c r="D137" s="106">
        <v>3.1866227561575209</v>
      </c>
      <c r="E137" s="103" t="s">
        <v>175</v>
      </c>
    </row>
    <row r="138" spans="1:5" x14ac:dyDescent="0.15">
      <c r="A138" s="103" t="s">
        <v>168</v>
      </c>
      <c r="B138" s="168">
        <v>1933.02</v>
      </c>
      <c r="C138" s="106">
        <v>6814.97</v>
      </c>
      <c r="D138" s="106">
        <v>3.5255558659506887</v>
      </c>
      <c r="E138" s="103" t="s">
        <v>175</v>
      </c>
    </row>
    <row r="139" spans="1:5" x14ac:dyDescent="0.15">
      <c r="A139" s="103" t="s">
        <v>169</v>
      </c>
      <c r="B139" s="168">
        <v>1885.24</v>
      </c>
      <c r="C139" s="106">
        <v>6781.31</v>
      </c>
      <c r="D139" s="106">
        <v>3.5970539559949928</v>
      </c>
      <c r="E139" s="103" t="s">
        <v>175</v>
      </c>
    </row>
    <row r="140" spans="1:5" x14ac:dyDescent="0.15">
      <c r="A140" s="103" t="s">
        <v>170</v>
      </c>
      <c r="B140" s="168">
        <v>1610.57</v>
      </c>
      <c r="C140" s="106">
        <v>5641.25</v>
      </c>
      <c r="D140" s="106">
        <v>3.5026419218040821</v>
      </c>
      <c r="E140" s="103" t="s">
        <v>175</v>
      </c>
    </row>
    <row r="141" spans="1:5" ht="14" thickBot="1" x14ac:dyDescent="0.2">
      <c r="B141" s="169">
        <v>21984.03</v>
      </c>
      <c r="C141" s="109">
        <v>63859.03</v>
      </c>
      <c r="D141" s="109">
        <v>2.904791796590525</v>
      </c>
    </row>
    <row r="142" spans="1:5" ht="14" thickTop="1" x14ac:dyDescent="0.15"/>
    <row r="144" spans="1:5" x14ac:dyDescent="0.15">
      <c r="A144" s="100" t="s">
        <v>134</v>
      </c>
    </row>
    <row r="145" spans="1:22" x14ac:dyDescent="0.15">
      <c r="B145" s="104" t="s">
        <v>123</v>
      </c>
      <c r="C145" s="104" t="s">
        <v>158</v>
      </c>
      <c r="D145" s="104"/>
    </row>
    <row r="146" spans="1:22" x14ac:dyDescent="0.15">
      <c r="B146" s="104"/>
      <c r="C146" s="104"/>
      <c r="D146" s="104"/>
    </row>
    <row r="147" spans="1:22" ht="15" x14ac:dyDescent="0.2">
      <c r="A147" s="103" t="s">
        <v>159</v>
      </c>
      <c r="B147" s="168">
        <v>2614.08</v>
      </c>
      <c r="C147" s="106">
        <v>6652.93</v>
      </c>
      <c r="D147" s="106">
        <v>2.5450368772187542</v>
      </c>
      <c r="E147" s="170" t="s">
        <v>175</v>
      </c>
      <c r="M147" s="171">
        <v>40750</v>
      </c>
      <c r="N147" s="170" t="s">
        <v>178</v>
      </c>
      <c r="O147" s="170"/>
      <c r="P147" s="170"/>
      <c r="Q147" s="170"/>
      <c r="R147" s="170"/>
      <c r="S147" s="170"/>
      <c r="T147" s="170" t="s">
        <v>179</v>
      </c>
      <c r="U147" s="170"/>
      <c r="V147" s="170"/>
    </row>
    <row r="148" spans="1:22" ht="15" x14ac:dyDescent="0.2">
      <c r="A148" s="103" t="s">
        <v>160</v>
      </c>
      <c r="B148" s="168">
        <v>2100.5459999999998</v>
      </c>
      <c r="C148" s="106">
        <v>7185.62</v>
      </c>
      <c r="D148" s="106">
        <v>3.4208343925817384</v>
      </c>
      <c r="E148" s="170" t="s">
        <v>180</v>
      </c>
      <c r="F148" s="170"/>
      <c r="G148" s="170"/>
      <c r="H148" s="170"/>
      <c r="I148" s="170"/>
      <c r="J148" s="170"/>
      <c r="K148" s="170"/>
      <c r="L148" s="170"/>
      <c r="M148" s="170"/>
      <c r="N148" s="170"/>
      <c r="O148" s="170"/>
    </row>
    <row r="149" spans="1:22" ht="15" x14ac:dyDescent="0.2">
      <c r="A149" s="103" t="s">
        <v>161</v>
      </c>
      <c r="B149" s="168">
        <v>2564.1750000000002</v>
      </c>
      <c r="C149" s="106">
        <v>6462.53</v>
      </c>
      <c r="D149" s="106">
        <v>2.5203155010870941</v>
      </c>
      <c r="E149" s="170" t="s">
        <v>180</v>
      </c>
      <c r="F149" s="170"/>
      <c r="G149" s="170"/>
      <c r="H149" s="170"/>
      <c r="I149" s="170"/>
      <c r="J149" s="170"/>
      <c r="K149" s="170"/>
      <c r="L149" s="170"/>
      <c r="M149" s="170"/>
      <c r="N149" s="170"/>
      <c r="O149" s="170"/>
    </row>
    <row r="150" spans="1:22" ht="15" x14ac:dyDescent="0.2">
      <c r="A150" s="103" t="s">
        <v>162</v>
      </c>
      <c r="B150" s="168">
        <v>2455.002</v>
      </c>
      <c r="C150" s="106">
        <v>8059.0599999999995</v>
      </c>
      <c r="D150" s="106">
        <v>3.2827101566516035</v>
      </c>
      <c r="E150" s="170" t="s">
        <v>180</v>
      </c>
      <c r="F150" s="170"/>
      <c r="G150" s="170"/>
      <c r="H150" s="170"/>
      <c r="I150" s="170"/>
      <c r="J150" s="170"/>
      <c r="K150" s="170"/>
      <c r="L150" s="170"/>
      <c r="M150" s="170"/>
      <c r="N150" s="170"/>
      <c r="O150" s="170"/>
    </row>
    <row r="151" spans="1:22" ht="15" x14ac:dyDescent="0.2">
      <c r="A151" s="103" t="s">
        <v>163</v>
      </c>
      <c r="B151" s="168">
        <v>1940.7329999999999</v>
      </c>
      <c r="C151" s="106">
        <v>30</v>
      </c>
      <c r="D151" s="106">
        <v>1.5458076922482382E-2</v>
      </c>
      <c r="E151" s="170" t="s">
        <v>181</v>
      </c>
      <c r="F151" s="170"/>
      <c r="G151" s="170"/>
      <c r="H151" s="170"/>
      <c r="I151" s="170"/>
      <c r="J151" s="170"/>
      <c r="K151" s="170"/>
      <c r="L151" s="170"/>
      <c r="M151" s="170"/>
      <c r="N151" s="170"/>
      <c r="O151" s="170"/>
    </row>
    <row r="152" spans="1:22" ht="15" x14ac:dyDescent="0.2">
      <c r="A152" s="103" t="s">
        <v>164</v>
      </c>
      <c r="B152" s="168">
        <v>2041.53</v>
      </c>
      <c r="C152" s="106">
        <v>6385.85</v>
      </c>
      <c r="D152" s="106">
        <v>3.1279726479650067</v>
      </c>
      <c r="E152" s="170" t="s">
        <v>182</v>
      </c>
      <c r="F152" s="170"/>
      <c r="G152" s="170"/>
      <c r="H152" s="170"/>
      <c r="I152" s="170"/>
      <c r="J152" s="170"/>
      <c r="K152" s="170"/>
      <c r="L152" s="170"/>
      <c r="M152" s="170"/>
      <c r="N152" s="170"/>
      <c r="O152" s="170"/>
    </row>
    <row r="153" spans="1:22" ht="15" x14ac:dyDescent="0.2">
      <c r="A153" s="103" t="s">
        <v>165</v>
      </c>
      <c r="B153" s="168">
        <v>1972.21</v>
      </c>
      <c r="C153" s="106">
        <v>6261.14</v>
      </c>
      <c r="D153" s="106">
        <v>3.1746822092981986</v>
      </c>
      <c r="E153" s="170" t="s">
        <v>175</v>
      </c>
      <c r="F153" s="170"/>
      <c r="G153" s="170"/>
      <c r="H153" s="170"/>
      <c r="I153" s="170"/>
      <c r="J153" s="170"/>
      <c r="K153" s="170"/>
      <c r="L153" s="170"/>
      <c r="M153" s="170"/>
      <c r="N153" s="170"/>
      <c r="O153" s="170"/>
    </row>
    <row r="154" spans="1:22" ht="15" x14ac:dyDescent="0.2">
      <c r="A154" s="103" t="s">
        <v>166</v>
      </c>
      <c r="B154" s="168">
        <v>2140.4650000000001</v>
      </c>
      <c r="C154" s="106">
        <v>7154.51</v>
      </c>
      <c r="D154" s="106">
        <v>3.342502680492323</v>
      </c>
      <c r="E154" s="170" t="s">
        <v>183</v>
      </c>
      <c r="F154" s="170"/>
      <c r="G154" s="170"/>
      <c r="H154" s="170"/>
      <c r="I154" s="170"/>
      <c r="J154" s="170"/>
      <c r="K154" s="170"/>
      <c r="L154" s="170"/>
      <c r="M154" s="170"/>
      <c r="N154" s="170"/>
      <c r="O154" s="170"/>
    </row>
    <row r="155" spans="1:22" ht="15" x14ac:dyDescent="0.2">
      <c r="A155" s="103" t="s">
        <v>167</v>
      </c>
      <c r="B155" s="168">
        <v>2284.3390000000004</v>
      </c>
      <c r="C155" s="106">
        <v>8019.0499999999993</v>
      </c>
      <c r="D155" s="106">
        <v>3.510446566818672</v>
      </c>
      <c r="E155" s="170" t="s">
        <v>184</v>
      </c>
      <c r="F155" s="170"/>
      <c r="G155" s="170"/>
      <c r="H155" s="170"/>
      <c r="I155" s="170"/>
      <c r="J155" s="170"/>
      <c r="K155" s="170"/>
      <c r="L155" s="170"/>
      <c r="M155" s="170"/>
      <c r="N155" s="170"/>
      <c r="O155" s="170"/>
    </row>
    <row r="156" spans="1:22" ht="15" x14ac:dyDescent="0.2">
      <c r="A156" s="103" t="s">
        <v>168</v>
      </c>
      <c r="B156" s="168">
        <v>2229.884</v>
      </c>
      <c r="C156" s="106">
        <v>8082.84</v>
      </c>
      <c r="D156" s="106">
        <v>3.6247804818546614</v>
      </c>
      <c r="E156" s="170" t="s">
        <v>184</v>
      </c>
      <c r="F156" s="170"/>
      <c r="G156" s="170"/>
      <c r="H156" s="170"/>
      <c r="I156" s="170"/>
      <c r="J156" s="170"/>
      <c r="K156" s="170"/>
      <c r="L156" s="170"/>
      <c r="M156" s="170"/>
      <c r="N156" s="170"/>
      <c r="O156" s="170"/>
    </row>
    <row r="157" spans="1:22" ht="15" x14ac:dyDescent="0.2">
      <c r="A157" s="103" t="s">
        <v>169</v>
      </c>
      <c r="B157" s="168">
        <v>1938.0649999999998</v>
      </c>
      <c r="C157" s="106">
        <v>7035.32</v>
      </c>
      <c r="D157" s="106">
        <v>3.6300743267124687</v>
      </c>
      <c r="E157" s="170" t="s">
        <v>184</v>
      </c>
      <c r="F157" s="170"/>
      <c r="G157" s="170"/>
      <c r="H157" s="170"/>
      <c r="I157" s="170"/>
      <c r="J157" s="170"/>
      <c r="K157" s="170"/>
      <c r="L157" s="170"/>
      <c r="M157" s="170"/>
      <c r="N157" s="170"/>
      <c r="O157" s="170"/>
    </row>
    <row r="158" spans="1:22" ht="15" x14ac:dyDescent="0.2">
      <c r="A158" s="103" t="s">
        <v>170</v>
      </c>
      <c r="B158" s="168">
        <v>1765.9110000000001</v>
      </c>
      <c r="C158" s="106">
        <v>6184.39</v>
      </c>
      <c r="D158" s="106">
        <v>3.5020960852500496</v>
      </c>
      <c r="E158" s="170" t="s">
        <v>175</v>
      </c>
      <c r="F158" s="170"/>
      <c r="G158" s="170"/>
      <c r="H158" s="170"/>
      <c r="I158" s="170"/>
      <c r="J158" s="170"/>
      <c r="K158" s="170"/>
      <c r="L158" s="170"/>
      <c r="M158" s="170"/>
      <c r="N158" s="170"/>
      <c r="O158" s="170"/>
    </row>
    <row r="159" spans="1:22" ht="16" thickBot="1" x14ac:dyDescent="0.25">
      <c r="B159" s="169">
        <v>26046.94</v>
      </c>
      <c r="C159" s="109">
        <v>77513.240000000005</v>
      </c>
      <c r="D159" s="109">
        <v>2.9759058069777105</v>
      </c>
      <c r="E159" s="170"/>
      <c r="F159" s="170"/>
      <c r="G159" s="170"/>
      <c r="H159" s="170"/>
      <c r="I159" s="170"/>
      <c r="J159" s="170"/>
      <c r="K159" s="170"/>
      <c r="L159" s="170"/>
      <c r="M159" s="170"/>
      <c r="N159" s="170"/>
      <c r="O159" s="170"/>
    </row>
    <row r="160" spans="1:22" ht="17" thickTop="1" thickBot="1" x14ac:dyDescent="0.25">
      <c r="E160" s="170"/>
      <c r="F160" s="170"/>
      <c r="G160" s="170"/>
      <c r="H160" s="170"/>
      <c r="I160" s="170"/>
      <c r="J160" s="170"/>
      <c r="K160" s="170"/>
      <c r="L160" s="170"/>
      <c r="M160" s="170"/>
      <c r="N160" s="170"/>
      <c r="O160" s="170"/>
    </row>
    <row r="161" spans="1:15" ht="24" thickBot="1" x14ac:dyDescent="0.3">
      <c r="A161" s="789" t="s">
        <v>135</v>
      </c>
      <c r="B161" s="790"/>
      <c r="C161" s="790"/>
      <c r="D161" s="790"/>
      <c r="E161" s="790"/>
      <c r="F161" s="790"/>
      <c r="G161" s="790"/>
      <c r="H161" s="790"/>
      <c r="I161" s="790"/>
      <c r="J161" s="790"/>
      <c r="K161" s="790"/>
      <c r="L161" s="791"/>
      <c r="M161" s="170"/>
      <c r="N161" s="170"/>
      <c r="O161" s="170"/>
    </row>
    <row r="162" spans="1:15" ht="15" x14ac:dyDescent="0.2">
      <c r="B162" s="104" t="s">
        <v>123</v>
      </c>
      <c r="C162" s="104" t="s">
        <v>158</v>
      </c>
      <c r="D162" s="104" t="s">
        <v>185</v>
      </c>
      <c r="E162" s="170"/>
      <c r="F162" s="170"/>
      <c r="G162" s="170"/>
      <c r="H162" s="170"/>
      <c r="I162" s="170"/>
      <c r="J162" s="170"/>
      <c r="K162" s="170"/>
      <c r="L162" s="170"/>
      <c r="M162" s="170"/>
      <c r="N162" s="170"/>
      <c r="O162" s="170"/>
    </row>
    <row r="163" spans="1:15" ht="15" x14ac:dyDescent="0.2">
      <c r="B163" s="104"/>
      <c r="C163" s="104"/>
      <c r="D163" s="104"/>
      <c r="E163" s="170"/>
      <c r="F163" s="170"/>
      <c r="G163" s="170"/>
      <c r="H163" s="170"/>
      <c r="I163" s="170"/>
      <c r="J163" s="170"/>
      <c r="K163" s="170"/>
      <c r="L163" s="170"/>
      <c r="M163" s="170"/>
      <c r="N163" s="170"/>
      <c r="O163" s="170"/>
    </row>
    <row r="164" spans="1:15" ht="15" x14ac:dyDescent="0.2">
      <c r="A164" s="103" t="s">
        <v>159</v>
      </c>
      <c r="B164" s="168">
        <v>1782.5419999999999</v>
      </c>
      <c r="C164" s="106">
        <v>5866.84</v>
      </c>
      <c r="D164" s="106">
        <v>3.2912772882770787</v>
      </c>
      <c r="E164" s="170" t="s">
        <v>175</v>
      </c>
      <c r="F164" s="170"/>
      <c r="G164" s="170"/>
      <c r="H164" s="171"/>
      <c r="I164" s="170"/>
      <c r="J164" s="170"/>
      <c r="K164" s="170"/>
      <c r="L164" s="170"/>
      <c r="M164" s="170"/>
      <c r="N164" s="170"/>
      <c r="O164" s="170"/>
    </row>
    <row r="165" spans="1:15" ht="15" x14ac:dyDescent="0.2">
      <c r="A165" s="103" t="s">
        <v>160</v>
      </c>
      <c r="B165" s="168">
        <v>1903.056</v>
      </c>
      <c r="C165" s="106">
        <v>6803.88</v>
      </c>
      <c r="D165" s="106">
        <v>3.575238984034101</v>
      </c>
      <c r="E165" s="170" t="s">
        <v>175</v>
      </c>
      <c r="F165" s="170"/>
      <c r="G165" s="170"/>
      <c r="H165" s="170"/>
      <c r="I165" s="170"/>
      <c r="J165" s="170"/>
      <c r="K165" s="170"/>
      <c r="L165" s="170"/>
      <c r="M165" s="170"/>
      <c r="N165" s="170"/>
      <c r="O165" s="170"/>
    </row>
    <row r="166" spans="1:15" ht="15" x14ac:dyDescent="0.2">
      <c r="A166" s="103" t="s">
        <v>161</v>
      </c>
      <c r="B166" s="172">
        <v>1774.1759999999995</v>
      </c>
      <c r="C166" s="173">
        <v>6832.3399999999983</v>
      </c>
      <c r="D166" s="173">
        <v>3.8509933625525314</v>
      </c>
      <c r="E166" s="170" t="s">
        <v>175</v>
      </c>
      <c r="F166" s="170"/>
      <c r="G166" s="170"/>
      <c r="H166" s="170"/>
      <c r="I166" s="170"/>
      <c r="J166" s="170"/>
      <c r="K166" s="170"/>
      <c r="L166" s="170"/>
      <c r="M166" s="170"/>
      <c r="N166" s="170"/>
      <c r="O166" s="170"/>
    </row>
    <row r="167" spans="1:15" ht="15" x14ac:dyDescent="0.2">
      <c r="A167" s="103" t="s">
        <v>162</v>
      </c>
      <c r="B167" s="172">
        <v>2363.0299999999997</v>
      </c>
      <c r="C167" s="173">
        <v>9138.8200000000015</v>
      </c>
      <c r="D167" s="173">
        <v>3.8674159871013076</v>
      </c>
      <c r="E167" s="170" t="s">
        <v>184</v>
      </c>
      <c r="F167" s="170"/>
      <c r="G167" s="170"/>
      <c r="H167" s="170"/>
      <c r="I167" s="170"/>
      <c r="J167" s="170"/>
      <c r="K167" s="170"/>
      <c r="L167" s="170"/>
      <c r="M167" s="170"/>
      <c r="N167" s="170"/>
      <c r="O167" s="170"/>
    </row>
    <row r="168" spans="1:15" ht="15" x14ac:dyDescent="0.2">
      <c r="A168" s="103" t="s">
        <v>163</v>
      </c>
      <c r="B168" s="174">
        <v>1811.898486486486</v>
      </c>
      <c r="C168" s="173">
        <v>6561.5599999999986</v>
      </c>
      <c r="D168" s="173">
        <v>3.6213728577718185</v>
      </c>
      <c r="E168" s="170" t="s">
        <v>184</v>
      </c>
      <c r="F168" s="170"/>
      <c r="G168" s="170"/>
      <c r="H168" s="170"/>
      <c r="I168" s="170"/>
      <c r="J168" s="170"/>
      <c r="K168" s="170"/>
      <c r="L168" s="170"/>
      <c r="M168" s="170"/>
      <c r="N168" s="170"/>
      <c r="O168" s="170"/>
    </row>
    <row r="169" spans="1:15" ht="15" x14ac:dyDescent="0.2">
      <c r="A169" s="103" t="s">
        <v>164</v>
      </c>
      <c r="B169" s="172">
        <v>1904.7370000000001</v>
      </c>
      <c r="C169" s="173">
        <v>6700.6900000000005</v>
      </c>
      <c r="D169" s="173">
        <v>3.5179082466503249</v>
      </c>
      <c r="E169" s="170" t="s">
        <v>184</v>
      </c>
      <c r="F169" s="170"/>
      <c r="G169" s="170"/>
      <c r="H169" s="170"/>
      <c r="I169" s="170"/>
      <c r="J169" s="170"/>
      <c r="K169" s="170"/>
      <c r="L169" s="170"/>
      <c r="M169" s="170"/>
      <c r="N169" s="170"/>
      <c r="O169" s="170"/>
    </row>
    <row r="170" spans="1:15" ht="15" x14ac:dyDescent="0.2">
      <c r="A170" s="103" t="s">
        <v>165</v>
      </c>
      <c r="B170" s="172">
        <v>1912.7249999999995</v>
      </c>
      <c r="C170" s="173">
        <v>6664.01</v>
      </c>
      <c r="D170" s="173">
        <v>3.4840397861689487</v>
      </c>
      <c r="E170" s="170" t="s">
        <v>186</v>
      </c>
      <c r="F170" s="170"/>
      <c r="G170" s="170"/>
      <c r="H170" s="170"/>
      <c r="I170" s="170"/>
      <c r="J170" s="170"/>
      <c r="K170" s="170"/>
      <c r="L170" s="170"/>
      <c r="M170" s="170"/>
      <c r="N170" s="170"/>
      <c r="O170" s="170"/>
    </row>
    <row r="171" spans="1:15" ht="15" x14ac:dyDescent="0.2">
      <c r="A171" s="103" t="s">
        <v>166</v>
      </c>
      <c r="B171" s="172">
        <v>2044.6870000000006</v>
      </c>
      <c r="C171" s="173">
        <v>7518.7000000000025</v>
      </c>
      <c r="D171" s="173">
        <v>3.6771887335323208</v>
      </c>
      <c r="E171" s="170" t="s">
        <v>184</v>
      </c>
      <c r="F171" s="170"/>
      <c r="G171" s="170"/>
      <c r="H171" s="170"/>
      <c r="I171" s="170"/>
      <c r="J171" s="170"/>
      <c r="K171" s="170"/>
      <c r="L171" s="170"/>
      <c r="M171" s="170"/>
      <c r="N171" s="170"/>
      <c r="O171" s="170"/>
    </row>
    <row r="172" spans="1:15" ht="15" x14ac:dyDescent="0.2">
      <c r="A172" s="103" t="s">
        <v>167</v>
      </c>
      <c r="B172" s="172">
        <v>2031.3229999999999</v>
      </c>
      <c r="C172" s="173">
        <v>7570.6100000000006</v>
      </c>
      <c r="D172" s="173">
        <v>3.7269355981298893</v>
      </c>
      <c r="E172" s="170" t="s">
        <v>184</v>
      </c>
      <c r="F172" s="170"/>
      <c r="G172" s="170"/>
      <c r="H172" s="170"/>
      <c r="I172" s="170"/>
      <c r="J172" s="170"/>
      <c r="K172" s="170"/>
      <c r="L172" s="170"/>
      <c r="M172" s="170"/>
      <c r="N172" s="170"/>
      <c r="O172" s="170"/>
    </row>
    <row r="173" spans="1:15" ht="15" x14ac:dyDescent="0.2">
      <c r="A173" s="103" t="s">
        <v>168</v>
      </c>
      <c r="B173" s="172">
        <v>2151.3580000000006</v>
      </c>
      <c r="C173" s="173">
        <v>7627.82</v>
      </c>
      <c r="D173" s="173">
        <v>3.5455837661607217</v>
      </c>
      <c r="E173" s="170" t="s">
        <v>184</v>
      </c>
      <c r="F173" s="170"/>
      <c r="G173" s="170"/>
      <c r="H173" s="170"/>
      <c r="I173" s="170"/>
      <c r="J173" s="170"/>
      <c r="K173" s="170"/>
      <c r="L173" s="170"/>
      <c r="M173" s="170"/>
      <c r="N173" s="170"/>
      <c r="O173" s="170"/>
    </row>
    <row r="174" spans="1:15" ht="15" x14ac:dyDescent="0.2">
      <c r="A174" s="103" t="s">
        <v>169</v>
      </c>
      <c r="B174" s="172">
        <v>2014.9759999999999</v>
      </c>
      <c r="C174" s="173">
        <v>7011.2099999999982</v>
      </c>
      <c r="D174" s="173">
        <v>3.4795501286367672</v>
      </c>
      <c r="E174" s="170" t="s">
        <v>184</v>
      </c>
      <c r="F174" s="175"/>
      <c r="G174" s="170"/>
      <c r="H174" s="170"/>
      <c r="I174" s="170"/>
      <c r="J174" s="170"/>
      <c r="K174" s="170"/>
      <c r="L174" s="170"/>
      <c r="M174" s="170"/>
      <c r="N174" s="170"/>
      <c r="O174" s="170"/>
    </row>
    <row r="175" spans="1:15" ht="15" x14ac:dyDescent="0.2">
      <c r="A175" s="103" t="s">
        <v>170</v>
      </c>
      <c r="B175" s="172">
        <v>1657.7180000000003</v>
      </c>
      <c r="C175" s="173">
        <v>5847.6799999999994</v>
      </c>
      <c r="D175" s="173">
        <v>3.5275481113192946</v>
      </c>
      <c r="E175" s="170" t="s">
        <v>184</v>
      </c>
      <c r="F175" s="170"/>
      <c r="G175" s="170"/>
      <c r="H175" s="170"/>
      <c r="I175" s="170"/>
      <c r="J175" s="170"/>
      <c r="K175" s="170"/>
      <c r="L175" s="170"/>
      <c r="M175" s="170"/>
      <c r="N175" s="170"/>
      <c r="O175" s="170"/>
    </row>
    <row r="176" spans="1:15" ht="14" thickBot="1" x14ac:dyDescent="0.2">
      <c r="B176" s="169">
        <v>23352.226486486481</v>
      </c>
      <c r="C176" s="109">
        <v>84144.159999999989</v>
      </c>
      <c r="D176" s="109">
        <v>3.6032607018732334</v>
      </c>
    </row>
    <row r="177" spans="1:15" ht="14" thickTop="1" x14ac:dyDescent="0.15"/>
    <row r="178" spans="1:15" x14ac:dyDescent="0.15">
      <c r="C178" s="176" t="s">
        <v>187</v>
      </c>
      <c r="D178" s="168">
        <v>1946.0188738738734</v>
      </c>
      <c r="F178" s="103" t="s">
        <v>6</v>
      </c>
      <c r="G178" s="177">
        <v>23352.226486486481</v>
      </c>
      <c r="H178" s="177">
        <v>84144.159999999989</v>
      </c>
      <c r="I178" s="168">
        <v>3.6032607018732334</v>
      </c>
    </row>
    <row r="179" spans="1:15" x14ac:dyDescent="0.15">
      <c r="C179" s="176" t="s">
        <v>188</v>
      </c>
      <c r="D179" s="178">
        <v>1010.6</v>
      </c>
      <c r="G179" s="177">
        <v>23352.226486486481</v>
      </c>
      <c r="H179" s="177">
        <v>82290.573090882943</v>
      </c>
      <c r="I179" s="168">
        <v>3.5238855335058967</v>
      </c>
    </row>
    <row r="180" spans="1:15" x14ac:dyDescent="0.15">
      <c r="C180" s="176" t="s">
        <v>189</v>
      </c>
      <c r="D180" s="168">
        <v>2956.6188738738733</v>
      </c>
      <c r="H180" s="177">
        <v>-1853.5869091170462</v>
      </c>
    </row>
    <row r="181" spans="1:15" x14ac:dyDescent="0.15">
      <c r="B181" s="168"/>
    </row>
    <row r="182" spans="1:15" x14ac:dyDescent="0.15">
      <c r="C182" s="176" t="s">
        <v>190</v>
      </c>
      <c r="D182" s="168">
        <v>682.29666320166314</v>
      </c>
    </row>
    <row r="183" spans="1:15" ht="14" thickBot="1" x14ac:dyDescent="0.2"/>
    <row r="184" spans="1:15" ht="24" thickBot="1" x14ac:dyDescent="0.3">
      <c r="A184" s="789" t="s">
        <v>191</v>
      </c>
      <c r="B184" s="790"/>
      <c r="C184" s="790"/>
      <c r="D184" s="790"/>
      <c r="E184" s="790"/>
      <c r="F184" s="790"/>
      <c r="G184" s="790"/>
      <c r="H184" s="790"/>
      <c r="I184" s="790"/>
      <c r="J184" s="790"/>
      <c r="K184" s="790"/>
      <c r="L184" s="791"/>
      <c r="M184" s="170"/>
      <c r="N184" s="179" t="s">
        <v>192</v>
      </c>
      <c r="O184" s="170"/>
    </row>
    <row r="185" spans="1:15" ht="15" x14ac:dyDescent="0.2">
      <c r="B185" s="104" t="s">
        <v>123</v>
      </c>
      <c r="C185" s="104" t="s">
        <v>158</v>
      </c>
      <c r="D185" s="104" t="s">
        <v>185</v>
      </c>
      <c r="E185" s="170"/>
      <c r="F185" s="170"/>
      <c r="G185" s="170"/>
      <c r="H185" s="170"/>
      <c r="I185" s="170"/>
      <c r="J185" s="170"/>
      <c r="K185" s="170"/>
      <c r="L185" s="170"/>
      <c r="M185" s="170"/>
      <c r="N185" s="170"/>
      <c r="O185" s="170"/>
    </row>
    <row r="186" spans="1:15" ht="15" x14ac:dyDescent="0.2">
      <c r="B186" s="104"/>
      <c r="C186" s="104"/>
      <c r="D186" s="104"/>
      <c r="E186" s="170"/>
      <c r="F186" s="170"/>
      <c r="G186" s="170"/>
      <c r="H186" s="170"/>
      <c r="I186" s="170"/>
      <c r="J186" s="170"/>
      <c r="K186" s="170"/>
      <c r="L186" s="170"/>
      <c r="M186" s="170"/>
      <c r="N186" s="170"/>
      <c r="O186" s="170"/>
    </row>
    <row r="187" spans="1:15" ht="15" x14ac:dyDescent="0.2">
      <c r="A187" s="103" t="s">
        <v>159</v>
      </c>
      <c r="B187" s="180">
        <v>1737.2469999999994</v>
      </c>
      <c r="C187" s="181">
        <v>5848.3600000000024</v>
      </c>
      <c r="D187" s="181">
        <v>3.3664527842039758</v>
      </c>
      <c r="E187" s="170" t="s">
        <v>184</v>
      </c>
      <c r="F187" s="170"/>
      <c r="G187" s="170"/>
      <c r="H187" s="171"/>
      <c r="I187" s="170"/>
      <c r="J187" s="170"/>
      <c r="K187" s="170"/>
      <c r="L187" s="170"/>
      <c r="M187" s="170"/>
      <c r="N187" s="170"/>
      <c r="O187" s="170"/>
    </row>
    <row r="188" spans="1:15" s="120" customFormat="1" ht="15" x14ac:dyDescent="0.2">
      <c r="A188" s="120" t="s">
        <v>160</v>
      </c>
      <c r="B188" s="180">
        <v>1651.1720000000003</v>
      </c>
      <c r="C188" s="181">
        <v>5698.5800000000017</v>
      </c>
      <c r="D188" s="181">
        <v>3.4512334269234222</v>
      </c>
      <c r="E188" s="170" t="s">
        <v>184</v>
      </c>
      <c r="F188" s="182"/>
      <c r="G188" s="182"/>
      <c r="H188" s="182"/>
      <c r="I188" s="182"/>
      <c r="J188" s="182"/>
      <c r="K188" s="182"/>
      <c r="L188" s="182"/>
      <c r="M188" s="182"/>
      <c r="N188" s="182"/>
      <c r="O188" s="182"/>
    </row>
    <row r="189" spans="1:15" ht="15" x14ac:dyDescent="0.2">
      <c r="A189" s="103" t="s">
        <v>161</v>
      </c>
      <c r="B189" s="180">
        <v>2045.3010000000004</v>
      </c>
      <c r="C189" s="181">
        <v>6962.2799999999988</v>
      </c>
      <c r="D189" s="181">
        <v>3.4040368630338507</v>
      </c>
      <c r="E189" s="182" t="s">
        <v>175</v>
      </c>
      <c r="F189" s="170"/>
      <c r="G189" s="170"/>
      <c r="H189" s="170"/>
      <c r="I189" s="170"/>
      <c r="J189" s="170"/>
      <c r="K189" s="170"/>
      <c r="L189" s="170"/>
      <c r="M189" s="170"/>
      <c r="N189" s="170"/>
      <c r="O189" s="170"/>
    </row>
    <row r="190" spans="1:15" ht="15" x14ac:dyDescent="0.2">
      <c r="A190" s="103" t="s">
        <v>162</v>
      </c>
      <c r="B190" s="180">
        <v>2101.5119999999997</v>
      </c>
      <c r="C190" s="181">
        <v>6754.0099999999993</v>
      </c>
      <c r="D190" s="181">
        <v>3.2138812435998463</v>
      </c>
      <c r="E190" s="170" t="s">
        <v>184</v>
      </c>
      <c r="F190" s="170"/>
      <c r="G190" s="170"/>
      <c r="H190" s="170"/>
      <c r="I190" s="170"/>
      <c r="J190" s="170"/>
      <c r="K190" s="170"/>
      <c r="L190" s="170"/>
      <c r="M190" s="170"/>
      <c r="N190" s="170"/>
      <c r="O190" s="170"/>
    </row>
    <row r="191" spans="1:15" ht="15" x14ac:dyDescent="0.2">
      <c r="A191" s="103" t="s">
        <v>163</v>
      </c>
      <c r="B191" s="183">
        <v>2612.6059999999984</v>
      </c>
      <c r="C191" s="181">
        <v>8068.9199999999992</v>
      </c>
      <c r="D191" s="181">
        <v>3.0884565066450906</v>
      </c>
      <c r="E191" s="182" t="s">
        <v>193</v>
      </c>
      <c r="F191" s="170"/>
      <c r="G191" s="170"/>
      <c r="H191" s="170"/>
      <c r="I191" s="170"/>
      <c r="J191" s="170"/>
      <c r="K191" s="170"/>
      <c r="L191" s="170"/>
      <c r="M191" s="170"/>
      <c r="N191" s="170"/>
      <c r="O191" s="170"/>
    </row>
    <row r="192" spans="1:15" ht="15" x14ac:dyDescent="0.2">
      <c r="A192" s="103" t="s">
        <v>164</v>
      </c>
      <c r="B192" s="180">
        <v>1864.5279999999991</v>
      </c>
      <c r="C192" s="181">
        <v>5929.3499999999995</v>
      </c>
      <c r="D192" s="181">
        <v>3.1800809641904024</v>
      </c>
      <c r="E192" s="170" t="s">
        <v>184</v>
      </c>
      <c r="F192" s="170"/>
      <c r="G192" s="170"/>
      <c r="H192" s="170"/>
      <c r="I192" s="170"/>
      <c r="J192" s="170"/>
      <c r="K192" s="170"/>
      <c r="L192" s="170"/>
      <c r="M192" s="170"/>
      <c r="N192" s="170"/>
      <c r="O192" s="170"/>
    </row>
    <row r="193" spans="1:15" ht="15" x14ac:dyDescent="0.2">
      <c r="A193" s="103" t="s">
        <v>165</v>
      </c>
      <c r="B193" s="180">
        <v>2279.4690000000001</v>
      </c>
      <c r="C193" s="181">
        <v>7310.8499999999949</v>
      </c>
      <c r="D193" s="181">
        <v>3.2072601118944783</v>
      </c>
      <c r="E193" s="182" t="s">
        <v>175</v>
      </c>
      <c r="F193" s="170"/>
      <c r="G193" s="170"/>
      <c r="H193" s="170"/>
      <c r="I193" s="170"/>
      <c r="J193" s="170"/>
      <c r="K193" s="170"/>
      <c r="L193" s="170"/>
      <c r="M193" s="170"/>
      <c r="N193" s="170"/>
      <c r="O193" s="170"/>
    </row>
    <row r="194" spans="1:15" s="120" customFormat="1" ht="15" x14ac:dyDescent="0.2">
      <c r="A194" s="120" t="s">
        <v>166</v>
      </c>
      <c r="B194" s="180">
        <v>2389.1260000000007</v>
      </c>
      <c r="C194" s="181">
        <v>7651.6100000000033</v>
      </c>
      <c r="D194" s="181">
        <v>3.2026816501097057</v>
      </c>
      <c r="E194" s="182" t="s">
        <v>194</v>
      </c>
      <c r="F194" s="182"/>
      <c r="G194" s="182"/>
      <c r="H194" s="182"/>
      <c r="I194" s="182"/>
      <c r="J194" s="182"/>
      <c r="K194" s="182"/>
      <c r="L194" s="182"/>
      <c r="M194" s="182"/>
      <c r="N194" s="182"/>
      <c r="O194" s="182"/>
    </row>
    <row r="195" spans="1:15" s="120" customFormat="1" ht="15" x14ac:dyDescent="0.2">
      <c r="A195" s="120" t="s">
        <v>167</v>
      </c>
      <c r="B195" s="180">
        <v>2724.9769999999999</v>
      </c>
      <c r="C195" s="181">
        <v>9228.630000000001</v>
      </c>
      <c r="D195" s="181">
        <v>3.3866817958463509</v>
      </c>
      <c r="E195" s="182" t="s">
        <v>195</v>
      </c>
      <c r="F195" s="182"/>
      <c r="G195" s="182"/>
      <c r="H195" s="182"/>
      <c r="I195" s="182"/>
      <c r="J195" s="182"/>
      <c r="K195" s="182"/>
      <c r="L195" s="182"/>
      <c r="M195" s="182"/>
      <c r="N195" s="182"/>
      <c r="O195" s="182"/>
    </row>
    <row r="196" spans="1:15" ht="15" x14ac:dyDescent="0.2">
      <c r="A196" s="103" t="s">
        <v>168</v>
      </c>
      <c r="B196" s="180">
        <v>2433.0500000000006</v>
      </c>
      <c r="C196" s="181">
        <v>8136.6024130000014</v>
      </c>
      <c r="D196" s="181">
        <v>3.3441986038100322</v>
      </c>
      <c r="E196" s="182" t="s">
        <v>195</v>
      </c>
      <c r="F196" s="170"/>
      <c r="G196" s="170"/>
      <c r="H196" s="170"/>
      <c r="I196" s="170"/>
      <c r="J196" s="170"/>
      <c r="K196" s="170"/>
      <c r="L196" s="170"/>
      <c r="M196" s="170"/>
      <c r="N196" s="170"/>
      <c r="O196" s="170"/>
    </row>
    <row r="197" spans="1:15" ht="15" x14ac:dyDescent="0.2">
      <c r="A197" s="103" t="s">
        <v>169</v>
      </c>
      <c r="B197" s="180">
        <v>2503.5670000000005</v>
      </c>
      <c r="C197" s="181">
        <v>8526.2499999999982</v>
      </c>
      <c r="D197" s="181">
        <v>3.4056408316613842</v>
      </c>
      <c r="E197" s="182" t="s">
        <v>196</v>
      </c>
      <c r="F197" s="175"/>
      <c r="G197" s="170"/>
      <c r="H197" s="170"/>
      <c r="I197" s="170"/>
      <c r="J197" s="170"/>
      <c r="K197" s="170"/>
      <c r="L197" s="170"/>
      <c r="M197" s="170"/>
      <c r="N197" s="170"/>
      <c r="O197" s="170"/>
    </row>
    <row r="198" spans="1:15" ht="15" x14ac:dyDescent="0.2">
      <c r="A198" s="103" t="s">
        <v>170</v>
      </c>
      <c r="B198" s="180">
        <v>2029.14</v>
      </c>
      <c r="C198" s="181">
        <v>6963.2700000000023</v>
      </c>
      <c r="D198" s="181">
        <v>3.4316360625683795</v>
      </c>
      <c r="E198" s="182" t="s">
        <v>196</v>
      </c>
      <c r="F198" s="170"/>
      <c r="G198" s="170"/>
      <c r="H198" s="170"/>
      <c r="I198" s="170"/>
      <c r="J198" s="170"/>
      <c r="K198" s="170"/>
      <c r="L198" s="170"/>
      <c r="M198" s="170"/>
      <c r="N198" s="170"/>
      <c r="O198" s="170"/>
    </row>
    <row r="199" spans="1:15" ht="14" thickBot="1" x14ac:dyDescent="0.2">
      <c r="B199" s="169">
        <v>26371.694999999992</v>
      </c>
      <c r="C199" s="109">
        <v>87078.712413000001</v>
      </c>
      <c r="D199" s="109">
        <v>3.3019763201796479</v>
      </c>
    </row>
    <row r="200" spans="1:15" ht="14" thickTop="1" x14ac:dyDescent="0.15">
      <c r="M200" s="132" t="s">
        <v>197</v>
      </c>
      <c r="N200" s="132" t="s">
        <v>21</v>
      </c>
    </row>
    <row r="201" spans="1:15" x14ac:dyDescent="0.15">
      <c r="C201" s="176" t="s">
        <v>187</v>
      </c>
      <c r="D201" s="168">
        <v>2197.6412499999992</v>
      </c>
      <c r="F201" s="103" t="s">
        <v>6</v>
      </c>
      <c r="G201" s="177">
        <v>26371.694999999992</v>
      </c>
      <c r="H201" s="177">
        <v>87078.712413000001</v>
      </c>
      <c r="I201" s="168">
        <v>3.3019763201796479</v>
      </c>
      <c r="L201" s="176" t="s">
        <v>198</v>
      </c>
      <c r="M201" s="184">
        <v>20070.964999999993</v>
      </c>
      <c r="N201" s="177"/>
    </row>
    <row r="202" spans="1:15" x14ac:dyDescent="0.15">
      <c r="C202" s="176" t="s">
        <v>188</v>
      </c>
      <c r="D202" s="178">
        <v>802.54999999999984</v>
      </c>
      <c r="G202" s="177">
        <v>26371.694999999992</v>
      </c>
      <c r="H202" s="177">
        <v>88723.80980140582</v>
      </c>
      <c r="I202" s="168">
        <v>3.3643574977416448</v>
      </c>
      <c r="L202" s="176" t="s">
        <v>199</v>
      </c>
      <c r="M202" s="184">
        <v>1771.1999999999998</v>
      </c>
      <c r="N202" s="177">
        <v>7859.4</v>
      </c>
    </row>
    <row r="203" spans="1:15" x14ac:dyDescent="0.15">
      <c r="C203" s="176" t="s">
        <v>189</v>
      </c>
      <c r="D203" s="168">
        <v>3000.1912499999989</v>
      </c>
      <c r="H203" s="177">
        <v>1645.0973884058185</v>
      </c>
      <c r="L203" s="103" t="s">
        <v>115</v>
      </c>
      <c r="M203" s="177">
        <v>21842.164999999994</v>
      </c>
      <c r="N203" s="177"/>
    </row>
    <row r="204" spans="1:15" x14ac:dyDescent="0.15">
      <c r="B204" s="168"/>
      <c r="M204" s="177"/>
      <c r="N204" s="177"/>
    </row>
    <row r="205" spans="1:15" x14ac:dyDescent="0.15">
      <c r="C205" s="176" t="s">
        <v>190</v>
      </c>
      <c r="D205" s="168">
        <v>692.3518269230766</v>
      </c>
      <c r="L205" s="103" t="s">
        <v>200</v>
      </c>
      <c r="M205" s="177"/>
      <c r="N205" s="177">
        <v>29701.564999999995</v>
      </c>
    </row>
    <row r="206" spans="1:15" ht="14" thickBot="1" x14ac:dyDescent="0.2"/>
    <row r="207" spans="1:15" ht="24" thickBot="1" x14ac:dyDescent="0.3">
      <c r="A207" s="789" t="s">
        <v>149</v>
      </c>
      <c r="B207" s="790"/>
      <c r="C207" s="790"/>
      <c r="D207" s="790"/>
      <c r="E207" s="790"/>
      <c r="F207" s="790"/>
      <c r="G207" s="790"/>
      <c r="H207" s="790"/>
      <c r="I207" s="790"/>
      <c r="J207" s="790"/>
      <c r="K207" s="790"/>
      <c r="L207" s="791"/>
      <c r="M207" s="170"/>
      <c r="N207" s="179" t="s">
        <v>192</v>
      </c>
      <c r="O207" s="170"/>
    </row>
    <row r="208" spans="1:15" ht="15" x14ac:dyDescent="0.2">
      <c r="B208" s="104" t="s">
        <v>123</v>
      </c>
      <c r="C208" s="104" t="s">
        <v>158</v>
      </c>
      <c r="D208" s="104" t="s">
        <v>185</v>
      </c>
      <c r="E208" s="170"/>
      <c r="F208" s="170"/>
      <c r="G208" s="170"/>
      <c r="H208" s="170"/>
      <c r="I208" s="170"/>
      <c r="J208" s="170"/>
      <c r="K208" s="170"/>
      <c r="L208" s="170"/>
      <c r="M208" s="170"/>
      <c r="N208" s="170"/>
      <c r="O208" s="170"/>
    </row>
    <row r="209" spans="1:22" ht="15" x14ac:dyDescent="0.2">
      <c r="B209" s="104"/>
      <c r="C209" s="104"/>
      <c r="D209" s="104"/>
      <c r="E209" s="170"/>
      <c r="F209" s="170"/>
      <c r="G209" s="170"/>
      <c r="H209" s="170"/>
      <c r="I209" s="170"/>
      <c r="J209" s="170"/>
      <c r="K209" s="170"/>
      <c r="L209" s="170"/>
      <c r="M209" s="170"/>
      <c r="N209" s="170"/>
      <c r="O209" s="170"/>
    </row>
    <row r="210" spans="1:22" ht="15" x14ac:dyDescent="0.2">
      <c r="A210" s="103" t="s">
        <v>159</v>
      </c>
      <c r="B210" s="180">
        <v>2243.4159999999993</v>
      </c>
      <c r="C210" s="181">
        <v>7769.2500000000027</v>
      </c>
      <c r="D210" s="181">
        <v>3.4631338993748844</v>
      </c>
      <c r="E210" s="182" t="s">
        <v>196</v>
      </c>
      <c r="F210" s="170"/>
      <c r="G210" s="170"/>
      <c r="H210" s="171"/>
      <c r="I210" s="170"/>
      <c r="J210" s="170"/>
      <c r="K210" s="170"/>
      <c r="L210" s="170"/>
      <c r="M210" s="170"/>
      <c r="N210" s="170"/>
      <c r="O210" s="170"/>
    </row>
    <row r="211" spans="1:22" s="120" customFormat="1" ht="15" x14ac:dyDescent="0.2">
      <c r="A211" s="120" t="s">
        <v>160</v>
      </c>
      <c r="B211" s="180">
        <v>1990.278</v>
      </c>
      <c r="C211" s="181">
        <v>6634.5800000000008</v>
      </c>
      <c r="D211" s="181">
        <v>3.3334941148924928</v>
      </c>
      <c r="E211" s="182" t="s">
        <v>196</v>
      </c>
      <c r="F211" s="182"/>
      <c r="G211" s="182"/>
      <c r="H211" s="182"/>
      <c r="I211" s="182"/>
      <c r="J211" s="182"/>
      <c r="K211" s="182"/>
      <c r="L211" s="182"/>
      <c r="M211" s="182"/>
      <c r="N211" s="182"/>
      <c r="O211" s="182"/>
    </row>
    <row r="212" spans="1:22" ht="15" x14ac:dyDescent="0.2">
      <c r="A212" s="103" t="s">
        <v>161</v>
      </c>
      <c r="B212" s="180">
        <v>2295.7580000000007</v>
      </c>
      <c r="C212" s="181">
        <v>7484.5600000000013</v>
      </c>
      <c r="D212" s="181">
        <v>3.260169408099634</v>
      </c>
      <c r="E212" s="182" t="s">
        <v>201</v>
      </c>
      <c r="F212" s="182"/>
      <c r="G212" s="182"/>
      <c r="H212" s="182"/>
      <c r="I212" s="182"/>
      <c r="J212" s="182"/>
      <c r="K212" s="182"/>
      <c r="L212" s="182"/>
      <c r="M212" s="182"/>
      <c r="N212" s="182"/>
      <c r="O212" s="182"/>
      <c r="P212" s="120"/>
      <c r="Q212" s="120"/>
      <c r="R212" s="120"/>
    </row>
    <row r="213" spans="1:22" s="120" customFormat="1" ht="15" x14ac:dyDescent="0.2">
      <c r="A213" s="120" t="s">
        <v>162</v>
      </c>
      <c r="B213" s="180">
        <v>2246.5949999999998</v>
      </c>
      <c r="C213" s="181">
        <v>6865.8700000000008</v>
      </c>
      <c r="D213" s="181">
        <v>3.0561227101457988</v>
      </c>
      <c r="E213" s="182" t="s">
        <v>201</v>
      </c>
      <c r="F213" s="182"/>
      <c r="G213" s="182"/>
      <c r="H213" s="182"/>
      <c r="I213" s="182"/>
      <c r="J213" s="182"/>
      <c r="K213" s="182"/>
      <c r="L213" s="182"/>
      <c r="M213" s="182"/>
      <c r="N213" s="182"/>
      <c r="O213" s="182"/>
    </row>
    <row r="214" spans="1:22" ht="15" x14ac:dyDescent="0.2">
      <c r="A214" s="103" t="s">
        <v>163</v>
      </c>
      <c r="B214" s="183">
        <v>2381.4740000000006</v>
      </c>
      <c r="C214" s="181">
        <v>6620.550000000002</v>
      </c>
      <c r="D214" s="181">
        <v>2.780021952790583</v>
      </c>
      <c r="E214" s="182" t="s">
        <v>201</v>
      </c>
      <c r="F214" s="182"/>
      <c r="G214" s="182"/>
      <c r="H214" s="182"/>
      <c r="I214" s="182"/>
      <c r="J214" s="182"/>
      <c r="K214" s="182"/>
      <c r="L214" s="182"/>
      <c r="M214" s="182"/>
      <c r="N214" s="182"/>
      <c r="O214" s="182"/>
      <c r="P214" s="120"/>
      <c r="Q214" s="120"/>
    </row>
    <row r="215" spans="1:22" s="120" customFormat="1" ht="15" x14ac:dyDescent="0.2">
      <c r="A215" s="120" t="s">
        <v>164</v>
      </c>
      <c r="B215" s="180">
        <v>2050.357</v>
      </c>
      <c r="C215" s="181">
        <v>5123.880000000001</v>
      </c>
      <c r="D215" s="181">
        <v>2.4990184636138979</v>
      </c>
      <c r="E215" s="182" t="s">
        <v>201</v>
      </c>
      <c r="F215" s="182"/>
      <c r="G215" s="182"/>
      <c r="H215" s="182"/>
      <c r="I215" s="182"/>
      <c r="J215" s="182"/>
      <c r="K215" s="182"/>
      <c r="L215" s="182"/>
      <c r="M215" s="182"/>
      <c r="N215" s="182"/>
      <c r="O215" s="182"/>
    </row>
    <row r="216" spans="1:22" s="120" customFormat="1" ht="15" x14ac:dyDescent="0.2">
      <c r="A216" s="120" t="s">
        <v>165</v>
      </c>
      <c r="B216" s="180">
        <v>2237.4610000000011</v>
      </c>
      <c r="C216" s="181">
        <v>4488.32</v>
      </c>
      <c r="D216" s="181">
        <v>2.0059880373333869</v>
      </c>
      <c r="E216" s="182" t="s">
        <v>201</v>
      </c>
      <c r="F216" s="182"/>
      <c r="G216" s="182"/>
      <c r="H216" s="182"/>
      <c r="I216" s="182"/>
      <c r="J216" s="182"/>
      <c r="K216" s="182"/>
      <c r="L216" s="182"/>
      <c r="M216" s="182"/>
      <c r="N216" s="182"/>
      <c r="O216" s="182"/>
    </row>
    <row r="217" spans="1:22" s="120" customFormat="1" ht="15" x14ac:dyDescent="0.2">
      <c r="A217" s="120" t="s">
        <v>166</v>
      </c>
      <c r="B217" s="180">
        <v>2566.3519999999994</v>
      </c>
      <c r="C217" s="181">
        <v>5041.8499999999995</v>
      </c>
      <c r="D217" s="181">
        <v>1.9645979974687808</v>
      </c>
      <c r="E217" s="182" t="s">
        <v>202</v>
      </c>
      <c r="F217" s="182"/>
      <c r="G217" s="182"/>
      <c r="H217" s="182"/>
      <c r="I217" s="182"/>
      <c r="J217" s="182"/>
      <c r="K217" s="182"/>
      <c r="L217" s="182"/>
      <c r="M217" s="182"/>
      <c r="N217" s="182"/>
      <c r="O217" s="182"/>
    </row>
    <row r="218" spans="1:22" s="120" customFormat="1" ht="15" x14ac:dyDescent="0.2">
      <c r="A218" s="120" t="s">
        <v>167</v>
      </c>
      <c r="B218" s="180">
        <v>2626.8219999999988</v>
      </c>
      <c r="C218" s="181">
        <v>5780.3599999999979</v>
      </c>
      <c r="D218" s="181">
        <v>2.2005145380996507</v>
      </c>
      <c r="E218" s="182" t="s">
        <v>201</v>
      </c>
      <c r="F218" s="182"/>
      <c r="G218" s="182"/>
      <c r="H218" s="182"/>
      <c r="I218" s="182"/>
      <c r="J218" s="182"/>
      <c r="K218" s="182"/>
      <c r="L218" s="182"/>
      <c r="M218" s="182"/>
      <c r="N218" s="182"/>
      <c r="O218" s="182"/>
    </row>
    <row r="219" spans="1:22" s="120" customFormat="1" ht="15" x14ac:dyDescent="0.2">
      <c r="A219" s="120" t="s">
        <v>168</v>
      </c>
      <c r="B219" s="180">
        <v>2406.5480000000007</v>
      </c>
      <c r="C219" s="181">
        <v>5310.51</v>
      </c>
      <c r="D219" s="181">
        <v>2.2066919089085273</v>
      </c>
      <c r="E219" s="182" t="s">
        <v>201</v>
      </c>
      <c r="F219" s="182"/>
      <c r="G219" s="182"/>
      <c r="H219" s="182"/>
      <c r="I219" s="182"/>
      <c r="J219" s="182"/>
      <c r="K219" s="182"/>
      <c r="L219" s="182"/>
      <c r="M219" s="182"/>
      <c r="N219" s="182"/>
      <c r="O219" s="182"/>
    </row>
    <row r="220" spans="1:22" ht="16" thickBot="1" x14ac:dyDescent="0.25">
      <c r="A220" s="103" t="s">
        <v>169</v>
      </c>
      <c r="B220" s="180">
        <v>2348.0109999999995</v>
      </c>
      <c r="C220" s="181">
        <v>5775.9900000000043</v>
      </c>
      <c r="D220" s="181">
        <v>2.4599501450376535</v>
      </c>
      <c r="E220" s="182" t="s">
        <v>201</v>
      </c>
      <c r="F220" s="185"/>
      <c r="G220" s="182"/>
      <c r="H220" s="182"/>
      <c r="I220" s="182"/>
      <c r="J220" s="182"/>
      <c r="K220" s="182"/>
      <c r="L220" s="182"/>
      <c r="M220" s="182"/>
      <c r="N220" s="182"/>
      <c r="O220" s="182"/>
      <c r="P220" s="120"/>
      <c r="Q220" s="120"/>
    </row>
    <row r="221" spans="1:22" ht="16" thickBot="1" x14ac:dyDescent="0.25">
      <c r="A221" s="103" t="s">
        <v>170</v>
      </c>
      <c r="B221" s="180">
        <v>2197.3200000000002</v>
      </c>
      <c r="C221" s="181">
        <v>5608.5599999999995</v>
      </c>
      <c r="D221" s="181">
        <v>2.552454808585003</v>
      </c>
      <c r="E221" s="182" t="s">
        <v>201</v>
      </c>
      <c r="F221" s="182"/>
      <c r="G221" s="182"/>
      <c r="H221" s="182"/>
      <c r="I221" s="182"/>
      <c r="J221" s="182"/>
      <c r="K221" s="182"/>
      <c r="L221" s="182"/>
      <c r="M221" s="182"/>
      <c r="N221" s="182"/>
      <c r="O221" s="182"/>
      <c r="P221" s="120"/>
      <c r="Q221" s="792" t="s">
        <v>28</v>
      </c>
      <c r="R221" s="793"/>
      <c r="S221" s="793"/>
      <c r="T221" s="793"/>
      <c r="U221" s="793"/>
      <c r="V221" s="794"/>
    </row>
    <row r="222" spans="1:22" ht="14" thickBot="1" x14ac:dyDescent="0.2">
      <c r="B222" s="169">
        <v>27590.392</v>
      </c>
      <c r="C222" s="109">
        <v>72504.280000000013</v>
      </c>
      <c r="D222" s="109">
        <v>2.6278814741015646</v>
      </c>
      <c r="Q222" s="795" t="s">
        <v>203</v>
      </c>
      <c r="R222" s="796"/>
      <c r="S222" s="797"/>
      <c r="T222" s="795" t="s">
        <v>204</v>
      </c>
      <c r="U222" s="796"/>
      <c r="V222" s="797"/>
    </row>
    <row r="223" spans="1:22" ht="14" thickTop="1" x14ac:dyDescent="0.15">
      <c r="M223" s="132" t="s">
        <v>197</v>
      </c>
      <c r="N223" s="132" t="s">
        <v>21</v>
      </c>
      <c r="Q223" s="186" t="s">
        <v>205</v>
      </c>
      <c r="R223" s="186" t="s">
        <v>206</v>
      </c>
      <c r="S223" s="186" t="s">
        <v>115</v>
      </c>
      <c r="T223" s="186" t="s">
        <v>205</v>
      </c>
      <c r="U223" s="186" t="s">
        <v>206</v>
      </c>
      <c r="V223" s="186" t="s">
        <v>115</v>
      </c>
    </row>
    <row r="224" spans="1:22" x14ac:dyDescent="0.15">
      <c r="C224" s="176" t="s">
        <v>187</v>
      </c>
      <c r="D224" s="168">
        <v>2251.4613750000003</v>
      </c>
      <c r="F224" s="103" t="s">
        <v>6</v>
      </c>
      <c r="G224" s="177">
        <v>27590.392</v>
      </c>
      <c r="H224" s="177">
        <v>72504.280000000013</v>
      </c>
      <c r="I224" s="168">
        <v>2.6278814741015646</v>
      </c>
      <c r="L224" s="176" t="s">
        <v>207</v>
      </c>
      <c r="M224" s="184">
        <v>20900.748000000011</v>
      </c>
      <c r="N224" s="177"/>
      <c r="Q224" s="106">
        <v>1.9169</v>
      </c>
      <c r="R224" s="106">
        <v>0.18399999999999977</v>
      </c>
      <c r="S224" s="187">
        <v>48464.922583200023</v>
      </c>
      <c r="T224" s="106">
        <v>2.0659999999999998</v>
      </c>
      <c r="U224" s="106">
        <v>0.18399999999999977</v>
      </c>
      <c r="V224" s="187">
        <v>51904.458000000013</v>
      </c>
    </row>
    <row r="225" spans="1:22" x14ac:dyDescent="0.15">
      <c r="C225" s="176" t="s">
        <v>188</v>
      </c>
      <c r="D225" s="178">
        <v>1517.875</v>
      </c>
      <c r="G225" s="177">
        <v>27590.392</v>
      </c>
      <c r="H225" s="177">
        <v>68127.994475317115</v>
      </c>
      <c r="I225" s="168">
        <v>2.4692651875086487</v>
      </c>
      <c r="L225" s="176" t="s">
        <v>208</v>
      </c>
      <c r="M225" s="184">
        <v>2167.9</v>
      </c>
      <c r="N225" s="177">
        <v>9975.1</v>
      </c>
      <c r="Q225" s="106"/>
      <c r="R225" s="106"/>
      <c r="S225" s="187"/>
      <c r="T225" s="106"/>
      <c r="U225" s="106"/>
      <c r="V225" s="187"/>
    </row>
    <row r="226" spans="1:22" x14ac:dyDescent="0.15">
      <c r="C226" s="176" t="s">
        <v>189</v>
      </c>
      <c r="D226" s="168">
        <v>3769.3363750000003</v>
      </c>
      <c r="H226" s="177">
        <v>-4376.2855246828985</v>
      </c>
      <c r="L226" s="103" t="s">
        <v>115</v>
      </c>
      <c r="M226" s="177">
        <v>23068.648000000012</v>
      </c>
      <c r="N226" s="177"/>
      <c r="P226" s="103" t="s">
        <v>6</v>
      </c>
      <c r="Q226" s="106">
        <v>2.4438814741015649</v>
      </c>
      <c r="R226" s="106">
        <v>0.18399999999999977</v>
      </c>
      <c r="S226" s="187">
        <v>60621.672711770138</v>
      </c>
      <c r="T226" s="106">
        <v>2.4438814741015649</v>
      </c>
      <c r="U226" s="106">
        <v>0.18399999999999977</v>
      </c>
      <c r="V226" s="187">
        <v>60621.672711770138</v>
      </c>
    </row>
    <row r="227" spans="1:22" x14ac:dyDescent="0.15">
      <c r="B227" s="168"/>
      <c r="M227" s="177"/>
      <c r="N227" s="177"/>
      <c r="Q227" s="106"/>
      <c r="R227" s="106"/>
      <c r="S227" s="187"/>
      <c r="T227" s="106"/>
      <c r="U227" s="106"/>
      <c r="V227" s="187"/>
    </row>
    <row r="228" spans="1:22" x14ac:dyDescent="0.15">
      <c r="C228" s="176" t="s">
        <v>190</v>
      </c>
      <c r="D228" s="168">
        <v>869.84685576923084</v>
      </c>
      <c r="L228" s="103" t="s">
        <v>200</v>
      </c>
      <c r="M228" s="177"/>
      <c r="N228" s="177">
        <v>33043.748000000014</v>
      </c>
      <c r="P228" s="103" t="s">
        <v>209</v>
      </c>
      <c r="Q228" s="106">
        <v>-0.52698147410156482</v>
      </c>
      <c r="R228" s="106"/>
      <c r="S228" s="188">
        <v>-12156.750128570115</v>
      </c>
      <c r="T228" s="106">
        <v>-0.37788147410156503</v>
      </c>
      <c r="U228" s="106"/>
      <c r="V228" s="188">
        <v>-8717.2147117701243</v>
      </c>
    </row>
    <row r="229" spans="1:22" x14ac:dyDescent="0.15">
      <c r="F229" s="103" t="s">
        <v>6</v>
      </c>
      <c r="G229" s="177">
        <v>27590.392</v>
      </c>
      <c r="H229" s="177">
        <v>72504.280000000013</v>
      </c>
      <c r="I229" s="168">
        <v>2.6278814741015646</v>
      </c>
      <c r="Q229" s="106"/>
      <c r="R229" s="106"/>
      <c r="S229" s="187"/>
      <c r="T229" s="106"/>
      <c r="U229" s="106"/>
      <c r="V229" s="187"/>
    </row>
    <row r="230" spans="1:22" x14ac:dyDescent="0.15">
      <c r="G230" s="177">
        <v>27590.392</v>
      </c>
      <c r="H230" s="177">
        <v>66610.860852225524</v>
      </c>
      <c r="I230" s="168">
        <v>2.4142774358633803</v>
      </c>
      <c r="Q230" s="106"/>
      <c r="R230" s="106"/>
      <c r="S230" s="187"/>
    </row>
    <row r="231" spans="1:22" x14ac:dyDescent="0.15">
      <c r="H231" s="177">
        <v>-5893.4191477744898</v>
      </c>
    </row>
    <row r="232" spans="1:22" ht="14" thickBot="1" x14ac:dyDescent="0.2"/>
    <row r="233" spans="1:22" ht="24" thickBot="1" x14ac:dyDescent="0.3">
      <c r="A233" s="789" t="s">
        <v>151</v>
      </c>
      <c r="B233" s="790"/>
      <c r="C233" s="790"/>
      <c r="D233" s="790"/>
      <c r="E233" s="790"/>
      <c r="F233" s="790"/>
      <c r="G233" s="790"/>
      <c r="H233" s="790"/>
      <c r="I233" s="790"/>
      <c r="J233" s="790"/>
      <c r="K233" s="790"/>
      <c r="L233" s="791"/>
      <c r="M233" s="170"/>
      <c r="N233" s="179" t="s">
        <v>192</v>
      </c>
      <c r="O233" s="170"/>
    </row>
    <row r="234" spans="1:22" ht="15" x14ac:dyDescent="0.2">
      <c r="B234" s="104" t="s">
        <v>123</v>
      </c>
      <c r="C234" s="104" t="s">
        <v>158</v>
      </c>
      <c r="D234" s="104" t="s">
        <v>185</v>
      </c>
      <c r="E234" s="170"/>
      <c r="F234" s="170"/>
      <c r="G234" s="170"/>
      <c r="H234" s="170"/>
      <c r="I234" s="170"/>
      <c r="J234" s="170"/>
      <c r="K234" s="170"/>
      <c r="L234" s="170"/>
      <c r="M234" s="170"/>
      <c r="N234" s="170"/>
      <c r="O234" s="170"/>
    </row>
    <row r="235" spans="1:22" ht="15" x14ac:dyDescent="0.2">
      <c r="B235" s="104"/>
      <c r="C235" s="104"/>
      <c r="D235" s="104"/>
      <c r="E235" s="170"/>
      <c r="F235" s="170"/>
      <c r="G235" s="170"/>
      <c r="H235" s="170"/>
      <c r="I235" s="170"/>
      <c r="J235" s="170"/>
      <c r="K235" s="170"/>
      <c r="L235" s="170"/>
      <c r="M235" s="170"/>
      <c r="N235" s="170"/>
      <c r="O235" s="170"/>
    </row>
    <row r="236" spans="1:22" ht="15" x14ac:dyDescent="0.2">
      <c r="A236" s="103" t="s">
        <v>159</v>
      </c>
      <c r="B236" s="180">
        <v>2226.3380000000006</v>
      </c>
      <c r="C236" s="181">
        <v>5573.45</v>
      </c>
      <c r="D236" s="181">
        <v>2.5034159233683289</v>
      </c>
      <c r="E236" s="182" t="s">
        <v>201</v>
      </c>
      <c r="F236" s="170"/>
      <c r="G236" s="170"/>
      <c r="H236" s="171"/>
      <c r="I236" s="170"/>
      <c r="J236" s="170"/>
      <c r="K236" s="170"/>
      <c r="L236" s="170"/>
      <c r="M236" s="170"/>
      <c r="N236" s="170"/>
      <c r="O236" s="170"/>
    </row>
    <row r="237" spans="1:22" s="120" customFormat="1" ht="15" x14ac:dyDescent="0.2">
      <c r="A237" s="120" t="s">
        <v>160</v>
      </c>
      <c r="B237" s="180">
        <v>233.66899999999998</v>
      </c>
      <c r="C237" s="181">
        <v>669.44999999999993</v>
      </c>
      <c r="D237" s="181">
        <v>2.8649499933666851</v>
      </c>
      <c r="E237" s="182" t="s">
        <v>210</v>
      </c>
      <c r="F237" s="182"/>
      <c r="G237" s="182"/>
      <c r="H237" s="182"/>
      <c r="I237" s="182"/>
      <c r="J237" s="182"/>
      <c r="K237" s="182"/>
      <c r="L237" s="182"/>
      <c r="M237" s="182"/>
      <c r="N237" s="182"/>
      <c r="O237" s="182"/>
    </row>
    <row r="238" spans="1:22" s="120" customFormat="1" ht="15" x14ac:dyDescent="0.2">
      <c r="A238" s="120" t="s">
        <v>161</v>
      </c>
      <c r="B238" s="180">
        <v>750.61099999999999</v>
      </c>
      <c r="C238" s="181">
        <v>1449.3700000000001</v>
      </c>
      <c r="D238" s="181">
        <v>1.9309202769477134</v>
      </c>
      <c r="E238" s="182" t="s">
        <v>210</v>
      </c>
      <c r="F238" s="182"/>
      <c r="G238" s="182"/>
      <c r="H238" s="182"/>
      <c r="I238" s="182"/>
      <c r="J238" s="182"/>
      <c r="K238" s="182"/>
      <c r="L238" s="182"/>
      <c r="M238" s="182"/>
      <c r="N238" s="182"/>
      <c r="O238" s="182"/>
    </row>
    <row r="239" spans="1:22" s="120" customFormat="1" ht="15" x14ac:dyDescent="0.2">
      <c r="A239" s="120" t="s">
        <v>162</v>
      </c>
      <c r="B239" s="180">
        <v>412.71999999999997</v>
      </c>
      <c r="C239" s="181">
        <v>914.74</v>
      </c>
      <c r="D239" s="181">
        <v>2.2163694514440784</v>
      </c>
      <c r="E239" s="182" t="s">
        <v>210</v>
      </c>
      <c r="F239" s="182"/>
      <c r="G239" s="182"/>
      <c r="H239" s="182"/>
      <c r="I239" s="182"/>
      <c r="J239" s="182"/>
      <c r="K239" s="182"/>
      <c r="L239" s="182"/>
      <c r="M239" s="182"/>
      <c r="N239" s="182"/>
      <c r="O239" s="182"/>
    </row>
    <row r="240" spans="1:22" ht="15" x14ac:dyDescent="0.2">
      <c r="A240" s="103" t="s">
        <v>163</v>
      </c>
      <c r="B240" s="183">
        <v>261.07</v>
      </c>
      <c r="C240" s="181">
        <v>528.48</v>
      </c>
      <c r="D240" s="181">
        <v>2.0242846746083427</v>
      </c>
      <c r="E240" s="182" t="s">
        <v>201</v>
      </c>
      <c r="F240" s="182"/>
      <c r="G240" s="182"/>
      <c r="H240" s="182"/>
      <c r="I240" s="182"/>
      <c r="J240" s="182"/>
      <c r="K240" s="182"/>
      <c r="L240" s="182"/>
      <c r="M240" s="182"/>
      <c r="N240" s="182"/>
      <c r="O240" s="182"/>
      <c r="P240" s="120"/>
      <c r="Q240" s="120"/>
    </row>
    <row r="241" spans="1:21" s="120" customFormat="1" ht="15" x14ac:dyDescent="0.2">
      <c r="A241" s="120" t="s">
        <v>164</v>
      </c>
      <c r="B241" s="180">
        <v>222.44099999999997</v>
      </c>
      <c r="C241" s="181">
        <v>432.38</v>
      </c>
      <c r="D241" s="181">
        <v>1.9437963325106435</v>
      </c>
      <c r="E241" s="182" t="s">
        <v>211</v>
      </c>
      <c r="F241" s="182"/>
      <c r="G241" s="182"/>
      <c r="H241" s="182"/>
      <c r="I241" s="182"/>
      <c r="J241" s="182"/>
      <c r="K241" s="182"/>
      <c r="L241" s="182"/>
      <c r="M241" s="182"/>
      <c r="N241" s="182"/>
      <c r="O241" s="182"/>
    </row>
    <row r="242" spans="1:21" s="120" customFormat="1" ht="15" x14ac:dyDescent="0.2">
      <c r="A242" s="120" t="s">
        <v>165</v>
      </c>
      <c r="B242" s="180">
        <v>267.44299999999998</v>
      </c>
      <c r="C242" s="181">
        <v>469.41000000000008</v>
      </c>
      <c r="D242" s="181">
        <v>1.755177738807896</v>
      </c>
      <c r="E242" s="182" t="s">
        <v>211</v>
      </c>
      <c r="F242" s="182"/>
      <c r="G242" s="182"/>
      <c r="H242" s="182"/>
      <c r="I242" s="182"/>
      <c r="J242" s="182"/>
      <c r="K242" s="182"/>
      <c r="L242" s="182"/>
      <c r="M242" s="182"/>
      <c r="N242" s="182"/>
      <c r="O242" s="182"/>
    </row>
    <row r="243" spans="1:21" s="120" customFormat="1" ht="15" x14ac:dyDescent="0.2">
      <c r="A243" s="120" t="s">
        <v>166</v>
      </c>
      <c r="B243" s="180">
        <v>288.77299999999997</v>
      </c>
      <c r="C243" s="181">
        <v>469.03</v>
      </c>
      <c r="D243" s="181">
        <v>1.6242169454900564</v>
      </c>
      <c r="E243" s="182" t="s">
        <v>211</v>
      </c>
      <c r="F243" s="182"/>
      <c r="G243" s="182"/>
      <c r="H243" s="182"/>
      <c r="I243" s="182"/>
      <c r="J243" s="182"/>
      <c r="K243" s="182"/>
      <c r="L243" s="182"/>
      <c r="M243" s="182"/>
      <c r="N243" s="182"/>
      <c r="O243" s="182"/>
    </row>
    <row r="244" spans="1:21" s="120" customFormat="1" ht="15" x14ac:dyDescent="0.2">
      <c r="A244" s="120" t="s">
        <v>167</v>
      </c>
      <c r="B244" s="180">
        <v>240.85</v>
      </c>
      <c r="C244" s="181">
        <v>419.77000000000015</v>
      </c>
      <c r="D244" s="181">
        <v>1.742869005605149</v>
      </c>
      <c r="E244" s="182" t="s">
        <v>211</v>
      </c>
      <c r="F244" s="182"/>
      <c r="G244" s="182"/>
      <c r="H244" s="182"/>
      <c r="I244" s="182"/>
      <c r="J244" s="182"/>
      <c r="K244" s="182"/>
      <c r="L244" s="182"/>
      <c r="M244" s="182"/>
      <c r="N244" s="182"/>
      <c r="O244" s="182"/>
    </row>
    <row r="245" spans="1:21" s="120" customFormat="1" ht="15" x14ac:dyDescent="0.2">
      <c r="A245" s="120" t="s">
        <v>168</v>
      </c>
      <c r="B245" s="180">
        <v>300.44699999999995</v>
      </c>
      <c r="C245" s="181">
        <v>587.86000000000024</v>
      </c>
      <c r="D245" s="181">
        <v>1.9566179725542288</v>
      </c>
      <c r="E245" s="182" t="s">
        <v>211</v>
      </c>
      <c r="F245" s="182"/>
      <c r="G245" s="182"/>
      <c r="H245" s="182"/>
      <c r="I245" s="182"/>
      <c r="J245" s="182"/>
      <c r="K245" s="182"/>
      <c r="L245" s="182"/>
      <c r="M245" s="182"/>
      <c r="N245" s="182"/>
      <c r="O245" s="182"/>
    </row>
    <row r="246" spans="1:21" ht="15" x14ac:dyDescent="0.2">
      <c r="A246" s="103" t="s">
        <v>169</v>
      </c>
      <c r="B246" s="180">
        <v>246.24300000000002</v>
      </c>
      <c r="C246" s="181">
        <v>509.76000000000005</v>
      </c>
      <c r="D246" s="181">
        <v>2.0701502174681106</v>
      </c>
      <c r="E246" s="182" t="s">
        <v>211</v>
      </c>
      <c r="F246" s="185"/>
      <c r="G246" s="182"/>
      <c r="H246" s="182"/>
      <c r="I246" s="182"/>
      <c r="J246" s="182"/>
      <c r="K246" s="182"/>
      <c r="L246" s="182"/>
      <c r="M246" s="182"/>
      <c r="N246" s="182"/>
      <c r="O246" s="182"/>
      <c r="P246" s="120"/>
      <c r="Q246" s="120"/>
    </row>
    <row r="247" spans="1:21" ht="15" x14ac:dyDescent="0.2">
      <c r="A247" s="103" t="s">
        <v>170</v>
      </c>
      <c r="B247" s="180">
        <v>388.25299999999999</v>
      </c>
      <c r="C247" s="181">
        <v>831.28000000000009</v>
      </c>
      <c r="D247" s="181">
        <v>2.1410781114376451</v>
      </c>
      <c r="E247" s="182" t="s">
        <v>211</v>
      </c>
      <c r="F247" s="182"/>
      <c r="G247" s="182"/>
      <c r="H247" s="182"/>
      <c r="I247" s="182"/>
      <c r="J247" s="182"/>
      <c r="K247" s="182"/>
      <c r="L247" s="182"/>
      <c r="M247" s="182"/>
      <c r="N247" s="182"/>
      <c r="O247" s="182"/>
      <c r="P247" s="120"/>
      <c r="Q247" s="120"/>
    </row>
    <row r="248" spans="1:21" ht="14" thickBot="1" x14ac:dyDescent="0.2">
      <c r="B248" s="169">
        <v>5838.8580000000011</v>
      </c>
      <c r="C248" s="109">
        <v>12854.980000000001</v>
      </c>
      <c r="D248" s="109">
        <v>2.2016257288668433</v>
      </c>
    </row>
    <row r="249" spans="1:21" ht="14" thickTop="1" x14ac:dyDescent="0.15">
      <c r="M249" s="103" t="s">
        <v>212</v>
      </c>
    </row>
    <row r="250" spans="1:21" x14ac:dyDescent="0.15">
      <c r="C250" s="176" t="s">
        <v>187</v>
      </c>
      <c r="D250" s="168">
        <v>486.57150000000007</v>
      </c>
      <c r="F250" s="103" t="s">
        <v>6</v>
      </c>
      <c r="G250" s="177">
        <v>5838.8580000000011</v>
      </c>
      <c r="H250" s="177">
        <v>12854.980000000001</v>
      </c>
      <c r="I250" s="168">
        <v>2.2016257288668433</v>
      </c>
    </row>
    <row r="251" spans="1:21" x14ac:dyDescent="0.15">
      <c r="C251" s="176" t="s">
        <v>188</v>
      </c>
      <c r="D251" s="178">
        <v>0</v>
      </c>
      <c r="G251" s="177">
        <v>5838.8580000000011</v>
      </c>
      <c r="H251" s="177">
        <v>216718440.06564006</v>
      </c>
      <c r="I251" s="168">
        <v>37116.58</v>
      </c>
      <c r="L251" s="103" t="s">
        <v>213</v>
      </c>
      <c r="M251" s="103" t="s">
        <v>214</v>
      </c>
      <c r="N251" s="103" t="s">
        <v>215</v>
      </c>
      <c r="O251" s="103" t="s">
        <v>216</v>
      </c>
      <c r="P251" s="103" t="s">
        <v>217</v>
      </c>
      <c r="R251" s="103" t="s">
        <v>218</v>
      </c>
      <c r="T251" s="103" t="s">
        <v>219</v>
      </c>
    </row>
    <row r="252" spans="1:21" x14ac:dyDescent="0.15">
      <c r="C252" s="176" t="s">
        <v>189</v>
      </c>
      <c r="D252" s="168">
        <v>486.57150000000007</v>
      </c>
      <c r="H252" s="177">
        <v>216705585.08564007</v>
      </c>
    </row>
    <row r="253" spans="1:21" x14ac:dyDescent="0.15">
      <c r="B253" s="168"/>
      <c r="L253" s="103" t="s">
        <v>220</v>
      </c>
      <c r="M253" s="103">
        <v>2.1646000000000001</v>
      </c>
      <c r="O253" s="103">
        <v>1.9169</v>
      </c>
      <c r="P253" s="103">
        <v>1.7190000000000001</v>
      </c>
      <c r="R253" s="187">
        <v>39655.005912000022</v>
      </c>
      <c r="T253" s="187">
        <v>48464.727048522313</v>
      </c>
      <c r="U253" s="189">
        <v>2.1008915237911769</v>
      </c>
    </row>
    <row r="254" spans="1:21" x14ac:dyDescent="0.15">
      <c r="C254" s="176" t="s">
        <v>190</v>
      </c>
      <c r="D254" s="168">
        <v>112.2857307692308</v>
      </c>
    </row>
    <row r="255" spans="1:21" x14ac:dyDescent="0.15">
      <c r="F255" s="103" t="s">
        <v>6</v>
      </c>
      <c r="G255" s="177">
        <v>5838.8580000000011</v>
      </c>
      <c r="H255" s="177">
        <v>12854.980000000001</v>
      </c>
      <c r="I255" s="168">
        <v>2.2016257288668433</v>
      </c>
      <c r="L255" s="103" t="s">
        <v>112</v>
      </c>
      <c r="P255" s="103">
        <v>1.8360000000000001</v>
      </c>
      <c r="R255" s="187">
        <v>42354.037728000025</v>
      </c>
    </row>
    <row r="256" spans="1:21" x14ac:dyDescent="0.15">
      <c r="G256" s="177">
        <v>5838.8580000000011</v>
      </c>
      <c r="H256" s="177">
        <v>12854.980000000001</v>
      </c>
      <c r="I256" s="168">
        <v>2.2016257288668433</v>
      </c>
    </row>
    <row r="257" spans="1:24" x14ac:dyDescent="0.15">
      <c r="H257" s="177">
        <v>0</v>
      </c>
      <c r="L257" s="103" t="s">
        <v>221</v>
      </c>
      <c r="P257" s="103">
        <v>1.8460000000000001</v>
      </c>
      <c r="R257" s="187">
        <v>42584.724208000021</v>
      </c>
    </row>
    <row r="259" spans="1:24" ht="14" thickBot="1" x14ac:dyDescent="0.2">
      <c r="O259" s="103">
        <v>2.0659999999999998</v>
      </c>
      <c r="T259" s="187">
        <v>51904.26246532231</v>
      </c>
      <c r="U259" s="189">
        <v>2.2499915237911767</v>
      </c>
    </row>
    <row r="260" spans="1:24" ht="24" thickBot="1" x14ac:dyDescent="0.3">
      <c r="A260" s="789" t="s">
        <v>155</v>
      </c>
      <c r="B260" s="790"/>
      <c r="C260" s="790"/>
      <c r="D260" s="790"/>
      <c r="E260" s="790"/>
      <c r="F260" s="790"/>
      <c r="G260" s="790"/>
      <c r="H260" s="790"/>
      <c r="I260" s="790"/>
      <c r="J260" s="790"/>
      <c r="K260" s="790"/>
      <c r="L260" s="791"/>
      <c r="W260" s="186" t="s">
        <v>213</v>
      </c>
      <c r="X260" s="186" t="s">
        <v>222</v>
      </c>
    </row>
    <row r="261" spans="1:24" ht="15" x14ac:dyDescent="0.2">
      <c r="B261" s="104" t="s">
        <v>123</v>
      </c>
      <c r="C261" s="104" t="s">
        <v>158</v>
      </c>
      <c r="D261" s="104" t="s">
        <v>185</v>
      </c>
      <c r="E261" s="170"/>
      <c r="F261" s="170"/>
      <c r="G261" s="170"/>
      <c r="H261" s="170"/>
      <c r="I261" s="170"/>
      <c r="J261" s="170"/>
      <c r="K261" s="170"/>
      <c r="L261" s="170"/>
    </row>
    <row r="262" spans="1:24" ht="15" x14ac:dyDescent="0.2">
      <c r="B262" s="104"/>
      <c r="C262" s="104"/>
      <c r="D262" s="104"/>
      <c r="E262" s="170"/>
      <c r="F262" s="170"/>
      <c r="G262" s="170"/>
      <c r="H262" s="170"/>
      <c r="I262" s="170"/>
      <c r="J262" s="170"/>
      <c r="K262" s="170"/>
      <c r="L262" s="170"/>
      <c r="R262" s="187"/>
      <c r="T262" s="187"/>
      <c r="W262" s="103" t="s">
        <v>220</v>
      </c>
      <c r="X262" s="103">
        <v>1.7190000000000001</v>
      </c>
    </row>
    <row r="263" spans="1:24" ht="15" x14ac:dyDescent="0.2">
      <c r="A263" s="103" t="s">
        <v>159</v>
      </c>
      <c r="B263" s="180">
        <v>281.01200000000006</v>
      </c>
      <c r="C263" s="190">
        <v>591.22</v>
      </c>
      <c r="D263" s="181">
        <v>2.1038959190354856</v>
      </c>
      <c r="E263" s="182" t="s">
        <v>211</v>
      </c>
      <c r="F263" s="170"/>
      <c r="G263" s="170"/>
      <c r="H263" s="171"/>
      <c r="I263" s="170"/>
      <c r="J263" s="170"/>
      <c r="K263" s="170"/>
      <c r="L263" s="170"/>
    </row>
    <row r="264" spans="1:24" ht="15" x14ac:dyDescent="0.2">
      <c r="A264" s="120" t="s">
        <v>160</v>
      </c>
      <c r="B264" s="180">
        <v>192.649</v>
      </c>
      <c r="C264" s="190">
        <v>391.72</v>
      </c>
      <c r="D264" s="181">
        <v>2.0333352366220434</v>
      </c>
      <c r="E264" s="182" t="s">
        <v>211</v>
      </c>
      <c r="F264" s="182"/>
      <c r="G264" s="182"/>
      <c r="H264" s="182"/>
      <c r="I264" s="182"/>
      <c r="J264" s="182"/>
      <c r="K264" s="182"/>
      <c r="L264" s="182"/>
      <c r="R264" s="187"/>
      <c r="W264" s="103" t="s">
        <v>112</v>
      </c>
      <c r="X264" s="103">
        <v>1.8360000000000001</v>
      </c>
    </row>
    <row r="265" spans="1:24" ht="15" x14ac:dyDescent="0.2">
      <c r="A265" s="120" t="s">
        <v>161</v>
      </c>
      <c r="B265" s="180">
        <v>400.803</v>
      </c>
      <c r="C265" s="190">
        <v>806.8599999999999</v>
      </c>
      <c r="D265" s="181">
        <v>2.0131086843162351</v>
      </c>
      <c r="E265" s="182" t="s">
        <v>211</v>
      </c>
      <c r="F265" s="182"/>
      <c r="G265" s="182"/>
      <c r="H265" s="182"/>
      <c r="I265" s="182"/>
      <c r="J265" s="182"/>
      <c r="K265" s="182"/>
      <c r="L265" s="182"/>
    </row>
    <row r="266" spans="1:24" ht="15" x14ac:dyDescent="0.2">
      <c r="A266" s="120" t="s">
        <v>162</v>
      </c>
      <c r="B266" s="180">
        <v>292.77299999999997</v>
      </c>
      <c r="C266" s="190">
        <v>595.84999999999991</v>
      </c>
      <c r="D266" s="181">
        <v>2.0351945022252735</v>
      </c>
      <c r="E266" s="182" t="s">
        <v>211</v>
      </c>
      <c r="F266" s="182"/>
      <c r="G266" s="182"/>
      <c r="H266" s="182"/>
      <c r="I266" s="182"/>
      <c r="J266" s="182"/>
      <c r="K266" s="182"/>
      <c r="L266" s="182"/>
      <c r="R266" s="187"/>
      <c r="W266" s="103" t="s">
        <v>153</v>
      </c>
      <c r="X266" s="103">
        <v>1.8460000000000001</v>
      </c>
    </row>
    <row r="267" spans="1:24" s="120" customFormat="1" ht="15" x14ac:dyDescent="0.2">
      <c r="A267" s="120" t="s">
        <v>163</v>
      </c>
      <c r="B267" s="183">
        <v>276.75900000000001</v>
      </c>
      <c r="C267" s="190">
        <v>548.39</v>
      </c>
      <c r="D267" s="181">
        <v>1.9814712439342532</v>
      </c>
      <c r="E267" s="182" t="s">
        <v>211</v>
      </c>
      <c r="F267" s="182"/>
      <c r="G267" s="182"/>
      <c r="H267" s="182"/>
      <c r="I267" s="182"/>
      <c r="J267" s="182"/>
      <c r="K267" s="182"/>
      <c r="L267" s="182"/>
    </row>
    <row r="268" spans="1:24" ht="15" x14ac:dyDescent="0.2">
      <c r="A268" s="120" t="s">
        <v>164</v>
      </c>
      <c r="B268" s="180">
        <v>231.39100000000002</v>
      </c>
      <c r="C268" s="190">
        <v>478.58000000000015</v>
      </c>
      <c r="D268" s="181">
        <v>2.068274046959476</v>
      </c>
      <c r="E268" s="182" t="s">
        <v>211</v>
      </c>
      <c r="F268" s="182"/>
      <c r="G268" s="182"/>
      <c r="H268" s="182"/>
      <c r="I268" s="182"/>
      <c r="J268" s="182"/>
      <c r="K268" s="182"/>
      <c r="L268" s="182"/>
    </row>
    <row r="269" spans="1:24" s="120" customFormat="1" ht="15" x14ac:dyDescent="0.2">
      <c r="A269" s="120" t="s">
        <v>165</v>
      </c>
      <c r="B269" s="180">
        <v>257.524</v>
      </c>
      <c r="C269" s="190">
        <v>561.35</v>
      </c>
      <c r="D269" s="181">
        <v>2.1797968344697969</v>
      </c>
      <c r="E269" s="182" t="s">
        <v>211</v>
      </c>
      <c r="F269" s="182"/>
      <c r="G269" s="182"/>
      <c r="H269" s="182"/>
      <c r="I269" s="182"/>
      <c r="J269" s="182"/>
      <c r="K269" s="182"/>
      <c r="L269" s="182"/>
    </row>
    <row r="270" spans="1:24" ht="15" x14ac:dyDescent="0.2">
      <c r="A270" s="120" t="s">
        <v>166</v>
      </c>
      <c r="B270" s="180">
        <v>220.70699999999997</v>
      </c>
      <c r="C270" s="190">
        <v>447.48</v>
      </c>
      <c r="D270" s="181">
        <v>2.0274844023977496</v>
      </c>
      <c r="E270" s="182" t="s">
        <v>211</v>
      </c>
      <c r="F270" s="182"/>
      <c r="G270" s="182"/>
      <c r="H270" s="182"/>
      <c r="I270" s="182"/>
      <c r="J270" s="182"/>
      <c r="K270" s="182"/>
      <c r="L270" s="182"/>
    </row>
    <row r="271" spans="1:24" ht="15" x14ac:dyDescent="0.2">
      <c r="A271" s="120" t="s">
        <v>167</v>
      </c>
      <c r="B271" s="180">
        <v>157.179</v>
      </c>
      <c r="C271" s="190">
        <v>321.11</v>
      </c>
      <c r="D271" s="181">
        <v>2.0429573925269917</v>
      </c>
      <c r="E271" s="182" t="s">
        <v>211</v>
      </c>
      <c r="F271" s="182"/>
      <c r="G271" s="182"/>
      <c r="H271" s="182"/>
      <c r="I271" s="182"/>
      <c r="J271" s="182"/>
      <c r="K271" s="182"/>
      <c r="L271" s="182"/>
    </row>
    <row r="272" spans="1:24" s="120" customFormat="1" ht="15" x14ac:dyDescent="0.2">
      <c r="A272" s="120" t="s">
        <v>168</v>
      </c>
      <c r="B272" s="180">
        <v>225.71299999999999</v>
      </c>
      <c r="C272" s="190">
        <v>492.21000000000009</v>
      </c>
      <c r="D272" s="181">
        <v>2.1806896368397042</v>
      </c>
      <c r="E272" s="182" t="s">
        <v>211</v>
      </c>
      <c r="F272" s="182"/>
      <c r="G272" s="182"/>
      <c r="H272" s="182"/>
      <c r="I272" s="182"/>
      <c r="J272" s="182"/>
      <c r="K272" s="182"/>
      <c r="L272" s="182"/>
    </row>
    <row r="273" spans="1:12" ht="15" x14ac:dyDescent="0.2">
      <c r="A273" s="103" t="s">
        <v>169</v>
      </c>
      <c r="B273" s="180">
        <v>297.92300000000006</v>
      </c>
      <c r="C273" s="190">
        <v>667.01</v>
      </c>
      <c r="D273" s="181">
        <v>2.2388670898185095</v>
      </c>
      <c r="E273" s="182" t="s">
        <v>211</v>
      </c>
      <c r="F273" s="185"/>
      <c r="G273" s="182"/>
      <c r="H273" s="182"/>
      <c r="I273" s="182"/>
      <c r="J273" s="182"/>
      <c r="K273" s="182"/>
      <c r="L273" s="182"/>
    </row>
    <row r="274" spans="1:12" ht="15" x14ac:dyDescent="0.2">
      <c r="A274" s="103" t="s">
        <v>170</v>
      </c>
      <c r="B274" s="180">
        <v>317.05199999999996</v>
      </c>
      <c r="C274" s="190">
        <v>686.06000000000029</v>
      </c>
      <c r="D274" s="181">
        <v>2.1638721723881269</v>
      </c>
      <c r="E274" s="182" t="s">
        <v>211</v>
      </c>
      <c r="F274" s="182"/>
      <c r="G274" s="182"/>
      <c r="H274" s="182"/>
      <c r="I274" s="182"/>
      <c r="J274" s="182"/>
      <c r="K274" s="182"/>
      <c r="L274" s="182"/>
    </row>
    <row r="275" spans="1:12" ht="14" thickBot="1" x14ac:dyDescent="0.2">
      <c r="B275" s="169">
        <v>3151.4850000000006</v>
      </c>
      <c r="C275" s="109">
        <v>6587.84</v>
      </c>
      <c r="D275" s="109">
        <v>2.0903923071187074</v>
      </c>
    </row>
    <row r="276" spans="1:12" ht="14" thickTop="1" x14ac:dyDescent="0.15"/>
    <row r="277" spans="1:12" s="137" customFormat="1" x14ac:dyDescent="0.15">
      <c r="C277" s="191"/>
      <c r="D277" s="192"/>
      <c r="G277" s="193"/>
      <c r="H277" s="193"/>
      <c r="I277" s="192"/>
    </row>
  </sheetData>
  <mergeCells count="8">
    <mergeCell ref="Q221:V221"/>
    <mergeCell ref="Q222:S222"/>
    <mergeCell ref="T222:V222"/>
    <mergeCell ref="A233:L233"/>
    <mergeCell ref="A260:L260"/>
    <mergeCell ref="A161:L161"/>
    <mergeCell ref="A184:L184"/>
    <mergeCell ref="A207:L207"/>
  </mergeCells>
  <printOptions horizontalCentered="1"/>
  <pageMargins left="0.25" right="0.25" top="1" bottom="1" header="0.5" footer="0.5"/>
  <pageSetup orientation="landscape" r:id="rId1"/>
  <headerFooter alignWithMargins="0">
    <oddFooter>&amp;R&amp;D &amp;T</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sheetPr>
  <dimension ref="A1:AU914"/>
  <sheetViews>
    <sheetView topLeftCell="N1" workbookViewId="0">
      <pane ySplit="1" topLeftCell="A888" activePane="bottomLeft" state="frozen"/>
      <selection pane="bottomLeft" activeCell="X914" sqref="X914"/>
    </sheetView>
  </sheetViews>
  <sheetFormatPr baseColWidth="10" defaultColWidth="8.83203125" defaultRowHeight="15" x14ac:dyDescent="0.2"/>
  <cols>
    <col min="1" max="1" width="14" style="200" bestFit="1" customWidth="1"/>
    <col min="2" max="2" width="11.1640625" style="200" bestFit="1" customWidth="1"/>
    <col min="3" max="3" width="14.1640625" style="200" bestFit="1" customWidth="1"/>
    <col min="4" max="4" width="17" style="200" bestFit="1" customWidth="1"/>
    <col min="5" max="5" width="14.33203125" style="200" bestFit="1" customWidth="1"/>
    <col min="6" max="6" width="12.1640625" style="200" bestFit="1" customWidth="1"/>
    <col min="7" max="7" width="12.83203125" style="200" bestFit="1" customWidth="1"/>
    <col min="8" max="8" width="12.1640625" style="200" bestFit="1" customWidth="1"/>
    <col min="9" max="9" width="12.83203125" style="200" bestFit="1" customWidth="1"/>
    <col min="10" max="10" width="13.83203125" style="200" bestFit="1" customWidth="1"/>
    <col min="11" max="11" width="14.1640625" style="200" bestFit="1" customWidth="1"/>
    <col min="12" max="12" width="10.1640625" style="200" bestFit="1" customWidth="1"/>
    <col min="13" max="13" width="25.6640625" style="200" bestFit="1" customWidth="1"/>
    <col min="14" max="14" width="19.33203125" style="200" bestFit="1" customWidth="1"/>
    <col min="15" max="15" width="21.1640625" style="200" bestFit="1" customWidth="1"/>
    <col min="16" max="16" width="13.6640625" style="200" bestFit="1" customWidth="1"/>
    <col min="17" max="17" width="8.1640625" style="200" bestFit="1" customWidth="1"/>
    <col min="18" max="18" width="11" style="200" bestFit="1" customWidth="1"/>
    <col min="19" max="19" width="17.1640625" style="200" bestFit="1" customWidth="1"/>
    <col min="20" max="20" width="14.5" style="200" bestFit="1" customWidth="1"/>
    <col min="21" max="21" width="7.6640625" style="200" bestFit="1" customWidth="1"/>
    <col min="22" max="22" width="15.6640625" style="200" bestFit="1" customWidth="1"/>
    <col min="23" max="23" width="6.83203125" style="200" bestFit="1" customWidth="1"/>
    <col min="24" max="24" width="6.1640625" style="200" bestFit="1" customWidth="1"/>
    <col min="25" max="25" width="7.6640625" style="200" bestFit="1" customWidth="1"/>
    <col min="26" max="26" width="7.83203125" style="200" bestFit="1" customWidth="1"/>
    <col min="27" max="27" width="8.83203125" style="200" bestFit="1" customWidth="1"/>
    <col min="28" max="28" width="18.1640625" style="200" bestFit="1" customWidth="1"/>
    <col min="29" max="29" width="16.33203125" style="200" bestFit="1" customWidth="1"/>
    <col min="30" max="30" width="16.83203125" style="200" bestFit="1" customWidth="1"/>
    <col min="31" max="31" width="7.5" style="200" bestFit="1" customWidth="1"/>
    <col min="32" max="32" width="11.1640625" style="200" bestFit="1" customWidth="1"/>
    <col min="33" max="33" width="18.6640625" style="200" bestFit="1" customWidth="1"/>
    <col min="34" max="34" width="21.1640625" style="200" bestFit="1" customWidth="1"/>
    <col min="35" max="35" width="18.6640625" style="200" bestFit="1" customWidth="1"/>
    <col min="36" max="36" width="21.1640625" style="200" bestFit="1" customWidth="1"/>
    <col min="37" max="37" width="18.6640625" style="200" bestFit="1" customWidth="1"/>
    <col min="38" max="38" width="21.1640625" style="200" bestFit="1" customWidth="1"/>
    <col min="39" max="39" width="18.6640625" style="200" bestFit="1" customWidth="1"/>
    <col min="40" max="40" width="21.1640625" style="200" bestFit="1" customWidth="1"/>
    <col min="41" max="41" width="18.6640625" style="200" bestFit="1" customWidth="1"/>
    <col min="42" max="42" width="21.1640625" style="200" bestFit="1" customWidth="1"/>
    <col min="43" max="43" width="8.83203125" style="200"/>
    <col min="44" max="44" width="11.6640625" style="200" bestFit="1" customWidth="1"/>
    <col min="45" max="45" width="12.1640625" style="200" bestFit="1" customWidth="1"/>
    <col min="46" max="46" width="7.5" style="200" bestFit="1" customWidth="1"/>
    <col min="47" max="47" width="17.1640625" style="200" bestFit="1" customWidth="1"/>
    <col min="48" max="16384" width="8.83203125" style="200"/>
  </cols>
  <sheetData>
    <row r="1" spans="1:47" x14ac:dyDescent="0.2">
      <c r="A1" s="200" t="s">
        <v>223</v>
      </c>
      <c r="B1" s="200" t="s">
        <v>224</v>
      </c>
      <c r="C1" s="200" t="s">
        <v>225</v>
      </c>
      <c r="D1" s="200" t="s">
        <v>226</v>
      </c>
      <c r="E1" s="200" t="s">
        <v>227</v>
      </c>
      <c r="F1" s="200" t="s">
        <v>228</v>
      </c>
      <c r="G1" s="200" t="s">
        <v>229</v>
      </c>
      <c r="H1" s="200" t="s">
        <v>230</v>
      </c>
      <c r="I1" s="200" t="s">
        <v>231</v>
      </c>
      <c r="J1" s="200" t="s">
        <v>232</v>
      </c>
      <c r="K1" s="200" t="s">
        <v>233</v>
      </c>
      <c r="L1" s="200" t="s">
        <v>234</v>
      </c>
      <c r="M1" s="200" t="s">
        <v>235</v>
      </c>
      <c r="N1" s="200" t="s">
        <v>236</v>
      </c>
      <c r="O1" s="200" t="s">
        <v>237</v>
      </c>
      <c r="P1" s="200" t="s">
        <v>238</v>
      </c>
      <c r="Q1" s="200" t="s">
        <v>239</v>
      </c>
      <c r="R1" s="200" t="s">
        <v>240</v>
      </c>
      <c r="S1" s="200" t="s">
        <v>241</v>
      </c>
      <c r="T1" s="200" t="s">
        <v>242</v>
      </c>
      <c r="U1" s="200" t="s">
        <v>243</v>
      </c>
      <c r="V1" s="200" t="s">
        <v>244</v>
      </c>
      <c r="W1" s="200" t="s">
        <v>245</v>
      </c>
      <c r="X1" s="200" t="s">
        <v>246</v>
      </c>
      <c r="Y1" s="200" t="s">
        <v>247</v>
      </c>
      <c r="Z1" s="200" t="s">
        <v>248</v>
      </c>
      <c r="AA1" s="200" t="s">
        <v>249</v>
      </c>
      <c r="AB1" s="200" t="s">
        <v>250</v>
      </c>
      <c r="AC1" s="200" t="s">
        <v>251</v>
      </c>
      <c r="AD1" s="200" t="s">
        <v>252</v>
      </c>
      <c r="AE1" s="200" t="s">
        <v>253</v>
      </c>
      <c r="AF1" s="200" t="s">
        <v>254</v>
      </c>
      <c r="AG1" s="200" t="s">
        <v>255</v>
      </c>
      <c r="AH1" s="200" t="s">
        <v>256</v>
      </c>
      <c r="AI1" s="200" t="s">
        <v>257</v>
      </c>
      <c r="AJ1" s="200" t="s">
        <v>258</v>
      </c>
      <c r="AK1" s="200" t="s">
        <v>259</v>
      </c>
      <c r="AL1" s="200" t="s">
        <v>260</v>
      </c>
      <c r="AM1" s="200" t="s">
        <v>261</v>
      </c>
      <c r="AN1" s="200" t="s">
        <v>262</v>
      </c>
      <c r="AO1" s="200" t="s">
        <v>263</v>
      </c>
      <c r="AP1" s="200" t="s">
        <v>264</v>
      </c>
      <c r="AQ1" s="200" t="s">
        <v>129</v>
      </c>
      <c r="AR1" s="200" t="s">
        <v>265</v>
      </c>
      <c r="AS1" s="200" t="s">
        <v>266</v>
      </c>
      <c r="AT1" s="200" t="s">
        <v>267</v>
      </c>
      <c r="AU1" s="200" t="s">
        <v>268</v>
      </c>
    </row>
    <row r="2" spans="1:47" x14ac:dyDescent="0.2">
      <c r="A2" s="200" t="str">
        <f>"0496002595734"</f>
        <v>0496002595734</v>
      </c>
      <c r="B2" s="200">
        <v>1</v>
      </c>
      <c r="C2" s="200" t="s">
        <v>435</v>
      </c>
      <c r="D2" s="200">
        <v>81</v>
      </c>
      <c r="E2" s="200">
        <v>81</v>
      </c>
      <c r="F2" s="200" t="s">
        <v>243</v>
      </c>
      <c r="G2" s="200">
        <v>2086</v>
      </c>
      <c r="H2" s="200" t="s">
        <v>270</v>
      </c>
      <c r="I2" s="200">
        <v>56440</v>
      </c>
      <c r="J2" s="201">
        <v>42552</v>
      </c>
      <c r="K2" s="202">
        <v>0.83194444444444438</v>
      </c>
      <c r="L2" s="201">
        <v>42556</v>
      </c>
      <c r="M2" s="200" t="s">
        <v>271</v>
      </c>
      <c r="N2" s="200" t="s">
        <v>352</v>
      </c>
      <c r="O2" s="200" t="s">
        <v>353</v>
      </c>
      <c r="P2" s="200" t="s">
        <v>343</v>
      </c>
      <c r="Q2" s="200" t="s">
        <v>275</v>
      </c>
      <c r="R2" s="200" t="s">
        <v>602</v>
      </c>
      <c r="S2" s="200" t="s">
        <v>436</v>
      </c>
      <c r="T2" s="200" t="s">
        <v>435</v>
      </c>
      <c r="U2" s="200">
        <v>2086</v>
      </c>
      <c r="V2" s="200" t="s">
        <v>435</v>
      </c>
      <c r="W2" s="200" t="s">
        <v>280</v>
      </c>
      <c r="X2" s="200">
        <v>6.3689999999999998</v>
      </c>
      <c r="Y2" s="203">
        <v>-0.19</v>
      </c>
      <c r="Z2" s="203">
        <v>2.2000000000000002</v>
      </c>
      <c r="AA2" s="203">
        <v>14</v>
      </c>
      <c r="AB2" s="203">
        <v>-1.17</v>
      </c>
      <c r="AC2" s="203">
        <v>0</v>
      </c>
      <c r="AD2" s="203">
        <v>0</v>
      </c>
      <c r="AE2" s="203">
        <v>12.64</v>
      </c>
      <c r="AF2" s="203">
        <v>-1.53</v>
      </c>
      <c r="AG2" s="200" t="s">
        <v>279</v>
      </c>
      <c r="AH2" s="203">
        <v>0</v>
      </c>
      <c r="AI2" s="200" t="s">
        <v>279</v>
      </c>
      <c r="AJ2" s="203">
        <v>0</v>
      </c>
      <c r="AK2" s="200" t="s">
        <v>279</v>
      </c>
      <c r="AL2" s="203">
        <v>0</v>
      </c>
      <c r="AM2" s="200" t="s">
        <v>279</v>
      </c>
      <c r="AN2" s="203">
        <v>0</v>
      </c>
      <c r="AO2" s="200" t="s">
        <v>279</v>
      </c>
      <c r="AP2" s="203">
        <v>0</v>
      </c>
      <c r="AQ2" s="203">
        <v>14</v>
      </c>
      <c r="AR2" s="203">
        <v>0</v>
      </c>
      <c r="AS2" s="200" t="str">
        <f t="shared" ref="AS2:AS65" si="0">"1.00000000"</f>
        <v>1.00000000</v>
      </c>
      <c r="AT2" s="200" t="str">
        <f>"39.1"</f>
        <v>39.1</v>
      </c>
      <c r="AU2" s="203">
        <v>0</v>
      </c>
    </row>
    <row r="3" spans="1:47" x14ac:dyDescent="0.2">
      <c r="A3" s="200" t="str">
        <f>"0496002595734"</f>
        <v>0496002595734</v>
      </c>
      <c r="B3" s="200">
        <v>2</v>
      </c>
      <c r="C3" s="200" t="s">
        <v>435</v>
      </c>
      <c r="D3" s="200">
        <v>80</v>
      </c>
      <c r="E3" s="200">
        <v>80</v>
      </c>
      <c r="F3" s="200" t="s">
        <v>243</v>
      </c>
      <c r="G3" s="200">
        <v>2086</v>
      </c>
      <c r="H3" s="200" t="s">
        <v>270</v>
      </c>
      <c r="I3" s="200">
        <v>67651</v>
      </c>
      <c r="J3" s="201">
        <v>42552</v>
      </c>
      <c r="K3" s="202">
        <v>0.92986111111111114</v>
      </c>
      <c r="L3" s="201">
        <v>42556</v>
      </c>
      <c r="M3" s="200" t="s">
        <v>271</v>
      </c>
      <c r="N3" s="200" t="s">
        <v>272</v>
      </c>
      <c r="O3" s="200" t="s">
        <v>273</v>
      </c>
      <c r="P3" s="200" t="s">
        <v>274</v>
      </c>
      <c r="Q3" s="200" t="s">
        <v>275</v>
      </c>
      <c r="R3" s="200" t="s">
        <v>276</v>
      </c>
      <c r="S3" s="200" t="s">
        <v>436</v>
      </c>
      <c r="T3" s="200" t="s">
        <v>435</v>
      </c>
      <c r="U3" s="200">
        <v>2086</v>
      </c>
      <c r="V3" s="200" t="s">
        <v>435</v>
      </c>
      <c r="W3" s="200" t="s">
        <v>280</v>
      </c>
      <c r="X3" s="200">
        <v>8.9860000000000007</v>
      </c>
      <c r="Y3" s="203">
        <v>-0.27</v>
      </c>
      <c r="Z3" s="203">
        <v>2.2400000000000002</v>
      </c>
      <c r="AA3" s="203">
        <v>20.12</v>
      </c>
      <c r="AB3" s="203">
        <v>-1.64</v>
      </c>
      <c r="AC3" s="203">
        <v>0</v>
      </c>
      <c r="AD3" s="203">
        <v>0</v>
      </c>
      <c r="AE3" s="203">
        <v>18.21</v>
      </c>
      <c r="AF3" s="203">
        <v>-2.16</v>
      </c>
      <c r="AG3" s="200" t="s">
        <v>279</v>
      </c>
      <c r="AH3" s="203">
        <v>0</v>
      </c>
      <c r="AI3" s="200" t="s">
        <v>279</v>
      </c>
      <c r="AJ3" s="203">
        <v>0</v>
      </c>
      <c r="AK3" s="200" t="s">
        <v>279</v>
      </c>
      <c r="AL3" s="203">
        <v>0</v>
      </c>
      <c r="AM3" s="200" t="s">
        <v>279</v>
      </c>
      <c r="AN3" s="203">
        <v>0</v>
      </c>
      <c r="AO3" s="200" t="s">
        <v>279</v>
      </c>
      <c r="AP3" s="203">
        <v>0</v>
      </c>
      <c r="AQ3" s="203">
        <v>20.12</v>
      </c>
      <c r="AR3" s="203">
        <v>0</v>
      </c>
      <c r="AS3" s="200" t="str">
        <f t="shared" si="0"/>
        <v>1.00000000</v>
      </c>
      <c r="AT3" s="200" t="str">
        <f>"37.5"</f>
        <v>37.5</v>
      </c>
      <c r="AU3" s="203">
        <v>0</v>
      </c>
    </row>
    <row r="4" spans="1:47" x14ac:dyDescent="0.2">
      <c r="A4" s="200" t="str">
        <f>"0496002595700"</f>
        <v>0496002595700</v>
      </c>
      <c r="B4" s="200">
        <v>8</v>
      </c>
      <c r="C4" s="200" t="s">
        <v>156</v>
      </c>
      <c r="D4" s="200" t="s">
        <v>414</v>
      </c>
      <c r="E4" s="200">
        <v>47</v>
      </c>
      <c r="F4" s="200" t="s">
        <v>243</v>
      </c>
      <c r="G4" s="200">
        <v>2262</v>
      </c>
      <c r="H4" s="200" t="s">
        <v>270</v>
      </c>
      <c r="I4" s="200">
        <v>14632</v>
      </c>
      <c r="J4" s="201">
        <v>42553</v>
      </c>
      <c r="K4" s="202">
        <v>0.7597222222222223</v>
      </c>
      <c r="L4" s="201">
        <v>42556</v>
      </c>
      <c r="M4" s="200" t="s">
        <v>271</v>
      </c>
      <c r="N4" s="200" t="s">
        <v>352</v>
      </c>
      <c r="O4" s="200" t="s">
        <v>353</v>
      </c>
      <c r="P4" s="200" t="s">
        <v>343</v>
      </c>
      <c r="Q4" s="200" t="s">
        <v>275</v>
      </c>
      <c r="R4" s="200" t="s">
        <v>602</v>
      </c>
      <c r="S4" s="200" t="s">
        <v>156</v>
      </c>
      <c r="T4" s="200" t="s">
        <v>277</v>
      </c>
      <c r="U4" s="200">
        <v>2262</v>
      </c>
      <c r="V4" s="200" t="s">
        <v>156</v>
      </c>
      <c r="W4" s="200" t="s">
        <v>280</v>
      </c>
      <c r="X4" s="200">
        <v>11.737</v>
      </c>
      <c r="Y4" s="203">
        <v>-0.35</v>
      </c>
      <c r="Z4" s="203">
        <v>2.2000000000000002</v>
      </c>
      <c r="AA4" s="203">
        <v>25.81</v>
      </c>
      <c r="AB4" s="203">
        <v>-2.15</v>
      </c>
      <c r="AC4" s="203">
        <v>0</v>
      </c>
      <c r="AD4" s="203">
        <v>0</v>
      </c>
      <c r="AE4" s="203">
        <v>23.31</v>
      </c>
      <c r="AF4" s="203">
        <v>-2.82</v>
      </c>
      <c r="AG4" s="200" t="s">
        <v>279</v>
      </c>
      <c r="AH4" s="203">
        <v>0</v>
      </c>
      <c r="AI4" s="200" t="s">
        <v>279</v>
      </c>
      <c r="AJ4" s="203">
        <v>0</v>
      </c>
      <c r="AK4" s="200" t="s">
        <v>279</v>
      </c>
      <c r="AL4" s="203">
        <v>0</v>
      </c>
      <c r="AM4" s="200" t="s">
        <v>279</v>
      </c>
      <c r="AN4" s="203">
        <v>0</v>
      </c>
      <c r="AO4" s="200" t="s">
        <v>279</v>
      </c>
      <c r="AP4" s="203">
        <v>0</v>
      </c>
      <c r="AQ4" s="203">
        <v>25.81</v>
      </c>
      <c r="AR4" s="203">
        <v>0</v>
      </c>
      <c r="AS4" s="200" t="str">
        <f t="shared" si="0"/>
        <v>1.00000000</v>
      </c>
      <c r="AT4" s="200" t="str">
        <f>"27.2"</f>
        <v>27.2</v>
      </c>
      <c r="AU4" s="203">
        <v>0</v>
      </c>
    </row>
    <row r="5" spans="1:47" x14ac:dyDescent="0.2">
      <c r="A5" s="200" t="str">
        <f>"0496002595734"</f>
        <v>0496002595734</v>
      </c>
      <c r="B5" s="200">
        <v>2</v>
      </c>
      <c r="C5" s="200" t="s">
        <v>435</v>
      </c>
      <c r="D5" s="200">
        <v>80</v>
      </c>
      <c r="E5" s="200">
        <v>80</v>
      </c>
      <c r="F5" s="200" t="s">
        <v>243</v>
      </c>
      <c r="G5" s="200">
        <v>2086</v>
      </c>
      <c r="H5" s="200" t="s">
        <v>270</v>
      </c>
      <c r="I5" s="200">
        <v>58023</v>
      </c>
      <c r="J5" s="201">
        <v>42554</v>
      </c>
      <c r="K5" s="202">
        <v>0.4069444444444445</v>
      </c>
      <c r="L5" s="201">
        <v>42556</v>
      </c>
      <c r="M5" s="200" t="s">
        <v>271</v>
      </c>
      <c r="N5" s="200" t="s">
        <v>603</v>
      </c>
      <c r="O5" s="200" t="s">
        <v>604</v>
      </c>
      <c r="P5" s="200" t="s">
        <v>552</v>
      </c>
      <c r="Q5" s="200" t="s">
        <v>275</v>
      </c>
      <c r="R5" s="200">
        <v>1760</v>
      </c>
      <c r="S5" s="200" t="s">
        <v>436</v>
      </c>
      <c r="T5" s="200" t="s">
        <v>435</v>
      </c>
      <c r="U5" s="200">
        <v>2086</v>
      </c>
      <c r="V5" s="200" t="s">
        <v>435</v>
      </c>
      <c r="W5" s="200" t="s">
        <v>280</v>
      </c>
      <c r="X5" s="200">
        <v>11.252000000000001</v>
      </c>
      <c r="Y5" s="203">
        <v>-0.34</v>
      </c>
      <c r="Z5" s="203">
        <v>2.42</v>
      </c>
      <c r="AA5" s="203">
        <v>27.22</v>
      </c>
      <c r="AB5" s="203">
        <v>-2.06</v>
      </c>
      <c r="AC5" s="203">
        <v>0</v>
      </c>
      <c r="AD5" s="203">
        <v>0</v>
      </c>
      <c r="AE5" s="203">
        <v>24.82</v>
      </c>
      <c r="AF5" s="203">
        <v>-2.7</v>
      </c>
      <c r="AG5" s="200" t="s">
        <v>279</v>
      </c>
      <c r="AH5" s="203">
        <v>0</v>
      </c>
      <c r="AI5" s="200" t="s">
        <v>279</v>
      </c>
      <c r="AJ5" s="203">
        <v>0</v>
      </c>
      <c r="AK5" s="200" t="s">
        <v>279</v>
      </c>
      <c r="AL5" s="203">
        <v>0</v>
      </c>
      <c r="AM5" s="200" t="s">
        <v>279</v>
      </c>
      <c r="AN5" s="203">
        <v>0</v>
      </c>
      <c r="AO5" s="200" t="s">
        <v>279</v>
      </c>
      <c r="AP5" s="203">
        <v>0</v>
      </c>
      <c r="AQ5" s="203">
        <v>27.22</v>
      </c>
      <c r="AR5" s="203">
        <v>0</v>
      </c>
      <c r="AS5" s="200" t="str">
        <f t="shared" si="0"/>
        <v>1.00000000</v>
      </c>
      <c r="AT5" s="200" t="str">
        <f>"37.5"</f>
        <v>37.5</v>
      </c>
      <c r="AU5" s="203">
        <v>0</v>
      </c>
    </row>
    <row r="6" spans="1:47" x14ac:dyDescent="0.2">
      <c r="A6" s="200" t="str">
        <f>"0496002595734"</f>
        <v>0496002595734</v>
      </c>
      <c r="B6" s="200">
        <v>2</v>
      </c>
      <c r="C6" s="200" t="s">
        <v>435</v>
      </c>
      <c r="D6" s="200">
        <v>80</v>
      </c>
      <c r="E6" s="200">
        <v>80</v>
      </c>
      <c r="F6" s="200" t="s">
        <v>243</v>
      </c>
      <c r="G6" s="200">
        <v>2086</v>
      </c>
      <c r="H6" s="200" t="s">
        <v>270</v>
      </c>
      <c r="I6" s="200">
        <v>58249</v>
      </c>
      <c r="J6" s="201">
        <v>42555</v>
      </c>
      <c r="K6" s="202">
        <v>0.57045138888888891</v>
      </c>
      <c r="L6" s="201">
        <v>42557</v>
      </c>
      <c r="M6" s="200" t="s">
        <v>349</v>
      </c>
      <c r="N6" s="200" t="s">
        <v>350</v>
      </c>
      <c r="O6" s="200" t="s">
        <v>351</v>
      </c>
      <c r="P6" s="200" t="s">
        <v>343</v>
      </c>
      <c r="Q6" s="200" t="s">
        <v>275</v>
      </c>
      <c r="R6" s="200" t="s">
        <v>605</v>
      </c>
      <c r="S6" s="200" t="s">
        <v>436</v>
      </c>
      <c r="T6" s="200" t="s">
        <v>435</v>
      </c>
      <c r="U6" s="200">
        <v>2086</v>
      </c>
      <c r="V6" s="200" t="s">
        <v>435</v>
      </c>
      <c r="W6" s="200" t="s">
        <v>280</v>
      </c>
      <c r="X6" s="200">
        <v>5.8559999999999999</v>
      </c>
      <c r="Y6" s="203">
        <v>0</v>
      </c>
      <c r="Z6" s="203">
        <v>2.25</v>
      </c>
      <c r="AA6" s="203">
        <v>13.17</v>
      </c>
      <c r="AB6" s="203">
        <v>-1.07</v>
      </c>
      <c r="AC6" s="203">
        <v>0</v>
      </c>
      <c r="AD6" s="203">
        <v>0</v>
      </c>
      <c r="AE6" s="203">
        <v>12.1</v>
      </c>
      <c r="AF6" s="203">
        <v>-1.41</v>
      </c>
      <c r="AG6" s="200" t="s">
        <v>279</v>
      </c>
      <c r="AH6" s="203">
        <v>0</v>
      </c>
      <c r="AI6" s="200" t="s">
        <v>279</v>
      </c>
      <c r="AJ6" s="203">
        <v>0</v>
      </c>
      <c r="AK6" s="200" t="s">
        <v>279</v>
      </c>
      <c r="AL6" s="203">
        <v>0</v>
      </c>
      <c r="AM6" s="200" t="s">
        <v>279</v>
      </c>
      <c r="AN6" s="203">
        <v>0</v>
      </c>
      <c r="AO6" s="200" t="s">
        <v>279</v>
      </c>
      <c r="AP6" s="203">
        <v>0</v>
      </c>
      <c r="AQ6" s="203">
        <v>13.17</v>
      </c>
      <c r="AR6" s="203">
        <v>0</v>
      </c>
      <c r="AS6" s="200" t="str">
        <f t="shared" si="0"/>
        <v>1.00000000</v>
      </c>
      <c r="AT6" s="200" t="str">
        <f>"38.6"</f>
        <v>38.6</v>
      </c>
      <c r="AU6" s="203">
        <v>0</v>
      </c>
    </row>
    <row r="7" spans="1:47" x14ac:dyDescent="0.2">
      <c r="A7" s="200" t="str">
        <f>"0496002595700"</f>
        <v>0496002595700</v>
      </c>
      <c r="B7" s="200">
        <v>6</v>
      </c>
      <c r="C7" s="200" t="s">
        <v>156</v>
      </c>
      <c r="D7" s="200" t="s">
        <v>344</v>
      </c>
      <c r="E7" s="200" t="s">
        <v>345</v>
      </c>
      <c r="F7" s="200" t="s">
        <v>243</v>
      </c>
      <c r="G7" s="200">
        <v>2262</v>
      </c>
      <c r="H7" s="200" t="s">
        <v>270</v>
      </c>
      <c r="I7" s="200">
        <v>50480</v>
      </c>
      <c r="J7" s="201">
        <v>42556</v>
      </c>
      <c r="K7" s="202">
        <v>0.4291666666666667</v>
      </c>
      <c r="L7" s="201">
        <v>42558</v>
      </c>
      <c r="M7" s="200" t="s">
        <v>271</v>
      </c>
      <c r="N7" s="200" t="s">
        <v>272</v>
      </c>
      <c r="O7" s="200" t="s">
        <v>273</v>
      </c>
      <c r="P7" s="200" t="s">
        <v>274</v>
      </c>
      <c r="Q7" s="200" t="s">
        <v>275</v>
      </c>
      <c r="R7" s="200" t="s">
        <v>276</v>
      </c>
      <c r="S7" s="200" t="s">
        <v>156</v>
      </c>
      <c r="T7" s="200" t="s">
        <v>277</v>
      </c>
      <c r="U7" s="200">
        <v>2262</v>
      </c>
      <c r="V7" s="200" t="s">
        <v>156</v>
      </c>
      <c r="W7" s="200" t="s">
        <v>335</v>
      </c>
      <c r="X7" s="200">
        <v>5.718</v>
      </c>
      <c r="Y7" s="203">
        <v>-0.17</v>
      </c>
      <c r="Z7" s="203">
        <v>2.4500000000000002</v>
      </c>
      <c r="AA7" s="203">
        <v>14</v>
      </c>
      <c r="AB7" s="203">
        <v>-1.05</v>
      </c>
      <c r="AC7" s="203">
        <v>0</v>
      </c>
      <c r="AD7" s="203">
        <v>0</v>
      </c>
      <c r="AE7" s="203">
        <v>12.78</v>
      </c>
      <c r="AF7" s="203">
        <v>-1.37</v>
      </c>
      <c r="AG7" s="200" t="s">
        <v>279</v>
      </c>
      <c r="AH7" s="203">
        <v>0</v>
      </c>
      <c r="AI7" s="200" t="s">
        <v>279</v>
      </c>
      <c r="AJ7" s="203">
        <v>0</v>
      </c>
      <c r="AK7" s="200" t="s">
        <v>279</v>
      </c>
      <c r="AL7" s="203">
        <v>0</v>
      </c>
      <c r="AM7" s="200" t="s">
        <v>279</v>
      </c>
      <c r="AN7" s="203">
        <v>0</v>
      </c>
      <c r="AO7" s="200" t="s">
        <v>279</v>
      </c>
      <c r="AP7" s="203">
        <v>0</v>
      </c>
      <c r="AQ7" s="203">
        <v>14</v>
      </c>
      <c r="AR7" s="203">
        <v>0</v>
      </c>
      <c r="AS7" s="200" t="str">
        <f t="shared" si="0"/>
        <v>1.00000000</v>
      </c>
      <c r="AT7" s="200" t="str">
        <f>"35.3"</f>
        <v>35.3</v>
      </c>
      <c r="AU7" s="203">
        <v>0</v>
      </c>
    </row>
    <row r="8" spans="1:47" x14ac:dyDescent="0.2">
      <c r="A8" s="200" t="str">
        <f>"0496002595734"</f>
        <v>0496002595734</v>
      </c>
      <c r="B8" s="200">
        <v>1</v>
      </c>
      <c r="C8" s="200" t="s">
        <v>435</v>
      </c>
      <c r="D8" s="200">
        <v>81</v>
      </c>
      <c r="E8" s="200">
        <v>81</v>
      </c>
      <c r="F8" s="200" t="s">
        <v>243</v>
      </c>
      <c r="G8" s="200">
        <v>2086</v>
      </c>
      <c r="H8" s="200" t="s">
        <v>270</v>
      </c>
      <c r="I8" s="200">
        <v>56563</v>
      </c>
      <c r="J8" s="201">
        <v>42556</v>
      </c>
      <c r="K8" s="202">
        <v>0.59513888888888888</v>
      </c>
      <c r="L8" s="201">
        <v>42558</v>
      </c>
      <c r="M8" s="200" t="s">
        <v>271</v>
      </c>
      <c r="N8" s="200" t="s">
        <v>272</v>
      </c>
      <c r="O8" s="200" t="s">
        <v>273</v>
      </c>
      <c r="P8" s="200" t="s">
        <v>274</v>
      </c>
      <c r="Q8" s="200" t="s">
        <v>275</v>
      </c>
      <c r="R8" s="200" t="s">
        <v>276</v>
      </c>
      <c r="S8" s="200" t="s">
        <v>436</v>
      </c>
      <c r="T8" s="200" t="s">
        <v>435</v>
      </c>
      <c r="U8" s="200">
        <v>2086</v>
      </c>
      <c r="V8" s="200" t="s">
        <v>435</v>
      </c>
      <c r="W8" s="200" t="s">
        <v>280</v>
      </c>
      <c r="X8" s="200">
        <v>6.351</v>
      </c>
      <c r="Y8" s="203">
        <v>-0.19</v>
      </c>
      <c r="Z8" s="203">
        <v>2.2400000000000002</v>
      </c>
      <c r="AA8" s="203">
        <v>14.22</v>
      </c>
      <c r="AB8" s="203">
        <v>-1.1599999999999999</v>
      </c>
      <c r="AC8" s="203">
        <v>0</v>
      </c>
      <c r="AD8" s="203">
        <v>0</v>
      </c>
      <c r="AE8" s="203">
        <v>12.87</v>
      </c>
      <c r="AF8" s="203">
        <v>-1.52</v>
      </c>
      <c r="AG8" s="200" t="s">
        <v>279</v>
      </c>
      <c r="AH8" s="203">
        <v>0</v>
      </c>
      <c r="AI8" s="200" t="s">
        <v>279</v>
      </c>
      <c r="AJ8" s="203">
        <v>0</v>
      </c>
      <c r="AK8" s="200" t="s">
        <v>279</v>
      </c>
      <c r="AL8" s="203">
        <v>0</v>
      </c>
      <c r="AM8" s="200" t="s">
        <v>279</v>
      </c>
      <c r="AN8" s="203">
        <v>0</v>
      </c>
      <c r="AO8" s="200" t="s">
        <v>279</v>
      </c>
      <c r="AP8" s="203">
        <v>0</v>
      </c>
      <c r="AQ8" s="203">
        <v>14.22</v>
      </c>
      <c r="AR8" s="203">
        <v>0</v>
      </c>
      <c r="AS8" s="200" t="str">
        <f t="shared" si="0"/>
        <v>1.00000000</v>
      </c>
      <c r="AT8" s="200" t="str">
        <f>"39.0"</f>
        <v>39.0</v>
      </c>
      <c r="AU8" s="203">
        <v>0</v>
      </c>
    </row>
    <row r="9" spans="1:47" x14ac:dyDescent="0.2">
      <c r="A9" s="200" t="str">
        <f>"0496002595734"</f>
        <v>0496002595734</v>
      </c>
      <c r="B9" s="200">
        <v>2</v>
      </c>
      <c r="C9" s="200" t="s">
        <v>435</v>
      </c>
      <c r="D9" s="200">
        <v>80</v>
      </c>
      <c r="E9" s="200">
        <v>80</v>
      </c>
      <c r="F9" s="200" t="s">
        <v>243</v>
      </c>
      <c r="G9" s="200">
        <v>2086</v>
      </c>
      <c r="H9" s="200" t="s">
        <v>270</v>
      </c>
      <c r="I9" s="200">
        <v>58707</v>
      </c>
      <c r="J9" s="201">
        <v>42557</v>
      </c>
      <c r="K9" s="202">
        <v>0.52361111111111114</v>
      </c>
      <c r="L9" s="201">
        <v>42559</v>
      </c>
      <c r="M9" s="200" t="s">
        <v>271</v>
      </c>
      <c r="N9" s="200" t="s">
        <v>272</v>
      </c>
      <c r="O9" s="200" t="s">
        <v>273</v>
      </c>
      <c r="P9" s="200" t="s">
        <v>274</v>
      </c>
      <c r="Q9" s="200" t="s">
        <v>275</v>
      </c>
      <c r="R9" s="200" t="s">
        <v>276</v>
      </c>
      <c r="S9" s="200" t="s">
        <v>436</v>
      </c>
      <c r="T9" s="200" t="s">
        <v>435</v>
      </c>
      <c r="U9" s="200">
        <v>2086</v>
      </c>
      <c r="V9" s="200" t="s">
        <v>435</v>
      </c>
      <c r="W9" s="200" t="s">
        <v>280</v>
      </c>
      <c r="X9" s="200">
        <v>11.475</v>
      </c>
      <c r="Y9" s="203">
        <v>-0.34</v>
      </c>
      <c r="Z9" s="203">
        <v>2.21</v>
      </c>
      <c r="AA9" s="203">
        <v>25.35</v>
      </c>
      <c r="AB9" s="203">
        <v>-2.1</v>
      </c>
      <c r="AC9" s="203">
        <v>0</v>
      </c>
      <c r="AD9" s="203">
        <v>0</v>
      </c>
      <c r="AE9" s="203">
        <v>22.91</v>
      </c>
      <c r="AF9" s="203">
        <v>-2.75</v>
      </c>
      <c r="AG9" s="200" t="s">
        <v>279</v>
      </c>
      <c r="AH9" s="203">
        <v>0</v>
      </c>
      <c r="AI9" s="200" t="s">
        <v>279</v>
      </c>
      <c r="AJ9" s="203">
        <v>0</v>
      </c>
      <c r="AK9" s="200" t="s">
        <v>279</v>
      </c>
      <c r="AL9" s="203">
        <v>0</v>
      </c>
      <c r="AM9" s="200" t="s">
        <v>279</v>
      </c>
      <c r="AN9" s="203">
        <v>0</v>
      </c>
      <c r="AO9" s="200" t="s">
        <v>279</v>
      </c>
      <c r="AP9" s="203">
        <v>0</v>
      </c>
      <c r="AQ9" s="203">
        <v>25.35</v>
      </c>
      <c r="AR9" s="203">
        <v>0</v>
      </c>
      <c r="AS9" s="200" t="str">
        <f t="shared" si="0"/>
        <v>1.00000000</v>
      </c>
      <c r="AT9" s="200" t="str">
        <f>"39.9"</f>
        <v>39.9</v>
      </c>
      <c r="AU9" s="203">
        <v>0</v>
      </c>
    </row>
    <row r="10" spans="1:47" x14ac:dyDescent="0.2">
      <c r="A10" s="200" t="str">
        <f>"0496002595700"</f>
        <v>0496002595700</v>
      </c>
      <c r="B10" s="200">
        <v>8</v>
      </c>
      <c r="C10" s="200" t="s">
        <v>156</v>
      </c>
      <c r="D10" s="200" t="s">
        <v>414</v>
      </c>
      <c r="E10" s="200">
        <v>47</v>
      </c>
      <c r="F10" s="200" t="s">
        <v>243</v>
      </c>
      <c r="G10" s="200">
        <v>2262</v>
      </c>
      <c r="H10" s="200" t="s">
        <v>270</v>
      </c>
      <c r="I10" s="200">
        <v>15042</v>
      </c>
      <c r="J10" s="201">
        <v>42558</v>
      </c>
      <c r="K10" s="202">
        <v>0.80833333333333324</v>
      </c>
      <c r="L10" s="201">
        <v>42562</v>
      </c>
      <c r="M10" s="200" t="s">
        <v>271</v>
      </c>
      <c r="N10" s="200" t="s">
        <v>352</v>
      </c>
      <c r="O10" s="200" t="s">
        <v>353</v>
      </c>
      <c r="P10" s="200" t="s">
        <v>343</v>
      </c>
      <c r="Q10" s="200" t="s">
        <v>275</v>
      </c>
      <c r="R10" s="200" t="s">
        <v>602</v>
      </c>
      <c r="S10" s="200" t="s">
        <v>156</v>
      </c>
      <c r="T10" s="200" t="s">
        <v>277</v>
      </c>
      <c r="U10" s="200">
        <v>2262</v>
      </c>
      <c r="V10" s="200" t="s">
        <v>156</v>
      </c>
      <c r="W10" s="200" t="s">
        <v>280</v>
      </c>
      <c r="X10" s="200">
        <v>17.062000000000001</v>
      </c>
      <c r="Y10" s="203">
        <v>-0.51</v>
      </c>
      <c r="Z10" s="203">
        <v>2.1800000000000002</v>
      </c>
      <c r="AA10" s="203">
        <v>37.18</v>
      </c>
      <c r="AB10" s="203">
        <v>-3.12</v>
      </c>
      <c r="AC10" s="203">
        <v>0</v>
      </c>
      <c r="AD10" s="203">
        <v>0</v>
      </c>
      <c r="AE10" s="203">
        <v>33.549999999999997</v>
      </c>
      <c r="AF10" s="203">
        <v>-4.09</v>
      </c>
      <c r="AG10" s="200" t="s">
        <v>279</v>
      </c>
      <c r="AH10" s="203">
        <v>0</v>
      </c>
      <c r="AI10" s="200" t="s">
        <v>279</v>
      </c>
      <c r="AJ10" s="203">
        <v>0</v>
      </c>
      <c r="AK10" s="200" t="s">
        <v>279</v>
      </c>
      <c r="AL10" s="203">
        <v>0</v>
      </c>
      <c r="AM10" s="200" t="s">
        <v>279</v>
      </c>
      <c r="AN10" s="203">
        <v>0</v>
      </c>
      <c r="AO10" s="200" t="s">
        <v>279</v>
      </c>
      <c r="AP10" s="203">
        <v>0</v>
      </c>
      <c r="AQ10" s="203">
        <v>37.18</v>
      </c>
      <c r="AR10" s="203">
        <v>0</v>
      </c>
      <c r="AS10" s="200" t="str">
        <f t="shared" si="0"/>
        <v>1.00000000</v>
      </c>
      <c r="AT10" s="200" t="str">
        <f>"24.0"</f>
        <v>24.0</v>
      </c>
      <c r="AU10" s="203">
        <v>0</v>
      </c>
    </row>
    <row r="11" spans="1:47" x14ac:dyDescent="0.2">
      <c r="A11" s="200" t="str">
        <f>"0496002595700"</f>
        <v>0496002595700</v>
      </c>
      <c r="B11" s="200">
        <v>2</v>
      </c>
      <c r="C11" s="200" t="s">
        <v>156</v>
      </c>
      <c r="D11" s="200">
        <v>42</v>
      </c>
      <c r="E11" s="200">
        <v>42</v>
      </c>
      <c r="F11" s="200" t="s">
        <v>243</v>
      </c>
      <c r="G11" s="200">
        <v>2262</v>
      </c>
      <c r="H11" s="200" t="s">
        <v>270</v>
      </c>
      <c r="I11" s="200">
        <v>23566</v>
      </c>
      <c r="J11" s="201">
        <v>42559</v>
      </c>
      <c r="K11" s="202">
        <v>0.44027777777777777</v>
      </c>
      <c r="L11" s="201">
        <v>42563</v>
      </c>
      <c r="M11" s="200" t="s">
        <v>606</v>
      </c>
      <c r="N11" s="200" t="s">
        <v>399</v>
      </c>
      <c r="O11" s="200" t="s">
        <v>400</v>
      </c>
      <c r="P11" s="200" t="s">
        <v>274</v>
      </c>
      <c r="Q11" s="200" t="s">
        <v>275</v>
      </c>
      <c r="R11" s="200" t="s">
        <v>401</v>
      </c>
      <c r="S11" s="200" t="s">
        <v>156</v>
      </c>
      <c r="T11" s="200" t="s">
        <v>277</v>
      </c>
      <c r="U11" s="200">
        <v>2262</v>
      </c>
      <c r="V11" s="200" t="s">
        <v>156</v>
      </c>
      <c r="W11" s="200" t="s">
        <v>280</v>
      </c>
      <c r="X11" s="200">
        <v>6.76</v>
      </c>
      <c r="Y11" s="203">
        <v>0</v>
      </c>
      <c r="Z11" s="203">
        <v>2.2200000000000002</v>
      </c>
      <c r="AA11" s="203">
        <v>15</v>
      </c>
      <c r="AB11" s="203">
        <v>-1.24</v>
      </c>
      <c r="AC11" s="203">
        <v>0</v>
      </c>
      <c r="AD11" s="203">
        <v>0</v>
      </c>
      <c r="AE11" s="203">
        <v>13.76</v>
      </c>
      <c r="AF11" s="203">
        <v>-1.62</v>
      </c>
      <c r="AG11" s="200" t="s">
        <v>279</v>
      </c>
      <c r="AH11" s="203">
        <v>0</v>
      </c>
      <c r="AI11" s="200" t="s">
        <v>279</v>
      </c>
      <c r="AJ11" s="203">
        <v>0</v>
      </c>
      <c r="AK11" s="200" t="s">
        <v>279</v>
      </c>
      <c r="AL11" s="203">
        <v>0</v>
      </c>
      <c r="AM11" s="200" t="s">
        <v>279</v>
      </c>
      <c r="AN11" s="203">
        <v>0</v>
      </c>
      <c r="AO11" s="200" t="s">
        <v>279</v>
      </c>
      <c r="AP11" s="203">
        <v>0</v>
      </c>
      <c r="AQ11" s="203">
        <v>15</v>
      </c>
      <c r="AR11" s="203">
        <v>0</v>
      </c>
      <c r="AS11" s="200" t="str">
        <f t="shared" si="0"/>
        <v>1.00000000</v>
      </c>
      <c r="AT11" s="200" t="str">
        <f>"38.6"</f>
        <v>38.6</v>
      </c>
      <c r="AU11" s="203">
        <v>0</v>
      </c>
    </row>
    <row r="12" spans="1:47" x14ac:dyDescent="0.2">
      <c r="A12" s="200" t="str">
        <f>"0496002595700"</f>
        <v>0496002595700</v>
      </c>
      <c r="B12" s="200">
        <v>7</v>
      </c>
      <c r="C12" s="200" t="s">
        <v>156</v>
      </c>
      <c r="D12" s="200" t="s">
        <v>371</v>
      </c>
      <c r="E12" s="200">
        <v>45</v>
      </c>
      <c r="F12" s="200" t="s">
        <v>243</v>
      </c>
      <c r="G12" s="200">
        <v>2262</v>
      </c>
      <c r="H12" s="200" t="s">
        <v>270</v>
      </c>
      <c r="I12" s="200">
        <v>12262</v>
      </c>
      <c r="J12" s="201">
        <v>42559</v>
      </c>
      <c r="K12" s="202">
        <v>0.77430555555555547</v>
      </c>
      <c r="L12" s="201">
        <v>42563</v>
      </c>
      <c r="M12" s="200" t="s">
        <v>271</v>
      </c>
      <c r="N12" s="200" t="s">
        <v>607</v>
      </c>
      <c r="O12" s="200" t="s">
        <v>608</v>
      </c>
      <c r="P12" s="200" t="s">
        <v>609</v>
      </c>
      <c r="Q12" s="200" t="s">
        <v>275</v>
      </c>
      <c r="R12" s="200" t="s">
        <v>610</v>
      </c>
      <c r="S12" s="200" t="s">
        <v>156</v>
      </c>
      <c r="T12" s="200" t="s">
        <v>277</v>
      </c>
      <c r="U12" s="200">
        <v>2262</v>
      </c>
      <c r="V12" s="200" t="s">
        <v>156</v>
      </c>
      <c r="W12" s="200" t="s">
        <v>280</v>
      </c>
      <c r="X12" s="200">
        <v>16.71</v>
      </c>
      <c r="Y12" s="203">
        <v>-0.5</v>
      </c>
      <c r="Z12" s="203">
        <v>2.2200000000000002</v>
      </c>
      <c r="AA12" s="203">
        <v>37.08</v>
      </c>
      <c r="AB12" s="203">
        <v>-3.06</v>
      </c>
      <c r="AC12" s="203">
        <v>0</v>
      </c>
      <c r="AD12" s="203">
        <v>0</v>
      </c>
      <c r="AE12" s="203">
        <v>33.520000000000003</v>
      </c>
      <c r="AF12" s="203">
        <v>-4.01</v>
      </c>
      <c r="AG12" s="200" t="s">
        <v>279</v>
      </c>
      <c r="AH12" s="203">
        <v>0</v>
      </c>
      <c r="AI12" s="200" t="s">
        <v>279</v>
      </c>
      <c r="AJ12" s="203">
        <v>0</v>
      </c>
      <c r="AK12" s="200" t="s">
        <v>279</v>
      </c>
      <c r="AL12" s="203">
        <v>0</v>
      </c>
      <c r="AM12" s="200" t="s">
        <v>279</v>
      </c>
      <c r="AN12" s="203">
        <v>0</v>
      </c>
      <c r="AO12" s="200" t="s">
        <v>279</v>
      </c>
      <c r="AP12" s="203">
        <v>0</v>
      </c>
      <c r="AQ12" s="203">
        <v>37.08</v>
      </c>
      <c r="AR12" s="203">
        <v>0</v>
      </c>
      <c r="AS12" s="200" t="str">
        <f t="shared" si="0"/>
        <v>1.00000000</v>
      </c>
      <c r="AT12" s="200" t="str">
        <f>"45.7"</f>
        <v>45.7</v>
      </c>
      <c r="AU12" s="203">
        <v>0</v>
      </c>
    </row>
    <row r="13" spans="1:47" x14ac:dyDescent="0.2">
      <c r="A13" s="200" t="str">
        <f>"0496002599173"</f>
        <v>0496002599173</v>
      </c>
      <c r="B13" s="200">
        <v>2</v>
      </c>
      <c r="C13" s="200" t="s">
        <v>585</v>
      </c>
      <c r="D13" s="200" t="s">
        <v>594</v>
      </c>
      <c r="E13" s="200" t="s">
        <v>594</v>
      </c>
      <c r="F13" s="200" t="s">
        <v>243</v>
      </c>
      <c r="G13" s="200">
        <v>5647</v>
      </c>
      <c r="H13" s="200" t="s">
        <v>270</v>
      </c>
      <c r="I13" s="200">
        <v>109336</v>
      </c>
      <c r="J13" s="201">
        <v>42559</v>
      </c>
      <c r="K13" s="202">
        <v>0.40277777777777773</v>
      </c>
      <c r="L13" s="201">
        <v>42563</v>
      </c>
      <c r="M13" s="200" t="s">
        <v>271</v>
      </c>
      <c r="N13" s="200" t="s">
        <v>588</v>
      </c>
      <c r="O13" s="200" t="s">
        <v>589</v>
      </c>
      <c r="P13" s="200" t="s">
        <v>590</v>
      </c>
      <c r="Q13" s="200" t="s">
        <v>275</v>
      </c>
      <c r="R13" s="200" t="s">
        <v>611</v>
      </c>
      <c r="S13" s="200" t="s">
        <v>436</v>
      </c>
      <c r="T13" s="200" t="s">
        <v>595</v>
      </c>
      <c r="U13" s="200">
        <v>5647</v>
      </c>
      <c r="V13" s="200" t="s">
        <v>585</v>
      </c>
      <c r="W13" s="200" t="s">
        <v>280</v>
      </c>
      <c r="X13" s="200">
        <v>19.167000000000002</v>
      </c>
      <c r="Y13" s="203">
        <v>-0.96</v>
      </c>
      <c r="Z13" s="203">
        <v>2.14</v>
      </c>
      <c r="AA13" s="203">
        <v>41</v>
      </c>
      <c r="AB13" s="203">
        <v>-3.51</v>
      </c>
      <c r="AC13" s="203">
        <v>0</v>
      </c>
      <c r="AD13" s="203">
        <v>0</v>
      </c>
      <c r="AE13" s="203">
        <v>36.53</v>
      </c>
      <c r="AF13" s="203">
        <v>-4.5999999999999996</v>
      </c>
      <c r="AG13" s="200" t="s">
        <v>279</v>
      </c>
      <c r="AH13" s="203">
        <v>0</v>
      </c>
      <c r="AI13" s="200" t="s">
        <v>279</v>
      </c>
      <c r="AJ13" s="203">
        <v>0</v>
      </c>
      <c r="AK13" s="200" t="s">
        <v>279</v>
      </c>
      <c r="AL13" s="203">
        <v>0</v>
      </c>
      <c r="AM13" s="200" t="s">
        <v>279</v>
      </c>
      <c r="AN13" s="203">
        <v>0</v>
      </c>
      <c r="AO13" s="200" t="s">
        <v>279</v>
      </c>
      <c r="AP13" s="203">
        <v>0</v>
      </c>
      <c r="AQ13" s="203">
        <v>41</v>
      </c>
      <c r="AR13" s="203">
        <v>0</v>
      </c>
      <c r="AS13" s="200" t="str">
        <f t="shared" si="0"/>
        <v>1.00000000</v>
      </c>
      <c r="AT13" s="200" t="str">
        <f>"12.2"</f>
        <v>12.2</v>
      </c>
      <c r="AU13" s="203">
        <v>0</v>
      </c>
    </row>
    <row r="14" spans="1:47" x14ac:dyDescent="0.2">
      <c r="A14" s="200" t="str">
        <f>"0496002595700"</f>
        <v>0496002595700</v>
      </c>
      <c r="B14" s="200">
        <v>2</v>
      </c>
      <c r="C14" s="200" t="s">
        <v>156</v>
      </c>
      <c r="D14" s="200">
        <v>42</v>
      </c>
      <c r="E14" s="200">
        <v>42</v>
      </c>
      <c r="F14" s="200" t="s">
        <v>243</v>
      </c>
      <c r="G14" s="200">
        <v>2262</v>
      </c>
      <c r="H14" s="200" t="s">
        <v>270</v>
      </c>
      <c r="I14" s="200">
        <v>23894</v>
      </c>
      <c r="J14" s="201">
        <v>42561</v>
      </c>
      <c r="K14" s="202">
        <v>0.34513888888888888</v>
      </c>
      <c r="L14" s="201">
        <v>42563</v>
      </c>
      <c r="M14" s="200" t="s">
        <v>612</v>
      </c>
      <c r="N14" s="200" t="s">
        <v>613</v>
      </c>
      <c r="O14" s="200" t="s">
        <v>614</v>
      </c>
      <c r="P14" s="200" t="s">
        <v>615</v>
      </c>
      <c r="Q14" s="200" t="s">
        <v>558</v>
      </c>
      <c r="R14" s="200" t="s">
        <v>616</v>
      </c>
      <c r="S14" s="200" t="s">
        <v>156</v>
      </c>
      <c r="T14" s="200" t="s">
        <v>277</v>
      </c>
      <c r="U14" s="200">
        <v>2262</v>
      </c>
      <c r="V14" s="200" t="s">
        <v>156</v>
      </c>
      <c r="W14" s="200" t="s">
        <v>280</v>
      </c>
      <c r="X14" s="200">
        <v>6.8470000000000004</v>
      </c>
      <c r="Y14" s="203">
        <v>0</v>
      </c>
      <c r="Z14" s="203">
        <v>2.19</v>
      </c>
      <c r="AA14" s="203">
        <v>14.99</v>
      </c>
      <c r="AB14" s="203">
        <v>-1.25</v>
      </c>
      <c r="AC14" s="203">
        <v>0</v>
      </c>
      <c r="AD14" s="203">
        <v>0</v>
      </c>
      <c r="AE14" s="203">
        <v>13.74</v>
      </c>
      <c r="AF14" s="203">
        <v>-3.44</v>
      </c>
      <c r="AG14" s="200" t="s">
        <v>279</v>
      </c>
      <c r="AH14" s="203">
        <v>0</v>
      </c>
      <c r="AI14" s="200" t="s">
        <v>279</v>
      </c>
      <c r="AJ14" s="203">
        <v>0</v>
      </c>
      <c r="AK14" s="200" t="s">
        <v>279</v>
      </c>
      <c r="AL14" s="203">
        <v>0</v>
      </c>
      <c r="AM14" s="200" t="s">
        <v>279</v>
      </c>
      <c r="AN14" s="203">
        <v>0</v>
      </c>
      <c r="AO14" s="200" t="s">
        <v>279</v>
      </c>
      <c r="AP14" s="203">
        <v>0</v>
      </c>
      <c r="AQ14" s="203">
        <v>14.99</v>
      </c>
      <c r="AR14" s="203">
        <v>0</v>
      </c>
      <c r="AS14" s="200" t="str">
        <f t="shared" si="0"/>
        <v>1.00000000</v>
      </c>
      <c r="AT14" s="200" t="str">
        <f>"38.6"</f>
        <v>38.6</v>
      </c>
      <c r="AU14" s="203">
        <v>0</v>
      </c>
    </row>
    <row r="15" spans="1:47" x14ac:dyDescent="0.2">
      <c r="A15" s="200" t="str">
        <f>"0496002595734"</f>
        <v>0496002595734</v>
      </c>
      <c r="B15" s="200">
        <v>2</v>
      </c>
      <c r="C15" s="200" t="s">
        <v>435</v>
      </c>
      <c r="D15" s="200">
        <v>80</v>
      </c>
      <c r="E15" s="200">
        <v>80</v>
      </c>
      <c r="F15" s="200" t="s">
        <v>243</v>
      </c>
      <c r="G15" s="200">
        <v>2086</v>
      </c>
      <c r="H15" s="200" t="s">
        <v>270</v>
      </c>
      <c r="I15" s="200">
        <v>58878</v>
      </c>
      <c r="J15" s="201">
        <v>42561</v>
      </c>
      <c r="K15" s="202">
        <v>0.23680555555555557</v>
      </c>
      <c r="L15" s="201">
        <v>42563</v>
      </c>
      <c r="M15" s="200" t="s">
        <v>271</v>
      </c>
      <c r="N15" s="200" t="s">
        <v>272</v>
      </c>
      <c r="O15" s="200" t="s">
        <v>273</v>
      </c>
      <c r="P15" s="200" t="s">
        <v>274</v>
      </c>
      <c r="Q15" s="200" t="s">
        <v>275</v>
      </c>
      <c r="R15" s="200" t="s">
        <v>276</v>
      </c>
      <c r="S15" s="200" t="s">
        <v>436</v>
      </c>
      <c r="T15" s="200" t="s">
        <v>435</v>
      </c>
      <c r="U15" s="200">
        <v>2086</v>
      </c>
      <c r="V15" s="200" t="s">
        <v>435</v>
      </c>
      <c r="W15" s="200" t="s">
        <v>280</v>
      </c>
      <c r="X15" s="200">
        <v>4.8920000000000003</v>
      </c>
      <c r="Y15" s="203">
        <v>-0.15</v>
      </c>
      <c r="Z15" s="203">
        <v>2.1800000000000002</v>
      </c>
      <c r="AA15" s="203">
        <v>10.66</v>
      </c>
      <c r="AB15" s="203">
        <v>-0.9</v>
      </c>
      <c r="AC15" s="203">
        <v>0</v>
      </c>
      <c r="AD15" s="203">
        <v>0</v>
      </c>
      <c r="AE15" s="203">
        <v>9.61</v>
      </c>
      <c r="AF15" s="203">
        <v>-1.17</v>
      </c>
      <c r="AG15" s="200" t="s">
        <v>279</v>
      </c>
      <c r="AH15" s="203">
        <v>0</v>
      </c>
      <c r="AI15" s="200" t="s">
        <v>279</v>
      </c>
      <c r="AJ15" s="203">
        <v>0</v>
      </c>
      <c r="AK15" s="200" t="s">
        <v>279</v>
      </c>
      <c r="AL15" s="203">
        <v>0</v>
      </c>
      <c r="AM15" s="200" t="s">
        <v>279</v>
      </c>
      <c r="AN15" s="203">
        <v>0</v>
      </c>
      <c r="AO15" s="200" t="s">
        <v>279</v>
      </c>
      <c r="AP15" s="203">
        <v>0</v>
      </c>
      <c r="AQ15" s="203">
        <v>10.66</v>
      </c>
      <c r="AR15" s="203">
        <v>0</v>
      </c>
      <c r="AS15" s="200" t="str">
        <f t="shared" si="0"/>
        <v>1.00000000</v>
      </c>
      <c r="AT15" s="200" t="str">
        <f>"35.0"</f>
        <v>35.0</v>
      </c>
      <c r="AU15" s="203">
        <v>0</v>
      </c>
    </row>
    <row r="16" spans="1:47" x14ac:dyDescent="0.2">
      <c r="A16" s="200" t="str">
        <f>"0496002595734"</f>
        <v>0496002595734</v>
      </c>
      <c r="B16" s="200">
        <v>2</v>
      </c>
      <c r="C16" s="200" t="s">
        <v>435</v>
      </c>
      <c r="D16" s="200">
        <v>80</v>
      </c>
      <c r="E16" s="200">
        <v>80</v>
      </c>
      <c r="F16" s="200" t="s">
        <v>243</v>
      </c>
      <c r="G16" s="200">
        <v>2086</v>
      </c>
      <c r="H16" s="200" t="s">
        <v>270</v>
      </c>
      <c r="I16" s="200">
        <v>59132</v>
      </c>
      <c r="J16" s="201">
        <v>42561</v>
      </c>
      <c r="K16" s="202">
        <v>0.91249999999999998</v>
      </c>
      <c r="L16" s="201">
        <v>42563</v>
      </c>
      <c r="M16" s="200" t="s">
        <v>271</v>
      </c>
      <c r="N16" s="200" t="s">
        <v>617</v>
      </c>
      <c r="O16" s="200" t="s">
        <v>618</v>
      </c>
      <c r="P16" s="200" t="s">
        <v>619</v>
      </c>
      <c r="Q16" s="200" t="s">
        <v>289</v>
      </c>
      <c r="R16" s="200">
        <v>7726</v>
      </c>
      <c r="S16" s="200" t="s">
        <v>436</v>
      </c>
      <c r="T16" s="200" t="s">
        <v>435</v>
      </c>
      <c r="U16" s="200">
        <v>2086</v>
      </c>
      <c r="V16" s="200" t="s">
        <v>435</v>
      </c>
      <c r="W16" s="200" t="s">
        <v>335</v>
      </c>
      <c r="X16" s="200">
        <v>7.5469999999999997</v>
      </c>
      <c r="Y16" s="203">
        <v>-0.15</v>
      </c>
      <c r="Z16" s="203">
        <v>2.06</v>
      </c>
      <c r="AA16" s="203">
        <v>15.54</v>
      </c>
      <c r="AB16" s="203">
        <v>-1.38</v>
      </c>
      <c r="AC16" s="203">
        <v>0</v>
      </c>
      <c r="AD16" s="203">
        <v>0</v>
      </c>
      <c r="AE16" s="203">
        <v>14.01</v>
      </c>
      <c r="AF16" s="203">
        <v>-1.0900000000000001</v>
      </c>
      <c r="AG16" s="200" t="s">
        <v>279</v>
      </c>
      <c r="AH16" s="203">
        <v>0</v>
      </c>
      <c r="AI16" s="200" t="s">
        <v>279</v>
      </c>
      <c r="AJ16" s="203">
        <v>0</v>
      </c>
      <c r="AK16" s="200" t="s">
        <v>279</v>
      </c>
      <c r="AL16" s="203">
        <v>0</v>
      </c>
      <c r="AM16" s="200" t="s">
        <v>279</v>
      </c>
      <c r="AN16" s="203">
        <v>0</v>
      </c>
      <c r="AO16" s="200" t="s">
        <v>279</v>
      </c>
      <c r="AP16" s="203">
        <v>0</v>
      </c>
      <c r="AQ16" s="203">
        <v>15.54</v>
      </c>
      <c r="AR16" s="203">
        <v>0</v>
      </c>
      <c r="AS16" s="200" t="str">
        <f t="shared" si="0"/>
        <v>1.00000000</v>
      </c>
      <c r="AT16" s="200" t="str">
        <f>"33.7"</f>
        <v>33.7</v>
      </c>
      <c r="AU16" s="203">
        <v>0</v>
      </c>
    </row>
    <row r="17" spans="1:47" x14ac:dyDescent="0.2">
      <c r="A17" s="200" t="str">
        <f>"0496002595700"</f>
        <v>0496002595700</v>
      </c>
      <c r="B17" s="200">
        <v>8</v>
      </c>
      <c r="C17" s="200" t="s">
        <v>156</v>
      </c>
      <c r="D17" s="200" t="s">
        <v>414</v>
      </c>
      <c r="E17" s="200">
        <v>47</v>
      </c>
      <c r="F17" s="200" t="s">
        <v>243</v>
      </c>
      <c r="G17" s="200">
        <v>2262</v>
      </c>
      <c r="H17" s="200" t="s">
        <v>270</v>
      </c>
      <c r="I17" s="200">
        <v>15390</v>
      </c>
      <c r="J17" s="201">
        <v>42562</v>
      </c>
      <c r="K17" s="202">
        <v>0.64444444444444449</v>
      </c>
      <c r="L17" s="201">
        <v>42564</v>
      </c>
      <c r="M17" s="200" t="s">
        <v>271</v>
      </c>
      <c r="N17" s="200" t="s">
        <v>620</v>
      </c>
      <c r="O17" s="200" t="s">
        <v>621</v>
      </c>
      <c r="P17" s="200" t="s">
        <v>389</v>
      </c>
      <c r="Q17" s="200" t="s">
        <v>309</v>
      </c>
      <c r="R17" s="200" t="s">
        <v>622</v>
      </c>
      <c r="S17" s="200" t="s">
        <v>156</v>
      </c>
      <c r="T17" s="200" t="s">
        <v>277</v>
      </c>
      <c r="U17" s="200">
        <v>2262</v>
      </c>
      <c r="V17" s="200" t="s">
        <v>156</v>
      </c>
      <c r="W17" s="200" t="s">
        <v>280</v>
      </c>
      <c r="X17" s="200">
        <v>15.343999999999999</v>
      </c>
      <c r="Y17" s="203">
        <v>-0.31</v>
      </c>
      <c r="Z17" s="203">
        <v>2.25</v>
      </c>
      <c r="AA17" s="203">
        <v>34.51</v>
      </c>
      <c r="AB17" s="203">
        <v>-2.81</v>
      </c>
      <c r="AC17" s="203">
        <v>0</v>
      </c>
      <c r="AD17" s="203">
        <v>0</v>
      </c>
      <c r="AE17" s="203">
        <v>31.39</v>
      </c>
      <c r="AF17" s="203">
        <v>-3.84</v>
      </c>
      <c r="AG17" s="200" t="s">
        <v>279</v>
      </c>
      <c r="AH17" s="203">
        <v>0</v>
      </c>
      <c r="AI17" s="200" t="s">
        <v>279</v>
      </c>
      <c r="AJ17" s="203">
        <v>0</v>
      </c>
      <c r="AK17" s="200" t="s">
        <v>279</v>
      </c>
      <c r="AL17" s="203">
        <v>0</v>
      </c>
      <c r="AM17" s="200" t="s">
        <v>279</v>
      </c>
      <c r="AN17" s="203">
        <v>0</v>
      </c>
      <c r="AO17" s="200" t="s">
        <v>279</v>
      </c>
      <c r="AP17" s="203">
        <v>0</v>
      </c>
      <c r="AQ17" s="203">
        <v>34.51</v>
      </c>
      <c r="AR17" s="203">
        <v>0</v>
      </c>
      <c r="AS17" s="200" t="str">
        <f t="shared" si="0"/>
        <v>1.00000000</v>
      </c>
      <c r="AT17" s="200" t="str">
        <f>"22.7"</f>
        <v>22.7</v>
      </c>
      <c r="AU17" s="203">
        <v>0</v>
      </c>
    </row>
    <row r="18" spans="1:47" x14ac:dyDescent="0.2">
      <c r="A18" s="200" t="str">
        <f>"0496002595734"</f>
        <v>0496002595734</v>
      </c>
      <c r="B18" s="200">
        <v>1</v>
      </c>
      <c r="C18" s="200" t="s">
        <v>435</v>
      </c>
      <c r="D18" s="200">
        <v>81</v>
      </c>
      <c r="E18" s="200">
        <v>81</v>
      </c>
      <c r="F18" s="200" t="s">
        <v>243</v>
      </c>
      <c r="G18" s="200">
        <v>2086</v>
      </c>
      <c r="H18" s="200" t="s">
        <v>270</v>
      </c>
      <c r="I18" s="200">
        <v>56761</v>
      </c>
      <c r="J18" s="201">
        <v>42562</v>
      </c>
      <c r="K18" s="202">
        <v>0.59861111111111109</v>
      </c>
      <c r="L18" s="201">
        <v>42564</v>
      </c>
      <c r="M18" s="200" t="s">
        <v>271</v>
      </c>
      <c r="N18" s="200" t="s">
        <v>272</v>
      </c>
      <c r="O18" s="200" t="s">
        <v>273</v>
      </c>
      <c r="P18" s="200" t="s">
        <v>274</v>
      </c>
      <c r="Q18" s="200" t="s">
        <v>275</v>
      </c>
      <c r="R18" s="200" t="s">
        <v>276</v>
      </c>
      <c r="S18" s="200" t="s">
        <v>436</v>
      </c>
      <c r="T18" s="200" t="s">
        <v>435</v>
      </c>
      <c r="U18" s="200">
        <v>2086</v>
      </c>
      <c r="V18" s="200" t="s">
        <v>435</v>
      </c>
      <c r="W18" s="200" t="s">
        <v>280</v>
      </c>
      <c r="X18" s="200">
        <v>11.462999999999999</v>
      </c>
      <c r="Y18" s="203">
        <v>-0.34</v>
      </c>
      <c r="Z18" s="203">
        <v>2.1800000000000002</v>
      </c>
      <c r="AA18" s="203">
        <v>24.98</v>
      </c>
      <c r="AB18" s="203">
        <v>-2.1</v>
      </c>
      <c r="AC18" s="203">
        <v>0</v>
      </c>
      <c r="AD18" s="203">
        <v>0</v>
      </c>
      <c r="AE18" s="203">
        <v>22.54</v>
      </c>
      <c r="AF18" s="203">
        <v>-2.75</v>
      </c>
      <c r="AG18" s="200" t="s">
        <v>279</v>
      </c>
      <c r="AH18" s="203">
        <v>0</v>
      </c>
      <c r="AI18" s="200" t="s">
        <v>279</v>
      </c>
      <c r="AJ18" s="203">
        <v>0</v>
      </c>
      <c r="AK18" s="200" t="s">
        <v>279</v>
      </c>
      <c r="AL18" s="203">
        <v>0</v>
      </c>
      <c r="AM18" s="200" t="s">
        <v>279</v>
      </c>
      <c r="AN18" s="203">
        <v>0</v>
      </c>
      <c r="AO18" s="200" t="s">
        <v>279</v>
      </c>
      <c r="AP18" s="203">
        <v>0</v>
      </c>
      <c r="AQ18" s="203">
        <v>24.98</v>
      </c>
      <c r="AR18" s="203">
        <v>0</v>
      </c>
      <c r="AS18" s="200" t="str">
        <f t="shared" si="0"/>
        <v>1.00000000</v>
      </c>
      <c r="AT18" s="200" t="str">
        <f>"39.0"</f>
        <v>39.0</v>
      </c>
      <c r="AU18" s="203">
        <v>0</v>
      </c>
    </row>
    <row r="19" spans="1:47" x14ac:dyDescent="0.2">
      <c r="A19" s="200" t="str">
        <f>"0496002595700"</f>
        <v>0496002595700</v>
      </c>
      <c r="B19" s="200">
        <v>8</v>
      </c>
      <c r="C19" s="200" t="s">
        <v>156</v>
      </c>
      <c r="D19" s="200" t="s">
        <v>414</v>
      </c>
      <c r="E19" s="200">
        <v>47</v>
      </c>
      <c r="F19" s="200" t="s">
        <v>243</v>
      </c>
      <c r="G19" s="200">
        <v>2262</v>
      </c>
      <c r="H19" s="200" t="s">
        <v>270</v>
      </c>
      <c r="I19" s="200">
        <v>15596</v>
      </c>
      <c r="J19" s="201">
        <v>42563</v>
      </c>
      <c r="K19" s="202">
        <v>0.78611111111111109</v>
      </c>
      <c r="L19" s="201">
        <v>42565</v>
      </c>
      <c r="M19" s="200" t="s">
        <v>271</v>
      </c>
      <c r="N19" s="200" t="s">
        <v>623</v>
      </c>
      <c r="O19" s="200" t="s">
        <v>624</v>
      </c>
      <c r="P19" s="200" t="s">
        <v>625</v>
      </c>
      <c r="Q19" s="200" t="s">
        <v>275</v>
      </c>
      <c r="R19" s="200" t="s">
        <v>626</v>
      </c>
      <c r="S19" s="200" t="s">
        <v>156</v>
      </c>
      <c r="T19" s="200" t="s">
        <v>277</v>
      </c>
      <c r="U19" s="200">
        <v>2262</v>
      </c>
      <c r="V19" s="200" t="s">
        <v>156</v>
      </c>
      <c r="W19" s="200" t="s">
        <v>280</v>
      </c>
      <c r="X19" s="200">
        <v>7.75</v>
      </c>
      <c r="Y19" s="203">
        <v>-0.23</v>
      </c>
      <c r="Z19" s="203">
        <v>2.17</v>
      </c>
      <c r="AA19" s="203">
        <v>16.809999999999999</v>
      </c>
      <c r="AB19" s="203">
        <v>-1.42</v>
      </c>
      <c r="AC19" s="203">
        <v>0</v>
      </c>
      <c r="AD19" s="203">
        <v>0</v>
      </c>
      <c r="AE19" s="203">
        <v>15.16</v>
      </c>
      <c r="AF19" s="203">
        <v>-1.86</v>
      </c>
      <c r="AG19" s="200" t="s">
        <v>279</v>
      </c>
      <c r="AH19" s="203">
        <v>0</v>
      </c>
      <c r="AI19" s="200" t="s">
        <v>279</v>
      </c>
      <c r="AJ19" s="203">
        <v>0</v>
      </c>
      <c r="AK19" s="200" t="s">
        <v>279</v>
      </c>
      <c r="AL19" s="203">
        <v>0</v>
      </c>
      <c r="AM19" s="200" t="s">
        <v>279</v>
      </c>
      <c r="AN19" s="203">
        <v>0</v>
      </c>
      <c r="AO19" s="200" t="s">
        <v>279</v>
      </c>
      <c r="AP19" s="203">
        <v>0</v>
      </c>
      <c r="AQ19" s="203">
        <v>16.809999999999999</v>
      </c>
      <c r="AR19" s="203">
        <v>0</v>
      </c>
      <c r="AS19" s="200" t="str">
        <f t="shared" si="0"/>
        <v>1.00000000</v>
      </c>
      <c r="AT19" s="200" t="str">
        <f>"26.6"</f>
        <v>26.6</v>
      </c>
      <c r="AU19" s="203">
        <v>0</v>
      </c>
    </row>
    <row r="20" spans="1:47" x14ac:dyDescent="0.2">
      <c r="A20" s="200" t="str">
        <f>"0496002595833"</f>
        <v>0496002595833</v>
      </c>
      <c r="B20" s="200">
        <v>1</v>
      </c>
      <c r="C20" s="200" t="s">
        <v>571</v>
      </c>
      <c r="D20" s="200" t="s">
        <v>571</v>
      </c>
      <c r="E20" s="200" t="s">
        <v>572</v>
      </c>
      <c r="F20" s="200" t="s">
        <v>243</v>
      </c>
      <c r="G20" s="200">
        <v>2328</v>
      </c>
      <c r="H20" s="200" t="s">
        <v>270</v>
      </c>
      <c r="I20" s="200">
        <v>48020</v>
      </c>
      <c r="J20" s="201">
        <v>42563</v>
      </c>
      <c r="K20" s="202">
        <v>0.64097222222222217</v>
      </c>
      <c r="L20" s="201">
        <v>42565</v>
      </c>
      <c r="M20" s="200" t="s">
        <v>294</v>
      </c>
      <c r="N20" s="200" t="s">
        <v>379</v>
      </c>
      <c r="O20" s="200" t="s">
        <v>471</v>
      </c>
      <c r="P20" s="200" t="s">
        <v>389</v>
      </c>
      <c r="Q20" s="200" t="s">
        <v>275</v>
      </c>
      <c r="R20" s="200" t="s">
        <v>627</v>
      </c>
      <c r="S20" s="200" t="s">
        <v>436</v>
      </c>
      <c r="T20" s="200" t="s">
        <v>571</v>
      </c>
      <c r="U20" s="200">
        <v>2328</v>
      </c>
      <c r="V20" s="200" t="s">
        <v>571</v>
      </c>
      <c r="W20" s="200" t="s">
        <v>280</v>
      </c>
      <c r="X20" s="200">
        <v>5.52</v>
      </c>
      <c r="Y20" s="203">
        <v>0</v>
      </c>
      <c r="Z20" s="203">
        <v>2.2999999999999998</v>
      </c>
      <c r="AA20" s="203">
        <v>12.7</v>
      </c>
      <c r="AB20" s="203">
        <v>-1.01</v>
      </c>
      <c r="AC20" s="203">
        <v>0</v>
      </c>
      <c r="AD20" s="203">
        <v>0</v>
      </c>
      <c r="AE20" s="203">
        <v>11.69</v>
      </c>
      <c r="AF20" s="203">
        <v>-1.32</v>
      </c>
      <c r="AG20" s="200" t="s">
        <v>279</v>
      </c>
      <c r="AH20" s="203">
        <v>0</v>
      </c>
      <c r="AI20" s="200" t="s">
        <v>279</v>
      </c>
      <c r="AJ20" s="203">
        <v>0</v>
      </c>
      <c r="AK20" s="200" t="s">
        <v>279</v>
      </c>
      <c r="AL20" s="203">
        <v>0</v>
      </c>
      <c r="AM20" s="200" t="s">
        <v>279</v>
      </c>
      <c r="AN20" s="203">
        <v>0</v>
      </c>
      <c r="AO20" s="200" t="s">
        <v>279</v>
      </c>
      <c r="AP20" s="203">
        <v>0</v>
      </c>
      <c r="AQ20" s="203">
        <v>12.7</v>
      </c>
      <c r="AR20" s="203">
        <v>0</v>
      </c>
      <c r="AS20" s="200" t="str">
        <f t="shared" si="0"/>
        <v>1.00000000</v>
      </c>
      <c r="AT20" s="200" t="str">
        <f>"22.1"</f>
        <v>22.1</v>
      </c>
      <c r="AU20" s="203">
        <v>0</v>
      </c>
    </row>
    <row r="21" spans="1:47" x14ac:dyDescent="0.2">
      <c r="A21" s="200" t="str">
        <f>"0496002599173"</f>
        <v>0496002599173</v>
      </c>
      <c r="B21" s="200">
        <v>1</v>
      </c>
      <c r="C21" s="200" t="s">
        <v>585</v>
      </c>
      <c r="D21" s="200" t="s">
        <v>586</v>
      </c>
      <c r="E21" s="200" t="s">
        <v>586</v>
      </c>
      <c r="F21" s="200" t="s">
        <v>243</v>
      </c>
      <c r="G21" s="200">
        <v>5314</v>
      </c>
      <c r="H21" s="200" t="s">
        <v>270</v>
      </c>
      <c r="I21" s="200">
        <v>59247</v>
      </c>
      <c r="J21" s="201">
        <v>42563</v>
      </c>
      <c r="K21" s="202">
        <v>0.35138888888888892</v>
      </c>
      <c r="L21" s="201">
        <v>42565</v>
      </c>
      <c r="M21" s="200" t="s">
        <v>606</v>
      </c>
      <c r="N21" s="200" t="s">
        <v>399</v>
      </c>
      <c r="O21" s="200" t="s">
        <v>400</v>
      </c>
      <c r="P21" s="200" t="s">
        <v>274</v>
      </c>
      <c r="Q21" s="200" t="s">
        <v>275</v>
      </c>
      <c r="R21" s="200" t="s">
        <v>401</v>
      </c>
      <c r="S21" s="200" t="s">
        <v>436</v>
      </c>
      <c r="T21" s="200" t="s">
        <v>587</v>
      </c>
      <c r="U21" s="200">
        <v>5314</v>
      </c>
      <c r="V21" s="200" t="s">
        <v>585</v>
      </c>
      <c r="W21" s="200" t="s">
        <v>280</v>
      </c>
      <c r="X21" s="200">
        <v>30.701000000000001</v>
      </c>
      <c r="Y21" s="203">
        <v>0</v>
      </c>
      <c r="Z21" s="203">
        <v>2.2000000000000002</v>
      </c>
      <c r="AA21" s="203">
        <v>67.510000000000005</v>
      </c>
      <c r="AB21" s="203">
        <v>-5.62</v>
      </c>
      <c r="AC21" s="203">
        <v>0</v>
      </c>
      <c r="AD21" s="203">
        <v>0</v>
      </c>
      <c r="AE21" s="203">
        <v>61.89</v>
      </c>
      <c r="AF21" s="203">
        <v>-7.37</v>
      </c>
      <c r="AG21" s="200" t="s">
        <v>279</v>
      </c>
      <c r="AH21" s="203">
        <v>0</v>
      </c>
      <c r="AI21" s="200" t="s">
        <v>279</v>
      </c>
      <c r="AJ21" s="203">
        <v>0</v>
      </c>
      <c r="AK21" s="200" t="s">
        <v>279</v>
      </c>
      <c r="AL21" s="203">
        <v>0</v>
      </c>
      <c r="AM21" s="200" t="s">
        <v>279</v>
      </c>
      <c r="AN21" s="203">
        <v>0</v>
      </c>
      <c r="AO21" s="200" t="s">
        <v>279</v>
      </c>
      <c r="AP21" s="203">
        <v>0</v>
      </c>
      <c r="AQ21" s="203">
        <v>67.510000000000005</v>
      </c>
      <c r="AR21" s="203">
        <v>0</v>
      </c>
      <c r="AS21" s="200" t="str">
        <f t="shared" si="0"/>
        <v>1.00000000</v>
      </c>
      <c r="AT21" s="200" t="str">
        <f>"14.1"</f>
        <v>14.1</v>
      </c>
      <c r="AU21" s="203">
        <v>0</v>
      </c>
    </row>
    <row r="22" spans="1:47" x14ac:dyDescent="0.2">
      <c r="A22" s="200" t="str">
        <f>"0496002595700"</f>
        <v>0496002595700</v>
      </c>
      <c r="B22" s="200">
        <v>2</v>
      </c>
      <c r="C22" s="200" t="s">
        <v>156</v>
      </c>
      <c r="D22" s="200">
        <v>42</v>
      </c>
      <c r="E22" s="200">
        <v>42</v>
      </c>
      <c r="F22" s="200" t="s">
        <v>243</v>
      </c>
      <c r="G22" s="200">
        <v>2262</v>
      </c>
      <c r="H22" s="200" t="s">
        <v>270</v>
      </c>
      <c r="I22" s="200">
        <v>24215</v>
      </c>
      <c r="J22" s="201">
        <v>42564</v>
      </c>
      <c r="K22" s="202">
        <v>0.37222222222222223</v>
      </c>
      <c r="L22" s="201">
        <v>42566</v>
      </c>
      <c r="M22" s="200" t="s">
        <v>271</v>
      </c>
      <c r="N22" s="200" t="s">
        <v>272</v>
      </c>
      <c r="O22" s="200" t="s">
        <v>273</v>
      </c>
      <c r="P22" s="200" t="s">
        <v>274</v>
      </c>
      <c r="Q22" s="200" t="s">
        <v>275</v>
      </c>
      <c r="R22" s="200" t="s">
        <v>276</v>
      </c>
      <c r="S22" s="200" t="s">
        <v>156</v>
      </c>
      <c r="T22" s="200" t="s">
        <v>277</v>
      </c>
      <c r="U22" s="200">
        <v>2262</v>
      </c>
      <c r="V22" s="200" t="s">
        <v>156</v>
      </c>
      <c r="W22" s="200" t="s">
        <v>280</v>
      </c>
      <c r="X22" s="200">
        <v>6.9809999999999999</v>
      </c>
      <c r="Y22" s="203">
        <v>-0.21</v>
      </c>
      <c r="Z22" s="203">
        <v>2.1800000000000002</v>
      </c>
      <c r="AA22" s="203">
        <v>15.22</v>
      </c>
      <c r="AB22" s="203">
        <v>-1.28</v>
      </c>
      <c r="AC22" s="203">
        <v>0</v>
      </c>
      <c r="AD22" s="203">
        <v>0</v>
      </c>
      <c r="AE22" s="203">
        <v>13.73</v>
      </c>
      <c r="AF22" s="203">
        <v>-1.68</v>
      </c>
      <c r="AG22" s="200" t="s">
        <v>279</v>
      </c>
      <c r="AH22" s="203">
        <v>0</v>
      </c>
      <c r="AI22" s="200" t="s">
        <v>279</v>
      </c>
      <c r="AJ22" s="203">
        <v>0</v>
      </c>
      <c r="AK22" s="200" t="s">
        <v>279</v>
      </c>
      <c r="AL22" s="203">
        <v>0</v>
      </c>
      <c r="AM22" s="200" t="s">
        <v>279</v>
      </c>
      <c r="AN22" s="203">
        <v>0</v>
      </c>
      <c r="AO22" s="200" t="s">
        <v>279</v>
      </c>
      <c r="AP22" s="203">
        <v>0</v>
      </c>
      <c r="AQ22" s="203">
        <v>15.22</v>
      </c>
      <c r="AR22" s="203">
        <v>0</v>
      </c>
      <c r="AS22" s="200" t="str">
        <f t="shared" si="0"/>
        <v>1.00000000</v>
      </c>
      <c r="AT22" s="200" t="str">
        <f>"46.0"</f>
        <v>46.0</v>
      </c>
      <c r="AU22" s="203">
        <v>0</v>
      </c>
    </row>
    <row r="23" spans="1:47" x14ac:dyDescent="0.2">
      <c r="A23" s="200" t="str">
        <f>"0496002595734"</f>
        <v>0496002595734</v>
      </c>
      <c r="B23" s="200">
        <v>1</v>
      </c>
      <c r="C23" s="200" t="s">
        <v>435</v>
      </c>
      <c r="D23" s="200">
        <v>81</v>
      </c>
      <c r="E23" s="200">
        <v>81</v>
      </c>
      <c r="F23" s="200" t="s">
        <v>243</v>
      </c>
      <c r="G23" s="200">
        <v>2086</v>
      </c>
      <c r="H23" s="200" t="s">
        <v>270</v>
      </c>
      <c r="I23" s="200">
        <v>56899</v>
      </c>
      <c r="J23" s="201">
        <v>42564</v>
      </c>
      <c r="K23" s="202">
        <v>0.3666666666666667</v>
      </c>
      <c r="L23" s="201">
        <v>42566</v>
      </c>
      <c r="M23" s="200" t="s">
        <v>271</v>
      </c>
      <c r="N23" s="200" t="s">
        <v>272</v>
      </c>
      <c r="O23" s="200" t="s">
        <v>273</v>
      </c>
      <c r="P23" s="200" t="s">
        <v>274</v>
      </c>
      <c r="Q23" s="200" t="s">
        <v>275</v>
      </c>
      <c r="R23" s="200" t="s">
        <v>276</v>
      </c>
      <c r="S23" s="200" t="s">
        <v>436</v>
      </c>
      <c r="T23" s="200" t="s">
        <v>435</v>
      </c>
      <c r="U23" s="200">
        <v>2086</v>
      </c>
      <c r="V23" s="200" t="s">
        <v>435</v>
      </c>
      <c r="W23" s="200" t="s">
        <v>280</v>
      </c>
      <c r="X23" s="200">
        <v>6.3890000000000002</v>
      </c>
      <c r="Y23" s="203">
        <v>-0.19</v>
      </c>
      <c r="Z23" s="203">
        <v>2.1800000000000002</v>
      </c>
      <c r="AA23" s="203">
        <v>13.93</v>
      </c>
      <c r="AB23" s="203">
        <v>-1.17</v>
      </c>
      <c r="AC23" s="203">
        <v>0</v>
      </c>
      <c r="AD23" s="203">
        <v>0</v>
      </c>
      <c r="AE23" s="203">
        <v>12.57</v>
      </c>
      <c r="AF23" s="203">
        <v>-1.53</v>
      </c>
      <c r="AG23" s="200" t="s">
        <v>279</v>
      </c>
      <c r="AH23" s="203">
        <v>0</v>
      </c>
      <c r="AI23" s="200" t="s">
        <v>279</v>
      </c>
      <c r="AJ23" s="203">
        <v>0</v>
      </c>
      <c r="AK23" s="200" t="s">
        <v>279</v>
      </c>
      <c r="AL23" s="203">
        <v>0</v>
      </c>
      <c r="AM23" s="200" t="s">
        <v>279</v>
      </c>
      <c r="AN23" s="203">
        <v>0</v>
      </c>
      <c r="AO23" s="200" t="s">
        <v>279</v>
      </c>
      <c r="AP23" s="203">
        <v>0</v>
      </c>
      <c r="AQ23" s="203">
        <v>13.93</v>
      </c>
      <c r="AR23" s="203">
        <v>0</v>
      </c>
      <c r="AS23" s="200" t="str">
        <f t="shared" si="0"/>
        <v>1.00000000</v>
      </c>
      <c r="AT23" s="200" t="str">
        <f>"39.0"</f>
        <v>39.0</v>
      </c>
      <c r="AU23" s="203">
        <v>0</v>
      </c>
    </row>
    <row r="24" spans="1:47" x14ac:dyDescent="0.2">
      <c r="A24" s="200" t="str">
        <f>"0496002595734"</f>
        <v>0496002595734</v>
      </c>
      <c r="B24" s="200">
        <v>1</v>
      </c>
      <c r="C24" s="200" t="s">
        <v>435</v>
      </c>
      <c r="D24" s="200">
        <v>81</v>
      </c>
      <c r="E24" s="200">
        <v>81</v>
      </c>
      <c r="F24" s="200" t="s">
        <v>243</v>
      </c>
      <c r="G24" s="200">
        <v>2086</v>
      </c>
      <c r="H24" s="200" t="s">
        <v>270</v>
      </c>
      <c r="I24" s="200">
        <v>57083</v>
      </c>
      <c r="J24" s="201">
        <v>42564</v>
      </c>
      <c r="K24" s="202">
        <v>0.58402777777777781</v>
      </c>
      <c r="L24" s="201">
        <v>42566</v>
      </c>
      <c r="M24" s="200" t="s">
        <v>271</v>
      </c>
      <c r="N24" s="200" t="s">
        <v>272</v>
      </c>
      <c r="O24" s="200" t="s">
        <v>273</v>
      </c>
      <c r="P24" s="200" t="s">
        <v>274</v>
      </c>
      <c r="Q24" s="200" t="s">
        <v>275</v>
      </c>
      <c r="R24" s="200" t="s">
        <v>276</v>
      </c>
      <c r="S24" s="200" t="s">
        <v>436</v>
      </c>
      <c r="T24" s="200" t="s">
        <v>435</v>
      </c>
      <c r="U24" s="200">
        <v>2086</v>
      </c>
      <c r="V24" s="200" t="s">
        <v>435</v>
      </c>
      <c r="W24" s="200" t="s">
        <v>280</v>
      </c>
      <c r="X24" s="200">
        <v>8.7650000000000006</v>
      </c>
      <c r="Y24" s="203">
        <v>-0.26</v>
      </c>
      <c r="Z24" s="203">
        <v>2.1800000000000002</v>
      </c>
      <c r="AA24" s="203">
        <v>19.100000000000001</v>
      </c>
      <c r="AB24" s="203">
        <v>-1.6</v>
      </c>
      <c r="AC24" s="203">
        <v>0</v>
      </c>
      <c r="AD24" s="203">
        <v>0</v>
      </c>
      <c r="AE24" s="203">
        <v>17.239999999999998</v>
      </c>
      <c r="AF24" s="203">
        <v>-2.1</v>
      </c>
      <c r="AG24" s="200" t="s">
        <v>279</v>
      </c>
      <c r="AH24" s="203">
        <v>0</v>
      </c>
      <c r="AI24" s="200" t="s">
        <v>279</v>
      </c>
      <c r="AJ24" s="203">
        <v>0</v>
      </c>
      <c r="AK24" s="200" t="s">
        <v>279</v>
      </c>
      <c r="AL24" s="203">
        <v>0</v>
      </c>
      <c r="AM24" s="200" t="s">
        <v>279</v>
      </c>
      <c r="AN24" s="203">
        <v>0</v>
      </c>
      <c r="AO24" s="200" t="s">
        <v>279</v>
      </c>
      <c r="AP24" s="203">
        <v>0</v>
      </c>
      <c r="AQ24" s="203">
        <v>19.100000000000001</v>
      </c>
      <c r="AR24" s="203">
        <v>0</v>
      </c>
      <c r="AS24" s="200" t="str">
        <f t="shared" si="0"/>
        <v>1.00000000</v>
      </c>
      <c r="AT24" s="200" t="str">
        <f>"39.0"</f>
        <v>39.0</v>
      </c>
      <c r="AU24" s="203">
        <v>0</v>
      </c>
    </row>
    <row r="25" spans="1:47" x14ac:dyDescent="0.2">
      <c r="A25" s="200" t="str">
        <f>"0496002595734"</f>
        <v>0496002595734</v>
      </c>
      <c r="B25" s="200">
        <v>2</v>
      </c>
      <c r="C25" s="200" t="s">
        <v>435</v>
      </c>
      <c r="D25" s="200">
        <v>80</v>
      </c>
      <c r="E25" s="200">
        <v>80</v>
      </c>
      <c r="F25" s="200" t="s">
        <v>243</v>
      </c>
      <c r="G25" s="200">
        <v>2086</v>
      </c>
      <c r="H25" s="200" t="s">
        <v>270</v>
      </c>
      <c r="I25" s="200">
        <v>59769</v>
      </c>
      <c r="J25" s="201">
        <v>42564</v>
      </c>
      <c r="K25" s="202">
        <v>0.57152777777777775</v>
      </c>
      <c r="L25" s="201">
        <v>42566</v>
      </c>
      <c r="M25" s="200" t="s">
        <v>271</v>
      </c>
      <c r="N25" s="200" t="s">
        <v>272</v>
      </c>
      <c r="O25" s="200" t="s">
        <v>273</v>
      </c>
      <c r="P25" s="200" t="s">
        <v>274</v>
      </c>
      <c r="Q25" s="200" t="s">
        <v>275</v>
      </c>
      <c r="R25" s="200" t="s">
        <v>276</v>
      </c>
      <c r="S25" s="200" t="s">
        <v>436</v>
      </c>
      <c r="T25" s="200" t="s">
        <v>435</v>
      </c>
      <c r="U25" s="200">
        <v>2086</v>
      </c>
      <c r="V25" s="200" t="s">
        <v>435</v>
      </c>
      <c r="W25" s="200" t="s">
        <v>280</v>
      </c>
      <c r="X25" s="200">
        <v>9.3160000000000007</v>
      </c>
      <c r="Y25" s="203">
        <v>-0.28000000000000003</v>
      </c>
      <c r="Z25" s="203">
        <v>2.1800000000000002</v>
      </c>
      <c r="AA25" s="203">
        <v>20.3</v>
      </c>
      <c r="AB25" s="203">
        <v>-1.7</v>
      </c>
      <c r="AC25" s="203">
        <v>0</v>
      </c>
      <c r="AD25" s="203">
        <v>0</v>
      </c>
      <c r="AE25" s="203">
        <v>18.32</v>
      </c>
      <c r="AF25" s="203">
        <v>-2.2400000000000002</v>
      </c>
      <c r="AG25" s="200" t="s">
        <v>279</v>
      </c>
      <c r="AH25" s="203">
        <v>0</v>
      </c>
      <c r="AI25" s="200" t="s">
        <v>279</v>
      </c>
      <c r="AJ25" s="203">
        <v>0</v>
      </c>
      <c r="AK25" s="200" t="s">
        <v>279</v>
      </c>
      <c r="AL25" s="203">
        <v>0</v>
      </c>
      <c r="AM25" s="200" t="s">
        <v>279</v>
      </c>
      <c r="AN25" s="203">
        <v>0</v>
      </c>
      <c r="AO25" s="200" t="s">
        <v>279</v>
      </c>
      <c r="AP25" s="203">
        <v>0</v>
      </c>
      <c r="AQ25" s="203">
        <v>20.3</v>
      </c>
      <c r="AR25" s="203">
        <v>0</v>
      </c>
      <c r="AS25" s="200" t="str">
        <f t="shared" si="0"/>
        <v>1.00000000</v>
      </c>
      <c r="AT25" s="200" t="str">
        <f>"37.5"</f>
        <v>37.5</v>
      </c>
      <c r="AU25" s="203">
        <v>0</v>
      </c>
    </row>
    <row r="26" spans="1:47" x14ac:dyDescent="0.2">
      <c r="A26" s="200" t="str">
        <f>"0496002595833"</f>
        <v>0496002595833</v>
      </c>
      <c r="B26" s="200">
        <v>1</v>
      </c>
      <c r="C26" s="200" t="s">
        <v>571</v>
      </c>
      <c r="D26" s="200" t="s">
        <v>571</v>
      </c>
      <c r="E26" s="200" t="s">
        <v>572</v>
      </c>
      <c r="F26" s="200" t="s">
        <v>243</v>
      </c>
      <c r="G26" s="200">
        <v>2328</v>
      </c>
      <c r="H26" s="200" t="s">
        <v>270</v>
      </c>
      <c r="I26" s="200">
        <v>48251</v>
      </c>
      <c r="J26" s="201">
        <v>42564</v>
      </c>
      <c r="K26" s="202">
        <v>0.32939814814814816</v>
      </c>
      <c r="L26" s="201">
        <v>42566</v>
      </c>
      <c r="M26" s="200" t="s">
        <v>384</v>
      </c>
      <c r="N26" s="200" t="s">
        <v>385</v>
      </c>
      <c r="O26" s="200" t="s">
        <v>386</v>
      </c>
      <c r="P26" s="200" t="s">
        <v>343</v>
      </c>
      <c r="Q26" s="200" t="s">
        <v>275</v>
      </c>
      <c r="R26" s="200" t="s">
        <v>387</v>
      </c>
      <c r="S26" s="200" t="s">
        <v>436</v>
      </c>
      <c r="T26" s="200" t="s">
        <v>571</v>
      </c>
      <c r="U26" s="200">
        <v>2328</v>
      </c>
      <c r="V26" s="200" t="s">
        <v>571</v>
      </c>
      <c r="W26" s="200" t="s">
        <v>280</v>
      </c>
      <c r="X26" s="200">
        <v>8.4209999999999994</v>
      </c>
      <c r="Y26" s="203">
        <v>0</v>
      </c>
      <c r="Z26" s="203">
        <v>2.15</v>
      </c>
      <c r="AA26" s="203">
        <v>18.100000000000001</v>
      </c>
      <c r="AB26" s="203">
        <v>-1.54</v>
      </c>
      <c r="AC26" s="203">
        <v>0</v>
      </c>
      <c r="AD26" s="203">
        <v>0</v>
      </c>
      <c r="AE26" s="203">
        <v>16.559999999999999</v>
      </c>
      <c r="AF26" s="203">
        <v>-2.02</v>
      </c>
      <c r="AG26" s="200" t="s">
        <v>279</v>
      </c>
      <c r="AH26" s="203">
        <v>0</v>
      </c>
      <c r="AI26" s="200" t="s">
        <v>279</v>
      </c>
      <c r="AJ26" s="203">
        <v>0</v>
      </c>
      <c r="AK26" s="200" t="s">
        <v>279</v>
      </c>
      <c r="AL26" s="203">
        <v>0</v>
      </c>
      <c r="AM26" s="200" t="s">
        <v>279</v>
      </c>
      <c r="AN26" s="203">
        <v>0</v>
      </c>
      <c r="AO26" s="200" t="s">
        <v>279</v>
      </c>
      <c r="AP26" s="203">
        <v>0</v>
      </c>
      <c r="AQ26" s="203">
        <v>18.100000000000001</v>
      </c>
      <c r="AR26" s="203">
        <v>0</v>
      </c>
      <c r="AS26" s="200" t="str">
        <f t="shared" si="0"/>
        <v>1.00000000</v>
      </c>
      <c r="AT26" s="200" t="str">
        <f>"27.4"</f>
        <v>27.4</v>
      </c>
      <c r="AU26" s="203">
        <v>0</v>
      </c>
    </row>
    <row r="27" spans="1:47" x14ac:dyDescent="0.2">
      <c r="A27" s="200" t="str">
        <f>"0496002599173"</f>
        <v>0496002599173</v>
      </c>
      <c r="B27" s="200">
        <v>3</v>
      </c>
      <c r="C27" s="200" t="s">
        <v>585</v>
      </c>
      <c r="D27" s="200" t="s">
        <v>628</v>
      </c>
      <c r="E27" s="200" t="s">
        <v>628</v>
      </c>
      <c r="F27" s="200" t="s">
        <v>243</v>
      </c>
      <c r="G27" s="200">
        <v>5738</v>
      </c>
      <c r="H27" s="200" t="s">
        <v>270</v>
      </c>
      <c r="I27" s="200">
        <v>111179</v>
      </c>
      <c r="J27" s="201">
        <v>42564</v>
      </c>
      <c r="K27" s="202">
        <v>0.51901620370370372</v>
      </c>
      <c r="L27" s="201">
        <v>42566</v>
      </c>
      <c r="M27" s="200" t="s">
        <v>340</v>
      </c>
      <c r="N27" s="200" t="s">
        <v>341</v>
      </c>
      <c r="O27" s="200" t="s">
        <v>342</v>
      </c>
      <c r="P27" s="200" t="s">
        <v>343</v>
      </c>
      <c r="Q27" s="200" t="s">
        <v>275</v>
      </c>
      <c r="R27" s="200" t="s">
        <v>629</v>
      </c>
      <c r="S27" s="200" t="s">
        <v>436</v>
      </c>
      <c r="T27" s="200" t="s">
        <v>630</v>
      </c>
      <c r="U27" s="200">
        <v>5738</v>
      </c>
      <c r="V27" s="200" t="s">
        <v>585</v>
      </c>
      <c r="W27" s="200" t="s">
        <v>280</v>
      </c>
      <c r="X27" s="200">
        <v>27.951000000000001</v>
      </c>
      <c r="Y27" s="203">
        <v>0</v>
      </c>
      <c r="Z27" s="203">
        <v>2.1800000000000002</v>
      </c>
      <c r="AA27" s="203">
        <v>60.91</v>
      </c>
      <c r="AB27" s="203">
        <v>-5.12</v>
      </c>
      <c r="AC27" s="203">
        <v>0</v>
      </c>
      <c r="AD27" s="203">
        <v>0</v>
      </c>
      <c r="AE27" s="203">
        <v>55.79</v>
      </c>
      <c r="AF27" s="203">
        <v>-6.71</v>
      </c>
      <c r="AG27" s="200" t="s">
        <v>279</v>
      </c>
      <c r="AH27" s="203">
        <v>0</v>
      </c>
      <c r="AI27" s="200" t="s">
        <v>279</v>
      </c>
      <c r="AJ27" s="203">
        <v>0</v>
      </c>
      <c r="AK27" s="200" t="s">
        <v>279</v>
      </c>
      <c r="AL27" s="203">
        <v>0</v>
      </c>
      <c r="AM27" s="200" t="s">
        <v>279</v>
      </c>
      <c r="AN27" s="203">
        <v>0</v>
      </c>
      <c r="AO27" s="200" t="s">
        <v>279</v>
      </c>
      <c r="AP27" s="203">
        <v>0</v>
      </c>
      <c r="AQ27" s="203">
        <v>60.91</v>
      </c>
      <c r="AR27" s="203">
        <v>0</v>
      </c>
      <c r="AS27" s="200" t="str">
        <f t="shared" si="0"/>
        <v>1.00000000</v>
      </c>
      <c r="AT27" s="200" t="str">
        <f>"12.0"</f>
        <v>12.0</v>
      </c>
      <c r="AU27" s="203">
        <v>0</v>
      </c>
    </row>
    <row r="28" spans="1:47" x14ac:dyDescent="0.2">
      <c r="A28" s="200" t="str">
        <f>"0496002595734"</f>
        <v>0496002595734</v>
      </c>
      <c r="B28" s="200">
        <v>1</v>
      </c>
      <c r="C28" s="200" t="s">
        <v>435</v>
      </c>
      <c r="D28" s="200">
        <v>81</v>
      </c>
      <c r="E28" s="200">
        <v>81</v>
      </c>
      <c r="F28" s="200" t="s">
        <v>243</v>
      </c>
      <c r="G28" s="200">
        <v>2086</v>
      </c>
      <c r="H28" s="200" t="s">
        <v>270</v>
      </c>
      <c r="I28" s="200">
        <v>57183</v>
      </c>
      <c r="J28" s="201">
        <v>42565</v>
      </c>
      <c r="K28" s="202">
        <v>0.82638888888888884</v>
      </c>
      <c r="L28" s="201">
        <v>42569</v>
      </c>
      <c r="M28" s="200" t="s">
        <v>271</v>
      </c>
      <c r="N28" s="200" t="s">
        <v>272</v>
      </c>
      <c r="O28" s="200" t="s">
        <v>273</v>
      </c>
      <c r="P28" s="200" t="s">
        <v>274</v>
      </c>
      <c r="Q28" s="200" t="s">
        <v>275</v>
      </c>
      <c r="R28" s="200" t="s">
        <v>276</v>
      </c>
      <c r="S28" s="200" t="s">
        <v>436</v>
      </c>
      <c r="T28" s="200" t="s">
        <v>435</v>
      </c>
      <c r="U28" s="200">
        <v>2086</v>
      </c>
      <c r="V28" s="200" t="s">
        <v>435</v>
      </c>
      <c r="W28" s="200" t="s">
        <v>280</v>
      </c>
      <c r="X28" s="200">
        <v>5.585</v>
      </c>
      <c r="Y28" s="203">
        <v>-0.17</v>
      </c>
      <c r="Z28" s="203">
        <v>2.1800000000000002</v>
      </c>
      <c r="AA28" s="203">
        <v>12.17</v>
      </c>
      <c r="AB28" s="203">
        <v>-1.02</v>
      </c>
      <c r="AC28" s="203">
        <v>0</v>
      </c>
      <c r="AD28" s="203">
        <v>0</v>
      </c>
      <c r="AE28" s="203">
        <v>10.98</v>
      </c>
      <c r="AF28" s="203">
        <v>-1.34</v>
      </c>
      <c r="AG28" s="200" t="s">
        <v>279</v>
      </c>
      <c r="AH28" s="203">
        <v>0</v>
      </c>
      <c r="AI28" s="200" t="s">
        <v>279</v>
      </c>
      <c r="AJ28" s="203">
        <v>0</v>
      </c>
      <c r="AK28" s="200" t="s">
        <v>279</v>
      </c>
      <c r="AL28" s="203">
        <v>0</v>
      </c>
      <c r="AM28" s="200" t="s">
        <v>279</v>
      </c>
      <c r="AN28" s="203">
        <v>0</v>
      </c>
      <c r="AO28" s="200" t="s">
        <v>279</v>
      </c>
      <c r="AP28" s="203">
        <v>0</v>
      </c>
      <c r="AQ28" s="203">
        <v>12.17</v>
      </c>
      <c r="AR28" s="203">
        <v>0</v>
      </c>
      <c r="AS28" s="200" t="str">
        <f t="shared" si="0"/>
        <v>1.00000000</v>
      </c>
      <c r="AT28" s="200" t="str">
        <f>"17.9"</f>
        <v>17.9</v>
      </c>
      <c r="AU28" s="203">
        <v>0</v>
      </c>
    </row>
    <row r="29" spans="1:47" x14ac:dyDescent="0.2">
      <c r="A29" s="200" t="str">
        <f>"0496002595833"</f>
        <v>0496002595833</v>
      </c>
      <c r="B29" s="200">
        <v>1</v>
      </c>
      <c r="C29" s="200" t="s">
        <v>571</v>
      </c>
      <c r="D29" s="200" t="s">
        <v>571</v>
      </c>
      <c r="E29" s="200" t="s">
        <v>572</v>
      </c>
      <c r="F29" s="200" t="s">
        <v>243</v>
      </c>
      <c r="G29" s="200">
        <v>2328</v>
      </c>
      <c r="H29" s="200" t="s">
        <v>270</v>
      </c>
      <c r="I29" s="200">
        <v>48427</v>
      </c>
      <c r="J29" s="201">
        <v>42565</v>
      </c>
      <c r="K29" s="202">
        <v>0.33041666666666664</v>
      </c>
      <c r="L29" s="201">
        <v>42569</v>
      </c>
      <c r="M29" s="200" t="s">
        <v>384</v>
      </c>
      <c r="N29" s="200" t="s">
        <v>385</v>
      </c>
      <c r="O29" s="200" t="s">
        <v>386</v>
      </c>
      <c r="P29" s="200" t="s">
        <v>343</v>
      </c>
      <c r="Q29" s="200" t="s">
        <v>275</v>
      </c>
      <c r="R29" s="200" t="s">
        <v>387</v>
      </c>
      <c r="S29" s="200" t="s">
        <v>436</v>
      </c>
      <c r="T29" s="200" t="s">
        <v>571</v>
      </c>
      <c r="U29" s="200">
        <v>2328</v>
      </c>
      <c r="V29" s="200" t="s">
        <v>571</v>
      </c>
      <c r="W29" s="200" t="s">
        <v>280</v>
      </c>
      <c r="X29" s="200">
        <v>6.4429999999999996</v>
      </c>
      <c r="Y29" s="203">
        <v>0</v>
      </c>
      <c r="Z29" s="203">
        <v>2.15</v>
      </c>
      <c r="AA29" s="203">
        <v>13.85</v>
      </c>
      <c r="AB29" s="203">
        <v>-1.18</v>
      </c>
      <c r="AC29" s="203">
        <v>0</v>
      </c>
      <c r="AD29" s="203">
        <v>0</v>
      </c>
      <c r="AE29" s="203">
        <v>12.67</v>
      </c>
      <c r="AF29" s="203">
        <v>-1.55</v>
      </c>
      <c r="AG29" s="200" t="s">
        <v>279</v>
      </c>
      <c r="AH29" s="203">
        <v>0</v>
      </c>
      <c r="AI29" s="200" t="s">
        <v>279</v>
      </c>
      <c r="AJ29" s="203">
        <v>0</v>
      </c>
      <c r="AK29" s="200" t="s">
        <v>279</v>
      </c>
      <c r="AL29" s="203">
        <v>0</v>
      </c>
      <c r="AM29" s="200" t="s">
        <v>279</v>
      </c>
      <c r="AN29" s="203">
        <v>0</v>
      </c>
      <c r="AO29" s="200" t="s">
        <v>279</v>
      </c>
      <c r="AP29" s="203">
        <v>0</v>
      </c>
      <c r="AQ29" s="203">
        <v>13.85</v>
      </c>
      <c r="AR29" s="203">
        <v>0</v>
      </c>
      <c r="AS29" s="200" t="str">
        <f t="shared" si="0"/>
        <v>1.00000000</v>
      </c>
      <c r="AT29" s="200" t="str">
        <f>"27.3"</f>
        <v>27.3</v>
      </c>
      <c r="AU29" s="203">
        <v>0</v>
      </c>
    </row>
    <row r="30" spans="1:47" x14ac:dyDescent="0.2">
      <c r="A30" s="200" t="str">
        <f>"0496002595700"</f>
        <v>0496002595700</v>
      </c>
      <c r="B30" s="200">
        <v>7</v>
      </c>
      <c r="C30" s="200" t="s">
        <v>156</v>
      </c>
      <c r="D30" s="200" t="s">
        <v>371</v>
      </c>
      <c r="E30" s="200">
        <v>45</v>
      </c>
      <c r="F30" s="200" t="s">
        <v>243</v>
      </c>
      <c r="G30" s="200">
        <v>2262</v>
      </c>
      <c r="H30" s="200" t="s">
        <v>270</v>
      </c>
      <c r="I30" s="200">
        <v>12705</v>
      </c>
      <c r="J30" s="201">
        <v>42566</v>
      </c>
      <c r="K30" s="202">
        <v>0.61875000000000002</v>
      </c>
      <c r="L30" s="201">
        <v>42570</v>
      </c>
      <c r="M30" s="200" t="s">
        <v>294</v>
      </c>
      <c r="N30" s="200" t="s">
        <v>379</v>
      </c>
      <c r="O30" s="200" t="s">
        <v>461</v>
      </c>
      <c r="P30" s="200" t="s">
        <v>456</v>
      </c>
      <c r="Q30" s="200" t="s">
        <v>275</v>
      </c>
      <c r="R30" s="200" t="s">
        <v>462</v>
      </c>
      <c r="S30" s="200" t="s">
        <v>156</v>
      </c>
      <c r="T30" s="200" t="s">
        <v>277</v>
      </c>
      <c r="U30" s="200">
        <v>2262</v>
      </c>
      <c r="V30" s="200" t="s">
        <v>156</v>
      </c>
      <c r="W30" s="200" t="s">
        <v>280</v>
      </c>
      <c r="X30" s="200">
        <v>9.08</v>
      </c>
      <c r="Y30" s="203">
        <v>0</v>
      </c>
      <c r="Z30" s="203">
        <v>2.2000000000000002</v>
      </c>
      <c r="AA30" s="203">
        <v>19.989999999999998</v>
      </c>
      <c r="AB30" s="203">
        <v>-1.66</v>
      </c>
      <c r="AC30" s="203">
        <v>0</v>
      </c>
      <c r="AD30" s="203">
        <v>0</v>
      </c>
      <c r="AE30" s="203">
        <v>18.329999999999998</v>
      </c>
      <c r="AF30" s="203">
        <v>-2.1800000000000002</v>
      </c>
      <c r="AG30" s="200" t="s">
        <v>279</v>
      </c>
      <c r="AH30" s="203">
        <v>0</v>
      </c>
      <c r="AI30" s="200" t="s">
        <v>279</v>
      </c>
      <c r="AJ30" s="203">
        <v>0</v>
      </c>
      <c r="AK30" s="200" t="s">
        <v>279</v>
      </c>
      <c r="AL30" s="203">
        <v>0</v>
      </c>
      <c r="AM30" s="200" t="s">
        <v>279</v>
      </c>
      <c r="AN30" s="203">
        <v>0</v>
      </c>
      <c r="AO30" s="200" t="s">
        <v>279</v>
      </c>
      <c r="AP30" s="203">
        <v>0</v>
      </c>
      <c r="AQ30" s="203">
        <v>19.989999999999998</v>
      </c>
      <c r="AR30" s="203">
        <v>0</v>
      </c>
      <c r="AS30" s="200" t="str">
        <f t="shared" si="0"/>
        <v>1.00000000</v>
      </c>
      <c r="AT30" s="200" t="str">
        <f>"48.8"</f>
        <v>48.8</v>
      </c>
      <c r="AU30" s="203">
        <v>0</v>
      </c>
    </row>
    <row r="31" spans="1:47" x14ac:dyDescent="0.2">
      <c r="A31" s="200" t="str">
        <f>"0496002595700"</f>
        <v>0496002595700</v>
      </c>
      <c r="B31" s="200">
        <v>7</v>
      </c>
      <c r="C31" s="200" t="s">
        <v>156</v>
      </c>
      <c r="D31" s="200" t="s">
        <v>371</v>
      </c>
      <c r="E31" s="200">
        <v>45</v>
      </c>
      <c r="F31" s="200" t="s">
        <v>243</v>
      </c>
      <c r="G31" s="200">
        <v>2262</v>
      </c>
      <c r="H31" s="200" t="s">
        <v>270</v>
      </c>
      <c r="I31" s="200">
        <v>12828</v>
      </c>
      <c r="J31" s="201">
        <v>42567</v>
      </c>
      <c r="K31" s="202">
        <v>0.99236111111111114</v>
      </c>
      <c r="L31" s="201">
        <v>42570</v>
      </c>
      <c r="M31" s="200" t="s">
        <v>271</v>
      </c>
      <c r="N31" s="200" t="s">
        <v>272</v>
      </c>
      <c r="O31" s="200" t="s">
        <v>273</v>
      </c>
      <c r="P31" s="200" t="s">
        <v>274</v>
      </c>
      <c r="Q31" s="200" t="s">
        <v>275</v>
      </c>
      <c r="R31" s="200" t="s">
        <v>276</v>
      </c>
      <c r="S31" s="200" t="s">
        <v>156</v>
      </c>
      <c r="T31" s="200" t="s">
        <v>277</v>
      </c>
      <c r="U31" s="200">
        <v>2262</v>
      </c>
      <c r="V31" s="200" t="s">
        <v>156</v>
      </c>
      <c r="W31" s="200" t="s">
        <v>278</v>
      </c>
      <c r="X31" s="200">
        <v>14.055</v>
      </c>
      <c r="Y31" s="203">
        <v>-0.42</v>
      </c>
      <c r="Z31" s="203">
        <v>2.61</v>
      </c>
      <c r="AA31" s="203">
        <v>36.67</v>
      </c>
      <c r="AB31" s="203">
        <v>-2.57</v>
      </c>
      <c r="AC31" s="203">
        <v>0</v>
      </c>
      <c r="AD31" s="203">
        <v>0</v>
      </c>
      <c r="AE31" s="203">
        <v>33.68</v>
      </c>
      <c r="AF31" s="203">
        <v>-3.37</v>
      </c>
      <c r="AG31" s="200" t="s">
        <v>279</v>
      </c>
      <c r="AH31" s="203">
        <v>0</v>
      </c>
      <c r="AI31" s="200" t="s">
        <v>279</v>
      </c>
      <c r="AJ31" s="203">
        <v>0</v>
      </c>
      <c r="AK31" s="200" t="s">
        <v>279</v>
      </c>
      <c r="AL31" s="203">
        <v>0</v>
      </c>
      <c r="AM31" s="200" t="s">
        <v>279</v>
      </c>
      <c r="AN31" s="203">
        <v>0</v>
      </c>
      <c r="AO31" s="200" t="s">
        <v>279</v>
      </c>
      <c r="AP31" s="203">
        <v>0</v>
      </c>
      <c r="AQ31" s="203">
        <v>36.67</v>
      </c>
      <c r="AR31" s="203">
        <v>0</v>
      </c>
      <c r="AS31" s="200" t="str">
        <f t="shared" si="0"/>
        <v>1.00000000</v>
      </c>
      <c r="AT31" s="200" t="str">
        <f>"8.8"</f>
        <v>8.8</v>
      </c>
      <c r="AU31" s="203">
        <v>0</v>
      </c>
    </row>
    <row r="32" spans="1:47" x14ac:dyDescent="0.2">
      <c r="A32" s="200" t="str">
        <f>"0496002595700"</f>
        <v>0496002595700</v>
      </c>
      <c r="B32" s="200">
        <v>8</v>
      </c>
      <c r="C32" s="200" t="s">
        <v>156</v>
      </c>
      <c r="D32" s="200" t="s">
        <v>414</v>
      </c>
      <c r="E32" s="200">
        <v>47</v>
      </c>
      <c r="F32" s="200" t="s">
        <v>243</v>
      </c>
      <c r="G32" s="200">
        <v>2262</v>
      </c>
      <c r="H32" s="200" t="s">
        <v>270</v>
      </c>
      <c r="I32" s="200">
        <v>15830</v>
      </c>
      <c r="J32" s="201">
        <v>42567</v>
      </c>
      <c r="K32" s="202">
        <v>0.81292824074074066</v>
      </c>
      <c r="L32" s="201">
        <v>42570</v>
      </c>
      <c r="M32" s="200" t="s">
        <v>314</v>
      </c>
      <c r="N32" s="200" t="s">
        <v>415</v>
      </c>
      <c r="O32" s="200" t="s">
        <v>416</v>
      </c>
      <c r="P32" s="200" t="s">
        <v>417</v>
      </c>
      <c r="Q32" s="200" t="s">
        <v>275</v>
      </c>
      <c r="R32" s="200" t="s">
        <v>418</v>
      </c>
      <c r="S32" s="200" t="s">
        <v>156</v>
      </c>
      <c r="T32" s="200" t="s">
        <v>277</v>
      </c>
      <c r="U32" s="200">
        <v>2262</v>
      </c>
      <c r="V32" s="200" t="s">
        <v>156</v>
      </c>
      <c r="W32" s="200" t="s">
        <v>280</v>
      </c>
      <c r="X32" s="200">
        <v>11.906000000000001</v>
      </c>
      <c r="Y32" s="203">
        <v>0</v>
      </c>
      <c r="Z32" s="203">
        <v>2.15</v>
      </c>
      <c r="AA32" s="203">
        <v>25.59</v>
      </c>
      <c r="AB32" s="203">
        <v>-2.1800000000000002</v>
      </c>
      <c r="AC32" s="203">
        <v>0</v>
      </c>
      <c r="AD32" s="203">
        <v>0</v>
      </c>
      <c r="AE32" s="203">
        <v>23.41</v>
      </c>
      <c r="AF32" s="203">
        <v>-2.86</v>
      </c>
      <c r="AG32" s="200" t="s">
        <v>279</v>
      </c>
      <c r="AH32" s="203">
        <v>0</v>
      </c>
      <c r="AI32" s="200" t="s">
        <v>279</v>
      </c>
      <c r="AJ32" s="203">
        <v>0</v>
      </c>
      <c r="AK32" s="200" t="s">
        <v>279</v>
      </c>
      <c r="AL32" s="203">
        <v>0</v>
      </c>
      <c r="AM32" s="200" t="s">
        <v>279</v>
      </c>
      <c r="AN32" s="203">
        <v>0</v>
      </c>
      <c r="AO32" s="200" t="s">
        <v>279</v>
      </c>
      <c r="AP32" s="203">
        <v>0</v>
      </c>
      <c r="AQ32" s="203">
        <v>25.59</v>
      </c>
      <c r="AR32" s="203">
        <v>0</v>
      </c>
      <c r="AS32" s="200" t="str">
        <f t="shared" si="0"/>
        <v>1.00000000</v>
      </c>
      <c r="AT32" s="200" t="str">
        <f>"19.6"</f>
        <v>19.6</v>
      </c>
      <c r="AU32" s="203">
        <v>0</v>
      </c>
    </row>
    <row r="33" spans="1:47" x14ac:dyDescent="0.2">
      <c r="A33" s="200" t="str">
        <f>"0496002595734"</f>
        <v>0496002595734</v>
      </c>
      <c r="B33" s="200">
        <v>2</v>
      </c>
      <c r="C33" s="200" t="s">
        <v>435</v>
      </c>
      <c r="D33" s="200">
        <v>80</v>
      </c>
      <c r="E33" s="200">
        <v>80</v>
      </c>
      <c r="F33" s="200" t="s">
        <v>243</v>
      </c>
      <c r="G33" s="200">
        <v>2086</v>
      </c>
      <c r="H33" s="200" t="s">
        <v>270</v>
      </c>
      <c r="I33" s="200">
        <v>59971</v>
      </c>
      <c r="J33" s="201">
        <v>42567</v>
      </c>
      <c r="K33" s="202">
        <v>0.20069444444444443</v>
      </c>
      <c r="L33" s="201">
        <v>42570</v>
      </c>
      <c r="M33" s="200" t="s">
        <v>606</v>
      </c>
      <c r="N33" s="200" t="s">
        <v>399</v>
      </c>
      <c r="O33" s="200" t="s">
        <v>400</v>
      </c>
      <c r="P33" s="200" t="s">
        <v>274</v>
      </c>
      <c r="Q33" s="200" t="s">
        <v>275</v>
      </c>
      <c r="R33" s="200" t="s">
        <v>401</v>
      </c>
      <c r="S33" s="200" t="s">
        <v>436</v>
      </c>
      <c r="T33" s="200" t="s">
        <v>435</v>
      </c>
      <c r="U33" s="200">
        <v>2086</v>
      </c>
      <c r="V33" s="200" t="s">
        <v>435</v>
      </c>
      <c r="W33" s="200" t="s">
        <v>280</v>
      </c>
      <c r="X33" s="200">
        <v>1.2E-2</v>
      </c>
      <c r="Y33" s="203">
        <v>0</v>
      </c>
      <c r="Z33" s="203">
        <v>2.5</v>
      </c>
      <c r="AA33" s="203">
        <v>0.03</v>
      </c>
      <c r="AB33" s="203">
        <v>0</v>
      </c>
      <c r="AC33" s="203">
        <v>0</v>
      </c>
      <c r="AD33" s="203">
        <v>0</v>
      </c>
      <c r="AE33" s="203">
        <v>0.03</v>
      </c>
      <c r="AF33" s="203">
        <v>0</v>
      </c>
      <c r="AG33" s="200" t="s">
        <v>279</v>
      </c>
      <c r="AH33" s="203">
        <v>0</v>
      </c>
      <c r="AI33" s="200" t="s">
        <v>279</v>
      </c>
      <c r="AJ33" s="203">
        <v>0</v>
      </c>
      <c r="AK33" s="200" t="s">
        <v>279</v>
      </c>
      <c r="AL33" s="203">
        <v>0</v>
      </c>
      <c r="AM33" s="200" t="s">
        <v>279</v>
      </c>
      <c r="AN33" s="203">
        <v>0</v>
      </c>
      <c r="AO33" s="200" t="s">
        <v>279</v>
      </c>
      <c r="AP33" s="203">
        <v>0</v>
      </c>
      <c r="AQ33" s="203">
        <v>0.03</v>
      </c>
      <c r="AR33" s="203">
        <v>0</v>
      </c>
      <c r="AS33" s="200" t="str">
        <f t="shared" si="0"/>
        <v>1.00000000</v>
      </c>
      <c r="AT33" s="200" t="str">
        <f>"0.0"</f>
        <v>0.0</v>
      </c>
      <c r="AU33" s="203">
        <v>0</v>
      </c>
    </row>
    <row r="34" spans="1:47" x14ac:dyDescent="0.2">
      <c r="A34" s="200" t="str">
        <f>"0496002595734"</f>
        <v>0496002595734</v>
      </c>
      <c r="B34" s="200">
        <v>2</v>
      </c>
      <c r="C34" s="200" t="s">
        <v>435</v>
      </c>
      <c r="D34" s="200">
        <v>80</v>
      </c>
      <c r="E34" s="200">
        <v>80</v>
      </c>
      <c r="F34" s="200" t="s">
        <v>243</v>
      </c>
      <c r="G34" s="200">
        <v>2086</v>
      </c>
      <c r="H34" s="200" t="s">
        <v>270</v>
      </c>
      <c r="I34" s="200">
        <v>59971</v>
      </c>
      <c r="J34" s="201">
        <v>42567</v>
      </c>
      <c r="K34" s="202">
        <v>0.20902777777777778</v>
      </c>
      <c r="L34" s="201">
        <v>42570</v>
      </c>
      <c r="M34" s="200" t="s">
        <v>271</v>
      </c>
      <c r="N34" s="200" t="s">
        <v>352</v>
      </c>
      <c r="O34" s="200" t="s">
        <v>353</v>
      </c>
      <c r="P34" s="200" t="s">
        <v>343</v>
      </c>
      <c r="Q34" s="200" t="s">
        <v>275</v>
      </c>
      <c r="R34" s="200" t="s">
        <v>602</v>
      </c>
      <c r="S34" s="200" t="s">
        <v>436</v>
      </c>
      <c r="T34" s="200" t="s">
        <v>435</v>
      </c>
      <c r="U34" s="200">
        <v>2086</v>
      </c>
      <c r="V34" s="200" t="s">
        <v>435</v>
      </c>
      <c r="W34" s="200" t="s">
        <v>280</v>
      </c>
      <c r="X34" s="200">
        <v>7.5490000000000004</v>
      </c>
      <c r="Y34" s="203">
        <v>-0.23</v>
      </c>
      <c r="Z34" s="203">
        <v>2.16</v>
      </c>
      <c r="AA34" s="203">
        <v>16.3</v>
      </c>
      <c r="AB34" s="203">
        <v>-1.38</v>
      </c>
      <c r="AC34" s="203">
        <v>0</v>
      </c>
      <c r="AD34" s="203">
        <v>0</v>
      </c>
      <c r="AE34" s="203">
        <v>14.69</v>
      </c>
      <c r="AF34" s="203">
        <v>-1.81</v>
      </c>
      <c r="AG34" s="200" t="s">
        <v>279</v>
      </c>
      <c r="AH34" s="203">
        <v>0</v>
      </c>
      <c r="AI34" s="200" t="s">
        <v>279</v>
      </c>
      <c r="AJ34" s="203">
        <v>0</v>
      </c>
      <c r="AK34" s="200" t="s">
        <v>279</v>
      </c>
      <c r="AL34" s="203">
        <v>0</v>
      </c>
      <c r="AM34" s="200" t="s">
        <v>279</v>
      </c>
      <c r="AN34" s="203">
        <v>0</v>
      </c>
      <c r="AO34" s="200" t="s">
        <v>279</v>
      </c>
      <c r="AP34" s="203">
        <v>0</v>
      </c>
      <c r="AQ34" s="203">
        <v>16.3</v>
      </c>
      <c r="AR34" s="203">
        <v>0</v>
      </c>
      <c r="AS34" s="200" t="str">
        <f t="shared" si="0"/>
        <v>1.00000000</v>
      </c>
      <c r="AT34" s="200" t="str">
        <f>"37.5"</f>
        <v>37.5</v>
      </c>
      <c r="AU34" s="203">
        <v>0</v>
      </c>
    </row>
    <row r="35" spans="1:47" x14ac:dyDescent="0.2">
      <c r="A35" s="200" t="str">
        <f>"0496002595734"</f>
        <v>0496002595734</v>
      </c>
      <c r="B35" s="200">
        <v>2</v>
      </c>
      <c r="C35" s="200" t="s">
        <v>435</v>
      </c>
      <c r="D35" s="200">
        <v>80</v>
      </c>
      <c r="E35" s="200">
        <v>80</v>
      </c>
      <c r="F35" s="200" t="s">
        <v>243</v>
      </c>
      <c r="G35" s="200">
        <v>2086</v>
      </c>
      <c r="H35" s="200" t="s">
        <v>270</v>
      </c>
      <c r="I35" s="200">
        <v>14000</v>
      </c>
      <c r="J35" s="201">
        <v>42567</v>
      </c>
      <c r="K35" s="202">
        <v>0.79027777777777775</v>
      </c>
      <c r="L35" s="201">
        <v>42570</v>
      </c>
      <c r="M35" s="200" t="s">
        <v>271</v>
      </c>
      <c r="N35" s="200" t="s">
        <v>272</v>
      </c>
      <c r="O35" s="200" t="s">
        <v>273</v>
      </c>
      <c r="P35" s="200" t="s">
        <v>274</v>
      </c>
      <c r="Q35" s="200" t="s">
        <v>275</v>
      </c>
      <c r="R35" s="200" t="s">
        <v>276</v>
      </c>
      <c r="S35" s="200" t="s">
        <v>436</v>
      </c>
      <c r="T35" s="200" t="s">
        <v>435</v>
      </c>
      <c r="U35" s="200">
        <v>2086</v>
      </c>
      <c r="V35" s="200" t="s">
        <v>435</v>
      </c>
      <c r="W35" s="200" t="s">
        <v>280</v>
      </c>
      <c r="X35" s="200">
        <v>9.6419999999999995</v>
      </c>
      <c r="Y35" s="203">
        <v>-0.28999999999999998</v>
      </c>
      <c r="Z35" s="203">
        <v>2.1800000000000002</v>
      </c>
      <c r="AA35" s="203">
        <v>21.01</v>
      </c>
      <c r="AB35" s="203">
        <v>-1.76</v>
      </c>
      <c r="AC35" s="203">
        <v>0</v>
      </c>
      <c r="AD35" s="203">
        <v>0</v>
      </c>
      <c r="AE35" s="203">
        <v>18.96</v>
      </c>
      <c r="AF35" s="203">
        <v>-2.31</v>
      </c>
      <c r="AG35" s="200" t="s">
        <v>279</v>
      </c>
      <c r="AH35" s="203">
        <v>0</v>
      </c>
      <c r="AI35" s="200" t="s">
        <v>279</v>
      </c>
      <c r="AJ35" s="203">
        <v>0</v>
      </c>
      <c r="AK35" s="200" t="s">
        <v>279</v>
      </c>
      <c r="AL35" s="203">
        <v>0</v>
      </c>
      <c r="AM35" s="200" t="s">
        <v>279</v>
      </c>
      <c r="AN35" s="203">
        <v>0</v>
      </c>
      <c r="AO35" s="200" t="s">
        <v>279</v>
      </c>
      <c r="AP35" s="203">
        <v>0</v>
      </c>
      <c r="AQ35" s="203">
        <v>21.01</v>
      </c>
      <c r="AR35" s="203">
        <v>0</v>
      </c>
      <c r="AS35" s="200" t="str">
        <f t="shared" si="0"/>
        <v>1.00000000</v>
      </c>
      <c r="AT35" s="200" t="str">
        <f>"37.5"</f>
        <v>37.5</v>
      </c>
      <c r="AU35" s="203">
        <v>0</v>
      </c>
    </row>
    <row r="36" spans="1:47" x14ac:dyDescent="0.2">
      <c r="A36" s="200" t="str">
        <f>"0496002595700"</f>
        <v>0496002595700</v>
      </c>
      <c r="B36" s="200">
        <v>2</v>
      </c>
      <c r="C36" s="200" t="s">
        <v>156</v>
      </c>
      <c r="D36" s="200">
        <v>42</v>
      </c>
      <c r="E36" s="200">
        <v>42</v>
      </c>
      <c r="F36" s="200" t="s">
        <v>243</v>
      </c>
      <c r="G36" s="200">
        <v>2262</v>
      </c>
      <c r="H36" s="200" t="s">
        <v>270</v>
      </c>
      <c r="I36" s="200">
        <v>24683</v>
      </c>
      <c r="J36" s="201">
        <v>42568</v>
      </c>
      <c r="K36" s="202">
        <v>0.74652777777777779</v>
      </c>
      <c r="L36" s="201">
        <v>42570</v>
      </c>
      <c r="M36" s="200" t="s">
        <v>294</v>
      </c>
      <c r="N36" s="200" t="s">
        <v>379</v>
      </c>
      <c r="O36" s="200" t="s">
        <v>631</v>
      </c>
      <c r="P36" s="200" t="s">
        <v>632</v>
      </c>
      <c r="Q36" s="200" t="s">
        <v>275</v>
      </c>
      <c r="R36" s="200" t="s">
        <v>633</v>
      </c>
      <c r="S36" s="200" t="s">
        <v>156</v>
      </c>
      <c r="T36" s="200" t="s">
        <v>277</v>
      </c>
      <c r="U36" s="200">
        <v>2262</v>
      </c>
      <c r="V36" s="200" t="s">
        <v>156</v>
      </c>
      <c r="W36" s="200" t="s">
        <v>280</v>
      </c>
      <c r="X36" s="200">
        <v>9.58</v>
      </c>
      <c r="Y36" s="203">
        <v>0</v>
      </c>
      <c r="Z36" s="203">
        <v>2.2000000000000002</v>
      </c>
      <c r="AA36" s="203">
        <v>21.08</v>
      </c>
      <c r="AB36" s="203">
        <v>-1.75</v>
      </c>
      <c r="AC36" s="203">
        <v>0</v>
      </c>
      <c r="AD36" s="203">
        <v>0</v>
      </c>
      <c r="AE36" s="203">
        <v>19.329999999999998</v>
      </c>
      <c r="AF36" s="203">
        <v>-2.2999999999999998</v>
      </c>
      <c r="AG36" s="200" t="s">
        <v>279</v>
      </c>
      <c r="AH36" s="203">
        <v>0</v>
      </c>
      <c r="AI36" s="200" t="s">
        <v>279</v>
      </c>
      <c r="AJ36" s="203">
        <v>0</v>
      </c>
      <c r="AK36" s="200" t="s">
        <v>279</v>
      </c>
      <c r="AL36" s="203">
        <v>0</v>
      </c>
      <c r="AM36" s="200" t="s">
        <v>279</v>
      </c>
      <c r="AN36" s="203">
        <v>0</v>
      </c>
      <c r="AO36" s="200" t="s">
        <v>279</v>
      </c>
      <c r="AP36" s="203">
        <v>0</v>
      </c>
      <c r="AQ36" s="203">
        <v>21.08</v>
      </c>
      <c r="AR36" s="203">
        <v>0</v>
      </c>
      <c r="AS36" s="200" t="str">
        <f t="shared" si="0"/>
        <v>1.00000000</v>
      </c>
      <c r="AT36" s="200" t="str">
        <f>"48.8"</f>
        <v>48.8</v>
      </c>
      <c r="AU36" s="203">
        <v>0</v>
      </c>
    </row>
    <row r="37" spans="1:47" x14ac:dyDescent="0.2">
      <c r="A37" s="200" t="str">
        <f>"0496002595734"</f>
        <v>0496002595734</v>
      </c>
      <c r="B37" s="200">
        <v>1</v>
      </c>
      <c r="C37" s="200" t="s">
        <v>435</v>
      </c>
      <c r="D37" s="200">
        <v>81</v>
      </c>
      <c r="E37" s="200">
        <v>81</v>
      </c>
      <c r="F37" s="200" t="s">
        <v>243</v>
      </c>
      <c r="G37" s="200">
        <v>2086</v>
      </c>
      <c r="H37" s="200" t="s">
        <v>270</v>
      </c>
      <c r="I37" s="200">
        <v>57464</v>
      </c>
      <c r="J37" s="201">
        <v>42568</v>
      </c>
      <c r="K37" s="202">
        <v>0.63472222222222219</v>
      </c>
      <c r="L37" s="201">
        <v>42570</v>
      </c>
      <c r="M37" s="200" t="s">
        <v>271</v>
      </c>
      <c r="N37" s="200" t="s">
        <v>634</v>
      </c>
      <c r="O37" s="200" t="s">
        <v>635</v>
      </c>
      <c r="P37" s="200" t="s">
        <v>636</v>
      </c>
      <c r="Q37" s="200" t="s">
        <v>395</v>
      </c>
      <c r="R37" s="200" t="s">
        <v>637</v>
      </c>
      <c r="S37" s="200" t="s">
        <v>436</v>
      </c>
      <c r="T37" s="200" t="s">
        <v>435</v>
      </c>
      <c r="U37" s="200">
        <v>2086</v>
      </c>
      <c r="V37" s="200" t="s">
        <v>435</v>
      </c>
      <c r="W37" s="200" t="s">
        <v>280</v>
      </c>
      <c r="X37" s="200">
        <v>11.368</v>
      </c>
      <c r="Y37" s="203">
        <v>-0.23</v>
      </c>
      <c r="Z37" s="203">
        <v>2.2000000000000002</v>
      </c>
      <c r="AA37" s="203">
        <v>25</v>
      </c>
      <c r="AB37" s="203">
        <v>-2.08</v>
      </c>
      <c r="AC37" s="203">
        <v>0</v>
      </c>
      <c r="AD37" s="203">
        <v>0</v>
      </c>
      <c r="AE37" s="203">
        <v>22.69</v>
      </c>
      <c r="AF37" s="203">
        <v>-3.41</v>
      </c>
      <c r="AG37" s="200" t="s">
        <v>279</v>
      </c>
      <c r="AH37" s="203">
        <v>0</v>
      </c>
      <c r="AI37" s="200" t="s">
        <v>279</v>
      </c>
      <c r="AJ37" s="203">
        <v>0</v>
      </c>
      <c r="AK37" s="200" t="s">
        <v>279</v>
      </c>
      <c r="AL37" s="203">
        <v>0</v>
      </c>
      <c r="AM37" s="200" t="s">
        <v>279</v>
      </c>
      <c r="AN37" s="203">
        <v>0</v>
      </c>
      <c r="AO37" s="200" t="s">
        <v>279</v>
      </c>
      <c r="AP37" s="203">
        <v>0</v>
      </c>
      <c r="AQ37" s="203">
        <v>25</v>
      </c>
      <c r="AR37" s="203">
        <v>0</v>
      </c>
      <c r="AS37" s="200" t="str">
        <f t="shared" si="0"/>
        <v>1.00000000</v>
      </c>
      <c r="AT37" s="200" t="str">
        <f>"24.7"</f>
        <v>24.7</v>
      </c>
      <c r="AU37" s="203">
        <v>0</v>
      </c>
    </row>
    <row r="38" spans="1:47" x14ac:dyDescent="0.2">
      <c r="A38" s="200" t="str">
        <f>"0496002595734"</f>
        <v>0496002595734</v>
      </c>
      <c r="B38" s="200">
        <v>2</v>
      </c>
      <c r="C38" s="200" t="s">
        <v>435</v>
      </c>
      <c r="D38" s="200">
        <v>80</v>
      </c>
      <c r="E38" s="200">
        <v>80</v>
      </c>
      <c r="F38" s="200" t="s">
        <v>243</v>
      </c>
      <c r="G38" s="200">
        <v>2086</v>
      </c>
      <c r="H38" s="200" t="s">
        <v>270</v>
      </c>
      <c r="I38" s="200">
        <v>14000</v>
      </c>
      <c r="J38" s="201">
        <v>42568</v>
      </c>
      <c r="K38" s="202">
        <v>0.88958333333333339</v>
      </c>
      <c r="L38" s="201">
        <v>42570</v>
      </c>
      <c r="M38" s="200" t="s">
        <v>294</v>
      </c>
      <c r="N38" s="200" t="s">
        <v>379</v>
      </c>
      <c r="O38" s="200" t="s">
        <v>433</v>
      </c>
      <c r="P38" s="200" t="s">
        <v>434</v>
      </c>
      <c r="Q38" s="200" t="s">
        <v>275</v>
      </c>
      <c r="R38" s="200">
        <v>1009</v>
      </c>
      <c r="S38" s="200" t="s">
        <v>436</v>
      </c>
      <c r="T38" s="200" t="s">
        <v>435</v>
      </c>
      <c r="U38" s="200">
        <v>2086</v>
      </c>
      <c r="V38" s="200" t="s">
        <v>435</v>
      </c>
      <c r="W38" s="200" t="s">
        <v>280</v>
      </c>
      <c r="X38" s="200">
        <v>9.92</v>
      </c>
      <c r="Y38" s="203">
        <v>0</v>
      </c>
      <c r="Z38" s="203">
        <v>2.1800000000000002</v>
      </c>
      <c r="AA38" s="203">
        <v>21.63</v>
      </c>
      <c r="AB38" s="203">
        <v>-1.82</v>
      </c>
      <c r="AC38" s="203">
        <v>0</v>
      </c>
      <c r="AD38" s="203">
        <v>0</v>
      </c>
      <c r="AE38" s="203">
        <v>19.809999999999999</v>
      </c>
      <c r="AF38" s="203">
        <v>-2.38</v>
      </c>
      <c r="AG38" s="200" t="s">
        <v>279</v>
      </c>
      <c r="AH38" s="203">
        <v>0</v>
      </c>
      <c r="AI38" s="200" t="s">
        <v>279</v>
      </c>
      <c r="AJ38" s="203">
        <v>0</v>
      </c>
      <c r="AK38" s="200" t="s">
        <v>279</v>
      </c>
      <c r="AL38" s="203">
        <v>0</v>
      </c>
      <c r="AM38" s="200" t="s">
        <v>279</v>
      </c>
      <c r="AN38" s="203">
        <v>0</v>
      </c>
      <c r="AO38" s="200" t="s">
        <v>279</v>
      </c>
      <c r="AP38" s="203">
        <v>0</v>
      </c>
      <c r="AQ38" s="203">
        <v>21.63</v>
      </c>
      <c r="AR38" s="203">
        <v>0</v>
      </c>
      <c r="AS38" s="200" t="str">
        <f t="shared" si="0"/>
        <v>1.00000000</v>
      </c>
      <c r="AT38" s="200" t="str">
        <f>"37.5"</f>
        <v>37.5</v>
      </c>
      <c r="AU38" s="203">
        <v>0</v>
      </c>
    </row>
    <row r="39" spans="1:47" x14ac:dyDescent="0.2">
      <c r="A39" s="200" t="str">
        <f>"0496002595700"</f>
        <v>0496002595700</v>
      </c>
      <c r="B39" s="200">
        <v>6</v>
      </c>
      <c r="C39" s="200" t="s">
        <v>156</v>
      </c>
      <c r="D39" s="200" t="s">
        <v>344</v>
      </c>
      <c r="E39" s="200" t="s">
        <v>345</v>
      </c>
      <c r="F39" s="200" t="s">
        <v>243</v>
      </c>
      <c r="G39" s="200">
        <v>2262</v>
      </c>
      <c r="H39" s="200" t="s">
        <v>270</v>
      </c>
      <c r="I39" s="200">
        <v>51200</v>
      </c>
      <c r="J39" s="201">
        <v>42569</v>
      </c>
      <c r="K39" s="202">
        <v>0.72569444444444453</v>
      </c>
      <c r="L39" s="201">
        <v>42571</v>
      </c>
      <c r="M39" s="200" t="s">
        <v>271</v>
      </c>
      <c r="N39" s="200" t="s">
        <v>272</v>
      </c>
      <c r="O39" s="200" t="s">
        <v>273</v>
      </c>
      <c r="P39" s="200" t="s">
        <v>274</v>
      </c>
      <c r="Q39" s="200" t="s">
        <v>275</v>
      </c>
      <c r="R39" s="200" t="s">
        <v>276</v>
      </c>
      <c r="S39" s="200" t="s">
        <v>156</v>
      </c>
      <c r="T39" s="200" t="s">
        <v>277</v>
      </c>
      <c r="U39" s="200">
        <v>2262</v>
      </c>
      <c r="V39" s="200" t="s">
        <v>156</v>
      </c>
      <c r="W39" s="200" t="s">
        <v>278</v>
      </c>
      <c r="X39" s="200">
        <v>13.901</v>
      </c>
      <c r="Y39" s="203">
        <v>-0.42</v>
      </c>
      <c r="Z39" s="203">
        <v>2.6</v>
      </c>
      <c r="AA39" s="203">
        <v>36.130000000000003</v>
      </c>
      <c r="AB39" s="203">
        <v>-2.54</v>
      </c>
      <c r="AC39" s="203">
        <v>0</v>
      </c>
      <c r="AD39" s="203">
        <v>0</v>
      </c>
      <c r="AE39" s="203">
        <v>33.17</v>
      </c>
      <c r="AF39" s="203">
        <v>-3.34</v>
      </c>
      <c r="AG39" s="200" t="s">
        <v>279</v>
      </c>
      <c r="AH39" s="203">
        <v>0</v>
      </c>
      <c r="AI39" s="200" t="s">
        <v>279</v>
      </c>
      <c r="AJ39" s="203">
        <v>0</v>
      </c>
      <c r="AK39" s="200" t="s">
        <v>279</v>
      </c>
      <c r="AL39" s="203">
        <v>0</v>
      </c>
      <c r="AM39" s="200" t="s">
        <v>279</v>
      </c>
      <c r="AN39" s="203">
        <v>0</v>
      </c>
      <c r="AO39" s="200" t="s">
        <v>279</v>
      </c>
      <c r="AP39" s="203">
        <v>0</v>
      </c>
      <c r="AQ39" s="203">
        <v>36.130000000000003</v>
      </c>
      <c r="AR39" s="203">
        <v>0</v>
      </c>
      <c r="AS39" s="200" t="str">
        <f t="shared" si="0"/>
        <v>1.00000000</v>
      </c>
      <c r="AT39" s="200" t="str">
        <f>"35.3"</f>
        <v>35.3</v>
      </c>
      <c r="AU39" s="203">
        <v>0</v>
      </c>
    </row>
    <row r="40" spans="1:47" x14ac:dyDescent="0.2">
      <c r="A40" s="200" t="str">
        <f>"0496002595700"</f>
        <v>0496002595700</v>
      </c>
      <c r="B40" s="200">
        <v>2</v>
      </c>
      <c r="C40" s="200" t="s">
        <v>156</v>
      </c>
      <c r="D40" s="200">
        <v>42</v>
      </c>
      <c r="E40" s="200">
        <v>42</v>
      </c>
      <c r="F40" s="200" t="s">
        <v>243</v>
      </c>
      <c r="G40" s="200">
        <v>2262</v>
      </c>
      <c r="H40" s="200" t="s">
        <v>270</v>
      </c>
      <c r="I40" s="200">
        <v>25073</v>
      </c>
      <c r="J40" s="201">
        <v>42570</v>
      </c>
      <c r="K40" s="202">
        <v>0.93680555555555556</v>
      </c>
      <c r="L40" s="201">
        <v>42572</v>
      </c>
      <c r="M40" s="200" t="s">
        <v>302</v>
      </c>
      <c r="N40" s="200" t="s">
        <v>638</v>
      </c>
      <c r="O40" s="200" t="s">
        <v>639</v>
      </c>
      <c r="P40" s="200" t="s">
        <v>640</v>
      </c>
      <c r="Q40" s="200" t="s">
        <v>641</v>
      </c>
      <c r="R40" s="200" t="s">
        <v>642</v>
      </c>
      <c r="S40" s="200" t="s">
        <v>156</v>
      </c>
      <c r="T40" s="200" t="s">
        <v>277</v>
      </c>
      <c r="U40" s="200">
        <v>2262</v>
      </c>
      <c r="V40" s="200" t="s">
        <v>156</v>
      </c>
      <c r="W40" s="200" t="s">
        <v>280</v>
      </c>
      <c r="X40" s="200">
        <v>8.298</v>
      </c>
      <c r="Y40" s="203">
        <v>0</v>
      </c>
      <c r="Z40" s="203">
        <v>2</v>
      </c>
      <c r="AA40" s="203">
        <v>16.59</v>
      </c>
      <c r="AB40" s="203">
        <v>-1.52</v>
      </c>
      <c r="AC40" s="203">
        <v>0</v>
      </c>
      <c r="AD40" s="203">
        <v>0</v>
      </c>
      <c r="AE40" s="203">
        <v>15.07</v>
      </c>
      <c r="AF40" s="203">
        <v>-1.91</v>
      </c>
      <c r="AG40" s="200" t="s">
        <v>279</v>
      </c>
      <c r="AH40" s="203">
        <v>0</v>
      </c>
      <c r="AI40" s="200" t="s">
        <v>279</v>
      </c>
      <c r="AJ40" s="203">
        <v>0</v>
      </c>
      <c r="AK40" s="200" t="s">
        <v>279</v>
      </c>
      <c r="AL40" s="203">
        <v>0</v>
      </c>
      <c r="AM40" s="200" t="s">
        <v>279</v>
      </c>
      <c r="AN40" s="203">
        <v>0</v>
      </c>
      <c r="AO40" s="200" t="s">
        <v>279</v>
      </c>
      <c r="AP40" s="203">
        <v>0</v>
      </c>
      <c r="AQ40" s="203">
        <v>16.59</v>
      </c>
      <c r="AR40" s="203">
        <v>0</v>
      </c>
      <c r="AS40" s="200" t="str">
        <f t="shared" si="0"/>
        <v>1.00000000</v>
      </c>
      <c r="AT40" s="200" t="str">
        <f>"47.0"</f>
        <v>47.0</v>
      </c>
      <c r="AU40" s="203">
        <v>0</v>
      </c>
    </row>
    <row r="41" spans="1:47" x14ac:dyDescent="0.2">
      <c r="A41" s="200" t="str">
        <f>"0496002595700"</f>
        <v>0496002595700</v>
      </c>
      <c r="B41" s="200">
        <v>8</v>
      </c>
      <c r="C41" s="200" t="s">
        <v>156</v>
      </c>
      <c r="D41" s="200" t="s">
        <v>414</v>
      </c>
      <c r="E41" s="200">
        <v>47</v>
      </c>
      <c r="F41" s="200" t="s">
        <v>243</v>
      </c>
      <c r="G41" s="200">
        <v>2262</v>
      </c>
      <c r="H41" s="200" t="s">
        <v>270</v>
      </c>
      <c r="I41" s="200">
        <v>16202</v>
      </c>
      <c r="J41" s="201">
        <v>42570</v>
      </c>
      <c r="K41" s="202">
        <v>0.77847222222222223</v>
      </c>
      <c r="L41" s="201">
        <v>42572</v>
      </c>
      <c r="M41" s="200" t="s">
        <v>271</v>
      </c>
      <c r="N41" s="200" t="s">
        <v>643</v>
      </c>
      <c r="O41" s="200" t="s">
        <v>644</v>
      </c>
      <c r="P41" s="200" t="s">
        <v>645</v>
      </c>
      <c r="Q41" s="200" t="s">
        <v>309</v>
      </c>
      <c r="R41" s="200" t="s">
        <v>646</v>
      </c>
      <c r="S41" s="200" t="s">
        <v>156</v>
      </c>
      <c r="T41" s="200" t="s">
        <v>277</v>
      </c>
      <c r="U41" s="200">
        <v>2262</v>
      </c>
      <c r="V41" s="200" t="s">
        <v>156</v>
      </c>
      <c r="W41" s="200" t="s">
        <v>280</v>
      </c>
      <c r="X41" s="200">
        <v>16.831</v>
      </c>
      <c r="Y41" s="203">
        <v>-0.34</v>
      </c>
      <c r="Z41" s="203">
        <v>2.2799999999999998</v>
      </c>
      <c r="AA41" s="203">
        <v>38.36</v>
      </c>
      <c r="AB41" s="203">
        <v>-3.08</v>
      </c>
      <c r="AC41" s="203">
        <v>0</v>
      </c>
      <c r="AD41" s="203">
        <v>0</v>
      </c>
      <c r="AE41" s="203">
        <v>34.94</v>
      </c>
      <c r="AF41" s="203">
        <v>-4.21</v>
      </c>
      <c r="AG41" s="200" t="s">
        <v>279</v>
      </c>
      <c r="AH41" s="203">
        <v>0</v>
      </c>
      <c r="AI41" s="200" t="s">
        <v>279</v>
      </c>
      <c r="AJ41" s="203">
        <v>0</v>
      </c>
      <c r="AK41" s="200" t="s">
        <v>279</v>
      </c>
      <c r="AL41" s="203">
        <v>0</v>
      </c>
      <c r="AM41" s="200" t="s">
        <v>279</v>
      </c>
      <c r="AN41" s="203">
        <v>0</v>
      </c>
      <c r="AO41" s="200" t="s">
        <v>279</v>
      </c>
      <c r="AP41" s="203">
        <v>0</v>
      </c>
      <c r="AQ41" s="203">
        <v>38.36</v>
      </c>
      <c r="AR41" s="203">
        <v>0</v>
      </c>
      <c r="AS41" s="200" t="str">
        <f t="shared" si="0"/>
        <v>1.00000000</v>
      </c>
      <c r="AT41" s="200" t="str">
        <f>"22.1"</f>
        <v>22.1</v>
      </c>
      <c r="AU41" s="203">
        <v>0</v>
      </c>
    </row>
    <row r="42" spans="1:47" x14ac:dyDescent="0.2">
      <c r="A42" s="200" t="str">
        <f>"0496002595734"</f>
        <v>0496002595734</v>
      </c>
      <c r="B42" s="200">
        <v>3</v>
      </c>
      <c r="C42" s="200" t="s">
        <v>435</v>
      </c>
      <c r="D42" s="200">
        <v>82</v>
      </c>
      <c r="E42" s="200">
        <v>82</v>
      </c>
      <c r="F42" s="200" t="s">
        <v>243</v>
      </c>
      <c r="G42" s="200">
        <v>2086</v>
      </c>
      <c r="H42" s="200" t="s">
        <v>270</v>
      </c>
      <c r="I42" s="200">
        <v>47067</v>
      </c>
      <c r="J42" s="201">
        <v>42570</v>
      </c>
      <c r="K42" s="202">
        <v>0.86319444444444438</v>
      </c>
      <c r="L42" s="201">
        <v>42572</v>
      </c>
      <c r="M42" s="200" t="s">
        <v>271</v>
      </c>
      <c r="N42" s="200" t="s">
        <v>272</v>
      </c>
      <c r="O42" s="200" t="s">
        <v>273</v>
      </c>
      <c r="P42" s="200" t="s">
        <v>274</v>
      </c>
      <c r="Q42" s="200" t="s">
        <v>275</v>
      </c>
      <c r="R42" s="200" t="s">
        <v>276</v>
      </c>
      <c r="S42" s="200" t="s">
        <v>436</v>
      </c>
      <c r="T42" s="200" t="s">
        <v>435</v>
      </c>
      <c r="U42" s="200">
        <v>2086</v>
      </c>
      <c r="V42" s="200" t="s">
        <v>435</v>
      </c>
      <c r="W42" s="200" t="s">
        <v>280</v>
      </c>
      <c r="X42" s="200">
        <v>15.365</v>
      </c>
      <c r="Y42" s="203">
        <v>-0.46</v>
      </c>
      <c r="Z42" s="203">
        <v>2.15</v>
      </c>
      <c r="AA42" s="203">
        <v>33.020000000000003</v>
      </c>
      <c r="AB42" s="203">
        <v>-2.81</v>
      </c>
      <c r="AC42" s="203">
        <v>0</v>
      </c>
      <c r="AD42" s="203">
        <v>0</v>
      </c>
      <c r="AE42" s="203">
        <v>29.75</v>
      </c>
      <c r="AF42" s="203">
        <v>-3.69</v>
      </c>
      <c r="AG42" s="200" t="s">
        <v>279</v>
      </c>
      <c r="AH42" s="203">
        <v>0</v>
      </c>
      <c r="AI42" s="200" t="s">
        <v>279</v>
      </c>
      <c r="AJ42" s="203">
        <v>0</v>
      </c>
      <c r="AK42" s="200" t="s">
        <v>279</v>
      </c>
      <c r="AL42" s="203">
        <v>0</v>
      </c>
      <c r="AM42" s="200" t="s">
        <v>279</v>
      </c>
      <c r="AN42" s="203">
        <v>0</v>
      </c>
      <c r="AO42" s="200" t="s">
        <v>279</v>
      </c>
      <c r="AP42" s="203">
        <v>0</v>
      </c>
      <c r="AQ42" s="203">
        <v>33.020000000000003</v>
      </c>
      <c r="AR42" s="203">
        <v>0</v>
      </c>
      <c r="AS42" s="200" t="str">
        <f t="shared" si="0"/>
        <v>1.00000000</v>
      </c>
      <c r="AT42" s="200" t="str">
        <f>"19.4"</f>
        <v>19.4</v>
      </c>
      <c r="AU42" s="203">
        <v>0</v>
      </c>
    </row>
    <row r="43" spans="1:47" x14ac:dyDescent="0.2">
      <c r="A43" s="200" t="str">
        <f>"0496002756187"</f>
        <v>0496002756187</v>
      </c>
      <c r="B43" s="200">
        <v>1</v>
      </c>
      <c r="C43" s="200" t="s">
        <v>599</v>
      </c>
      <c r="D43" s="200">
        <v>48</v>
      </c>
      <c r="E43" s="200">
        <v>48</v>
      </c>
      <c r="F43" s="200" t="s">
        <v>243</v>
      </c>
      <c r="G43" s="200">
        <v>8317</v>
      </c>
      <c r="H43" s="200" t="s">
        <v>270</v>
      </c>
      <c r="I43" s="200">
        <v>12953</v>
      </c>
      <c r="J43" s="201">
        <v>42570</v>
      </c>
      <c r="K43" s="202">
        <v>0.53541666666666665</v>
      </c>
      <c r="L43" s="201">
        <v>42572</v>
      </c>
      <c r="M43" s="200" t="s">
        <v>271</v>
      </c>
      <c r="N43" s="200" t="s">
        <v>272</v>
      </c>
      <c r="O43" s="200" t="s">
        <v>273</v>
      </c>
      <c r="P43" s="200" t="s">
        <v>274</v>
      </c>
      <c r="Q43" s="200" t="s">
        <v>275</v>
      </c>
      <c r="R43" s="200" t="s">
        <v>276</v>
      </c>
      <c r="S43" s="200" t="s">
        <v>600</v>
      </c>
      <c r="T43" s="200" t="s">
        <v>436</v>
      </c>
      <c r="U43" s="200">
        <v>8317</v>
      </c>
      <c r="V43" s="200" t="s">
        <v>599</v>
      </c>
      <c r="W43" s="200" t="s">
        <v>280</v>
      </c>
      <c r="X43" s="200">
        <v>15.895</v>
      </c>
      <c r="Y43" s="203">
        <v>-0.48</v>
      </c>
      <c r="Z43" s="203">
        <v>2.15</v>
      </c>
      <c r="AA43" s="203">
        <v>34.159999999999997</v>
      </c>
      <c r="AB43" s="203">
        <v>-2.91</v>
      </c>
      <c r="AC43" s="203">
        <v>0</v>
      </c>
      <c r="AD43" s="203">
        <v>0</v>
      </c>
      <c r="AE43" s="203">
        <v>30.77</v>
      </c>
      <c r="AF43" s="203">
        <v>-3.81</v>
      </c>
      <c r="AG43" s="200" t="s">
        <v>279</v>
      </c>
      <c r="AH43" s="203">
        <v>0</v>
      </c>
      <c r="AI43" s="200" t="s">
        <v>279</v>
      </c>
      <c r="AJ43" s="203">
        <v>0</v>
      </c>
      <c r="AK43" s="200" t="s">
        <v>279</v>
      </c>
      <c r="AL43" s="203">
        <v>0</v>
      </c>
      <c r="AM43" s="200" t="s">
        <v>279</v>
      </c>
      <c r="AN43" s="203">
        <v>0</v>
      </c>
      <c r="AO43" s="200" t="s">
        <v>279</v>
      </c>
      <c r="AP43" s="203">
        <v>0</v>
      </c>
      <c r="AQ43" s="203">
        <v>34.159999999999997</v>
      </c>
      <c r="AR43" s="203">
        <v>0</v>
      </c>
      <c r="AS43" s="200" t="str">
        <f t="shared" si="0"/>
        <v>1.00000000</v>
      </c>
      <c r="AT43" s="200" t="str">
        <f>"814.9"</f>
        <v>814.9</v>
      </c>
      <c r="AU43" s="203">
        <v>0</v>
      </c>
    </row>
    <row r="44" spans="1:47" x14ac:dyDescent="0.2">
      <c r="A44" s="200" t="str">
        <f>"0496002595700"</f>
        <v>0496002595700</v>
      </c>
      <c r="B44" s="200">
        <v>2</v>
      </c>
      <c r="C44" s="200" t="s">
        <v>156</v>
      </c>
      <c r="D44" s="200">
        <v>42</v>
      </c>
      <c r="E44" s="200">
        <v>42</v>
      </c>
      <c r="F44" s="200" t="s">
        <v>243</v>
      </c>
      <c r="G44" s="200">
        <v>2262</v>
      </c>
      <c r="H44" s="200" t="s">
        <v>270</v>
      </c>
      <c r="I44" s="200">
        <v>25458</v>
      </c>
      <c r="J44" s="201">
        <v>42571</v>
      </c>
      <c r="K44" s="202">
        <v>0.38263888888888892</v>
      </c>
      <c r="L44" s="201">
        <v>42573</v>
      </c>
      <c r="M44" s="200" t="s">
        <v>302</v>
      </c>
      <c r="N44" s="200" t="s">
        <v>647</v>
      </c>
      <c r="O44" s="200" t="s">
        <v>648</v>
      </c>
      <c r="P44" s="200" t="s">
        <v>565</v>
      </c>
      <c r="Q44" s="200" t="s">
        <v>275</v>
      </c>
      <c r="R44" s="200" t="s">
        <v>649</v>
      </c>
      <c r="S44" s="200" t="s">
        <v>156</v>
      </c>
      <c r="T44" s="200" t="s">
        <v>277</v>
      </c>
      <c r="U44" s="200">
        <v>2262</v>
      </c>
      <c r="V44" s="200" t="s">
        <v>156</v>
      </c>
      <c r="W44" s="200" t="s">
        <v>453</v>
      </c>
      <c r="X44" s="200">
        <v>7.9580000000000002</v>
      </c>
      <c r="Y44" s="203">
        <v>0</v>
      </c>
      <c r="Z44" s="203">
        <v>2.36</v>
      </c>
      <c r="AA44" s="203">
        <v>18.77</v>
      </c>
      <c r="AB44" s="203">
        <v>0</v>
      </c>
      <c r="AC44" s="203">
        <v>0</v>
      </c>
      <c r="AD44" s="203">
        <v>0</v>
      </c>
      <c r="AE44" s="203">
        <v>18.77</v>
      </c>
      <c r="AF44" s="203">
        <v>0</v>
      </c>
      <c r="AG44" s="200" t="s">
        <v>279</v>
      </c>
      <c r="AH44" s="203">
        <v>0</v>
      </c>
      <c r="AI44" s="200" t="s">
        <v>279</v>
      </c>
      <c r="AJ44" s="203">
        <v>0</v>
      </c>
      <c r="AK44" s="200" t="s">
        <v>279</v>
      </c>
      <c r="AL44" s="203">
        <v>0</v>
      </c>
      <c r="AM44" s="200" t="s">
        <v>279</v>
      </c>
      <c r="AN44" s="203">
        <v>0</v>
      </c>
      <c r="AO44" s="200" t="s">
        <v>279</v>
      </c>
      <c r="AP44" s="203">
        <v>0</v>
      </c>
      <c r="AQ44" s="203">
        <v>18.77</v>
      </c>
      <c r="AR44" s="203">
        <v>0</v>
      </c>
      <c r="AS44" s="200" t="str">
        <f t="shared" si="0"/>
        <v>1.00000000</v>
      </c>
      <c r="AT44" s="200" t="str">
        <f>"48.4"</f>
        <v>48.4</v>
      </c>
      <c r="AU44" s="203">
        <v>0</v>
      </c>
    </row>
    <row r="45" spans="1:47" x14ac:dyDescent="0.2">
      <c r="A45" s="200" t="str">
        <f>"0496002595833"</f>
        <v>0496002595833</v>
      </c>
      <c r="B45" s="200">
        <v>1</v>
      </c>
      <c r="C45" s="200" t="s">
        <v>571</v>
      </c>
      <c r="D45" s="200" t="s">
        <v>571</v>
      </c>
      <c r="E45" s="200" t="s">
        <v>572</v>
      </c>
      <c r="F45" s="200" t="s">
        <v>243</v>
      </c>
      <c r="G45" s="200">
        <v>2328</v>
      </c>
      <c r="H45" s="200" t="s">
        <v>270</v>
      </c>
      <c r="I45" s="200">
        <v>48786</v>
      </c>
      <c r="J45" s="201">
        <v>42571</v>
      </c>
      <c r="K45" s="202">
        <v>0.41180555555555554</v>
      </c>
      <c r="L45" s="201">
        <v>42573</v>
      </c>
      <c r="M45" s="200" t="s">
        <v>271</v>
      </c>
      <c r="N45" s="200" t="s">
        <v>422</v>
      </c>
      <c r="O45" s="200" t="s">
        <v>650</v>
      </c>
      <c r="P45" s="200" t="s">
        <v>651</v>
      </c>
      <c r="Q45" s="200" t="s">
        <v>275</v>
      </c>
      <c r="R45" s="200" t="s">
        <v>652</v>
      </c>
      <c r="S45" s="200" t="s">
        <v>436</v>
      </c>
      <c r="T45" s="200" t="s">
        <v>571</v>
      </c>
      <c r="U45" s="200">
        <v>2328</v>
      </c>
      <c r="V45" s="200" t="s">
        <v>571</v>
      </c>
      <c r="W45" s="200" t="s">
        <v>280</v>
      </c>
      <c r="X45" s="200">
        <v>14.192</v>
      </c>
      <c r="Y45" s="203">
        <v>-0.43</v>
      </c>
      <c r="Z45" s="203">
        <v>2.2000000000000002</v>
      </c>
      <c r="AA45" s="203">
        <v>31.21</v>
      </c>
      <c r="AB45" s="203">
        <v>-2.6</v>
      </c>
      <c r="AC45" s="203">
        <v>0</v>
      </c>
      <c r="AD45" s="203">
        <v>0</v>
      </c>
      <c r="AE45" s="203">
        <v>28.18</v>
      </c>
      <c r="AF45" s="203">
        <v>-3.41</v>
      </c>
      <c r="AG45" s="200" t="s">
        <v>279</v>
      </c>
      <c r="AH45" s="203">
        <v>0</v>
      </c>
      <c r="AI45" s="200" t="s">
        <v>279</v>
      </c>
      <c r="AJ45" s="203">
        <v>0</v>
      </c>
      <c r="AK45" s="200" t="s">
        <v>279</v>
      </c>
      <c r="AL45" s="203">
        <v>0</v>
      </c>
      <c r="AM45" s="200" t="s">
        <v>279</v>
      </c>
      <c r="AN45" s="203">
        <v>0</v>
      </c>
      <c r="AO45" s="200" t="s">
        <v>279</v>
      </c>
      <c r="AP45" s="203">
        <v>0</v>
      </c>
      <c r="AQ45" s="203">
        <v>31.21</v>
      </c>
      <c r="AR45" s="203">
        <v>0</v>
      </c>
      <c r="AS45" s="200" t="str">
        <f t="shared" si="0"/>
        <v>1.00000000</v>
      </c>
      <c r="AT45" s="200" t="str">
        <f>"25.3"</f>
        <v>25.3</v>
      </c>
      <c r="AU45" s="203">
        <v>0</v>
      </c>
    </row>
    <row r="46" spans="1:47" x14ac:dyDescent="0.2">
      <c r="A46" s="200" t="str">
        <f>"0496002599173"</f>
        <v>0496002599173</v>
      </c>
      <c r="B46" s="200">
        <v>2</v>
      </c>
      <c r="C46" s="200" t="s">
        <v>585</v>
      </c>
      <c r="D46" s="200" t="s">
        <v>594</v>
      </c>
      <c r="E46" s="200" t="s">
        <v>594</v>
      </c>
      <c r="F46" s="200" t="s">
        <v>243</v>
      </c>
      <c r="G46" s="200">
        <v>5647</v>
      </c>
      <c r="H46" s="200" t="s">
        <v>270</v>
      </c>
      <c r="I46" s="200">
        <v>109696</v>
      </c>
      <c r="J46" s="201">
        <v>42571</v>
      </c>
      <c r="K46" s="202">
        <v>0.42291666666666666</v>
      </c>
      <c r="L46" s="201">
        <v>42573</v>
      </c>
      <c r="M46" s="200" t="s">
        <v>271</v>
      </c>
      <c r="N46" s="200" t="s">
        <v>588</v>
      </c>
      <c r="O46" s="200" t="s">
        <v>589</v>
      </c>
      <c r="P46" s="200" t="s">
        <v>590</v>
      </c>
      <c r="Q46" s="200" t="s">
        <v>275</v>
      </c>
      <c r="R46" s="200" t="s">
        <v>611</v>
      </c>
      <c r="S46" s="200" t="s">
        <v>436</v>
      </c>
      <c r="T46" s="200" t="s">
        <v>595</v>
      </c>
      <c r="U46" s="200">
        <v>5647</v>
      </c>
      <c r="V46" s="200" t="s">
        <v>585</v>
      </c>
      <c r="W46" s="200" t="s">
        <v>280</v>
      </c>
      <c r="X46" s="200">
        <v>25.369</v>
      </c>
      <c r="Y46" s="203">
        <v>-1.27</v>
      </c>
      <c r="Z46" s="203">
        <v>2.1</v>
      </c>
      <c r="AA46" s="203">
        <v>53.25</v>
      </c>
      <c r="AB46" s="203">
        <v>-4.6399999999999997</v>
      </c>
      <c r="AC46" s="203">
        <v>0</v>
      </c>
      <c r="AD46" s="203">
        <v>0</v>
      </c>
      <c r="AE46" s="203">
        <v>47.34</v>
      </c>
      <c r="AF46" s="203">
        <v>-6.09</v>
      </c>
      <c r="AG46" s="200" t="s">
        <v>279</v>
      </c>
      <c r="AH46" s="203">
        <v>0</v>
      </c>
      <c r="AI46" s="200" t="s">
        <v>279</v>
      </c>
      <c r="AJ46" s="203">
        <v>0</v>
      </c>
      <c r="AK46" s="200" t="s">
        <v>279</v>
      </c>
      <c r="AL46" s="203">
        <v>0</v>
      </c>
      <c r="AM46" s="200" t="s">
        <v>279</v>
      </c>
      <c r="AN46" s="203">
        <v>0</v>
      </c>
      <c r="AO46" s="200" t="s">
        <v>279</v>
      </c>
      <c r="AP46" s="203">
        <v>0</v>
      </c>
      <c r="AQ46" s="203">
        <v>53.25</v>
      </c>
      <c r="AR46" s="203">
        <v>0</v>
      </c>
      <c r="AS46" s="200" t="str">
        <f t="shared" si="0"/>
        <v>1.00000000</v>
      </c>
      <c r="AT46" s="200" t="str">
        <f>"14.2"</f>
        <v>14.2</v>
      </c>
      <c r="AU46" s="203">
        <v>0</v>
      </c>
    </row>
    <row r="47" spans="1:47" x14ac:dyDescent="0.2">
      <c r="A47" s="200" t="str">
        <f>"0496002595700"</f>
        <v>0496002595700</v>
      </c>
      <c r="B47" s="200">
        <v>5</v>
      </c>
      <c r="C47" s="200" t="s">
        <v>156</v>
      </c>
      <c r="D47" s="200">
        <v>86</v>
      </c>
      <c r="E47" s="200">
        <v>86</v>
      </c>
      <c r="F47" s="200" t="s">
        <v>243</v>
      </c>
      <c r="G47" s="200">
        <v>2262</v>
      </c>
      <c r="H47" s="200" t="s">
        <v>270</v>
      </c>
      <c r="I47" s="200">
        <v>5326</v>
      </c>
      <c r="J47" s="201">
        <v>42572</v>
      </c>
      <c r="K47" s="202">
        <v>0.44166666666666665</v>
      </c>
      <c r="L47" s="201">
        <v>42577</v>
      </c>
      <c r="M47" s="200" t="s">
        <v>325</v>
      </c>
      <c r="N47" s="200" t="s">
        <v>326</v>
      </c>
      <c r="O47" s="200" t="s">
        <v>653</v>
      </c>
      <c r="P47" s="200" t="s">
        <v>654</v>
      </c>
      <c r="Q47" s="200" t="s">
        <v>329</v>
      </c>
      <c r="R47" s="200" t="s">
        <v>655</v>
      </c>
      <c r="S47" s="200" t="s">
        <v>156</v>
      </c>
      <c r="T47" s="200" t="s">
        <v>277</v>
      </c>
      <c r="U47" s="200">
        <v>2262</v>
      </c>
      <c r="V47" s="200" t="s">
        <v>156</v>
      </c>
      <c r="W47" s="200" t="s">
        <v>280</v>
      </c>
      <c r="X47" s="200">
        <v>16.805</v>
      </c>
      <c r="Y47" s="203">
        <v>0</v>
      </c>
      <c r="Z47" s="203">
        <v>2.36</v>
      </c>
      <c r="AA47" s="203">
        <v>39.64</v>
      </c>
      <c r="AB47" s="203">
        <v>-3.08</v>
      </c>
      <c r="AC47" s="203">
        <v>0</v>
      </c>
      <c r="AD47" s="203">
        <v>0</v>
      </c>
      <c r="AE47" s="203">
        <v>36.56</v>
      </c>
      <c r="AF47" s="203">
        <v>-6.62</v>
      </c>
      <c r="AG47" s="200" t="s">
        <v>279</v>
      </c>
      <c r="AH47" s="203">
        <v>0</v>
      </c>
      <c r="AI47" s="200" t="s">
        <v>279</v>
      </c>
      <c r="AJ47" s="203">
        <v>0</v>
      </c>
      <c r="AK47" s="200" t="s">
        <v>279</v>
      </c>
      <c r="AL47" s="203">
        <v>0</v>
      </c>
      <c r="AM47" s="200" t="s">
        <v>279</v>
      </c>
      <c r="AN47" s="203">
        <v>0</v>
      </c>
      <c r="AO47" s="200" t="s">
        <v>279</v>
      </c>
      <c r="AP47" s="203">
        <v>0</v>
      </c>
      <c r="AQ47" s="203">
        <v>39.64</v>
      </c>
      <c r="AR47" s="203">
        <v>0</v>
      </c>
      <c r="AS47" s="200" t="str">
        <f t="shared" si="0"/>
        <v>1.00000000</v>
      </c>
      <c r="AT47" s="200" t="str">
        <f>"15.4"</f>
        <v>15.4</v>
      </c>
      <c r="AU47" s="203">
        <v>0</v>
      </c>
    </row>
    <row r="48" spans="1:47" x14ac:dyDescent="0.2">
      <c r="A48" s="200" t="str">
        <f>"0496002595700"</f>
        <v>0496002595700</v>
      </c>
      <c r="B48" s="200">
        <v>6</v>
      </c>
      <c r="C48" s="200" t="s">
        <v>156</v>
      </c>
      <c r="D48" s="200" t="s">
        <v>344</v>
      </c>
      <c r="E48" s="200" t="s">
        <v>345</v>
      </c>
      <c r="F48" s="200" t="s">
        <v>243</v>
      </c>
      <c r="G48" s="200">
        <v>2262</v>
      </c>
      <c r="H48" s="200" t="s">
        <v>270</v>
      </c>
      <c r="I48" s="200">
        <v>51376</v>
      </c>
      <c r="J48" s="201">
        <v>42573</v>
      </c>
      <c r="K48" s="202">
        <v>0.54999999999999993</v>
      </c>
      <c r="L48" s="201">
        <v>42577</v>
      </c>
      <c r="M48" s="200" t="s">
        <v>271</v>
      </c>
      <c r="N48" s="200" t="s">
        <v>272</v>
      </c>
      <c r="O48" s="200" t="s">
        <v>273</v>
      </c>
      <c r="P48" s="200" t="s">
        <v>274</v>
      </c>
      <c r="Q48" s="200" t="s">
        <v>275</v>
      </c>
      <c r="R48" s="200" t="s">
        <v>276</v>
      </c>
      <c r="S48" s="200" t="s">
        <v>156</v>
      </c>
      <c r="T48" s="200" t="s">
        <v>277</v>
      </c>
      <c r="U48" s="200">
        <v>2262</v>
      </c>
      <c r="V48" s="200" t="s">
        <v>156</v>
      </c>
      <c r="W48" s="200" t="s">
        <v>278</v>
      </c>
      <c r="X48" s="200">
        <v>6.6890000000000001</v>
      </c>
      <c r="Y48" s="203">
        <v>-0.2</v>
      </c>
      <c r="Z48" s="203">
        <v>2.58</v>
      </c>
      <c r="AA48" s="203">
        <v>17.260000000000002</v>
      </c>
      <c r="AB48" s="203">
        <v>-1.22</v>
      </c>
      <c r="AC48" s="203">
        <v>0</v>
      </c>
      <c r="AD48" s="203">
        <v>0</v>
      </c>
      <c r="AE48" s="203">
        <v>15.84</v>
      </c>
      <c r="AF48" s="203">
        <v>-1.61</v>
      </c>
      <c r="AG48" s="200" t="s">
        <v>279</v>
      </c>
      <c r="AH48" s="203">
        <v>0</v>
      </c>
      <c r="AI48" s="200" t="s">
        <v>279</v>
      </c>
      <c r="AJ48" s="203">
        <v>0</v>
      </c>
      <c r="AK48" s="200" t="s">
        <v>279</v>
      </c>
      <c r="AL48" s="203">
        <v>0</v>
      </c>
      <c r="AM48" s="200" t="s">
        <v>279</v>
      </c>
      <c r="AN48" s="203">
        <v>0</v>
      </c>
      <c r="AO48" s="200" t="s">
        <v>279</v>
      </c>
      <c r="AP48" s="203">
        <v>0</v>
      </c>
      <c r="AQ48" s="203">
        <v>17.260000000000002</v>
      </c>
      <c r="AR48" s="203">
        <v>0</v>
      </c>
      <c r="AS48" s="200" t="str">
        <f t="shared" si="0"/>
        <v>1.00000000</v>
      </c>
      <c r="AT48" s="200" t="str">
        <f>"60.6"</f>
        <v>60.6</v>
      </c>
      <c r="AU48" s="203">
        <v>0</v>
      </c>
    </row>
    <row r="49" spans="1:47" x14ac:dyDescent="0.2">
      <c r="A49" s="200" t="str">
        <f>"0496002595734"</f>
        <v>0496002595734</v>
      </c>
      <c r="B49" s="200">
        <v>1</v>
      </c>
      <c r="C49" s="200" t="s">
        <v>435</v>
      </c>
      <c r="D49" s="200">
        <v>81</v>
      </c>
      <c r="E49" s="200">
        <v>81</v>
      </c>
      <c r="F49" s="200" t="s">
        <v>243</v>
      </c>
      <c r="G49" s="200">
        <v>2086</v>
      </c>
      <c r="H49" s="200" t="s">
        <v>270</v>
      </c>
      <c r="I49" s="200">
        <v>57732</v>
      </c>
      <c r="J49" s="201">
        <v>42573</v>
      </c>
      <c r="K49" s="202">
        <v>0.6791666666666667</v>
      </c>
      <c r="L49" s="201">
        <v>42577</v>
      </c>
      <c r="M49" s="200" t="s">
        <v>271</v>
      </c>
      <c r="N49" s="200" t="s">
        <v>272</v>
      </c>
      <c r="O49" s="200" t="s">
        <v>273</v>
      </c>
      <c r="P49" s="200" t="s">
        <v>274</v>
      </c>
      <c r="Q49" s="200" t="s">
        <v>275</v>
      </c>
      <c r="R49" s="200" t="s">
        <v>276</v>
      </c>
      <c r="S49" s="200" t="s">
        <v>436</v>
      </c>
      <c r="T49" s="200" t="s">
        <v>435</v>
      </c>
      <c r="U49" s="200">
        <v>2086</v>
      </c>
      <c r="V49" s="200" t="s">
        <v>435</v>
      </c>
      <c r="W49" s="200" t="s">
        <v>280</v>
      </c>
      <c r="X49" s="200">
        <v>14.114000000000001</v>
      </c>
      <c r="Y49" s="203">
        <v>-0.42</v>
      </c>
      <c r="Z49" s="203">
        <v>2.13</v>
      </c>
      <c r="AA49" s="203">
        <v>30.05</v>
      </c>
      <c r="AB49" s="203">
        <v>-2.58</v>
      </c>
      <c r="AC49" s="203">
        <v>0</v>
      </c>
      <c r="AD49" s="203">
        <v>0</v>
      </c>
      <c r="AE49" s="203">
        <v>27.05</v>
      </c>
      <c r="AF49" s="203">
        <v>-3.39</v>
      </c>
      <c r="AG49" s="200" t="s">
        <v>279</v>
      </c>
      <c r="AH49" s="203">
        <v>0</v>
      </c>
      <c r="AI49" s="200" t="s">
        <v>279</v>
      </c>
      <c r="AJ49" s="203">
        <v>0</v>
      </c>
      <c r="AK49" s="200" t="s">
        <v>279</v>
      </c>
      <c r="AL49" s="203">
        <v>0</v>
      </c>
      <c r="AM49" s="200" t="s">
        <v>279</v>
      </c>
      <c r="AN49" s="203">
        <v>0</v>
      </c>
      <c r="AO49" s="200" t="s">
        <v>279</v>
      </c>
      <c r="AP49" s="203">
        <v>0</v>
      </c>
      <c r="AQ49" s="203">
        <v>30.05</v>
      </c>
      <c r="AR49" s="203">
        <v>0</v>
      </c>
      <c r="AS49" s="200" t="str">
        <f t="shared" si="0"/>
        <v>1.00000000</v>
      </c>
      <c r="AT49" s="200" t="str">
        <f>"19.0"</f>
        <v>19.0</v>
      </c>
      <c r="AU49" s="203">
        <v>0</v>
      </c>
    </row>
    <row r="50" spans="1:47" x14ac:dyDescent="0.2">
      <c r="A50" s="200" t="str">
        <f>"0496002595734"</f>
        <v>0496002595734</v>
      </c>
      <c r="B50" s="200">
        <v>2</v>
      </c>
      <c r="C50" s="200" t="s">
        <v>435</v>
      </c>
      <c r="D50" s="200">
        <v>80</v>
      </c>
      <c r="E50" s="200">
        <v>80</v>
      </c>
      <c r="F50" s="200" t="s">
        <v>243</v>
      </c>
      <c r="G50" s="200">
        <v>2086</v>
      </c>
      <c r="H50" s="200" t="s">
        <v>270</v>
      </c>
      <c r="I50" s="200">
        <v>61031</v>
      </c>
      <c r="J50" s="201">
        <v>42573</v>
      </c>
      <c r="K50" s="202">
        <v>0.6694444444444444</v>
      </c>
      <c r="L50" s="201">
        <v>42577</v>
      </c>
      <c r="M50" s="200" t="s">
        <v>294</v>
      </c>
      <c r="N50" s="200" t="s">
        <v>379</v>
      </c>
      <c r="O50" s="200" t="s">
        <v>471</v>
      </c>
      <c r="P50" s="200" t="s">
        <v>389</v>
      </c>
      <c r="Q50" s="200" t="s">
        <v>275</v>
      </c>
      <c r="R50" s="200" t="s">
        <v>627</v>
      </c>
      <c r="S50" s="200" t="s">
        <v>436</v>
      </c>
      <c r="T50" s="200" t="s">
        <v>435</v>
      </c>
      <c r="U50" s="200">
        <v>2086</v>
      </c>
      <c r="V50" s="200" t="s">
        <v>435</v>
      </c>
      <c r="W50" s="200" t="s">
        <v>280</v>
      </c>
      <c r="X50" s="200">
        <v>11.33</v>
      </c>
      <c r="Y50" s="203">
        <v>0</v>
      </c>
      <c r="Z50" s="203">
        <v>2.2599999999999998</v>
      </c>
      <c r="AA50" s="203">
        <v>25.6</v>
      </c>
      <c r="AB50" s="203">
        <v>-2.0699999999999998</v>
      </c>
      <c r="AC50" s="203">
        <v>0</v>
      </c>
      <c r="AD50" s="203">
        <v>0</v>
      </c>
      <c r="AE50" s="203">
        <v>23.53</v>
      </c>
      <c r="AF50" s="203">
        <v>-2.72</v>
      </c>
      <c r="AG50" s="200" t="s">
        <v>279</v>
      </c>
      <c r="AH50" s="203">
        <v>0</v>
      </c>
      <c r="AI50" s="200" t="s">
        <v>279</v>
      </c>
      <c r="AJ50" s="203">
        <v>0</v>
      </c>
      <c r="AK50" s="200" t="s">
        <v>279</v>
      </c>
      <c r="AL50" s="203">
        <v>0</v>
      </c>
      <c r="AM50" s="200" t="s">
        <v>279</v>
      </c>
      <c r="AN50" s="203">
        <v>0</v>
      </c>
      <c r="AO50" s="200" t="s">
        <v>279</v>
      </c>
      <c r="AP50" s="203">
        <v>0</v>
      </c>
      <c r="AQ50" s="203">
        <v>25.6</v>
      </c>
      <c r="AR50" s="203">
        <v>0</v>
      </c>
      <c r="AS50" s="200" t="str">
        <f t="shared" si="0"/>
        <v>1.00000000</v>
      </c>
      <c r="AT50" s="200" t="str">
        <f>"37.5"</f>
        <v>37.5</v>
      </c>
      <c r="AU50" s="203">
        <v>0</v>
      </c>
    </row>
    <row r="51" spans="1:47" x14ac:dyDescent="0.2">
      <c r="A51" s="200" t="str">
        <f>"0496002595833"</f>
        <v>0496002595833</v>
      </c>
      <c r="B51" s="200">
        <v>1</v>
      </c>
      <c r="C51" s="200" t="s">
        <v>571</v>
      </c>
      <c r="D51" s="200" t="s">
        <v>571</v>
      </c>
      <c r="E51" s="200" t="s">
        <v>572</v>
      </c>
      <c r="F51" s="200" t="s">
        <v>243</v>
      </c>
      <c r="G51" s="200">
        <v>2328</v>
      </c>
      <c r="H51" s="200" t="s">
        <v>270</v>
      </c>
      <c r="I51" s="200">
        <v>49138</v>
      </c>
      <c r="J51" s="201">
        <v>42573</v>
      </c>
      <c r="K51" s="202">
        <v>0.76041666666666663</v>
      </c>
      <c r="L51" s="201">
        <v>42577</v>
      </c>
      <c r="M51" s="200" t="s">
        <v>325</v>
      </c>
      <c r="N51" s="200" t="s">
        <v>326</v>
      </c>
      <c r="O51" s="200" t="s">
        <v>656</v>
      </c>
      <c r="P51" s="200" t="s">
        <v>657</v>
      </c>
      <c r="Q51" s="200" t="s">
        <v>329</v>
      </c>
      <c r="R51" s="200">
        <v>12568</v>
      </c>
      <c r="S51" s="200" t="s">
        <v>436</v>
      </c>
      <c r="T51" s="200" t="s">
        <v>571</v>
      </c>
      <c r="U51" s="200">
        <v>2328</v>
      </c>
      <c r="V51" s="200" t="s">
        <v>571</v>
      </c>
      <c r="W51" s="200" t="s">
        <v>330</v>
      </c>
      <c r="X51" s="200">
        <v>14.364000000000001</v>
      </c>
      <c r="Y51" s="203">
        <v>0</v>
      </c>
      <c r="Z51" s="203">
        <v>2.35</v>
      </c>
      <c r="AA51" s="203">
        <v>33.74</v>
      </c>
      <c r="AB51" s="203">
        <v>-2.63</v>
      </c>
      <c r="AC51" s="203">
        <v>0</v>
      </c>
      <c r="AD51" s="203">
        <v>0</v>
      </c>
      <c r="AE51" s="203">
        <v>31.11</v>
      </c>
      <c r="AF51" s="203">
        <v>-5.99</v>
      </c>
      <c r="AG51" s="200" t="s">
        <v>279</v>
      </c>
      <c r="AH51" s="203">
        <v>0</v>
      </c>
      <c r="AI51" s="200" t="s">
        <v>279</v>
      </c>
      <c r="AJ51" s="203">
        <v>0</v>
      </c>
      <c r="AK51" s="200" t="s">
        <v>279</v>
      </c>
      <c r="AL51" s="203">
        <v>0</v>
      </c>
      <c r="AM51" s="200" t="s">
        <v>279</v>
      </c>
      <c r="AN51" s="203">
        <v>0</v>
      </c>
      <c r="AO51" s="200" t="s">
        <v>279</v>
      </c>
      <c r="AP51" s="203">
        <v>0</v>
      </c>
      <c r="AQ51" s="203">
        <v>33.74</v>
      </c>
      <c r="AR51" s="203">
        <v>0</v>
      </c>
      <c r="AS51" s="200" t="str">
        <f t="shared" si="0"/>
        <v>1.00000000</v>
      </c>
      <c r="AT51" s="200" t="str">
        <f>"24.5"</f>
        <v>24.5</v>
      </c>
      <c r="AU51" s="203">
        <v>0</v>
      </c>
    </row>
    <row r="52" spans="1:47" x14ac:dyDescent="0.2">
      <c r="A52" s="200" t="str">
        <f>"0496002595700"</f>
        <v>0496002595700</v>
      </c>
      <c r="B52" s="200">
        <v>5</v>
      </c>
      <c r="C52" s="200" t="s">
        <v>156</v>
      </c>
      <c r="D52" s="200">
        <v>86</v>
      </c>
      <c r="E52" s="200">
        <v>86</v>
      </c>
      <c r="F52" s="200" t="s">
        <v>243</v>
      </c>
      <c r="G52" s="200">
        <v>2262</v>
      </c>
      <c r="H52" s="200" t="s">
        <v>270</v>
      </c>
      <c r="I52" s="200">
        <v>5650</v>
      </c>
      <c r="J52" s="201">
        <v>42574</v>
      </c>
      <c r="K52" s="202">
        <v>0.69930555555555562</v>
      </c>
      <c r="L52" s="201">
        <v>42577</v>
      </c>
      <c r="M52" s="200" t="s">
        <v>271</v>
      </c>
      <c r="N52" s="200" t="s">
        <v>272</v>
      </c>
      <c r="O52" s="200" t="s">
        <v>273</v>
      </c>
      <c r="P52" s="200" t="s">
        <v>274</v>
      </c>
      <c r="Q52" s="200" t="s">
        <v>275</v>
      </c>
      <c r="R52" s="200" t="s">
        <v>276</v>
      </c>
      <c r="S52" s="200" t="s">
        <v>156</v>
      </c>
      <c r="T52" s="200" t="s">
        <v>277</v>
      </c>
      <c r="U52" s="200">
        <v>2262</v>
      </c>
      <c r="V52" s="200" t="s">
        <v>156</v>
      </c>
      <c r="W52" s="200" t="s">
        <v>280</v>
      </c>
      <c r="X52" s="200">
        <v>11.750999999999999</v>
      </c>
      <c r="Y52" s="203">
        <v>-0.35</v>
      </c>
      <c r="Z52" s="203">
        <v>2.13</v>
      </c>
      <c r="AA52" s="203">
        <v>25.02</v>
      </c>
      <c r="AB52" s="203">
        <v>-2.15</v>
      </c>
      <c r="AC52" s="203">
        <v>0</v>
      </c>
      <c r="AD52" s="203">
        <v>0</v>
      </c>
      <c r="AE52" s="203">
        <v>22.52</v>
      </c>
      <c r="AF52" s="203">
        <v>-2.82</v>
      </c>
      <c r="AG52" s="200" t="s">
        <v>279</v>
      </c>
      <c r="AH52" s="203">
        <v>0</v>
      </c>
      <c r="AI52" s="200" t="s">
        <v>279</v>
      </c>
      <c r="AJ52" s="203">
        <v>0</v>
      </c>
      <c r="AK52" s="200" t="s">
        <v>279</v>
      </c>
      <c r="AL52" s="203">
        <v>0</v>
      </c>
      <c r="AM52" s="200" t="s">
        <v>279</v>
      </c>
      <c r="AN52" s="203">
        <v>0</v>
      </c>
      <c r="AO52" s="200" t="s">
        <v>279</v>
      </c>
      <c r="AP52" s="203">
        <v>0</v>
      </c>
      <c r="AQ52" s="203">
        <v>25.02</v>
      </c>
      <c r="AR52" s="203">
        <v>0</v>
      </c>
      <c r="AS52" s="200" t="str">
        <f t="shared" si="0"/>
        <v>1.00000000</v>
      </c>
      <c r="AT52" s="200" t="str">
        <f>"15.3"</f>
        <v>15.3</v>
      </c>
      <c r="AU52" s="203">
        <v>0</v>
      </c>
    </row>
    <row r="53" spans="1:47" x14ac:dyDescent="0.2">
      <c r="A53" s="200" t="str">
        <f>"0496002595734"</f>
        <v>0496002595734</v>
      </c>
      <c r="B53" s="200">
        <v>1</v>
      </c>
      <c r="C53" s="200" t="s">
        <v>435</v>
      </c>
      <c r="D53" s="200">
        <v>81</v>
      </c>
      <c r="E53" s="200">
        <v>81</v>
      </c>
      <c r="F53" s="200" t="s">
        <v>243</v>
      </c>
      <c r="G53" s="200">
        <v>2086</v>
      </c>
      <c r="H53" s="200" t="s">
        <v>270</v>
      </c>
      <c r="I53" s="200">
        <v>57972</v>
      </c>
      <c r="J53" s="201">
        <v>42575</v>
      </c>
      <c r="K53" s="202">
        <v>0.78819444444444453</v>
      </c>
      <c r="L53" s="201">
        <v>42577</v>
      </c>
      <c r="M53" s="200" t="s">
        <v>271</v>
      </c>
      <c r="N53" s="200" t="s">
        <v>422</v>
      </c>
      <c r="O53" s="200" t="s">
        <v>658</v>
      </c>
      <c r="P53" s="200" t="s">
        <v>659</v>
      </c>
      <c r="Q53" s="200" t="s">
        <v>309</v>
      </c>
      <c r="R53" s="200" t="s">
        <v>660</v>
      </c>
      <c r="S53" s="200" t="s">
        <v>436</v>
      </c>
      <c r="T53" s="200" t="s">
        <v>435</v>
      </c>
      <c r="U53" s="200">
        <v>2086</v>
      </c>
      <c r="V53" s="200" t="s">
        <v>435</v>
      </c>
      <c r="W53" s="200" t="s">
        <v>280</v>
      </c>
      <c r="X53" s="200">
        <v>12.507</v>
      </c>
      <c r="Y53" s="203">
        <v>-0.25</v>
      </c>
      <c r="Z53" s="203">
        <v>2.29</v>
      </c>
      <c r="AA53" s="203">
        <v>28.63</v>
      </c>
      <c r="AB53" s="203">
        <v>-2.29</v>
      </c>
      <c r="AC53" s="203">
        <v>0</v>
      </c>
      <c r="AD53" s="203">
        <v>0</v>
      </c>
      <c r="AE53" s="203">
        <v>26.09</v>
      </c>
      <c r="AF53" s="203">
        <v>-3.13</v>
      </c>
      <c r="AG53" s="200" t="s">
        <v>279</v>
      </c>
      <c r="AH53" s="203">
        <v>0</v>
      </c>
      <c r="AI53" s="200" t="s">
        <v>279</v>
      </c>
      <c r="AJ53" s="203">
        <v>0</v>
      </c>
      <c r="AK53" s="200" t="s">
        <v>279</v>
      </c>
      <c r="AL53" s="203">
        <v>0</v>
      </c>
      <c r="AM53" s="200" t="s">
        <v>279</v>
      </c>
      <c r="AN53" s="203">
        <v>0</v>
      </c>
      <c r="AO53" s="200" t="s">
        <v>279</v>
      </c>
      <c r="AP53" s="203">
        <v>0</v>
      </c>
      <c r="AQ53" s="203">
        <v>28.63</v>
      </c>
      <c r="AR53" s="203">
        <v>0</v>
      </c>
      <c r="AS53" s="200" t="str">
        <f t="shared" si="0"/>
        <v>1.00000000</v>
      </c>
      <c r="AT53" s="200" t="str">
        <f>"19.2"</f>
        <v>19.2</v>
      </c>
      <c r="AU53" s="203">
        <v>0</v>
      </c>
    </row>
    <row r="54" spans="1:47" x14ac:dyDescent="0.2">
      <c r="A54" s="200" t="str">
        <f>"0496002595734"</f>
        <v>0496002595734</v>
      </c>
      <c r="B54" s="200">
        <v>2</v>
      </c>
      <c r="C54" s="200" t="s">
        <v>435</v>
      </c>
      <c r="D54" s="200">
        <v>80</v>
      </c>
      <c r="E54" s="200">
        <v>80</v>
      </c>
      <c r="F54" s="200" t="s">
        <v>243</v>
      </c>
      <c r="G54" s="200">
        <v>2086</v>
      </c>
      <c r="H54" s="200" t="s">
        <v>270</v>
      </c>
      <c r="I54" s="200">
        <v>61329</v>
      </c>
      <c r="J54" s="201">
        <v>42575</v>
      </c>
      <c r="K54" s="202">
        <v>3.2638888888888891E-2</v>
      </c>
      <c r="L54" s="201">
        <v>42577</v>
      </c>
      <c r="M54" s="200" t="s">
        <v>271</v>
      </c>
      <c r="N54" s="200" t="s">
        <v>661</v>
      </c>
      <c r="O54" s="200" t="s">
        <v>662</v>
      </c>
      <c r="P54" s="200" t="s">
        <v>394</v>
      </c>
      <c r="Q54" s="200" t="s">
        <v>395</v>
      </c>
      <c r="R54" s="200" t="s">
        <v>663</v>
      </c>
      <c r="S54" s="200" t="s">
        <v>436</v>
      </c>
      <c r="T54" s="200" t="s">
        <v>435</v>
      </c>
      <c r="U54" s="200">
        <v>2086</v>
      </c>
      <c r="V54" s="200" t="s">
        <v>435</v>
      </c>
      <c r="W54" s="200" t="s">
        <v>280</v>
      </c>
      <c r="X54" s="200">
        <v>8.2279999999999998</v>
      </c>
      <c r="Y54" s="203">
        <v>-0.16</v>
      </c>
      <c r="Z54" s="203">
        <v>2.2200000000000002</v>
      </c>
      <c r="AA54" s="203">
        <v>18.260000000000002</v>
      </c>
      <c r="AB54" s="203">
        <v>-1.51</v>
      </c>
      <c r="AC54" s="203">
        <v>0</v>
      </c>
      <c r="AD54" s="203">
        <v>0</v>
      </c>
      <c r="AE54" s="203">
        <v>16.59</v>
      </c>
      <c r="AF54" s="203">
        <v>-2.4700000000000002</v>
      </c>
      <c r="AG54" s="200" t="s">
        <v>279</v>
      </c>
      <c r="AH54" s="203">
        <v>0</v>
      </c>
      <c r="AI54" s="200" t="s">
        <v>279</v>
      </c>
      <c r="AJ54" s="203">
        <v>0</v>
      </c>
      <c r="AK54" s="200" t="s">
        <v>279</v>
      </c>
      <c r="AL54" s="203">
        <v>0</v>
      </c>
      <c r="AM54" s="200" t="s">
        <v>279</v>
      </c>
      <c r="AN54" s="203">
        <v>0</v>
      </c>
      <c r="AO54" s="200" t="s">
        <v>279</v>
      </c>
      <c r="AP54" s="203">
        <v>0</v>
      </c>
      <c r="AQ54" s="203">
        <v>18.260000000000002</v>
      </c>
      <c r="AR54" s="203">
        <v>0</v>
      </c>
      <c r="AS54" s="200" t="str">
        <f t="shared" si="0"/>
        <v>1.00000000</v>
      </c>
      <c r="AT54" s="200" t="str">
        <f>"36.2"</f>
        <v>36.2</v>
      </c>
      <c r="AU54" s="203">
        <v>0</v>
      </c>
    </row>
    <row r="55" spans="1:47" x14ac:dyDescent="0.2">
      <c r="A55" s="200" t="str">
        <f>"0496002595734"</f>
        <v>0496002595734</v>
      </c>
      <c r="B55" s="200">
        <v>2</v>
      </c>
      <c r="C55" s="200" t="s">
        <v>435</v>
      </c>
      <c r="D55" s="200">
        <v>80</v>
      </c>
      <c r="E55" s="200">
        <v>80</v>
      </c>
      <c r="F55" s="200" t="s">
        <v>243</v>
      </c>
      <c r="G55" s="200">
        <v>2086</v>
      </c>
      <c r="H55" s="200" t="s">
        <v>270</v>
      </c>
      <c r="I55" s="200">
        <v>14000</v>
      </c>
      <c r="J55" s="201">
        <v>42575</v>
      </c>
      <c r="K55" s="202">
        <v>0.62708333333333333</v>
      </c>
      <c r="L55" s="201">
        <v>42577</v>
      </c>
      <c r="M55" s="200" t="s">
        <v>294</v>
      </c>
      <c r="N55" s="200" t="s">
        <v>379</v>
      </c>
      <c r="O55" s="200" t="s">
        <v>664</v>
      </c>
      <c r="P55" s="200" t="s">
        <v>543</v>
      </c>
      <c r="Q55" s="200" t="s">
        <v>275</v>
      </c>
      <c r="R55" s="200" t="s">
        <v>665</v>
      </c>
      <c r="S55" s="200" t="s">
        <v>436</v>
      </c>
      <c r="T55" s="200" t="s">
        <v>435</v>
      </c>
      <c r="U55" s="200">
        <v>2086</v>
      </c>
      <c r="V55" s="200" t="s">
        <v>435</v>
      </c>
      <c r="W55" s="200" t="s">
        <v>280</v>
      </c>
      <c r="X55" s="200">
        <v>6.73</v>
      </c>
      <c r="Y55" s="203">
        <v>0</v>
      </c>
      <c r="Z55" s="203">
        <v>2.2000000000000002</v>
      </c>
      <c r="AA55" s="203">
        <v>14.8</v>
      </c>
      <c r="AB55" s="203">
        <v>-1.23</v>
      </c>
      <c r="AC55" s="203">
        <v>0</v>
      </c>
      <c r="AD55" s="203">
        <v>0</v>
      </c>
      <c r="AE55" s="203">
        <v>13.57</v>
      </c>
      <c r="AF55" s="203">
        <v>-1.62</v>
      </c>
      <c r="AG55" s="200" t="s">
        <v>279</v>
      </c>
      <c r="AH55" s="203">
        <v>0</v>
      </c>
      <c r="AI55" s="200" t="s">
        <v>279</v>
      </c>
      <c r="AJ55" s="203">
        <v>0</v>
      </c>
      <c r="AK55" s="200" t="s">
        <v>279</v>
      </c>
      <c r="AL55" s="203">
        <v>0</v>
      </c>
      <c r="AM55" s="200" t="s">
        <v>279</v>
      </c>
      <c r="AN55" s="203">
        <v>0</v>
      </c>
      <c r="AO55" s="200" t="s">
        <v>279</v>
      </c>
      <c r="AP55" s="203">
        <v>0</v>
      </c>
      <c r="AQ55" s="203">
        <v>14.8</v>
      </c>
      <c r="AR55" s="203">
        <v>0</v>
      </c>
      <c r="AS55" s="200" t="str">
        <f t="shared" si="0"/>
        <v>1.00000000</v>
      </c>
      <c r="AT55" s="200" t="str">
        <f>"37.4"</f>
        <v>37.4</v>
      </c>
      <c r="AU55" s="203">
        <v>0</v>
      </c>
    </row>
    <row r="56" spans="1:47" x14ac:dyDescent="0.2">
      <c r="A56" s="200" t="str">
        <f>"0496002595700"</f>
        <v>0496002595700</v>
      </c>
      <c r="B56" s="200">
        <v>5</v>
      </c>
      <c r="C56" s="200" t="s">
        <v>156</v>
      </c>
      <c r="D56" s="200">
        <v>86</v>
      </c>
      <c r="E56" s="200">
        <v>86</v>
      </c>
      <c r="F56" s="200" t="s">
        <v>243</v>
      </c>
      <c r="G56" s="200">
        <v>2262</v>
      </c>
      <c r="H56" s="200" t="s">
        <v>270</v>
      </c>
      <c r="I56" s="200">
        <v>5664</v>
      </c>
      <c r="J56" s="201">
        <v>42576</v>
      </c>
      <c r="K56" s="202">
        <v>0.7583333333333333</v>
      </c>
      <c r="L56" s="201">
        <v>42578</v>
      </c>
      <c r="M56" s="200" t="s">
        <v>271</v>
      </c>
      <c r="N56" s="200" t="s">
        <v>272</v>
      </c>
      <c r="O56" s="200" t="s">
        <v>273</v>
      </c>
      <c r="P56" s="200" t="s">
        <v>274</v>
      </c>
      <c r="Q56" s="200" t="s">
        <v>275</v>
      </c>
      <c r="R56" s="200" t="s">
        <v>276</v>
      </c>
      <c r="S56" s="200" t="s">
        <v>156</v>
      </c>
      <c r="T56" s="200" t="s">
        <v>277</v>
      </c>
      <c r="U56" s="200">
        <v>2262</v>
      </c>
      <c r="V56" s="200" t="s">
        <v>156</v>
      </c>
      <c r="W56" s="200" t="s">
        <v>280</v>
      </c>
      <c r="X56" s="200">
        <v>9.3040000000000003</v>
      </c>
      <c r="Y56" s="203">
        <v>-0.28000000000000003</v>
      </c>
      <c r="Z56" s="203">
        <v>2.1</v>
      </c>
      <c r="AA56" s="203">
        <v>19.52</v>
      </c>
      <c r="AB56" s="203">
        <v>-1.7</v>
      </c>
      <c r="AC56" s="203">
        <v>0</v>
      </c>
      <c r="AD56" s="203">
        <v>0</v>
      </c>
      <c r="AE56" s="203">
        <v>17.54</v>
      </c>
      <c r="AF56" s="203">
        <v>-2.23</v>
      </c>
      <c r="AG56" s="200" t="s">
        <v>279</v>
      </c>
      <c r="AH56" s="203">
        <v>0</v>
      </c>
      <c r="AI56" s="200" t="s">
        <v>279</v>
      </c>
      <c r="AJ56" s="203">
        <v>0</v>
      </c>
      <c r="AK56" s="200" t="s">
        <v>279</v>
      </c>
      <c r="AL56" s="203">
        <v>0</v>
      </c>
      <c r="AM56" s="200" t="s">
        <v>279</v>
      </c>
      <c r="AN56" s="203">
        <v>0</v>
      </c>
      <c r="AO56" s="200" t="s">
        <v>279</v>
      </c>
      <c r="AP56" s="203">
        <v>0</v>
      </c>
      <c r="AQ56" s="203">
        <v>19.52</v>
      </c>
      <c r="AR56" s="203">
        <v>0</v>
      </c>
      <c r="AS56" s="200" t="str">
        <f t="shared" si="0"/>
        <v>1.00000000</v>
      </c>
      <c r="AT56" s="200" t="str">
        <f>"17.0"</f>
        <v>17.0</v>
      </c>
      <c r="AU56" s="203">
        <v>0</v>
      </c>
    </row>
    <row r="57" spans="1:47" x14ac:dyDescent="0.2">
      <c r="A57" s="200" t="str">
        <f>"0496002595700"</f>
        <v>0496002595700</v>
      </c>
      <c r="B57" s="200">
        <v>6</v>
      </c>
      <c r="C57" s="200" t="s">
        <v>156</v>
      </c>
      <c r="D57" s="200" t="s">
        <v>344</v>
      </c>
      <c r="E57" s="200" t="s">
        <v>345</v>
      </c>
      <c r="F57" s="200" t="s">
        <v>243</v>
      </c>
      <c r="G57" s="200">
        <v>2262</v>
      </c>
      <c r="H57" s="200" t="s">
        <v>270</v>
      </c>
      <c r="I57" s="200">
        <v>51752</v>
      </c>
      <c r="J57" s="201">
        <v>42576</v>
      </c>
      <c r="K57" s="202">
        <v>0.52188657407407402</v>
      </c>
      <c r="L57" s="201">
        <v>42578</v>
      </c>
      <c r="M57" s="200" t="s">
        <v>310</v>
      </c>
      <c r="N57" s="200" t="s">
        <v>666</v>
      </c>
      <c r="O57" s="200" t="s">
        <v>667</v>
      </c>
      <c r="P57" s="200" t="s">
        <v>668</v>
      </c>
      <c r="Q57" s="200" t="s">
        <v>275</v>
      </c>
      <c r="R57" s="200" t="s">
        <v>669</v>
      </c>
      <c r="S57" s="200" t="s">
        <v>156</v>
      </c>
      <c r="T57" s="200" t="s">
        <v>277</v>
      </c>
      <c r="U57" s="200">
        <v>2262</v>
      </c>
      <c r="V57" s="200" t="s">
        <v>156</v>
      </c>
      <c r="W57" s="200" t="s">
        <v>280</v>
      </c>
      <c r="X57" s="200">
        <v>13.602</v>
      </c>
      <c r="Y57" s="203">
        <v>0</v>
      </c>
      <c r="Z57" s="203">
        <v>2.2799999999999998</v>
      </c>
      <c r="AA57" s="203">
        <v>31</v>
      </c>
      <c r="AB57" s="203">
        <v>-2.4900000000000002</v>
      </c>
      <c r="AC57" s="203">
        <v>0</v>
      </c>
      <c r="AD57" s="203">
        <v>0</v>
      </c>
      <c r="AE57" s="203">
        <v>28.51</v>
      </c>
      <c r="AF57" s="203">
        <v>-3.26</v>
      </c>
      <c r="AG57" s="200" t="s">
        <v>279</v>
      </c>
      <c r="AH57" s="203">
        <v>0</v>
      </c>
      <c r="AI57" s="200" t="s">
        <v>279</v>
      </c>
      <c r="AJ57" s="203">
        <v>0</v>
      </c>
      <c r="AK57" s="200" t="s">
        <v>279</v>
      </c>
      <c r="AL57" s="203">
        <v>0</v>
      </c>
      <c r="AM57" s="200" t="s">
        <v>279</v>
      </c>
      <c r="AN57" s="203">
        <v>0</v>
      </c>
      <c r="AO57" s="200" t="s">
        <v>279</v>
      </c>
      <c r="AP57" s="203">
        <v>0</v>
      </c>
      <c r="AQ57" s="203">
        <v>31</v>
      </c>
      <c r="AR57" s="203">
        <v>0</v>
      </c>
      <c r="AS57" s="200" t="str">
        <f t="shared" si="0"/>
        <v>1.00000000</v>
      </c>
      <c r="AT57" s="200" t="str">
        <f>"51.8"</f>
        <v>51.8</v>
      </c>
      <c r="AU57" s="203">
        <v>0</v>
      </c>
    </row>
    <row r="58" spans="1:47" x14ac:dyDescent="0.2">
      <c r="A58" s="200" t="str">
        <f>"0496002595833"</f>
        <v>0496002595833</v>
      </c>
      <c r="B58" s="200">
        <v>1</v>
      </c>
      <c r="C58" s="200" t="s">
        <v>571</v>
      </c>
      <c r="D58" s="200" t="s">
        <v>571</v>
      </c>
      <c r="E58" s="200" t="s">
        <v>572</v>
      </c>
      <c r="F58" s="200" t="s">
        <v>243</v>
      </c>
      <c r="G58" s="200">
        <v>2328</v>
      </c>
      <c r="H58" s="200" t="s">
        <v>270</v>
      </c>
      <c r="I58" s="200">
        <v>49365</v>
      </c>
      <c r="J58" s="201">
        <v>42576</v>
      </c>
      <c r="K58" s="202">
        <v>0.56319444444444444</v>
      </c>
      <c r="L58" s="201">
        <v>42578</v>
      </c>
      <c r="M58" s="200" t="s">
        <v>271</v>
      </c>
      <c r="N58" s="200" t="s">
        <v>272</v>
      </c>
      <c r="O58" s="200" t="s">
        <v>273</v>
      </c>
      <c r="P58" s="200" t="s">
        <v>274</v>
      </c>
      <c r="Q58" s="200" t="s">
        <v>275</v>
      </c>
      <c r="R58" s="200" t="s">
        <v>276</v>
      </c>
      <c r="S58" s="200" t="s">
        <v>436</v>
      </c>
      <c r="T58" s="200" t="s">
        <v>571</v>
      </c>
      <c r="U58" s="200">
        <v>2328</v>
      </c>
      <c r="V58" s="200" t="s">
        <v>571</v>
      </c>
      <c r="W58" s="200" t="s">
        <v>280</v>
      </c>
      <c r="X58" s="200">
        <v>8.6560000000000006</v>
      </c>
      <c r="Y58" s="203">
        <v>-0.26</v>
      </c>
      <c r="Z58" s="203">
        <v>2.1</v>
      </c>
      <c r="AA58" s="203">
        <v>18.170000000000002</v>
      </c>
      <c r="AB58" s="203">
        <v>-1.58</v>
      </c>
      <c r="AC58" s="203">
        <v>0</v>
      </c>
      <c r="AD58" s="203">
        <v>0</v>
      </c>
      <c r="AE58" s="203">
        <v>16.329999999999998</v>
      </c>
      <c r="AF58" s="203">
        <v>-2.08</v>
      </c>
      <c r="AG58" s="200" t="s">
        <v>279</v>
      </c>
      <c r="AH58" s="203">
        <v>0</v>
      </c>
      <c r="AI58" s="200" t="s">
        <v>279</v>
      </c>
      <c r="AJ58" s="203">
        <v>0</v>
      </c>
      <c r="AK58" s="200" t="s">
        <v>279</v>
      </c>
      <c r="AL58" s="203">
        <v>0</v>
      </c>
      <c r="AM58" s="200" t="s">
        <v>279</v>
      </c>
      <c r="AN58" s="203">
        <v>0</v>
      </c>
      <c r="AO58" s="200" t="s">
        <v>279</v>
      </c>
      <c r="AP58" s="203">
        <v>0</v>
      </c>
      <c r="AQ58" s="203">
        <v>18.170000000000002</v>
      </c>
      <c r="AR58" s="203">
        <v>0</v>
      </c>
      <c r="AS58" s="200" t="str">
        <f t="shared" si="0"/>
        <v>1.00000000</v>
      </c>
      <c r="AT58" s="200" t="str">
        <f>"26.2"</f>
        <v>26.2</v>
      </c>
      <c r="AU58" s="203">
        <v>0</v>
      </c>
    </row>
    <row r="59" spans="1:47" x14ac:dyDescent="0.2">
      <c r="A59" s="200" t="str">
        <f>"0496002599173"</f>
        <v>0496002599173</v>
      </c>
      <c r="B59" s="200">
        <v>1</v>
      </c>
      <c r="C59" s="200" t="s">
        <v>585</v>
      </c>
      <c r="D59" s="200" t="s">
        <v>586</v>
      </c>
      <c r="E59" s="200" t="s">
        <v>586</v>
      </c>
      <c r="F59" s="200" t="s">
        <v>243</v>
      </c>
      <c r="G59" s="200">
        <v>5314</v>
      </c>
      <c r="H59" s="200" t="s">
        <v>270</v>
      </c>
      <c r="I59" s="200">
        <v>59673</v>
      </c>
      <c r="J59" s="201">
        <v>42576</v>
      </c>
      <c r="K59" s="202">
        <v>0.46743055555555557</v>
      </c>
      <c r="L59" s="201">
        <v>42578</v>
      </c>
      <c r="M59" s="200" t="s">
        <v>384</v>
      </c>
      <c r="N59" s="200" t="s">
        <v>385</v>
      </c>
      <c r="O59" s="200" t="s">
        <v>386</v>
      </c>
      <c r="P59" s="200" t="s">
        <v>343</v>
      </c>
      <c r="Q59" s="200" t="s">
        <v>275</v>
      </c>
      <c r="R59" s="200" t="s">
        <v>387</v>
      </c>
      <c r="S59" s="200" t="s">
        <v>436</v>
      </c>
      <c r="T59" s="200" t="s">
        <v>587</v>
      </c>
      <c r="U59" s="200">
        <v>5314</v>
      </c>
      <c r="V59" s="200" t="s">
        <v>585</v>
      </c>
      <c r="W59" s="200" t="s">
        <v>280</v>
      </c>
      <c r="X59" s="200">
        <v>30.792000000000002</v>
      </c>
      <c r="Y59" s="203">
        <v>0</v>
      </c>
      <c r="Z59" s="203">
        <v>2.12</v>
      </c>
      <c r="AA59" s="203">
        <v>65.25</v>
      </c>
      <c r="AB59" s="203">
        <v>-5.63</v>
      </c>
      <c r="AC59" s="203">
        <v>0</v>
      </c>
      <c r="AD59" s="203">
        <v>0</v>
      </c>
      <c r="AE59" s="203">
        <v>59.62</v>
      </c>
      <c r="AF59" s="203">
        <v>-7.39</v>
      </c>
      <c r="AG59" s="200" t="s">
        <v>279</v>
      </c>
      <c r="AH59" s="203">
        <v>0</v>
      </c>
      <c r="AI59" s="200" t="s">
        <v>279</v>
      </c>
      <c r="AJ59" s="203">
        <v>0</v>
      </c>
      <c r="AK59" s="200" t="s">
        <v>279</v>
      </c>
      <c r="AL59" s="203">
        <v>0</v>
      </c>
      <c r="AM59" s="200" t="s">
        <v>279</v>
      </c>
      <c r="AN59" s="203">
        <v>0</v>
      </c>
      <c r="AO59" s="200" t="s">
        <v>279</v>
      </c>
      <c r="AP59" s="203">
        <v>0</v>
      </c>
      <c r="AQ59" s="203">
        <v>65.25</v>
      </c>
      <c r="AR59" s="203">
        <v>0</v>
      </c>
      <c r="AS59" s="200" t="str">
        <f t="shared" si="0"/>
        <v>1.00000000</v>
      </c>
      <c r="AT59" s="200" t="str">
        <f>"13.8"</f>
        <v>13.8</v>
      </c>
      <c r="AU59" s="203">
        <v>0</v>
      </c>
    </row>
    <row r="60" spans="1:47" x14ac:dyDescent="0.2">
      <c r="A60" s="200" t="str">
        <f>"0496002595700"</f>
        <v>0496002595700</v>
      </c>
      <c r="B60" s="200">
        <v>8</v>
      </c>
      <c r="C60" s="200" t="s">
        <v>156</v>
      </c>
      <c r="D60" s="200" t="s">
        <v>414</v>
      </c>
      <c r="E60" s="200">
        <v>47</v>
      </c>
      <c r="F60" s="200" t="s">
        <v>243</v>
      </c>
      <c r="G60" s="200">
        <v>2262</v>
      </c>
      <c r="H60" s="200" t="s">
        <v>270</v>
      </c>
      <c r="I60" s="200">
        <v>16589</v>
      </c>
      <c r="J60" s="201">
        <v>42577</v>
      </c>
      <c r="K60" s="202">
        <v>0.37916666666666665</v>
      </c>
      <c r="L60" s="201">
        <v>42579</v>
      </c>
      <c r="M60" s="200" t="s">
        <v>294</v>
      </c>
      <c r="N60" s="200" t="s">
        <v>670</v>
      </c>
      <c r="O60" s="200" t="s">
        <v>671</v>
      </c>
      <c r="P60" s="200" t="s">
        <v>672</v>
      </c>
      <c r="Q60" s="200" t="s">
        <v>329</v>
      </c>
      <c r="R60" s="200" t="s">
        <v>673</v>
      </c>
      <c r="S60" s="200" t="s">
        <v>156</v>
      </c>
      <c r="T60" s="200" t="s">
        <v>277</v>
      </c>
      <c r="U60" s="200">
        <v>2262</v>
      </c>
      <c r="V60" s="200" t="s">
        <v>156</v>
      </c>
      <c r="W60" s="200" t="s">
        <v>280</v>
      </c>
      <c r="X60" s="200">
        <v>14.62</v>
      </c>
      <c r="Y60" s="203">
        <v>0</v>
      </c>
      <c r="Z60" s="203">
        <v>2.6</v>
      </c>
      <c r="AA60" s="203">
        <v>38</v>
      </c>
      <c r="AB60" s="203">
        <v>-2.68</v>
      </c>
      <c r="AC60" s="203">
        <v>0</v>
      </c>
      <c r="AD60" s="203">
        <v>0</v>
      </c>
      <c r="AE60" s="203">
        <v>35.32</v>
      </c>
      <c r="AF60" s="203">
        <v>-6.22</v>
      </c>
      <c r="AG60" s="200" t="s">
        <v>279</v>
      </c>
      <c r="AH60" s="203">
        <v>0</v>
      </c>
      <c r="AI60" s="200" t="s">
        <v>279</v>
      </c>
      <c r="AJ60" s="203">
        <v>0</v>
      </c>
      <c r="AK60" s="200" t="s">
        <v>279</v>
      </c>
      <c r="AL60" s="203">
        <v>0</v>
      </c>
      <c r="AM60" s="200" t="s">
        <v>279</v>
      </c>
      <c r="AN60" s="203">
        <v>0</v>
      </c>
      <c r="AO60" s="200" t="s">
        <v>279</v>
      </c>
      <c r="AP60" s="203">
        <v>0</v>
      </c>
      <c r="AQ60" s="203">
        <v>38</v>
      </c>
      <c r="AR60" s="203">
        <v>0</v>
      </c>
      <c r="AS60" s="200" t="str">
        <f t="shared" si="0"/>
        <v>1.00000000</v>
      </c>
      <c r="AT60" s="200" t="str">
        <f>"26.5"</f>
        <v>26.5</v>
      </c>
      <c r="AU60" s="203">
        <v>0</v>
      </c>
    </row>
    <row r="61" spans="1:47" x14ac:dyDescent="0.2">
      <c r="A61" s="200" t="str">
        <f>"0496002599173"</f>
        <v>0496002599173</v>
      </c>
      <c r="B61" s="200">
        <v>2</v>
      </c>
      <c r="C61" s="200" t="s">
        <v>585</v>
      </c>
      <c r="D61" s="200" t="s">
        <v>594</v>
      </c>
      <c r="E61" s="200" t="s">
        <v>594</v>
      </c>
      <c r="F61" s="200" t="s">
        <v>243</v>
      </c>
      <c r="G61" s="200">
        <v>5647</v>
      </c>
      <c r="H61" s="200" t="s">
        <v>270</v>
      </c>
      <c r="I61" s="200">
        <v>109898</v>
      </c>
      <c r="J61" s="201">
        <v>42577</v>
      </c>
      <c r="K61" s="202">
        <v>0.2986111111111111</v>
      </c>
      <c r="L61" s="201">
        <v>42579</v>
      </c>
      <c r="M61" s="200" t="s">
        <v>606</v>
      </c>
      <c r="N61" s="200" t="s">
        <v>399</v>
      </c>
      <c r="O61" s="200" t="s">
        <v>400</v>
      </c>
      <c r="P61" s="200" t="s">
        <v>274</v>
      </c>
      <c r="Q61" s="200" t="s">
        <v>275</v>
      </c>
      <c r="R61" s="200" t="s">
        <v>401</v>
      </c>
      <c r="S61" s="200" t="s">
        <v>436</v>
      </c>
      <c r="T61" s="200" t="s">
        <v>595</v>
      </c>
      <c r="U61" s="200">
        <v>5647</v>
      </c>
      <c r="V61" s="200" t="s">
        <v>585</v>
      </c>
      <c r="W61" s="200" t="s">
        <v>280</v>
      </c>
      <c r="X61" s="200">
        <v>21.033000000000001</v>
      </c>
      <c r="Y61" s="203">
        <v>0</v>
      </c>
      <c r="Z61" s="203">
        <v>2.15</v>
      </c>
      <c r="AA61" s="203">
        <v>45.2</v>
      </c>
      <c r="AB61" s="203">
        <v>-3.85</v>
      </c>
      <c r="AC61" s="203">
        <v>0</v>
      </c>
      <c r="AD61" s="203">
        <v>0</v>
      </c>
      <c r="AE61" s="203">
        <v>41.35</v>
      </c>
      <c r="AF61" s="203">
        <v>-5.05</v>
      </c>
      <c r="AG61" s="200" t="s">
        <v>279</v>
      </c>
      <c r="AH61" s="203">
        <v>0</v>
      </c>
      <c r="AI61" s="200" t="s">
        <v>279</v>
      </c>
      <c r="AJ61" s="203">
        <v>0</v>
      </c>
      <c r="AK61" s="200" t="s">
        <v>279</v>
      </c>
      <c r="AL61" s="203">
        <v>0</v>
      </c>
      <c r="AM61" s="200" t="s">
        <v>279</v>
      </c>
      <c r="AN61" s="203">
        <v>0</v>
      </c>
      <c r="AO61" s="200" t="s">
        <v>279</v>
      </c>
      <c r="AP61" s="203">
        <v>0</v>
      </c>
      <c r="AQ61" s="203">
        <v>45.2</v>
      </c>
      <c r="AR61" s="203">
        <v>0</v>
      </c>
      <c r="AS61" s="200" t="str">
        <f t="shared" si="0"/>
        <v>1.00000000</v>
      </c>
      <c r="AT61" s="200" t="str">
        <f>"13.5"</f>
        <v>13.5</v>
      </c>
      <c r="AU61" s="203">
        <v>0</v>
      </c>
    </row>
    <row r="62" spans="1:47" x14ac:dyDescent="0.2">
      <c r="A62" s="200" t="str">
        <f>"0496002595833"</f>
        <v>0496002595833</v>
      </c>
      <c r="B62" s="200">
        <v>1</v>
      </c>
      <c r="C62" s="200" t="s">
        <v>571</v>
      </c>
      <c r="D62" s="200" t="s">
        <v>571</v>
      </c>
      <c r="E62" s="200" t="s">
        <v>572</v>
      </c>
      <c r="F62" s="200" t="s">
        <v>243</v>
      </c>
      <c r="G62" s="200">
        <v>2328</v>
      </c>
      <c r="H62" s="200" t="s">
        <v>270</v>
      </c>
      <c r="I62" s="200">
        <v>2213</v>
      </c>
      <c r="J62" s="201">
        <v>42578</v>
      </c>
      <c r="K62" s="202">
        <v>0.68611111111111101</v>
      </c>
      <c r="L62" s="201">
        <v>42580</v>
      </c>
      <c r="M62" s="200" t="s">
        <v>271</v>
      </c>
      <c r="N62" s="200" t="s">
        <v>272</v>
      </c>
      <c r="O62" s="200" t="s">
        <v>273</v>
      </c>
      <c r="P62" s="200" t="s">
        <v>274</v>
      </c>
      <c r="Q62" s="200" t="s">
        <v>275</v>
      </c>
      <c r="R62" s="200" t="s">
        <v>276</v>
      </c>
      <c r="S62" s="200" t="s">
        <v>436</v>
      </c>
      <c r="T62" s="200" t="s">
        <v>571</v>
      </c>
      <c r="U62" s="200">
        <v>2328</v>
      </c>
      <c r="V62" s="200" t="s">
        <v>571</v>
      </c>
      <c r="W62" s="200" t="s">
        <v>280</v>
      </c>
      <c r="X62" s="200">
        <v>9.2089999999999996</v>
      </c>
      <c r="Y62" s="203">
        <v>-0.28000000000000003</v>
      </c>
      <c r="Z62" s="203">
        <v>2.1</v>
      </c>
      <c r="AA62" s="203">
        <v>19.329999999999998</v>
      </c>
      <c r="AB62" s="203">
        <v>-1.69</v>
      </c>
      <c r="AC62" s="203">
        <v>0</v>
      </c>
      <c r="AD62" s="203">
        <v>0</v>
      </c>
      <c r="AE62" s="203">
        <v>17.36</v>
      </c>
      <c r="AF62" s="203">
        <v>-2.21</v>
      </c>
      <c r="AG62" s="200" t="s">
        <v>279</v>
      </c>
      <c r="AH62" s="203">
        <v>0</v>
      </c>
      <c r="AI62" s="200" t="s">
        <v>279</v>
      </c>
      <c r="AJ62" s="203">
        <v>0</v>
      </c>
      <c r="AK62" s="200" t="s">
        <v>279</v>
      </c>
      <c r="AL62" s="203">
        <v>0</v>
      </c>
      <c r="AM62" s="200" t="s">
        <v>279</v>
      </c>
      <c r="AN62" s="203">
        <v>0</v>
      </c>
      <c r="AO62" s="200" t="s">
        <v>279</v>
      </c>
      <c r="AP62" s="203">
        <v>0</v>
      </c>
      <c r="AQ62" s="203">
        <v>19.329999999999998</v>
      </c>
      <c r="AR62" s="203">
        <v>0</v>
      </c>
      <c r="AS62" s="200" t="str">
        <f t="shared" si="0"/>
        <v>1.00000000</v>
      </c>
      <c r="AT62" s="200" t="str">
        <f>"0.0"</f>
        <v>0.0</v>
      </c>
      <c r="AU62" s="203">
        <v>0</v>
      </c>
    </row>
    <row r="63" spans="1:47" x14ac:dyDescent="0.2">
      <c r="A63" s="200" t="str">
        <f>"0496002599173"</f>
        <v>0496002599173</v>
      </c>
      <c r="B63" s="200">
        <v>3</v>
      </c>
      <c r="C63" s="200" t="s">
        <v>585</v>
      </c>
      <c r="D63" s="200" t="s">
        <v>628</v>
      </c>
      <c r="E63" s="200" t="s">
        <v>628</v>
      </c>
      <c r="F63" s="200" t="s">
        <v>243</v>
      </c>
      <c r="G63" s="200">
        <v>5738</v>
      </c>
      <c r="H63" s="200" t="s">
        <v>270</v>
      </c>
      <c r="I63" s="200">
        <v>111457</v>
      </c>
      <c r="J63" s="201">
        <v>42578</v>
      </c>
      <c r="K63" s="202">
        <v>0.5625</v>
      </c>
      <c r="L63" s="201">
        <v>42580</v>
      </c>
      <c r="M63" s="200" t="s">
        <v>271</v>
      </c>
      <c r="N63" s="200" t="s">
        <v>588</v>
      </c>
      <c r="O63" s="200" t="s">
        <v>589</v>
      </c>
      <c r="P63" s="200" t="s">
        <v>590</v>
      </c>
      <c r="Q63" s="200" t="s">
        <v>275</v>
      </c>
      <c r="R63" s="200" t="s">
        <v>611</v>
      </c>
      <c r="S63" s="200" t="s">
        <v>436</v>
      </c>
      <c r="T63" s="200" t="s">
        <v>630</v>
      </c>
      <c r="U63" s="200">
        <v>5738</v>
      </c>
      <c r="V63" s="200" t="s">
        <v>585</v>
      </c>
      <c r="W63" s="200" t="s">
        <v>280</v>
      </c>
      <c r="X63" s="200">
        <v>27.792999999999999</v>
      </c>
      <c r="Y63" s="203">
        <v>-1.39</v>
      </c>
      <c r="Z63" s="203">
        <v>2.09</v>
      </c>
      <c r="AA63" s="203">
        <v>58.06</v>
      </c>
      <c r="AB63" s="203">
        <v>-5.09</v>
      </c>
      <c r="AC63" s="203">
        <v>0</v>
      </c>
      <c r="AD63" s="203">
        <v>0</v>
      </c>
      <c r="AE63" s="203">
        <v>51.58</v>
      </c>
      <c r="AF63" s="203">
        <v>-6.67</v>
      </c>
      <c r="AG63" s="200" t="s">
        <v>279</v>
      </c>
      <c r="AH63" s="203">
        <v>0</v>
      </c>
      <c r="AI63" s="200" t="s">
        <v>279</v>
      </c>
      <c r="AJ63" s="203">
        <v>0</v>
      </c>
      <c r="AK63" s="200" t="s">
        <v>279</v>
      </c>
      <c r="AL63" s="203">
        <v>0</v>
      </c>
      <c r="AM63" s="200" t="s">
        <v>279</v>
      </c>
      <c r="AN63" s="203">
        <v>0</v>
      </c>
      <c r="AO63" s="200" t="s">
        <v>279</v>
      </c>
      <c r="AP63" s="203">
        <v>0</v>
      </c>
      <c r="AQ63" s="203">
        <v>58.06</v>
      </c>
      <c r="AR63" s="203">
        <v>0</v>
      </c>
      <c r="AS63" s="200" t="str">
        <f t="shared" si="0"/>
        <v>1.00000000</v>
      </c>
      <c r="AT63" s="200" t="str">
        <f>"14.4"</f>
        <v>14.4</v>
      </c>
      <c r="AU63" s="203">
        <v>0</v>
      </c>
    </row>
    <row r="64" spans="1:47" x14ac:dyDescent="0.2">
      <c r="A64" s="200" t="str">
        <f>"0496002595734"</f>
        <v>0496002595734</v>
      </c>
      <c r="B64" s="200">
        <v>2</v>
      </c>
      <c r="C64" s="200" t="s">
        <v>435</v>
      </c>
      <c r="D64" s="200">
        <v>80</v>
      </c>
      <c r="E64" s="200">
        <v>80</v>
      </c>
      <c r="F64" s="200" t="s">
        <v>243</v>
      </c>
      <c r="G64" s="200">
        <v>2086</v>
      </c>
      <c r="H64" s="200" t="s">
        <v>270</v>
      </c>
      <c r="I64" s="200">
        <v>61972</v>
      </c>
      <c r="J64" s="201">
        <v>42579</v>
      </c>
      <c r="K64" s="202">
        <v>0.96250000000000002</v>
      </c>
      <c r="L64" s="201">
        <v>42583</v>
      </c>
      <c r="M64" s="200" t="s">
        <v>271</v>
      </c>
      <c r="N64" s="200" t="s">
        <v>291</v>
      </c>
      <c r="O64" s="200" t="s">
        <v>292</v>
      </c>
      <c r="P64" s="200" t="s">
        <v>293</v>
      </c>
      <c r="Q64" s="200" t="s">
        <v>275</v>
      </c>
      <c r="R64" s="200">
        <v>1507</v>
      </c>
      <c r="S64" s="200" t="s">
        <v>436</v>
      </c>
      <c r="T64" s="200" t="s">
        <v>435</v>
      </c>
      <c r="U64" s="200">
        <v>2086</v>
      </c>
      <c r="V64" s="200" t="s">
        <v>435</v>
      </c>
      <c r="W64" s="200" t="s">
        <v>280</v>
      </c>
      <c r="X64" s="200">
        <v>11.234</v>
      </c>
      <c r="Y64" s="203">
        <v>-0.34</v>
      </c>
      <c r="Z64" s="203">
        <v>2.2200000000000002</v>
      </c>
      <c r="AA64" s="203">
        <v>24.93</v>
      </c>
      <c r="AB64" s="203">
        <v>-2.06</v>
      </c>
      <c r="AC64" s="203">
        <v>0</v>
      </c>
      <c r="AD64" s="203">
        <v>0</v>
      </c>
      <c r="AE64" s="203">
        <v>22.53</v>
      </c>
      <c r="AF64" s="203">
        <v>-2.7</v>
      </c>
      <c r="AG64" s="200" t="s">
        <v>279</v>
      </c>
      <c r="AH64" s="203">
        <v>0</v>
      </c>
      <c r="AI64" s="200" t="s">
        <v>279</v>
      </c>
      <c r="AJ64" s="203">
        <v>0</v>
      </c>
      <c r="AK64" s="200" t="s">
        <v>279</v>
      </c>
      <c r="AL64" s="203">
        <v>0</v>
      </c>
      <c r="AM64" s="200" t="s">
        <v>279</v>
      </c>
      <c r="AN64" s="203">
        <v>0</v>
      </c>
      <c r="AO64" s="200" t="s">
        <v>279</v>
      </c>
      <c r="AP64" s="203">
        <v>0</v>
      </c>
      <c r="AQ64" s="203">
        <v>24.93</v>
      </c>
      <c r="AR64" s="203">
        <v>0</v>
      </c>
      <c r="AS64" s="200" t="str">
        <f t="shared" si="0"/>
        <v>1.00000000</v>
      </c>
      <c r="AT64" s="200" t="str">
        <f>"34.8"</f>
        <v>34.8</v>
      </c>
      <c r="AU64" s="203">
        <v>0</v>
      </c>
    </row>
    <row r="65" spans="1:47" x14ac:dyDescent="0.2">
      <c r="A65" s="200" t="str">
        <f>"0496002595734"</f>
        <v>0496002595734</v>
      </c>
      <c r="B65" s="200">
        <v>1</v>
      </c>
      <c r="C65" s="200" t="s">
        <v>435</v>
      </c>
      <c r="D65" s="200">
        <v>81</v>
      </c>
      <c r="E65" s="200">
        <v>81</v>
      </c>
      <c r="F65" s="200" t="s">
        <v>243</v>
      </c>
      <c r="G65" s="200">
        <v>2086</v>
      </c>
      <c r="H65" s="200" t="s">
        <v>270</v>
      </c>
      <c r="I65" s="200">
        <v>20000</v>
      </c>
      <c r="J65" s="201">
        <v>42580</v>
      </c>
      <c r="K65" s="202">
        <v>0.30624999999999997</v>
      </c>
      <c r="L65" s="201">
        <v>42584</v>
      </c>
      <c r="M65" s="200" t="s">
        <v>271</v>
      </c>
      <c r="N65" s="200" t="s">
        <v>272</v>
      </c>
      <c r="O65" s="200" t="s">
        <v>273</v>
      </c>
      <c r="P65" s="200" t="s">
        <v>274</v>
      </c>
      <c r="Q65" s="200" t="s">
        <v>275</v>
      </c>
      <c r="R65" s="200" t="s">
        <v>276</v>
      </c>
      <c r="S65" s="200" t="s">
        <v>436</v>
      </c>
      <c r="T65" s="200" t="s">
        <v>435</v>
      </c>
      <c r="U65" s="200">
        <v>2086</v>
      </c>
      <c r="V65" s="200" t="s">
        <v>435</v>
      </c>
      <c r="W65" s="200" t="s">
        <v>280</v>
      </c>
      <c r="X65" s="200">
        <v>13.772</v>
      </c>
      <c r="Y65" s="203">
        <v>-0.41</v>
      </c>
      <c r="Z65" s="203">
        <v>2.09</v>
      </c>
      <c r="AA65" s="203">
        <v>28.77</v>
      </c>
      <c r="AB65" s="203">
        <v>-2.52</v>
      </c>
      <c r="AC65" s="203">
        <v>0</v>
      </c>
      <c r="AD65" s="203">
        <v>0</v>
      </c>
      <c r="AE65" s="203">
        <v>25.84</v>
      </c>
      <c r="AF65" s="203">
        <v>-3.31</v>
      </c>
      <c r="AG65" s="200" t="s">
        <v>279</v>
      </c>
      <c r="AH65" s="203">
        <v>0</v>
      </c>
      <c r="AI65" s="200" t="s">
        <v>279</v>
      </c>
      <c r="AJ65" s="203">
        <v>0</v>
      </c>
      <c r="AK65" s="200" t="s">
        <v>279</v>
      </c>
      <c r="AL65" s="203">
        <v>0</v>
      </c>
      <c r="AM65" s="200" t="s">
        <v>279</v>
      </c>
      <c r="AN65" s="203">
        <v>0</v>
      </c>
      <c r="AO65" s="200" t="s">
        <v>279</v>
      </c>
      <c r="AP65" s="203">
        <v>0</v>
      </c>
      <c r="AQ65" s="203">
        <v>28.77</v>
      </c>
      <c r="AR65" s="203">
        <v>0</v>
      </c>
      <c r="AS65" s="200" t="str">
        <f t="shared" si="0"/>
        <v>1.00000000</v>
      </c>
      <c r="AT65" s="200" t="str">
        <f>"21.0"</f>
        <v>21.0</v>
      </c>
      <c r="AU65" s="203">
        <v>0</v>
      </c>
    </row>
    <row r="66" spans="1:47" x14ac:dyDescent="0.2">
      <c r="A66" s="200" t="str">
        <f>"0496002595734"</f>
        <v>0496002595734</v>
      </c>
      <c r="B66" s="200">
        <v>1</v>
      </c>
      <c r="C66" s="200" t="s">
        <v>435</v>
      </c>
      <c r="D66" s="200">
        <v>81</v>
      </c>
      <c r="E66" s="200">
        <v>81</v>
      </c>
      <c r="F66" s="200" t="s">
        <v>243</v>
      </c>
      <c r="G66" s="200">
        <v>2086</v>
      </c>
      <c r="H66" s="200" t="s">
        <v>270</v>
      </c>
      <c r="I66" s="200">
        <v>20000</v>
      </c>
      <c r="J66" s="201">
        <v>42580</v>
      </c>
      <c r="K66" s="202">
        <v>0.4650347222222222</v>
      </c>
      <c r="L66" s="201">
        <v>42584</v>
      </c>
      <c r="M66" s="200" t="s">
        <v>305</v>
      </c>
      <c r="N66" s="200" t="s">
        <v>674</v>
      </c>
      <c r="O66" s="200" t="s">
        <v>675</v>
      </c>
      <c r="P66" s="200" t="s">
        <v>500</v>
      </c>
      <c r="Q66" s="200" t="s">
        <v>377</v>
      </c>
      <c r="R66" s="200">
        <v>5855</v>
      </c>
      <c r="S66" s="200" t="s">
        <v>436</v>
      </c>
      <c r="T66" s="200" t="s">
        <v>435</v>
      </c>
      <c r="U66" s="200">
        <v>2086</v>
      </c>
      <c r="V66" s="200" t="s">
        <v>435</v>
      </c>
      <c r="W66" s="200" t="s">
        <v>280</v>
      </c>
      <c r="X66" s="200">
        <v>12.577</v>
      </c>
      <c r="Y66" s="203">
        <v>0</v>
      </c>
      <c r="Z66" s="203">
        <v>2.17</v>
      </c>
      <c r="AA66" s="203">
        <v>27.28</v>
      </c>
      <c r="AB66" s="203">
        <v>-2.2999999999999998</v>
      </c>
      <c r="AC66" s="203">
        <v>0</v>
      </c>
      <c r="AD66" s="203">
        <v>0</v>
      </c>
      <c r="AE66" s="203">
        <v>24.98</v>
      </c>
      <c r="AF66" s="203">
        <v>-3.01</v>
      </c>
      <c r="AG66" s="200" t="s">
        <v>279</v>
      </c>
      <c r="AH66" s="203">
        <v>0</v>
      </c>
      <c r="AI66" s="200" t="s">
        <v>279</v>
      </c>
      <c r="AJ66" s="203">
        <v>0</v>
      </c>
      <c r="AK66" s="200" t="s">
        <v>279</v>
      </c>
      <c r="AL66" s="203">
        <v>0</v>
      </c>
      <c r="AM66" s="200" t="s">
        <v>279</v>
      </c>
      <c r="AN66" s="203">
        <v>0</v>
      </c>
      <c r="AO66" s="200" t="s">
        <v>279</v>
      </c>
      <c r="AP66" s="203">
        <v>0</v>
      </c>
      <c r="AQ66" s="203">
        <v>27.28</v>
      </c>
      <c r="AR66" s="203">
        <v>0</v>
      </c>
      <c r="AS66" s="200" t="str">
        <f t="shared" ref="AS66:AS129" si="1">"1.00000000"</f>
        <v>1.00000000</v>
      </c>
      <c r="AT66" s="200" t="str">
        <f>"21.0"</f>
        <v>21.0</v>
      </c>
      <c r="AU66" s="203">
        <v>0</v>
      </c>
    </row>
    <row r="67" spans="1:47" x14ac:dyDescent="0.2">
      <c r="A67" s="200" t="str">
        <f>"0496002595700"</f>
        <v>0496002595700</v>
      </c>
      <c r="B67" s="200">
        <v>7</v>
      </c>
      <c r="C67" s="200" t="s">
        <v>156</v>
      </c>
      <c r="D67" s="200" t="s">
        <v>371</v>
      </c>
      <c r="E67" s="200">
        <v>45</v>
      </c>
      <c r="F67" s="200" t="s">
        <v>243</v>
      </c>
      <c r="G67" s="200">
        <v>2262</v>
      </c>
      <c r="H67" s="200" t="s">
        <v>270</v>
      </c>
      <c r="I67" s="200">
        <v>14015</v>
      </c>
      <c r="J67" s="201">
        <v>42581</v>
      </c>
      <c r="K67" s="202">
        <v>0.77916666666666667</v>
      </c>
      <c r="L67" s="201">
        <v>42584</v>
      </c>
      <c r="M67" s="200" t="s">
        <v>271</v>
      </c>
      <c r="N67" s="200" t="s">
        <v>352</v>
      </c>
      <c r="O67" s="200" t="s">
        <v>353</v>
      </c>
      <c r="P67" s="200" t="s">
        <v>343</v>
      </c>
      <c r="Q67" s="200" t="s">
        <v>275</v>
      </c>
      <c r="R67" s="200" t="s">
        <v>602</v>
      </c>
      <c r="S67" s="200" t="s">
        <v>156</v>
      </c>
      <c r="T67" s="200" t="s">
        <v>277</v>
      </c>
      <c r="U67" s="200">
        <v>2262</v>
      </c>
      <c r="V67" s="200" t="s">
        <v>156</v>
      </c>
      <c r="W67" s="200" t="s">
        <v>280</v>
      </c>
      <c r="X67" s="200">
        <v>18.003</v>
      </c>
      <c r="Y67" s="203">
        <v>-0.54</v>
      </c>
      <c r="Z67" s="203">
        <v>2.09</v>
      </c>
      <c r="AA67" s="203">
        <v>37.61</v>
      </c>
      <c r="AB67" s="203">
        <v>-3.29</v>
      </c>
      <c r="AC67" s="203">
        <v>0</v>
      </c>
      <c r="AD67" s="203">
        <v>0</v>
      </c>
      <c r="AE67" s="203">
        <v>33.78</v>
      </c>
      <c r="AF67" s="203">
        <v>-4.32</v>
      </c>
      <c r="AG67" s="200" t="s">
        <v>279</v>
      </c>
      <c r="AH67" s="203">
        <v>0</v>
      </c>
      <c r="AI67" s="200" t="s">
        <v>279</v>
      </c>
      <c r="AJ67" s="203">
        <v>0</v>
      </c>
      <c r="AK67" s="200" t="s">
        <v>279</v>
      </c>
      <c r="AL67" s="203">
        <v>0</v>
      </c>
      <c r="AM67" s="200" t="s">
        <v>279</v>
      </c>
      <c r="AN67" s="203">
        <v>0</v>
      </c>
      <c r="AO67" s="200" t="s">
        <v>279</v>
      </c>
      <c r="AP67" s="203">
        <v>0</v>
      </c>
      <c r="AQ67" s="203">
        <v>37.61</v>
      </c>
      <c r="AR67" s="203">
        <v>0</v>
      </c>
      <c r="AS67" s="200" t="str">
        <f t="shared" si="1"/>
        <v>1.00000000</v>
      </c>
      <c r="AT67" s="200" t="str">
        <f>"65.9"</f>
        <v>65.9</v>
      </c>
      <c r="AU67" s="203">
        <v>0</v>
      </c>
    </row>
    <row r="68" spans="1:47" x14ac:dyDescent="0.2">
      <c r="A68" s="200" t="str">
        <f>"0496002595734"</f>
        <v>0496002595734</v>
      </c>
      <c r="B68" s="200">
        <v>2</v>
      </c>
      <c r="C68" s="200" t="s">
        <v>435</v>
      </c>
      <c r="D68" s="200">
        <v>80</v>
      </c>
      <c r="E68" s="200">
        <v>80</v>
      </c>
      <c r="F68" s="200" t="s">
        <v>243</v>
      </c>
      <c r="G68" s="200">
        <v>2086</v>
      </c>
      <c r="H68" s="200" t="s">
        <v>270</v>
      </c>
      <c r="I68" s="200">
        <v>62178</v>
      </c>
      <c r="J68" s="201">
        <v>42581</v>
      </c>
      <c r="K68" s="202">
        <v>0.57638888888888895</v>
      </c>
      <c r="L68" s="201">
        <v>42584</v>
      </c>
      <c r="M68" s="200" t="s">
        <v>302</v>
      </c>
      <c r="N68" s="200" t="s">
        <v>676</v>
      </c>
      <c r="O68" s="200" t="s">
        <v>677</v>
      </c>
      <c r="P68" s="200" t="s">
        <v>678</v>
      </c>
      <c r="Q68" s="200" t="s">
        <v>329</v>
      </c>
      <c r="R68" s="200">
        <v>10605</v>
      </c>
      <c r="S68" s="200" t="s">
        <v>436</v>
      </c>
      <c r="T68" s="200" t="s">
        <v>435</v>
      </c>
      <c r="U68" s="200">
        <v>2086</v>
      </c>
      <c r="V68" s="200" t="s">
        <v>435</v>
      </c>
      <c r="W68" s="200" t="s">
        <v>280</v>
      </c>
      <c r="X68" s="200">
        <v>6.1390000000000002</v>
      </c>
      <c r="Y68" s="203">
        <v>0</v>
      </c>
      <c r="Z68" s="203">
        <v>2.56</v>
      </c>
      <c r="AA68" s="203">
        <v>15.71</v>
      </c>
      <c r="AB68" s="203">
        <v>-1.1200000000000001</v>
      </c>
      <c r="AC68" s="203">
        <v>0</v>
      </c>
      <c r="AD68" s="203">
        <v>0</v>
      </c>
      <c r="AE68" s="203">
        <v>14.59</v>
      </c>
      <c r="AF68" s="203">
        <v>-2.62</v>
      </c>
      <c r="AG68" s="200" t="s">
        <v>279</v>
      </c>
      <c r="AH68" s="203">
        <v>0</v>
      </c>
      <c r="AI68" s="200" t="s">
        <v>279</v>
      </c>
      <c r="AJ68" s="203">
        <v>0</v>
      </c>
      <c r="AK68" s="200" t="s">
        <v>279</v>
      </c>
      <c r="AL68" s="203">
        <v>0</v>
      </c>
      <c r="AM68" s="200" t="s">
        <v>279</v>
      </c>
      <c r="AN68" s="203">
        <v>0</v>
      </c>
      <c r="AO68" s="200" t="s">
        <v>279</v>
      </c>
      <c r="AP68" s="203">
        <v>0</v>
      </c>
      <c r="AQ68" s="203">
        <v>15.71</v>
      </c>
      <c r="AR68" s="203">
        <v>0</v>
      </c>
      <c r="AS68" s="200" t="str">
        <f t="shared" si="1"/>
        <v>1.00000000</v>
      </c>
      <c r="AT68" s="200" t="str">
        <f>"33.6"</f>
        <v>33.6</v>
      </c>
      <c r="AU68" s="203">
        <v>0</v>
      </c>
    </row>
    <row r="69" spans="1:47" x14ac:dyDescent="0.2">
      <c r="A69" s="200" t="str">
        <f>"0496002595700"</f>
        <v>0496002595700</v>
      </c>
      <c r="B69" s="200">
        <v>2</v>
      </c>
      <c r="C69" s="200" t="s">
        <v>156</v>
      </c>
      <c r="D69" s="200">
        <v>42</v>
      </c>
      <c r="E69" s="200">
        <v>42</v>
      </c>
      <c r="F69" s="200" t="s">
        <v>243</v>
      </c>
      <c r="G69" s="200">
        <v>2262</v>
      </c>
      <c r="H69" s="200" t="s">
        <v>270</v>
      </c>
      <c r="I69" s="200">
        <v>26202</v>
      </c>
      <c r="J69" s="201">
        <v>42582</v>
      </c>
      <c r="K69" s="202">
        <v>0.32019675925925922</v>
      </c>
      <c r="L69" s="201">
        <v>42584</v>
      </c>
      <c r="M69" s="200" t="s">
        <v>314</v>
      </c>
      <c r="N69" s="200" t="s">
        <v>415</v>
      </c>
      <c r="O69" s="200" t="s">
        <v>416</v>
      </c>
      <c r="P69" s="200" t="s">
        <v>417</v>
      </c>
      <c r="Q69" s="200" t="s">
        <v>275</v>
      </c>
      <c r="R69" s="200" t="s">
        <v>418</v>
      </c>
      <c r="S69" s="200" t="s">
        <v>156</v>
      </c>
      <c r="T69" s="200" t="s">
        <v>277</v>
      </c>
      <c r="U69" s="200">
        <v>2262</v>
      </c>
      <c r="V69" s="200" t="s">
        <v>156</v>
      </c>
      <c r="W69" s="200" t="s">
        <v>280</v>
      </c>
      <c r="X69" s="200">
        <v>6.4749999999999996</v>
      </c>
      <c r="Y69" s="203">
        <v>0</v>
      </c>
      <c r="Z69" s="203">
        <v>2.09</v>
      </c>
      <c r="AA69" s="203">
        <v>13.53</v>
      </c>
      <c r="AB69" s="203">
        <v>-1.18</v>
      </c>
      <c r="AC69" s="203">
        <v>0</v>
      </c>
      <c r="AD69" s="203">
        <v>0</v>
      </c>
      <c r="AE69" s="203">
        <v>12.35</v>
      </c>
      <c r="AF69" s="203">
        <v>-1.55</v>
      </c>
      <c r="AG69" s="200" t="s">
        <v>279</v>
      </c>
      <c r="AH69" s="203">
        <v>0</v>
      </c>
      <c r="AI69" s="200" t="s">
        <v>279</v>
      </c>
      <c r="AJ69" s="203">
        <v>0</v>
      </c>
      <c r="AK69" s="200" t="s">
        <v>279</v>
      </c>
      <c r="AL69" s="203">
        <v>0</v>
      </c>
      <c r="AM69" s="200" t="s">
        <v>279</v>
      </c>
      <c r="AN69" s="203">
        <v>0</v>
      </c>
      <c r="AO69" s="200" t="s">
        <v>279</v>
      </c>
      <c r="AP69" s="203">
        <v>0</v>
      </c>
      <c r="AQ69" s="203">
        <v>13.53</v>
      </c>
      <c r="AR69" s="203">
        <v>0</v>
      </c>
      <c r="AS69" s="200" t="str">
        <f t="shared" si="1"/>
        <v>1.00000000</v>
      </c>
      <c r="AT69" s="200" t="str">
        <f>"47.9"</f>
        <v>47.9</v>
      </c>
      <c r="AU69" s="203">
        <v>0</v>
      </c>
    </row>
    <row r="70" spans="1:47" x14ac:dyDescent="0.2">
      <c r="A70" s="200" t="str">
        <f>"0496002595734"</f>
        <v>0496002595734</v>
      </c>
      <c r="B70" s="200">
        <v>1</v>
      </c>
      <c r="C70" s="200" t="s">
        <v>435</v>
      </c>
      <c r="D70" s="200">
        <v>81</v>
      </c>
      <c r="E70" s="200">
        <v>81</v>
      </c>
      <c r="F70" s="200" t="s">
        <v>243</v>
      </c>
      <c r="G70" s="200">
        <v>2086</v>
      </c>
      <c r="H70" s="200" t="s">
        <v>270</v>
      </c>
      <c r="I70" s="200">
        <v>20000</v>
      </c>
      <c r="J70" s="201">
        <v>42582</v>
      </c>
      <c r="K70" s="202">
        <v>0.52083333333333337</v>
      </c>
      <c r="L70" s="201">
        <v>42584</v>
      </c>
      <c r="M70" s="200" t="s">
        <v>302</v>
      </c>
      <c r="N70" s="200" t="s">
        <v>679</v>
      </c>
      <c r="O70" s="200" t="s">
        <v>680</v>
      </c>
      <c r="P70" s="200" t="s">
        <v>681</v>
      </c>
      <c r="Q70" s="200" t="s">
        <v>377</v>
      </c>
      <c r="R70" s="200">
        <v>5829</v>
      </c>
      <c r="S70" s="200" t="s">
        <v>436</v>
      </c>
      <c r="T70" s="200" t="s">
        <v>435</v>
      </c>
      <c r="U70" s="200">
        <v>2086</v>
      </c>
      <c r="V70" s="200" t="s">
        <v>435</v>
      </c>
      <c r="W70" s="200" t="s">
        <v>280</v>
      </c>
      <c r="X70" s="200">
        <v>10.101000000000001</v>
      </c>
      <c r="Y70" s="203">
        <v>0</v>
      </c>
      <c r="Z70" s="203">
        <v>2.2999999999999998</v>
      </c>
      <c r="AA70" s="203">
        <v>23.22</v>
      </c>
      <c r="AB70" s="203">
        <v>-1.85</v>
      </c>
      <c r="AC70" s="203">
        <v>0</v>
      </c>
      <c r="AD70" s="203">
        <v>0</v>
      </c>
      <c r="AE70" s="203">
        <v>21.37</v>
      </c>
      <c r="AF70" s="203">
        <v>-2.42</v>
      </c>
      <c r="AG70" s="200" t="s">
        <v>279</v>
      </c>
      <c r="AH70" s="203">
        <v>0</v>
      </c>
      <c r="AI70" s="200" t="s">
        <v>279</v>
      </c>
      <c r="AJ70" s="203">
        <v>0</v>
      </c>
      <c r="AK70" s="200" t="s">
        <v>279</v>
      </c>
      <c r="AL70" s="203">
        <v>0</v>
      </c>
      <c r="AM70" s="200" t="s">
        <v>279</v>
      </c>
      <c r="AN70" s="203">
        <v>0</v>
      </c>
      <c r="AO70" s="200" t="s">
        <v>279</v>
      </c>
      <c r="AP70" s="203">
        <v>0</v>
      </c>
      <c r="AQ70" s="203">
        <v>23.22</v>
      </c>
      <c r="AR70" s="203">
        <v>0</v>
      </c>
      <c r="AS70" s="200" t="str">
        <f t="shared" si="1"/>
        <v>1.00000000</v>
      </c>
      <c r="AT70" s="200" t="str">
        <f>"21.0"</f>
        <v>21.0</v>
      </c>
      <c r="AU70" s="203">
        <v>0</v>
      </c>
    </row>
    <row r="71" spans="1:47" x14ac:dyDescent="0.2">
      <c r="A71" s="200" t="str">
        <f>"0496002595734"</f>
        <v>0496002595734</v>
      </c>
      <c r="B71" s="200">
        <v>1</v>
      </c>
      <c r="C71" s="200" t="s">
        <v>435</v>
      </c>
      <c r="D71" s="200">
        <v>81</v>
      </c>
      <c r="E71" s="200">
        <v>81</v>
      </c>
      <c r="F71" s="200" t="s">
        <v>243</v>
      </c>
      <c r="G71" s="200">
        <v>2086</v>
      </c>
      <c r="H71" s="200" t="s">
        <v>270</v>
      </c>
      <c r="I71" s="200">
        <v>50000</v>
      </c>
      <c r="J71" s="201">
        <v>42582</v>
      </c>
      <c r="K71" s="202">
        <v>0.72986111111111107</v>
      </c>
      <c r="L71" s="201">
        <v>42584</v>
      </c>
      <c r="M71" s="200" t="s">
        <v>302</v>
      </c>
      <c r="N71" s="200" t="s">
        <v>682</v>
      </c>
      <c r="O71" s="200" t="s">
        <v>683</v>
      </c>
      <c r="P71" s="200" t="s">
        <v>684</v>
      </c>
      <c r="Q71" s="200" t="s">
        <v>466</v>
      </c>
      <c r="R71" s="200" t="s">
        <v>685</v>
      </c>
      <c r="S71" s="200" t="s">
        <v>436</v>
      </c>
      <c r="T71" s="200" t="s">
        <v>435</v>
      </c>
      <c r="U71" s="200">
        <v>2086</v>
      </c>
      <c r="V71" s="200" t="s">
        <v>435</v>
      </c>
      <c r="W71" s="200" t="s">
        <v>280</v>
      </c>
      <c r="X71" s="200">
        <v>10.257</v>
      </c>
      <c r="Y71" s="203">
        <v>0</v>
      </c>
      <c r="Z71" s="203">
        <v>2.1800000000000002</v>
      </c>
      <c r="AA71" s="203">
        <v>22.35</v>
      </c>
      <c r="AB71" s="203">
        <v>-1.88</v>
      </c>
      <c r="AC71" s="203">
        <v>0</v>
      </c>
      <c r="AD71" s="203">
        <v>0</v>
      </c>
      <c r="AE71" s="203">
        <v>20.47</v>
      </c>
      <c r="AF71" s="203">
        <v>-2.2799999999999998</v>
      </c>
      <c r="AG71" s="200" t="s">
        <v>279</v>
      </c>
      <c r="AH71" s="203">
        <v>0</v>
      </c>
      <c r="AI71" s="200" t="s">
        <v>279</v>
      </c>
      <c r="AJ71" s="203">
        <v>0</v>
      </c>
      <c r="AK71" s="200" t="s">
        <v>279</v>
      </c>
      <c r="AL71" s="203">
        <v>0</v>
      </c>
      <c r="AM71" s="200" t="s">
        <v>279</v>
      </c>
      <c r="AN71" s="203">
        <v>0</v>
      </c>
      <c r="AO71" s="200" t="s">
        <v>279</v>
      </c>
      <c r="AP71" s="203">
        <v>0</v>
      </c>
      <c r="AQ71" s="203">
        <v>22.35</v>
      </c>
      <c r="AR71" s="203">
        <v>0</v>
      </c>
      <c r="AS71" s="200" t="str">
        <f t="shared" si="1"/>
        <v>1.00000000</v>
      </c>
      <c r="AT71" s="200" t="str">
        <f>"21.0"</f>
        <v>21.0</v>
      </c>
      <c r="AU71" s="203">
        <v>0</v>
      </c>
    </row>
    <row r="72" spans="1:47" x14ac:dyDescent="0.2">
      <c r="A72" s="200" t="str">
        <f>"0496002595734"</f>
        <v>0496002595734</v>
      </c>
      <c r="B72" s="200">
        <v>2</v>
      </c>
      <c r="C72" s="200" t="s">
        <v>435</v>
      </c>
      <c r="D72" s="200">
        <v>80</v>
      </c>
      <c r="E72" s="200">
        <v>80</v>
      </c>
      <c r="F72" s="200" t="s">
        <v>243</v>
      </c>
      <c r="G72" s="200">
        <v>2086</v>
      </c>
      <c r="H72" s="200" t="s">
        <v>270</v>
      </c>
      <c r="I72" s="200">
        <v>62383</v>
      </c>
      <c r="J72" s="201">
        <v>42582</v>
      </c>
      <c r="K72" s="202">
        <v>0.7270833333333333</v>
      </c>
      <c r="L72" s="201">
        <v>42584</v>
      </c>
      <c r="M72" s="200" t="s">
        <v>271</v>
      </c>
      <c r="N72" s="200" t="s">
        <v>352</v>
      </c>
      <c r="O72" s="200" t="s">
        <v>353</v>
      </c>
      <c r="P72" s="200" t="s">
        <v>343</v>
      </c>
      <c r="Q72" s="200" t="s">
        <v>275</v>
      </c>
      <c r="R72" s="200" t="s">
        <v>602</v>
      </c>
      <c r="S72" s="200" t="s">
        <v>436</v>
      </c>
      <c r="T72" s="200" t="s">
        <v>435</v>
      </c>
      <c r="U72" s="200">
        <v>2086</v>
      </c>
      <c r="V72" s="200" t="s">
        <v>435</v>
      </c>
      <c r="W72" s="200" t="s">
        <v>280</v>
      </c>
      <c r="X72" s="200">
        <v>5.6790000000000003</v>
      </c>
      <c r="Y72" s="203">
        <v>-0.17</v>
      </c>
      <c r="Z72" s="203">
        <v>2.09</v>
      </c>
      <c r="AA72" s="203">
        <v>11.87</v>
      </c>
      <c r="AB72" s="203">
        <v>-1.04</v>
      </c>
      <c r="AC72" s="203">
        <v>0</v>
      </c>
      <c r="AD72" s="203">
        <v>0</v>
      </c>
      <c r="AE72" s="203">
        <v>10.66</v>
      </c>
      <c r="AF72" s="203">
        <v>-1.36</v>
      </c>
      <c r="AG72" s="200" t="s">
        <v>279</v>
      </c>
      <c r="AH72" s="203">
        <v>0</v>
      </c>
      <c r="AI72" s="200" t="s">
        <v>279</v>
      </c>
      <c r="AJ72" s="203">
        <v>0</v>
      </c>
      <c r="AK72" s="200" t="s">
        <v>279</v>
      </c>
      <c r="AL72" s="203">
        <v>0</v>
      </c>
      <c r="AM72" s="200" t="s">
        <v>279</v>
      </c>
      <c r="AN72" s="203">
        <v>0</v>
      </c>
      <c r="AO72" s="200" t="s">
        <v>279</v>
      </c>
      <c r="AP72" s="203">
        <v>0</v>
      </c>
      <c r="AQ72" s="203">
        <v>11.87</v>
      </c>
      <c r="AR72" s="203">
        <v>0</v>
      </c>
      <c r="AS72" s="200" t="str">
        <f t="shared" si="1"/>
        <v>1.00000000</v>
      </c>
      <c r="AT72" s="200" t="str">
        <f>"36.1"</f>
        <v>36.1</v>
      </c>
      <c r="AU72" s="203">
        <v>0</v>
      </c>
    </row>
    <row r="73" spans="1:47" x14ac:dyDescent="0.2">
      <c r="A73" s="200" t="str">
        <f>"0496002595700"</f>
        <v>0496002595700</v>
      </c>
      <c r="B73" s="200">
        <v>6</v>
      </c>
      <c r="C73" s="200" t="s">
        <v>156</v>
      </c>
      <c r="D73" s="200" t="s">
        <v>344</v>
      </c>
      <c r="E73" s="200" t="s">
        <v>345</v>
      </c>
      <c r="F73" s="200" t="s">
        <v>243</v>
      </c>
      <c r="G73" s="200">
        <v>2262</v>
      </c>
      <c r="H73" s="200" t="s">
        <v>270</v>
      </c>
      <c r="I73" s="200">
        <v>52019</v>
      </c>
      <c r="J73" s="201">
        <v>42583</v>
      </c>
      <c r="K73" s="202">
        <v>0.46050925925925923</v>
      </c>
      <c r="L73" s="201">
        <v>42585</v>
      </c>
      <c r="M73" s="200" t="s">
        <v>396</v>
      </c>
      <c r="N73" s="200" t="s">
        <v>397</v>
      </c>
      <c r="O73" s="200" t="s">
        <v>398</v>
      </c>
      <c r="P73" s="200" t="s">
        <v>343</v>
      </c>
      <c r="Q73" s="200" t="s">
        <v>275</v>
      </c>
      <c r="R73" s="200" t="s">
        <v>686</v>
      </c>
      <c r="S73" s="200" t="s">
        <v>156</v>
      </c>
      <c r="T73" s="200" t="s">
        <v>277</v>
      </c>
      <c r="U73" s="200">
        <v>2262</v>
      </c>
      <c r="V73" s="200" t="s">
        <v>156</v>
      </c>
      <c r="W73" s="200" t="s">
        <v>278</v>
      </c>
      <c r="X73" s="200">
        <v>11.101000000000001</v>
      </c>
      <c r="Y73" s="203">
        <v>0</v>
      </c>
      <c r="Z73" s="203">
        <v>2.52</v>
      </c>
      <c r="AA73" s="203">
        <v>27.96</v>
      </c>
      <c r="AB73" s="203">
        <v>-2.0299999999999998</v>
      </c>
      <c r="AC73" s="203">
        <v>0</v>
      </c>
      <c r="AD73" s="203">
        <v>0</v>
      </c>
      <c r="AE73" s="203">
        <v>25.93</v>
      </c>
      <c r="AF73" s="203">
        <v>-2.66</v>
      </c>
      <c r="AG73" s="200" t="s">
        <v>279</v>
      </c>
      <c r="AH73" s="203">
        <v>0</v>
      </c>
      <c r="AI73" s="200" t="s">
        <v>279</v>
      </c>
      <c r="AJ73" s="203">
        <v>0</v>
      </c>
      <c r="AK73" s="200" t="s">
        <v>279</v>
      </c>
      <c r="AL73" s="203">
        <v>0</v>
      </c>
      <c r="AM73" s="200" t="s">
        <v>279</v>
      </c>
      <c r="AN73" s="203">
        <v>0</v>
      </c>
      <c r="AO73" s="200" t="s">
        <v>279</v>
      </c>
      <c r="AP73" s="203">
        <v>0</v>
      </c>
      <c r="AQ73" s="203">
        <v>27.96</v>
      </c>
      <c r="AR73" s="203">
        <v>0</v>
      </c>
      <c r="AS73" s="200" t="str">
        <f t="shared" si="1"/>
        <v>1.00000000</v>
      </c>
      <c r="AT73" s="200" t="str">
        <f>"24.0"</f>
        <v>24.0</v>
      </c>
      <c r="AU73" s="203">
        <v>0</v>
      </c>
    </row>
    <row r="74" spans="1:47" x14ac:dyDescent="0.2">
      <c r="A74" s="200" t="str">
        <f>"0496002595700"</f>
        <v>0496002595700</v>
      </c>
      <c r="B74" s="200">
        <v>7</v>
      </c>
      <c r="C74" s="200" t="s">
        <v>156</v>
      </c>
      <c r="D74" s="200" t="s">
        <v>371</v>
      </c>
      <c r="E74" s="200">
        <v>45</v>
      </c>
      <c r="F74" s="200" t="s">
        <v>243</v>
      </c>
      <c r="G74" s="200">
        <v>2262</v>
      </c>
      <c r="H74" s="200" t="s">
        <v>270</v>
      </c>
      <c r="I74" s="200">
        <v>14488</v>
      </c>
      <c r="J74" s="201">
        <v>42584</v>
      </c>
      <c r="K74" s="202">
        <v>0.9159722222222223</v>
      </c>
      <c r="L74" s="201">
        <v>42586</v>
      </c>
      <c r="M74" s="200" t="s">
        <v>294</v>
      </c>
      <c r="N74" s="200" t="s">
        <v>299</v>
      </c>
      <c r="O74" s="200" t="s">
        <v>542</v>
      </c>
      <c r="P74" s="200" t="s">
        <v>543</v>
      </c>
      <c r="Q74" s="200" t="s">
        <v>275</v>
      </c>
      <c r="R74" s="200" t="s">
        <v>544</v>
      </c>
      <c r="S74" s="200" t="s">
        <v>156</v>
      </c>
      <c r="T74" s="200" t="s">
        <v>277</v>
      </c>
      <c r="U74" s="200">
        <v>2262</v>
      </c>
      <c r="V74" s="200" t="s">
        <v>156</v>
      </c>
      <c r="W74" s="200" t="s">
        <v>330</v>
      </c>
      <c r="X74" s="200">
        <v>19.79</v>
      </c>
      <c r="Y74" s="203">
        <v>0</v>
      </c>
      <c r="Z74" s="203">
        <v>2.1</v>
      </c>
      <c r="AA74" s="203">
        <v>41.54</v>
      </c>
      <c r="AB74" s="203">
        <v>-3.62</v>
      </c>
      <c r="AC74" s="203">
        <v>0</v>
      </c>
      <c r="AD74" s="203">
        <v>0</v>
      </c>
      <c r="AE74" s="203">
        <v>37.92</v>
      </c>
      <c r="AF74" s="203">
        <v>-4.75</v>
      </c>
      <c r="AG74" s="200" t="s">
        <v>279</v>
      </c>
      <c r="AH74" s="203">
        <v>0</v>
      </c>
      <c r="AI74" s="200" t="s">
        <v>279</v>
      </c>
      <c r="AJ74" s="203">
        <v>0</v>
      </c>
      <c r="AK74" s="200" t="s">
        <v>279</v>
      </c>
      <c r="AL74" s="203">
        <v>0</v>
      </c>
      <c r="AM74" s="200" t="s">
        <v>279</v>
      </c>
      <c r="AN74" s="203">
        <v>0</v>
      </c>
      <c r="AO74" s="200" t="s">
        <v>279</v>
      </c>
      <c r="AP74" s="203">
        <v>0</v>
      </c>
      <c r="AQ74" s="203">
        <v>41.54</v>
      </c>
      <c r="AR74" s="203">
        <v>0</v>
      </c>
      <c r="AS74" s="200" t="str">
        <f t="shared" si="1"/>
        <v>1.00000000</v>
      </c>
      <c r="AT74" s="200" t="str">
        <f>"23.9"</f>
        <v>23.9</v>
      </c>
      <c r="AU74" s="203">
        <v>0</v>
      </c>
    </row>
    <row r="75" spans="1:47" x14ac:dyDescent="0.2">
      <c r="A75" s="200" t="str">
        <f>"0496002595700"</f>
        <v>0496002595700</v>
      </c>
      <c r="B75" s="200">
        <v>8</v>
      </c>
      <c r="C75" s="200" t="s">
        <v>156</v>
      </c>
      <c r="D75" s="200" t="s">
        <v>414</v>
      </c>
      <c r="E75" s="200">
        <v>47</v>
      </c>
      <c r="F75" s="200" t="s">
        <v>243</v>
      </c>
      <c r="G75" s="200">
        <v>2262</v>
      </c>
      <c r="H75" s="200" t="s">
        <v>270</v>
      </c>
      <c r="I75" s="200">
        <v>16934</v>
      </c>
      <c r="J75" s="201">
        <v>42584</v>
      </c>
      <c r="K75" s="202">
        <v>0.70833333333333337</v>
      </c>
      <c r="L75" s="201">
        <v>42586</v>
      </c>
      <c r="M75" s="200" t="s">
        <v>271</v>
      </c>
      <c r="N75" s="200" t="s">
        <v>437</v>
      </c>
      <c r="O75" s="200" t="s">
        <v>438</v>
      </c>
      <c r="P75" s="200" t="s">
        <v>439</v>
      </c>
      <c r="Q75" s="200" t="s">
        <v>275</v>
      </c>
      <c r="R75" s="200">
        <v>1701</v>
      </c>
      <c r="S75" s="200" t="s">
        <v>156</v>
      </c>
      <c r="T75" s="200" t="s">
        <v>277</v>
      </c>
      <c r="U75" s="200">
        <v>2262</v>
      </c>
      <c r="V75" s="200" t="s">
        <v>156</v>
      </c>
      <c r="W75" s="200" t="s">
        <v>280</v>
      </c>
      <c r="X75" s="200">
        <v>12.43</v>
      </c>
      <c r="Y75" s="203">
        <v>-0.37</v>
      </c>
      <c r="Z75" s="203">
        <v>2.2799999999999998</v>
      </c>
      <c r="AA75" s="203">
        <v>28.33</v>
      </c>
      <c r="AB75" s="203">
        <v>-2.27</v>
      </c>
      <c r="AC75" s="203">
        <v>0</v>
      </c>
      <c r="AD75" s="203">
        <v>0</v>
      </c>
      <c r="AE75" s="203">
        <v>25.69</v>
      </c>
      <c r="AF75" s="203">
        <v>-2.98</v>
      </c>
      <c r="AG75" s="200" t="s">
        <v>279</v>
      </c>
      <c r="AH75" s="203">
        <v>0</v>
      </c>
      <c r="AI75" s="200" t="s">
        <v>279</v>
      </c>
      <c r="AJ75" s="203">
        <v>0</v>
      </c>
      <c r="AK75" s="200" t="s">
        <v>279</v>
      </c>
      <c r="AL75" s="203">
        <v>0</v>
      </c>
      <c r="AM75" s="200" t="s">
        <v>279</v>
      </c>
      <c r="AN75" s="203">
        <v>0</v>
      </c>
      <c r="AO75" s="200" t="s">
        <v>279</v>
      </c>
      <c r="AP75" s="203">
        <v>0</v>
      </c>
      <c r="AQ75" s="203">
        <v>28.33</v>
      </c>
      <c r="AR75" s="203">
        <v>0</v>
      </c>
      <c r="AS75" s="200" t="str">
        <f t="shared" si="1"/>
        <v>1.00000000</v>
      </c>
      <c r="AT75" s="200" t="str">
        <f>"27.8"</f>
        <v>27.8</v>
      </c>
      <c r="AU75" s="203">
        <v>0</v>
      </c>
    </row>
    <row r="76" spans="1:47" x14ac:dyDescent="0.2">
      <c r="A76" s="200" t="str">
        <f>"0496002595734"</f>
        <v>0496002595734</v>
      </c>
      <c r="B76" s="200">
        <v>3</v>
      </c>
      <c r="C76" s="200" t="s">
        <v>435</v>
      </c>
      <c r="D76" s="200">
        <v>82</v>
      </c>
      <c r="E76" s="200">
        <v>82</v>
      </c>
      <c r="F76" s="200" t="s">
        <v>243</v>
      </c>
      <c r="G76" s="200">
        <v>2086</v>
      </c>
      <c r="H76" s="200" t="s">
        <v>270</v>
      </c>
      <c r="I76" s="200">
        <v>47213</v>
      </c>
      <c r="J76" s="201">
        <v>42584</v>
      </c>
      <c r="K76" s="202">
        <v>0.3840277777777778</v>
      </c>
      <c r="L76" s="201">
        <v>42586</v>
      </c>
      <c r="M76" s="200" t="s">
        <v>271</v>
      </c>
      <c r="N76" s="200" t="s">
        <v>272</v>
      </c>
      <c r="O76" s="200" t="s">
        <v>273</v>
      </c>
      <c r="P76" s="200" t="s">
        <v>274</v>
      </c>
      <c r="Q76" s="200" t="s">
        <v>275</v>
      </c>
      <c r="R76" s="200" t="s">
        <v>276</v>
      </c>
      <c r="S76" s="200" t="s">
        <v>436</v>
      </c>
      <c r="T76" s="200" t="s">
        <v>435</v>
      </c>
      <c r="U76" s="200">
        <v>2086</v>
      </c>
      <c r="V76" s="200" t="s">
        <v>435</v>
      </c>
      <c r="W76" s="200" t="s">
        <v>280</v>
      </c>
      <c r="X76" s="200">
        <v>11.694000000000001</v>
      </c>
      <c r="Y76" s="203">
        <v>-0.35</v>
      </c>
      <c r="Z76" s="203">
        <v>2.09</v>
      </c>
      <c r="AA76" s="203">
        <v>24.43</v>
      </c>
      <c r="AB76" s="203">
        <v>-2.14</v>
      </c>
      <c r="AC76" s="203">
        <v>0</v>
      </c>
      <c r="AD76" s="203">
        <v>0</v>
      </c>
      <c r="AE76" s="203">
        <v>21.94</v>
      </c>
      <c r="AF76" s="203">
        <v>-2.81</v>
      </c>
      <c r="AG76" s="200" t="s">
        <v>279</v>
      </c>
      <c r="AH76" s="203">
        <v>0</v>
      </c>
      <c r="AI76" s="200" t="s">
        <v>279</v>
      </c>
      <c r="AJ76" s="203">
        <v>0</v>
      </c>
      <c r="AK76" s="200" t="s">
        <v>279</v>
      </c>
      <c r="AL76" s="203">
        <v>0</v>
      </c>
      <c r="AM76" s="200" t="s">
        <v>279</v>
      </c>
      <c r="AN76" s="203">
        <v>0</v>
      </c>
      <c r="AO76" s="200" t="s">
        <v>279</v>
      </c>
      <c r="AP76" s="203">
        <v>0</v>
      </c>
      <c r="AQ76" s="203">
        <v>24.43</v>
      </c>
      <c r="AR76" s="203">
        <v>0</v>
      </c>
      <c r="AS76" s="200" t="str">
        <f t="shared" si="1"/>
        <v>1.00000000</v>
      </c>
      <c r="AT76" s="200" t="str">
        <f>"12.5"</f>
        <v>12.5</v>
      </c>
      <c r="AU76" s="203">
        <v>0</v>
      </c>
    </row>
    <row r="77" spans="1:47" x14ac:dyDescent="0.2">
      <c r="A77" s="200" t="str">
        <f>"0496002595700"</f>
        <v>0496002595700</v>
      </c>
      <c r="B77" s="200">
        <v>6</v>
      </c>
      <c r="C77" s="200" t="s">
        <v>156</v>
      </c>
      <c r="D77" s="200" t="s">
        <v>344</v>
      </c>
      <c r="E77" s="200" t="s">
        <v>345</v>
      </c>
      <c r="F77" s="200" t="s">
        <v>243</v>
      </c>
      <c r="G77" s="200">
        <v>2262</v>
      </c>
      <c r="H77" s="200" t="s">
        <v>270</v>
      </c>
      <c r="I77" s="200">
        <v>50115</v>
      </c>
      <c r="J77" s="201">
        <v>42586</v>
      </c>
      <c r="K77" s="202">
        <v>0.63263888888888886</v>
      </c>
      <c r="L77" s="201">
        <v>42590</v>
      </c>
      <c r="M77" s="200" t="s">
        <v>271</v>
      </c>
      <c r="N77" s="200" t="s">
        <v>272</v>
      </c>
      <c r="O77" s="200" t="s">
        <v>273</v>
      </c>
      <c r="P77" s="200" t="s">
        <v>274</v>
      </c>
      <c r="Q77" s="200" t="s">
        <v>275</v>
      </c>
      <c r="R77" s="200" t="s">
        <v>276</v>
      </c>
      <c r="S77" s="200" t="s">
        <v>156</v>
      </c>
      <c r="T77" s="200" t="s">
        <v>277</v>
      </c>
      <c r="U77" s="200">
        <v>2262</v>
      </c>
      <c r="V77" s="200" t="s">
        <v>156</v>
      </c>
      <c r="W77" s="200" t="s">
        <v>278</v>
      </c>
      <c r="X77" s="200">
        <v>9.2799999999999994</v>
      </c>
      <c r="Y77" s="203">
        <v>-0.28000000000000003</v>
      </c>
      <c r="Z77" s="203">
        <v>2.4900000000000002</v>
      </c>
      <c r="AA77" s="203">
        <v>23.1</v>
      </c>
      <c r="AB77" s="203">
        <v>-1.7</v>
      </c>
      <c r="AC77" s="203">
        <v>0</v>
      </c>
      <c r="AD77" s="203">
        <v>0</v>
      </c>
      <c r="AE77" s="203">
        <v>21.12</v>
      </c>
      <c r="AF77" s="203">
        <v>-2.23</v>
      </c>
      <c r="AG77" s="200" t="s">
        <v>279</v>
      </c>
      <c r="AH77" s="203">
        <v>0</v>
      </c>
      <c r="AI77" s="200" t="s">
        <v>279</v>
      </c>
      <c r="AJ77" s="203">
        <v>0</v>
      </c>
      <c r="AK77" s="200" t="s">
        <v>279</v>
      </c>
      <c r="AL77" s="203">
        <v>0</v>
      </c>
      <c r="AM77" s="200" t="s">
        <v>279</v>
      </c>
      <c r="AN77" s="203">
        <v>0</v>
      </c>
      <c r="AO77" s="200" t="s">
        <v>279</v>
      </c>
      <c r="AP77" s="203">
        <v>0</v>
      </c>
      <c r="AQ77" s="203">
        <v>23.1</v>
      </c>
      <c r="AR77" s="203">
        <v>0</v>
      </c>
      <c r="AS77" s="200" t="str">
        <f t="shared" si="1"/>
        <v>1.00000000</v>
      </c>
      <c r="AT77" s="200" t="str">
        <f>"27.6"</f>
        <v>27.6</v>
      </c>
      <c r="AU77" s="203">
        <v>0</v>
      </c>
    </row>
    <row r="78" spans="1:47" x14ac:dyDescent="0.2">
      <c r="A78" s="200" t="str">
        <f>"0496002595734"</f>
        <v>0496002595734</v>
      </c>
      <c r="B78" s="200">
        <v>2</v>
      </c>
      <c r="C78" s="200" t="s">
        <v>435</v>
      </c>
      <c r="D78" s="200">
        <v>80</v>
      </c>
      <c r="E78" s="200">
        <v>80</v>
      </c>
      <c r="F78" s="200" t="s">
        <v>243</v>
      </c>
      <c r="G78" s="200">
        <v>2086</v>
      </c>
      <c r="H78" s="200" t="s">
        <v>270</v>
      </c>
      <c r="I78" s="200">
        <v>62550</v>
      </c>
      <c r="J78" s="201">
        <v>42586</v>
      </c>
      <c r="K78" s="202">
        <v>0.72222222222222221</v>
      </c>
      <c r="L78" s="201">
        <v>42590</v>
      </c>
      <c r="M78" s="200" t="s">
        <v>271</v>
      </c>
      <c r="N78" s="200" t="s">
        <v>272</v>
      </c>
      <c r="O78" s="200" t="s">
        <v>273</v>
      </c>
      <c r="P78" s="200" t="s">
        <v>274</v>
      </c>
      <c r="Q78" s="200" t="s">
        <v>275</v>
      </c>
      <c r="R78" s="200" t="s">
        <v>276</v>
      </c>
      <c r="S78" s="200" t="s">
        <v>436</v>
      </c>
      <c r="T78" s="200" t="s">
        <v>435</v>
      </c>
      <c r="U78" s="200">
        <v>2086</v>
      </c>
      <c r="V78" s="200" t="s">
        <v>435</v>
      </c>
      <c r="W78" s="200" t="s">
        <v>280</v>
      </c>
      <c r="X78" s="200">
        <v>4.32</v>
      </c>
      <c r="Y78" s="203">
        <v>-0.13</v>
      </c>
      <c r="Z78" s="203">
        <v>2.04</v>
      </c>
      <c r="AA78" s="203">
        <v>8.81</v>
      </c>
      <c r="AB78" s="203">
        <v>-0.79</v>
      </c>
      <c r="AC78" s="203">
        <v>0</v>
      </c>
      <c r="AD78" s="203">
        <v>0</v>
      </c>
      <c r="AE78" s="203">
        <v>7.89</v>
      </c>
      <c r="AF78" s="203">
        <v>-1.04</v>
      </c>
      <c r="AG78" s="200" t="s">
        <v>279</v>
      </c>
      <c r="AH78" s="203">
        <v>0</v>
      </c>
      <c r="AI78" s="200" t="s">
        <v>279</v>
      </c>
      <c r="AJ78" s="203">
        <v>0</v>
      </c>
      <c r="AK78" s="200" t="s">
        <v>279</v>
      </c>
      <c r="AL78" s="203">
        <v>0</v>
      </c>
      <c r="AM78" s="200" t="s">
        <v>279</v>
      </c>
      <c r="AN78" s="203">
        <v>0</v>
      </c>
      <c r="AO78" s="200" t="s">
        <v>279</v>
      </c>
      <c r="AP78" s="203">
        <v>0</v>
      </c>
      <c r="AQ78" s="203">
        <v>8.81</v>
      </c>
      <c r="AR78" s="203">
        <v>0</v>
      </c>
      <c r="AS78" s="200" t="str">
        <f t="shared" si="1"/>
        <v>1.00000000</v>
      </c>
      <c r="AT78" s="200" t="str">
        <f>"38.7"</f>
        <v>38.7</v>
      </c>
      <c r="AU78" s="203">
        <v>0</v>
      </c>
    </row>
    <row r="79" spans="1:47" x14ac:dyDescent="0.2">
      <c r="A79" s="200" t="str">
        <f>"0496002595734"</f>
        <v>0496002595734</v>
      </c>
      <c r="B79" s="200">
        <v>1</v>
      </c>
      <c r="C79" s="200" t="s">
        <v>435</v>
      </c>
      <c r="D79" s="200">
        <v>81</v>
      </c>
      <c r="E79" s="200">
        <v>81</v>
      </c>
      <c r="F79" s="200" t="s">
        <v>243</v>
      </c>
      <c r="G79" s="200">
        <v>2086</v>
      </c>
      <c r="H79" s="200" t="s">
        <v>270</v>
      </c>
      <c r="I79" s="200">
        <v>59154</v>
      </c>
      <c r="J79" s="201">
        <v>42587</v>
      </c>
      <c r="K79" s="202">
        <v>0.55107638888888888</v>
      </c>
      <c r="L79" s="201">
        <v>42591</v>
      </c>
      <c r="M79" s="200" t="s">
        <v>340</v>
      </c>
      <c r="N79" s="200" t="s">
        <v>687</v>
      </c>
      <c r="O79" s="200" t="s">
        <v>342</v>
      </c>
      <c r="P79" s="200" t="s">
        <v>343</v>
      </c>
      <c r="Q79" s="200" t="s">
        <v>275</v>
      </c>
      <c r="R79" s="200" t="s">
        <v>629</v>
      </c>
      <c r="S79" s="200" t="s">
        <v>436</v>
      </c>
      <c r="T79" s="200" t="s">
        <v>435</v>
      </c>
      <c r="U79" s="200">
        <v>2086</v>
      </c>
      <c r="V79" s="200" t="s">
        <v>435</v>
      </c>
      <c r="W79" s="200" t="s">
        <v>280</v>
      </c>
      <c r="X79" s="200">
        <v>12.08</v>
      </c>
      <c r="Y79" s="203">
        <v>0</v>
      </c>
      <c r="Z79" s="203">
        <v>2.04</v>
      </c>
      <c r="AA79" s="203">
        <v>24.63</v>
      </c>
      <c r="AB79" s="203">
        <v>-2.21</v>
      </c>
      <c r="AC79" s="203">
        <v>0</v>
      </c>
      <c r="AD79" s="203">
        <v>0</v>
      </c>
      <c r="AE79" s="203">
        <v>22.42</v>
      </c>
      <c r="AF79" s="203">
        <v>-2.9</v>
      </c>
      <c r="AG79" s="200" t="s">
        <v>279</v>
      </c>
      <c r="AH79" s="203">
        <v>0</v>
      </c>
      <c r="AI79" s="200" t="s">
        <v>279</v>
      </c>
      <c r="AJ79" s="203">
        <v>0</v>
      </c>
      <c r="AK79" s="200" t="s">
        <v>279</v>
      </c>
      <c r="AL79" s="203">
        <v>0</v>
      </c>
      <c r="AM79" s="200" t="s">
        <v>279</v>
      </c>
      <c r="AN79" s="203">
        <v>0</v>
      </c>
      <c r="AO79" s="200" t="s">
        <v>279</v>
      </c>
      <c r="AP79" s="203">
        <v>0</v>
      </c>
      <c r="AQ79" s="203">
        <v>24.63</v>
      </c>
      <c r="AR79" s="203">
        <v>0</v>
      </c>
      <c r="AS79" s="200" t="str">
        <f t="shared" si="1"/>
        <v>1.00000000</v>
      </c>
      <c r="AT79" s="200" t="str">
        <f>"21.0"</f>
        <v>21.0</v>
      </c>
      <c r="AU79" s="203">
        <v>0</v>
      </c>
    </row>
    <row r="80" spans="1:47" x14ac:dyDescent="0.2">
      <c r="A80" s="200" t="str">
        <f>"0496002595890"</f>
        <v>0496002595890</v>
      </c>
      <c r="B80" s="200">
        <v>1</v>
      </c>
      <c r="C80" s="200" t="s">
        <v>579</v>
      </c>
      <c r="D80" s="200">
        <v>12</v>
      </c>
      <c r="F80" s="200" t="s">
        <v>243</v>
      </c>
      <c r="G80" s="200">
        <v>2834</v>
      </c>
      <c r="H80" s="200" t="s">
        <v>270</v>
      </c>
      <c r="I80" s="200">
        <v>14125</v>
      </c>
      <c r="J80" s="201">
        <v>42587</v>
      </c>
      <c r="K80" s="202">
        <v>0.57152777777777775</v>
      </c>
      <c r="L80" s="201">
        <v>42591</v>
      </c>
      <c r="M80" s="200" t="s">
        <v>271</v>
      </c>
      <c r="N80" s="200" t="s">
        <v>272</v>
      </c>
      <c r="O80" s="200" t="s">
        <v>273</v>
      </c>
      <c r="P80" s="200" t="s">
        <v>274</v>
      </c>
      <c r="Q80" s="200" t="s">
        <v>275</v>
      </c>
      <c r="R80" s="200" t="s">
        <v>276</v>
      </c>
      <c r="S80" s="200" t="s">
        <v>436</v>
      </c>
      <c r="T80" s="200" t="s">
        <v>579</v>
      </c>
      <c r="U80" s="200">
        <v>2834</v>
      </c>
      <c r="V80" s="200" t="s">
        <v>579</v>
      </c>
      <c r="W80" s="200" t="s">
        <v>280</v>
      </c>
      <c r="X80" s="200">
        <v>26.65</v>
      </c>
      <c r="Y80" s="203">
        <v>-0.8</v>
      </c>
      <c r="Z80" s="203">
        <v>2.04</v>
      </c>
      <c r="AA80" s="203">
        <v>54.34</v>
      </c>
      <c r="AB80" s="203">
        <v>-4.88</v>
      </c>
      <c r="AC80" s="203">
        <v>0</v>
      </c>
      <c r="AD80" s="203">
        <v>0</v>
      </c>
      <c r="AE80" s="203">
        <v>48.66</v>
      </c>
      <c r="AF80" s="203">
        <v>-6.4</v>
      </c>
      <c r="AG80" s="200" t="s">
        <v>279</v>
      </c>
      <c r="AH80" s="203">
        <v>0</v>
      </c>
      <c r="AI80" s="200" t="s">
        <v>279</v>
      </c>
      <c r="AJ80" s="203">
        <v>0</v>
      </c>
      <c r="AK80" s="200" t="s">
        <v>279</v>
      </c>
      <c r="AL80" s="203">
        <v>0</v>
      </c>
      <c r="AM80" s="200" t="s">
        <v>279</v>
      </c>
      <c r="AN80" s="203">
        <v>0</v>
      </c>
      <c r="AO80" s="200" t="s">
        <v>279</v>
      </c>
      <c r="AP80" s="203">
        <v>0</v>
      </c>
      <c r="AQ80" s="203">
        <v>54.34</v>
      </c>
      <c r="AR80" s="203">
        <v>0</v>
      </c>
      <c r="AS80" s="200" t="str">
        <f t="shared" si="1"/>
        <v>1.00000000</v>
      </c>
      <c r="AT80" s="200" t="str">
        <f>"12.0"</f>
        <v>12.0</v>
      </c>
      <c r="AU80" s="203">
        <v>0</v>
      </c>
    </row>
    <row r="81" spans="1:47" x14ac:dyDescent="0.2">
      <c r="A81" s="200" t="str">
        <f>"0496002599173"</f>
        <v>0496002599173</v>
      </c>
      <c r="B81" s="200">
        <v>2</v>
      </c>
      <c r="C81" s="200" t="s">
        <v>585</v>
      </c>
      <c r="D81" s="200" t="s">
        <v>594</v>
      </c>
      <c r="E81" s="200" t="s">
        <v>594</v>
      </c>
      <c r="F81" s="200" t="s">
        <v>243</v>
      </c>
      <c r="G81" s="200">
        <v>5647</v>
      </c>
      <c r="H81" s="200" t="s">
        <v>270</v>
      </c>
      <c r="I81" s="200">
        <v>110277</v>
      </c>
      <c r="J81" s="201">
        <v>42587</v>
      </c>
      <c r="K81" s="202">
        <v>0.3</v>
      </c>
      <c r="L81" s="201">
        <v>42591</v>
      </c>
      <c r="M81" s="200" t="s">
        <v>606</v>
      </c>
      <c r="N81" s="200" t="s">
        <v>399</v>
      </c>
      <c r="O81" s="200" t="s">
        <v>400</v>
      </c>
      <c r="P81" s="200" t="s">
        <v>274</v>
      </c>
      <c r="Q81" s="200" t="s">
        <v>275</v>
      </c>
      <c r="R81" s="200" t="s">
        <v>401</v>
      </c>
      <c r="S81" s="200" t="s">
        <v>436</v>
      </c>
      <c r="T81" s="200" t="s">
        <v>595</v>
      </c>
      <c r="U81" s="200">
        <v>5647</v>
      </c>
      <c r="V81" s="200" t="s">
        <v>585</v>
      </c>
      <c r="W81" s="200" t="s">
        <v>280</v>
      </c>
      <c r="X81" s="200">
        <v>23.468</v>
      </c>
      <c r="Y81" s="203">
        <v>0</v>
      </c>
      <c r="Z81" s="203">
        <v>2.04</v>
      </c>
      <c r="AA81" s="203">
        <v>47.85</v>
      </c>
      <c r="AB81" s="203">
        <v>-4.29</v>
      </c>
      <c r="AC81" s="203">
        <v>0</v>
      </c>
      <c r="AD81" s="203">
        <v>0</v>
      </c>
      <c r="AE81" s="203">
        <v>43.56</v>
      </c>
      <c r="AF81" s="203">
        <v>-5.63</v>
      </c>
      <c r="AG81" s="200" t="s">
        <v>279</v>
      </c>
      <c r="AH81" s="203">
        <v>0</v>
      </c>
      <c r="AI81" s="200" t="s">
        <v>279</v>
      </c>
      <c r="AJ81" s="203">
        <v>0</v>
      </c>
      <c r="AK81" s="200" t="s">
        <v>279</v>
      </c>
      <c r="AL81" s="203">
        <v>0</v>
      </c>
      <c r="AM81" s="200" t="s">
        <v>279</v>
      </c>
      <c r="AN81" s="203">
        <v>0</v>
      </c>
      <c r="AO81" s="200" t="s">
        <v>279</v>
      </c>
      <c r="AP81" s="203">
        <v>0</v>
      </c>
      <c r="AQ81" s="203">
        <v>47.85</v>
      </c>
      <c r="AR81" s="203">
        <v>0</v>
      </c>
      <c r="AS81" s="200" t="str">
        <f t="shared" si="1"/>
        <v>1.00000000</v>
      </c>
      <c r="AT81" s="200" t="str">
        <f>"16.2"</f>
        <v>16.2</v>
      </c>
      <c r="AU81" s="203">
        <v>0</v>
      </c>
    </row>
    <row r="82" spans="1:47" x14ac:dyDescent="0.2">
      <c r="A82" s="200" t="str">
        <f>"0496002595734"</f>
        <v>0496002595734</v>
      </c>
      <c r="B82" s="200">
        <v>1</v>
      </c>
      <c r="C82" s="200" t="s">
        <v>435</v>
      </c>
      <c r="D82" s="200">
        <v>81</v>
      </c>
      <c r="E82" s="200">
        <v>81</v>
      </c>
      <c r="F82" s="200" t="s">
        <v>243</v>
      </c>
      <c r="G82" s="200">
        <v>2086</v>
      </c>
      <c r="H82" s="200" t="s">
        <v>270</v>
      </c>
      <c r="I82" s="200">
        <v>59222</v>
      </c>
      <c r="J82" s="201">
        <v>42588</v>
      </c>
      <c r="K82" s="202">
        <v>0.64166666666666672</v>
      </c>
      <c r="L82" s="201">
        <v>42591</v>
      </c>
      <c r="M82" s="200" t="s">
        <v>271</v>
      </c>
      <c r="N82" s="200" t="s">
        <v>272</v>
      </c>
      <c r="O82" s="200" t="s">
        <v>273</v>
      </c>
      <c r="P82" s="200" t="s">
        <v>274</v>
      </c>
      <c r="Q82" s="200" t="s">
        <v>275</v>
      </c>
      <c r="R82" s="200" t="s">
        <v>276</v>
      </c>
      <c r="S82" s="200" t="s">
        <v>436</v>
      </c>
      <c r="T82" s="200" t="s">
        <v>435</v>
      </c>
      <c r="U82" s="200">
        <v>2086</v>
      </c>
      <c r="V82" s="200" t="s">
        <v>435</v>
      </c>
      <c r="W82" s="200" t="s">
        <v>280</v>
      </c>
      <c r="X82" s="200">
        <v>5.88</v>
      </c>
      <c r="Y82" s="203">
        <v>-0.18</v>
      </c>
      <c r="Z82" s="203">
        <v>2.04</v>
      </c>
      <c r="AA82" s="203">
        <v>11.99</v>
      </c>
      <c r="AB82" s="203">
        <v>-1.08</v>
      </c>
      <c r="AC82" s="203">
        <v>0</v>
      </c>
      <c r="AD82" s="203">
        <v>0</v>
      </c>
      <c r="AE82" s="203">
        <v>10.73</v>
      </c>
      <c r="AF82" s="203">
        <v>-1.41</v>
      </c>
      <c r="AG82" s="200" t="s">
        <v>279</v>
      </c>
      <c r="AH82" s="203">
        <v>0</v>
      </c>
      <c r="AI82" s="200" t="s">
        <v>279</v>
      </c>
      <c r="AJ82" s="203">
        <v>0</v>
      </c>
      <c r="AK82" s="200" t="s">
        <v>279</v>
      </c>
      <c r="AL82" s="203">
        <v>0</v>
      </c>
      <c r="AM82" s="200" t="s">
        <v>279</v>
      </c>
      <c r="AN82" s="203">
        <v>0</v>
      </c>
      <c r="AO82" s="200" t="s">
        <v>279</v>
      </c>
      <c r="AP82" s="203">
        <v>0</v>
      </c>
      <c r="AQ82" s="203">
        <v>11.99</v>
      </c>
      <c r="AR82" s="203">
        <v>0</v>
      </c>
      <c r="AS82" s="200" t="str">
        <f t="shared" si="1"/>
        <v>1.00000000</v>
      </c>
      <c r="AT82" s="200" t="str">
        <f>"20.9"</f>
        <v>20.9</v>
      </c>
      <c r="AU82" s="203">
        <v>0</v>
      </c>
    </row>
    <row r="83" spans="1:47" x14ac:dyDescent="0.2">
      <c r="A83" s="200" t="str">
        <f>"0496002595734"</f>
        <v>0496002595734</v>
      </c>
      <c r="B83" s="200">
        <v>2</v>
      </c>
      <c r="C83" s="200" t="s">
        <v>435</v>
      </c>
      <c r="D83" s="200">
        <v>80</v>
      </c>
      <c r="E83" s="200">
        <v>80</v>
      </c>
      <c r="F83" s="200" t="s">
        <v>243</v>
      </c>
      <c r="G83" s="200">
        <v>2086</v>
      </c>
      <c r="H83" s="200" t="s">
        <v>270</v>
      </c>
      <c r="I83" s="200">
        <v>74589</v>
      </c>
      <c r="J83" s="201">
        <v>42588</v>
      </c>
      <c r="K83" s="202">
        <v>0.64236111111111105</v>
      </c>
      <c r="L83" s="201">
        <v>42591</v>
      </c>
      <c r="M83" s="200" t="s">
        <v>688</v>
      </c>
      <c r="N83" s="200" t="s">
        <v>689</v>
      </c>
      <c r="O83" s="200" t="s">
        <v>690</v>
      </c>
      <c r="P83" s="200" t="s">
        <v>640</v>
      </c>
      <c r="Q83" s="200" t="s">
        <v>289</v>
      </c>
      <c r="R83" s="200" t="s">
        <v>691</v>
      </c>
      <c r="S83" s="200" t="s">
        <v>436</v>
      </c>
      <c r="T83" s="200" t="s">
        <v>435</v>
      </c>
      <c r="U83" s="200">
        <v>2086</v>
      </c>
      <c r="V83" s="200" t="s">
        <v>435</v>
      </c>
      <c r="W83" s="200" t="s">
        <v>280</v>
      </c>
      <c r="X83" s="200">
        <v>6.407</v>
      </c>
      <c r="Y83" s="203">
        <v>0</v>
      </c>
      <c r="Z83" s="203">
        <v>1.98</v>
      </c>
      <c r="AA83" s="203">
        <v>12.68</v>
      </c>
      <c r="AB83" s="203">
        <v>-1.17</v>
      </c>
      <c r="AC83" s="203">
        <v>0</v>
      </c>
      <c r="AD83" s="203">
        <v>0</v>
      </c>
      <c r="AE83" s="203">
        <v>11.51</v>
      </c>
      <c r="AF83" s="203">
        <v>-0.93</v>
      </c>
      <c r="AG83" s="200" t="s">
        <v>279</v>
      </c>
      <c r="AH83" s="203">
        <v>0</v>
      </c>
      <c r="AI83" s="200" t="s">
        <v>279</v>
      </c>
      <c r="AJ83" s="203">
        <v>0</v>
      </c>
      <c r="AK83" s="200" t="s">
        <v>279</v>
      </c>
      <c r="AL83" s="203">
        <v>0</v>
      </c>
      <c r="AM83" s="200" t="s">
        <v>279</v>
      </c>
      <c r="AN83" s="203">
        <v>0</v>
      </c>
      <c r="AO83" s="200" t="s">
        <v>279</v>
      </c>
      <c r="AP83" s="203">
        <v>0</v>
      </c>
      <c r="AQ83" s="203">
        <v>12.68</v>
      </c>
      <c r="AR83" s="203">
        <v>0</v>
      </c>
      <c r="AS83" s="200" t="str">
        <f t="shared" si="1"/>
        <v>1.00000000</v>
      </c>
      <c r="AT83" s="200" t="str">
        <f>"36.2"</f>
        <v>36.2</v>
      </c>
      <c r="AU83" s="203">
        <v>0</v>
      </c>
    </row>
    <row r="84" spans="1:47" x14ac:dyDescent="0.2">
      <c r="A84" s="200" t="str">
        <f>"0496002595700"</f>
        <v>0496002595700</v>
      </c>
      <c r="B84" s="200">
        <v>2</v>
      </c>
      <c r="C84" s="200" t="s">
        <v>156</v>
      </c>
      <c r="D84" s="200">
        <v>42</v>
      </c>
      <c r="E84" s="200">
        <v>42</v>
      </c>
      <c r="F84" s="200" t="s">
        <v>243</v>
      </c>
      <c r="G84" s="200">
        <v>2262</v>
      </c>
      <c r="H84" s="200" t="s">
        <v>270</v>
      </c>
      <c r="I84" s="200">
        <v>26840</v>
      </c>
      <c r="J84" s="201">
        <v>42590</v>
      </c>
      <c r="K84" s="202">
        <v>0.24861111111111112</v>
      </c>
      <c r="L84" s="201">
        <v>42592</v>
      </c>
      <c r="M84" s="200" t="s">
        <v>271</v>
      </c>
      <c r="N84" s="200" t="s">
        <v>588</v>
      </c>
      <c r="O84" s="200" t="s">
        <v>589</v>
      </c>
      <c r="P84" s="200" t="s">
        <v>590</v>
      </c>
      <c r="Q84" s="200" t="s">
        <v>275</v>
      </c>
      <c r="R84" s="200" t="s">
        <v>611</v>
      </c>
      <c r="S84" s="200" t="s">
        <v>156</v>
      </c>
      <c r="T84" s="200" t="s">
        <v>277</v>
      </c>
      <c r="U84" s="200">
        <v>2262</v>
      </c>
      <c r="V84" s="200" t="s">
        <v>156</v>
      </c>
      <c r="W84" s="200" t="s">
        <v>280</v>
      </c>
      <c r="X84" s="200">
        <v>8.0540000000000003</v>
      </c>
      <c r="Y84" s="203">
        <v>-0.4</v>
      </c>
      <c r="Z84" s="203">
        <v>2</v>
      </c>
      <c r="AA84" s="203">
        <v>16.100000000000001</v>
      </c>
      <c r="AB84" s="203">
        <v>-1.47</v>
      </c>
      <c r="AC84" s="203">
        <v>0</v>
      </c>
      <c r="AD84" s="203">
        <v>0</v>
      </c>
      <c r="AE84" s="203">
        <v>14.23</v>
      </c>
      <c r="AF84" s="203">
        <v>-1.93</v>
      </c>
      <c r="AG84" s="200" t="s">
        <v>279</v>
      </c>
      <c r="AH84" s="203">
        <v>0</v>
      </c>
      <c r="AI84" s="200" t="s">
        <v>279</v>
      </c>
      <c r="AJ84" s="203">
        <v>0</v>
      </c>
      <c r="AK84" s="200" t="s">
        <v>279</v>
      </c>
      <c r="AL84" s="203">
        <v>0</v>
      </c>
      <c r="AM84" s="200" t="s">
        <v>279</v>
      </c>
      <c r="AN84" s="203">
        <v>0</v>
      </c>
      <c r="AO84" s="200" t="s">
        <v>279</v>
      </c>
      <c r="AP84" s="203">
        <v>0</v>
      </c>
      <c r="AQ84" s="203">
        <v>16.100000000000001</v>
      </c>
      <c r="AR84" s="203">
        <v>0</v>
      </c>
      <c r="AS84" s="200" t="str">
        <f t="shared" si="1"/>
        <v>1.00000000</v>
      </c>
      <c r="AT84" s="200" t="str">
        <f>"47.9"</f>
        <v>47.9</v>
      </c>
      <c r="AU84" s="203">
        <v>0</v>
      </c>
    </row>
    <row r="85" spans="1:47" x14ac:dyDescent="0.2">
      <c r="A85" s="200" t="str">
        <f>"0496002595700"</f>
        <v>0496002595700</v>
      </c>
      <c r="B85" s="200">
        <v>7</v>
      </c>
      <c r="C85" s="200" t="s">
        <v>156</v>
      </c>
      <c r="D85" s="200" t="s">
        <v>371</v>
      </c>
      <c r="E85" s="200">
        <v>45</v>
      </c>
      <c r="F85" s="200" t="s">
        <v>243</v>
      </c>
      <c r="G85" s="200">
        <v>2262</v>
      </c>
      <c r="H85" s="200" t="s">
        <v>270</v>
      </c>
      <c r="I85" s="200">
        <v>14768</v>
      </c>
      <c r="J85" s="201">
        <v>42590</v>
      </c>
      <c r="K85" s="202">
        <v>0.34236111111111112</v>
      </c>
      <c r="L85" s="201">
        <v>42592</v>
      </c>
      <c r="M85" s="200" t="s">
        <v>271</v>
      </c>
      <c r="N85" s="200" t="s">
        <v>272</v>
      </c>
      <c r="O85" s="200" t="s">
        <v>273</v>
      </c>
      <c r="P85" s="200" t="s">
        <v>274</v>
      </c>
      <c r="Q85" s="200" t="s">
        <v>275</v>
      </c>
      <c r="R85" s="200" t="s">
        <v>276</v>
      </c>
      <c r="S85" s="200" t="s">
        <v>156</v>
      </c>
      <c r="T85" s="200" t="s">
        <v>277</v>
      </c>
      <c r="U85" s="200">
        <v>2262</v>
      </c>
      <c r="V85" s="200" t="s">
        <v>156</v>
      </c>
      <c r="W85" s="200" t="s">
        <v>280</v>
      </c>
      <c r="X85" s="200">
        <v>13.173</v>
      </c>
      <c r="Y85" s="203">
        <v>-0.4</v>
      </c>
      <c r="Z85" s="203">
        <v>2.04</v>
      </c>
      <c r="AA85" s="203">
        <v>26.86</v>
      </c>
      <c r="AB85" s="203">
        <v>-2.41</v>
      </c>
      <c r="AC85" s="203">
        <v>0</v>
      </c>
      <c r="AD85" s="203">
        <v>0</v>
      </c>
      <c r="AE85" s="203">
        <v>24.05</v>
      </c>
      <c r="AF85" s="203">
        <v>-3.16</v>
      </c>
      <c r="AG85" s="200" t="s">
        <v>279</v>
      </c>
      <c r="AH85" s="203">
        <v>0</v>
      </c>
      <c r="AI85" s="200" t="s">
        <v>279</v>
      </c>
      <c r="AJ85" s="203">
        <v>0</v>
      </c>
      <c r="AK85" s="200" t="s">
        <v>279</v>
      </c>
      <c r="AL85" s="203">
        <v>0</v>
      </c>
      <c r="AM85" s="200" t="s">
        <v>279</v>
      </c>
      <c r="AN85" s="203">
        <v>0</v>
      </c>
      <c r="AO85" s="200" t="s">
        <v>279</v>
      </c>
      <c r="AP85" s="203">
        <v>0</v>
      </c>
      <c r="AQ85" s="203">
        <v>26.86</v>
      </c>
      <c r="AR85" s="203">
        <v>0</v>
      </c>
      <c r="AS85" s="200" t="str">
        <f t="shared" si="1"/>
        <v>1.00000000</v>
      </c>
      <c r="AT85" s="200" t="str">
        <f>"21.3"</f>
        <v>21.3</v>
      </c>
      <c r="AU85" s="203">
        <v>0</v>
      </c>
    </row>
    <row r="86" spans="1:47" x14ac:dyDescent="0.2">
      <c r="A86" s="200" t="str">
        <f>"0496002595734"</f>
        <v>0496002595734</v>
      </c>
      <c r="B86" s="200">
        <v>1</v>
      </c>
      <c r="C86" s="200" t="s">
        <v>435</v>
      </c>
      <c r="D86" s="200">
        <v>81</v>
      </c>
      <c r="E86" s="200">
        <v>81</v>
      </c>
      <c r="F86" s="200" t="s">
        <v>243</v>
      </c>
      <c r="G86" s="200">
        <v>2086</v>
      </c>
      <c r="H86" s="200" t="s">
        <v>270</v>
      </c>
      <c r="I86" s="200">
        <v>59425</v>
      </c>
      <c r="J86" s="201">
        <v>42590</v>
      </c>
      <c r="K86" s="202">
        <v>0.61111111111111105</v>
      </c>
      <c r="L86" s="201">
        <v>42593</v>
      </c>
      <c r="M86" s="200" t="s">
        <v>325</v>
      </c>
      <c r="N86" s="200" t="s">
        <v>326</v>
      </c>
      <c r="O86" s="200" t="s">
        <v>692</v>
      </c>
      <c r="P86" s="200" t="s">
        <v>693</v>
      </c>
      <c r="Q86" s="200" t="s">
        <v>275</v>
      </c>
      <c r="R86" s="200" t="s">
        <v>694</v>
      </c>
      <c r="S86" s="200" t="s">
        <v>436</v>
      </c>
      <c r="T86" s="200" t="s">
        <v>435</v>
      </c>
      <c r="U86" s="200">
        <v>2086</v>
      </c>
      <c r="V86" s="200" t="s">
        <v>435</v>
      </c>
      <c r="W86" s="200" t="s">
        <v>330</v>
      </c>
      <c r="X86" s="200">
        <v>10.569000000000001</v>
      </c>
      <c r="Y86" s="203">
        <v>0</v>
      </c>
      <c r="Z86" s="203">
        <v>2.4</v>
      </c>
      <c r="AA86" s="203">
        <v>25.36</v>
      </c>
      <c r="AB86" s="203">
        <v>-1.93</v>
      </c>
      <c r="AC86" s="203">
        <v>0</v>
      </c>
      <c r="AD86" s="203">
        <v>0</v>
      </c>
      <c r="AE86" s="203">
        <v>23.43</v>
      </c>
      <c r="AF86" s="203">
        <v>-2.54</v>
      </c>
      <c r="AG86" s="200" t="s">
        <v>279</v>
      </c>
      <c r="AH86" s="203">
        <v>0</v>
      </c>
      <c r="AI86" s="200" t="s">
        <v>279</v>
      </c>
      <c r="AJ86" s="203">
        <v>0</v>
      </c>
      <c r="AK86" s="200" t="s">
        <v>279</v>
      </c>
      <c r="AL86" s="203">
        <v>0</v>
      </c>
      <c r="AM86" s="200" t="s">
        <v>279</v>
      </c>
      <c r="AN86" s="203">
        <v>0</v>
      </c>
      <c r="AO86" s="200" t="s">
        <v>279</v>
      </c>
      <c r="AP86" s="203">
        <v>0</v>
      </c>
      <c r="AQ86" s="203">
        <v>25.36</v>
      </c>
      <c r="AR86" s="203">
        <v>0</v>
      </c>
      <c r="AS86" s="200" t="str">
        <f t="shared" si="1"/>
        <v>1.00000000</v>
      </c>
      <c r="AT86" s="200" t="str">
        <f>"19.2"</f>
        <v>19.2</v>
      </c>
      <c r="AU86" s="203">
        <v>0</v>
      </c>
    </row>
    <row r="87" spans="1:47" x14ac:dyDescent="0.2">
      <c r="A87" s="200" t="str">
        <f>"0496002595734"</f>
        <v>0496002595734</v>
      </c>
      <c r="B87" s="200">
        <v>2</v>
      </c>
      <c r="C87" s="200" t="s">
        <v>435</v>
      </c>
      <c r="D87" s="200">
        <v>80</v>
      </c>
      <c r="E87" s="200">
        <v>80</v>
      </c>
      <c r="F87" s="200" t="s">
        <v>243</v>
      </c>
      <c r="G87" s="200">
        <v>2086</v>
      </c>
      <c r="H87" s="200" t="s">
        <v>270</v>
      </c>
      <c r="I87" s="200">
        <v>63052</v>
      </c>
      <c r="J87" s="201">
        <v>42590</v>
      </c>
      <c r="K87" s="202">
        <v>0.42152777777777778</v>
      </c>
      <c r="L87" s="201">
        <v>42592</v>
      </c>
      <c r="M87" s="200" t="s">
        <v>271</v>
      </c>
      <c r="N87" s="200" t="s">
        <v>272</v>
      </c>
      <c r="O87" s="200" t="s">
        <v>273</v>
      </c>
      <c r="P87" s="200" t="s">
        <v>274</v>
      </c>
      <c r="Q87" s="200" t="s">
        <v>275</v>
      </c>
      <c r="R87" s="200" t="s">
        <v>276</v>
      </c>
      <c r="S87" s="200" t="s">
        <v>436</v>
      </c>
      <c r="T87" s="200" t="s">
        <v>435</v>
      </c>
      <c r="U87" s="200">
        <v>2086</v>
      </c>
      <c r="V87" s="200" t="s">
        <v>435</v>
      </c>
      <c r="W87" s="200" t="s">
        <v>280</v>
      </c>
      <c r="X87" s="200">
        <v>8.18</v>
      </c>
      <c r="Y87" s="203">
        <v>-0.25</v>
      </c>
      <c r="Z87" s="203">
        <v>2.04</v>
      </c>
      <c r="AA87" s="203">
        <v>16.68</v>
      </c>
      <c r="AB87" s="203">
        <v>-1.5</v>
      </c>
      <c r="AC87" s="203">
        <v>0</v>
      </c>
      <c r="AD87" s="203">
        <v>0</v>
      </c>
      <c r="AE87" s="203">
        <v>14.93</v>
      </c>
      <c r="AF87" s="203">
        <v>-1.96</v>
      </c>
      <c r="AG87" s="200" t="s">
        <v>279</v>
      </c>
      <c r="AH87" s="203">
        <v>0</v>
      </c>
      <c r="AI87" s="200" t="s">
        <v>279</v>
      </c>
      <c r="AJ87" s="203">
        <v>0</v>
      </c>
      <c r="AK87" s="200" t="s">
        <v>279</v>
      </c>
      <c r="AL87" s="203">
        <v>0</v>
      </c>
      <c r="AM87" s="200" t="s">
        <v>279</v>
      </c>
      <c r="AN87" s="203">
        <v>0</v>
      </c>
      <c r="AO87" s="200" t="s">
        <v>279</v>
      </c>
      <c r="AP87" s="203">
        <v>0</v>
      </c>
      <c r="AQ87" s="203">
        <v>16.68</v>
      </c>
      <c r="AR87" s="203">
        <v>0</v>
      </c>
      <c r="AS87" s="200" t="str">
        <f t="shared" si="1"/>
        <v>1.00000000</v>
      </c>
      <c r="AT87" s="200" t="str">
        <f>"33.0"</f>
        <v>33.0</v>
      </c>
      <c r="AU87" s="203">
        <v>0</v>
      </c>
    </row>
    <row r="88" spans="1:47" x14ac:dyDescent="0.2">
      <c r="A88" s="200" t="str">
        <f>"0496002599173"</f>
        <v>0496002599173</v>
      </c>
      <c r="B88" s="200">
        <v>1</v>
      </c>
      <c r="C88" s="200" t="s">
        <v>585</v>
      </c>
      <c r="D88" s="200" t="s">
        <v>586</v>
      </c>
      <c r="E88" s="200" t="s">
        <v>586</v>
      </c>
      <c r="F88" s="200" t="s">
        <v>243</v>
      </c>
      <c r="G88" s="200">
        <v>5314</v>
      </c>
      <c r="H88" s="200" t="s">
        <v>270</v>
      </c>
      <c r="I88" s="200">
        <v>60044</v>
      </c>
      <c r="J88" s="201">
        <v>42590</v>
      </c>
      <c r="K88" s="202">
        <v>0.42777777777777781</v>
      </c>
      <c r="L88" s="201">
        <v>42592</v>
      </c>
      <c r="M88" s="200" t="s">
        <v>606</v>
      </c>
      <c r="N88" s="200" t="s">
        <v>399</v>
      </c>
      <c r="O88" s="200" t="s">
        <v>400</v>
      </c>
      <c r="P88" s="200" t="s">
        <v>274</v>
      </c>
      <c r="Q88" s="200" t="s">
        <v>275</v>
      </c>
      <c r="R88" s="200" t="s">
        <v>401</v>
      </c>
      <c r="S88" s="200" t="s">
        <v>436</v>
      </c>
      <c r="T88" s="200" t="s">
        <v>587</v>
      </c>
      <c r="U88" s="200">
        <v>5314</v>
      </c>
      <c r="V88" s="200" t="s">
        <v>585</v>
      </c>
      <c r="W88" s="200" t="s">
        <v>280</v>
      </c>
      <c r="X88" s="200">
        <v>27.2</v>
      </c>
      <c r="Y88" s="203">
        <v>0</v>
      </c>
      <c r="Z88" s="203">
        <v>2.04</v>
      </c>
      <c r="AA88" s="203">
        <v>55.46</v>
      </c>
      <c r="AB88" s="203">
        <v>-4.9800000000000004</v>
      </c>
      <c r="AC88" s="203">
        <v>0</v>
      </c>
      <c r="AD88" s="203">
        <v>0</v>
      </c>
      <c r="AE88" s="203">
        <v>50.48</v>
      </c>
      <c r="AF88" s="203">
        <v>-6.53</v>
      </c>
      <c r="AG88" s="200" t="s">
        <v>279</v>
      </c>
      <c r="AH88" s="203">
        <v>0</v>
      </c>
      <c r="AI88" s="200" t="s">
        <v>279</v>
      </c>
      <c r="AJ88" s="203">
        <v>0</v>
      </c>
      <c r="AK88" s="200" t="s">
        <v>279</v>
      </c>
      <c r="AL88" s="203">
        <v>0</v>
      </c>
      <c r="AM88" s="200" t="s">
        <v>279</v>
      </c>
      <c r="AN88" s="203">
        <v>0</v>
      </c>
      <c r="AO88" s="200" t="s">
        <v>279</v>
      </c>
      <c r="AP88" s="203">
        <v>0</v>
      </c>
      <c r="AQ88" s="203">
        <v>55.46</v>
      </c>
      <c r="AR88" s="203">
        <v>0</v>
      </c>
      <c r="AS88" s="200" t="str">
        <f t="shared" si="1"/>
        <v>1.00000000</v>
      </c>
      <c r="AT88" s="200" t="str">
        <f>"13.6"</f>
        <v>13.6</v>
      </c>
      <c r="AU88" s="203">
        <v>0</v>
      </c>
    </row>
    <row r="89" spans="1:47" x14ac:dyDescent="0.2">
      <c r="A89" s="200" t="str">
        <f>"0496002595700"</f>
        <v>0496002595700</v>
      </c>
      <c r="B89" s="200">
        <v>2</v>
      </c>
      <c r="C89" s="200" t="s">
        <v>156</v>
      </c>
      <c r="D89" s="200">
        <v>42</v>
      </c>
      <c r="E89" s="200">
        <v>42</v>
      </c>
      <c r="F89" s="200" t="s">
        <v>243</v>
      </c>
      <c r="G89" s="200">
        <v>2262</v>
      </c>
      <c r="H89" s="200" t="s">
        <v>270</v>
      </c>
      <c r="I89" s="200">
        <v>27237</v>
      </c>
      <c r="J89" s="201">
        <v>42591</v>
      </c>
      <c r="K89" s="202">
        <v>0.68354166666666671</v>
      </c>
      <c r="L89" s="201">
        <v>42593</v>
      </c>
      <c r="M89" s="200" t="s">
        <v>319</v>
      </c>
      <c r="N89" s="200" t="s">
        <v>695</v>
      </c>
      <c r="O89" s="200" t="s">
        <v>696</v>
      </c>
      <c r="P89" s="200" t="s">
        <v>697</v>
      </c>
      <c r="Q89" s="200" t="s">
        <v>377</v>
      </c>
      <c r="R89" s="200">
        <v>5030</v>
      </c>
      <c r="S89" s="200" t="s">
        <v>156</v>
      </c>
      <c r="T89" s="200" t="s">
        <v>277</v>
      </c>
      <c r="U89" s="200">
        <v>2262</v>
      </c>
      <c r="V89" s="200" t="s">
        <v>156</v>
      </c>
      <c r="W89" s="200" t="s">
        <v>280</v>
      </c>
      <c r="X89" s="200">
        <v>9.1120000000000001</v>
      </c>
      <c r="Y89" s="203">
        <v>0</v>
      </c>
      <c r="Z89" s="203">
        <v>2.0099999999999998</v>
      </c>
      <c r="AA89" s="203">
        <v>18.309999999999999</v>
      </c>
      <c r="AB89" s="203">
        <v>-1.67</v>
      </c>
      <c r="AC89" s="203">
        <v>0</v>
      </c>
      <c r="AD89" s="203">
        <v>0</v>
      </c>
      <c r="AE89" s="203">
        <v>16.64</v>
      </c>
      <c r="AF89" s="203">
        <v>-2.1800000000000002</v>
      </c>
      <c r="AG89" s="200" t="s">
        <v>279</v>
      </c>
      <c r="AH89" s="203">
        <v>0</v>
      </c>
      <c r="AI89" s="200" t="s">
        <v>279</v>
      </c>
      <c r="AJ89" s="203">
        <v>0</v>
      </c>
      <c r="AK89" s="200" t="s">
        <v>279</v>
      </c>
      <c r="AL89" s="203">
        <v>0</v>
      </c>
      <c r="AM89" s="200" t="s">
        <v>279</v>
      </c>
      <c r="AN89" s="203">
        <v>0</v>
      </c>
      <c r="AO89" s="200" t="s">
        <v>279</v>
      </c>
      <c r="AP89" s="203">
        <v>0</v>
      </c>
      <c r="AQ89" s="203">
        <v>18.309999999999999</v>
      </c>
      <c r="AR89" s="203">
        <v>0</v>
      </c>
      <c r="AS89" s="200" t="str">
        <f t="shared" si="1"/>
        <v>1.00000000</v>
      </c>
      <c r="AT89" s="200" t="str">
        <f>"43.6"</f>
        <v>43.6</v>
      </c>
      <c r="AU89" s="203">
        <v>0</v>
      </c>
    </row>
    <row r="90" spans="1:47" x14ac:dyDescent="0.2">
      <c r="A90" s="200" t="str">
        <f>"0496002595734"</f>
        <v>0496002595734</v>
      </c>
      <c r="B90" s="200">
        <v>1</v>
      </c>
      <c r="C90" s="200" t="s">
        <v>435</v>
      </c>
      <c r="D90" s="200">
        <v>81</v>
      </c>
      <c r="E90" s="200">
        <v>81</v>
      </c>
      <c r="F90" s="200" t="s">
        <v>243</v>
      </c>
      <c r="G90" s="200">
        <v>2086</v>
      </c>
      <c r="H90" s="200" t="s">
        <v>270</v>
      </c>
      <c r="I90" s="200">
        <v>59662</v>
      </c>
      <c r="J90" s="201">
        <v>42592</v>
      </c>
      <c r="K90" s="202">
        <v>0.84444444444444444</v>
      </c>
      <c r="L90" s="201">
        <v>42594</v>
      </c>
      <c r="M90" s="200" t="s">
        <v>271</v>
      </c>
      <c r="N90" s="200" t="s">
        <v>352</v>
      </c>
      <c r="O90" s="200" t="s">
        <v>353</v>
      </c>
      <c r="P90" s="200" t="s">
        <v>343</v>
      </c>
      <c r="Q90" s="200" t="s">
        <v>275</v>
      </c>
      <c r="R90" s="200" t="s">
        <v>602</v>
      </c>
      <c r="S90" s="200" t="s">
        <v>436</v>
      </c>
      <c r="T90" s="200" t="s">
        <v>435</v>
      </c>
      <c r="U90" s="200">
        <v>2086</v>
      </c>
      <c r="V90" s="200" t="s">
        <v>435</v>
      </c>
      <c r="W90" s="200" t="s">
        <v>280</v>
      </c>
      <c r="X90" s="200">
        <v>11.984999999999999</v>
      </c>
      <c r="Y90" s="203">
        <v>-0.36</v>
      </c>
      <c r="Z90" s="203">
        <v>2</v>
      </c>
      <c r="AA90" s="203">
        <v>23.96</v>
      </c>
      <c r="AB90" s="203">
        <v>-2.19</v>
      </c>
      <c r="AC90" s="203">
        <v>0</v>
      </c>
      <c r="AD90" s="203">
        <v>0</v>
      </c>
      <c r="AE90" s="203">
        <v>21.41</v>
      </c>
      <c r="AF90" s="203">
        <v>-2.88</v>
      </c>
      <c r="AG90" s="200" t="s">
        <v>279</v>
      </c>
      <c r="AH90" s="203">
        <v>0</v>
      </c>
      <c r="AI90" s="200" t="s">
        <v>279</v>
      </c>
      <c r="AJ90" s="203">
        <v>0</v>
      </c>
      <c r="AK90" s="200" t="s">
        <v>279</v>
      </c>
      <c r="AL90" s="203">
        <v>0</v>
      </c>
      <c r="AM90" s="200" t="s">
        <v>279</v>
      </c>
      <c r="AN90" s="203">
        <v>0</v>
      </c>
      <c r="AO90" s="200" t="s">
        <v>279</v>
      </c>
      <c r="AP90" s="203">
        <v>0</v>
      </c>
      <c r="AQ90" s="203">
        <v>23.96</v>
      </c>
      <c r="AR90" s="203">
        <v>0</v>
      </c>
      <c r="AS90" s="200" t="str">
        <f t="shared" si="1"/>
        <v>1.00000000</v>
      </c>
      <c r="AT90" s="200" t="str">
        <f>"19.8"</f>
        <v>19.8</v>
      </c>
      <c r="AU90" s="203">
        <v>0</v>
      </c>
    </row>
    <row r="91" spans="1:47" x14ac:dyDescent="0.2">
      <c r="A91" s="200" t="str">
        <f>"0496002595833"</f>
        <v>0496002595833</v>
      </c>
      <c r="B91" s="200">
        <v>1</v>
      </c>
      <c r="C91" s="200" t="s">
        <v>571</v>
      </c>
      <c r="D91" s="200" t="s">
        <v>571</v>
      </c>
      <c r="E91" s="200" t="s">
        <v>572</v>
      </c>
      <c r="F91" s="200" t="s">
        <v>243</v>
      </c>
      <c r="G91" s="200">
        <v>2328</v>
      </c>
      <c r="H91" s="200" t="s">
        <v>270</v>
      </c>
      <c r="I91" s="200">
        <v>50334</v>
      </c>
      <c r="J91" s="201">
        <v>42592</v>
      </c>
      <c r="K91" s="202">
        <v>0.62291666666666667</v>
      </c>
      <c r="L91" s="201">
        <v>42594</v>
      </c>
      <c r="M91" s="200" t="s">
        <v>271</v>
      </c>
      <c r="N91" s="200" t="s">
        <v>272</v>
      </c>
      <c r="O91" s="200" t="s">
        <v>273</v>
      </c>
      <c r="P91" s="200" t="s">
        <v>274</v>
      </c>
      <c r="Q91" s="200" t="s">
        <v>275</v>
      </c>
      <c r="R91" s="200" t="s">
        <v>276</v>
      </c>
      <c r="S91" s="200" t="s">
        <v>436</v>
      </c>
      <c r="T91" s="200" t="s">
        <v>571</v>
      </c>
      <c r="U91" s="200">
        <v>2328</v>
      </c>
      <c r="V91" s="200" t="s">
        <v>571</v>
      </c>
      <c r="W91" s="200" t="s">
        <v>280</v>
      </c>
      <c r="X91" s="200">
        <v>10.340999999999999</v>
      </c>
      <c r="Y91" s="203">
        <v>-0.31</v>
      </c>
      <c r="Z91" s="203">
        <v>2.02</v>
      </c>
      <c r="AA91" s="203">
        <v>20.88</v>
      </c>
      <c r="AB91" s="203">
        <v>-1.89</v>
      </c>
      <c r="AC91" s="203">
        <v>0</v>
      </c>
      <c r="AD91" s="203">
        <v>0</v>
      </c>
      <c r="AE91" s="203">
        <v>18.68</v>
      </c>
      <c r="AF91" s="203">
        <v>-2.48</v>
      </c>
      <c r="AG91" s="200" t="s">
        <v>279</v>
      </c>
      <c r="AH91" s="203">
        <v>0</v>
      </c>
      <c r="AI91" s="200" t="s">
        <v>279</v>
      </c>
      <c r="AJ91" s="203">
        <v>0</v>
      </c>
      <c r="AK91" s="200" t="s">
        <v>279</v>
      </c>
      <c r="AL91" s="203">
        <v>0</v>
      </c>
      <c r="AM91" s="200" t="s">
        <v>279</v>
      </c>
      <c r="AN91" s="203">
        <v>0</v>
      </c>
      <c r="AO91" s="200" t="s">
        <v>279</v>
      </c>
      <c r="AP91" s="203">
        <v>0</v>
      </c>
      <c r="AQ91" s="203">
        <v>20.88</v>
      </c>
      <c r="AR91" s="203">
        <v>0</v>
      </c>
      <c r="AS91" s="200" t="str">
        <f t="shared" si="1"/>
        <v>1.00000000</v>
      </c>
      <c r="AT91" s="200" t="str">
        <f>"4653.4"</f>
        <v>4653.4</v>
      </c>
      <c r="AU91" s="203">
        <v>0</v>
      </c>
    </row>
    <row r="92" spans="1:47" x14ac:dyDescent="0.2">
      <c r="A92" s="200" t="str">
        <f>"0496002595734"</f>
        <v>0496002595734</v>
      </c>
      <c r="B92" s="200">
        <v>2</v>
      </c>
      <c r="C92" s="200" t="s">
        <v>435</v>
      </c>
      <c r="D92" s="200">
        <v>80</v>
      </c>
      <c r="E92" s="200">
        <v>80</v>
      </c>
      <c r="F92" s="200" t="s">
        <v>243</v>
      </c>
      <c r="G92" s="200">
        <v>2086</v>
      </c>
      <c r="H92" s="200" t="s">
        <v>270</v>
      </c>
      <c r="I92" s="200">
        <v>63399</v>
      </c>
      <c r="J92" s="201">
        <v>42593</v>
      </c>
      <c r="K92" s="202">
        <v>0.30416666666666664</v>
      </c>
      <c r="L92" s="201">
        <v>42597</v>
      </c>
      <c r="M92" s="200" t="s">
        <v>271</v>
      </c>
      <c r="N92" s="200" t="s">
        <v>291</v>
      </c>
      <c r="O92" s="200" t="s">
        <v>292</v>
      </c>
      <c r="P92" s="200" t="s">
        <v>293</v>
      </c>
      <c r="Q92" s="200" t="s">
        <v>275</v>
      </c>
      <c r="R92" s="200">
        <v>1507</v>
      </c>
      <c r="S92" s="200" t="s">
        <v>436</v>
      </c>
      <c r="T92" s="200" t="s">
        <v>435</v>
      </c>
      <c r="U92" s="200">
        <v>2086</v>
      </c>
      <c r="V92" s="200" t="s">
        <v>435</v>
      </c>
      <c r="W92" s="200" t="s">
        <v>280</v>
      </c>
      <c r="X92" s="200">
        <v>9.7379999999999995</v>
      </c>
      <c r="Y92" s="203">
        <v>-0.28999999999999998</v>
      </c>
      <c r="Z92" s="203">
        <v>2.14</v>
      </c>
      <c r="AA92" s="203">
        <v>20.83</v>
      </c>
      <c r="AB92" s="203">
        <v>-1.78</v>
      </c>
      <c r="AC92" s="203">
        <v>0</v>
      </c>
      <c r="AD92" s="203">
        <v>0</v>
      </c>
      <c r="AE92" s="203">
        <v>18.760000000000002</v>
      </c>
      <c r="AF92" s="203">
        <v>-2.34</v>
      </c>
      <c r="AG92" s="200" t="s">
        <v>279</v>
      </c>
      <c r="AH92" s="203">
        <v>0</v>
      </c>
      <c r="AI92" s="200" t="s">
        <v>279</v>
      </c>
      <c r="AJ92" s="203">
        <v>0</v>
      </c>
      <c r="AK92" s="200" t="s">
        <v>279</v>
      </c>
      <c r="AL92" s="203">
        <v>0</v>
      </c>
      <c r="AM92" s="200" t="s">
        <v>279</v>
      </c>
      <c r="AN92" s="203">
        <v>0</v>
      </c>
      <c r="AO92" s="200" t="s">
        <v>279</v>
      </c>
      <c r="AP92" s="203">
        <v>0</v>
      </c>
      <c r="AQ92" s="203">
        <v>20.83</v>
      </c>
      <c r="AR92" s="203">
        <v>0</v>
      </c>
      <c r="AS92" s="200" t="str">
        <f t="shared" si="1"/>
        <v>1.00000000</v>
      </c>
      <c r="AT92" s="200" t="str">
        <f>"35.6"</f>
        <v>35.6</v>
      </c>
      <c r="AU92" s="203">
        <v>0</v>
      </c>
    </row>
    <row r="93" spans="1:47" x14ac:dyDescent="0.2">
      <c r="A93" s="200" t="str">
        <f>"0496002595742"</f>
        <v>0496002595742</v>
      </c>
      <c r="B93" s="200">
        <v>1</v>
      </c>
      <c r="C93" s="200" t="s">
        <v>569</v>
      </c>
      <c r="D93" s="200">
        <v>84</v>
      </c>
      <c r="E93" s="200">
        <v>84</v>
      </c>
      <c r="F93" s="200" t="s">
        <v>243</v>
      </c>
      <c r="G93" s="200">
        <v>5823</v>
      </c>
      <c r="H93" s="200" t="s">
        <v>270</v>
      </c>
      <c r="I93" s="200">
        <v>86443</v>
      </c>
      <c r="J93" s="201">
        <v>42593</v>
      </c>
      <c r="K93" s="202">
        <v>0.61319444444444449</v>
      </c>
      <c r="L93" s="201">
        <v>42597</v>
      </c>
      <c r="M93" s="200" t="s">
        <v>271</v>
      </c>
      <c r="N93" s="200" t="s">
        <v>272</v>
      </c>
      <c r="O93" s="200" t="s">
        <v>273</v>
      </c>
      <c r="P93" s="200" t="s">
        <v>274</v>
      </c>
      <c r="Q93" s="200" t="s">
        <v>275</v>
      </c>
      <c r="R93" s="200" t="s">
        <v>276</v>
      </c>
      <c r="S93" s="200" t="s">
        <v>436</v>
      </c>
      <c r="T93" s="200" t="s">
        <v>569</v>
      </c>
      <c r="U93" s="200">
        <v>5823</v>
      </c>
      <c r="V93" s="200" t="s">
        <v>569</v>
      </c>
      <c r="W93" s="200" t="s">
        <v>280</v>
      </c>
      <c r="X93" s="200">
        <v>8.3650000000000002</v>
      </c>
      <c r="Y93" s="203">
        <v>-0.25</v>
      </c>
      <c r="Z93" s="203">
        <v>2.02</v>
      </c>
      <c r="AA93" s="203">
        <v>16.89</v>
      </c>
      <c r="AB93" s="203">
        <v>-1.53</v>
      </c>
      <c r="AC93" s="203">
        <v>0</v>
      </c>
      <c r="AD93" s="203">
        <v>0</v>
      </c>
      <c r="AE93" s="203">
        <v>15.11</v>
      </c>
      <c r="AF93" s="203">
        <v>-2.0099999999999998</v>
      </c>
      <c r="AG93" s="200" t="s">
        <v>279</v>
      </c>
      <c r="AH93" s="203">
        <v>0</v>
      </c>
      <c r="AI93" s="200" t="s">
        <v>279</v>
      </c>
      <c r="AJ93" s="203">
        <v>0</v>
      </c>
      <c r="AK93" s="200" t="s">
        <v>279</v>
      </c>
      <c r="AL93" s="203">
        <v>0</v>
      </c>
      <c r="AM93" s="200" t="s">
        <v>279</v>
      </c>
      <c r="AN93" s="203">
        <v>0</v>
      </c>
      <c r="AO93" s="200" t="s">
        <v>279</v>
      </c>
      <c r="AP93" s="203">
        <v>0</v>
      </c>
      <c r="AQ93" s="203">
        <v>16.89</v>
      </c>
      <c r="AR93" s="203">
        <v>0</v>
      </c>
      <c r="AS93" s="200" t="str">
        <f t="shared" si="1"/>
        <v>1.00000000</v>
      </c>
      <c r="AT93" s="200" t="str">
        <f>"7660.5"</f>
        <v>7660.5</v>
      </c>
      <c r="AU93" s="203">
        <v>0</v>
      </c>
    </row>
    <row r="94" spans="1:47" x14ac:dyDescent="0.2">
      <c r="A94" s="200" t="str">
        <f>"0496002595734"</f>
        <v>0496002595734</v>
      </c>
      <c r="B94" s="200">
        <v>3</v>
      </c>
      <c r="C94" s="200" t="s">
        <v>435</v>
      </c>
      <c r="D94" s="200">
        <v>82</v>
      </c>
      <c r="E94" s="200">
        <v>82</v>
      </c>
      <c r="F94" s="200" t="s">
        <v>243</v>
      </c>
      <c r="G94" s="200">
        <v>2086</v>
      </c>
      <c r="H94" s="200" t="s">
        <v>270</v>
      </c>
      <c r="I94" s="200">
        <v>47348</v>
      </c>
      <c r="J94" s="201">
        <v>42594</v>
      </c>
      <c r="K94" s="202">
        <v>0.88124999999999998</v>
      </c>
      <c r="L94" s="201">
        <v>42598</v>
      </c>
      <c r="M94" s="200" t="s">
        <v>271</v>
      </c>
      <c r="N94" s="200" t="s">
        <v>272</v>
      </c>
      <c r="O94" s="200" t="s">
        <v>273</v>
      </c>
      <c r="P94" s="200" t="s">
        <v>274</v>
      </c>
      <c r="Q94" s="200" t="s">
        <v>275</v>
      </c>
      <c r="R94" s="200" t="s">
        <v>276</v>
      </c>
      <c r="S94" s="200" t="s">
        <v>436</v>
      </c>
      <c r="T94" s="200" t="s">
        <v>435</v>
      </c>
      <c r="U94" s="200">
        <v>2086</v>
      </c>
      <c r="V94" s="200" t="s">
        <v>435</v>
      </c>
      <c r="W94" s="200" t="s">
        <v>280</v>
      </c>
      <c r="X94" s="200">
        <v>13.714</v>
      </c>
      <c r="Y94" s="203">
        <v>-0.41</v>
      </c>
      <c r="Z94" s="203">
        <v>2.02</v>
      </c>
      <c r="AA94" s="203">
        <v>27.69</v>
      </c>
      <c r="AB94" s="203">
        <v>-2.5099999999999998</v>
      </c>
      <c r="AC94" s="203">
        <v>0</v>
      </c>
      <c r="AD94" s="203">
        <v>0</v>
      </c>
      <c r="AE94" s="203">
        <v>24.77</v>
      </c>
      <c r="AF94" s="203">
        <v>-3.29</v>
      </c>
      <c r="AG94" s="200" t="s">
        <v>279</v>
      </c>
      <c r="AH94" s="203">
        <v>0</v>
      </c>
      <c r="AI94" s="200" t="s">
        <v>279</v>
      </c>
      <c r="AJ94" s="203">
        <v>0</v>
      </c>
      <c r="AK94" s="200" t="s">
        <v>279</v>
      </c>
      <c r="AL94" s="203">
        <v>0</v>
      </c>
      <c r="AM94" s="200" t="s">
        <v>279</v>
      </c>
      <c r="AN94" s="203">
        <v>0</v>
      </c>
      <c r="AO94" s="200" t="s">
        <v>279</v>
      </c>
      <c r="AP94" s="203">
        <v>0</v>
      </c>
      <c r="AQ94" s="203">
        <v>27.69</v>
      </c>
      <c r="AR94" s="203">
        <v>0</v>
      </c>
      <c r="AS94" s="200" t="str">
        <f t="shared" si="1"/>
        <v>1.00000000</v>
      </c>
      <c r="AT94" s="200" t="str">
        <f>"9.8"</f>
        <v>9.8</v>
      </c>
      <c r="AU94" s="203">
        <v>0</v>
      </c>
    </row>
    <row r="95" spans="1:47" x14ac:dyDescent="0.2">
      <c r="A95" s="200" t="str">
        <f>"0496002599173"</f>
        <v>0496002599173</v>
      </c>
      <c r="B95" s="200">
        <v>3</v>
      </c>
      <c r="C95" s="200" t="s">
        <v>585</v>
      </c>
      <c r="D95" s="200" t="s">
        <v>628</v>
      </c>
      <c r="E95" s="200" t="s">
        <v>628</v>
      </c>
      <c r="F95" s="200" t="s">
        <v>243</v>
      </c>
      <c r="G95" s="200">
        <v>5738</v>
      </c>
      <c r="H95" s="200" t="s">
        <v>270</v>
      </c>
      <c r="I95" s="200">
        <v>111777</v>
      </c>
      <c r="J95" s="201">
        <v>42594</v>
      </c>
      <c r="K95" s="202">
        <v>0.31388888888888888</v>
      </c>
      <c r="L95" s="201">
        <v>42598</v>
      </c>
      <c r="M95" s="200" t="s">
        <v>271</v>
      </c>
      <c r="N95" s="200" t="s">
        <v>588</v>
      </c>
      <c r="O95" s="200" t="s">
        <v>589</v>
      </c>
      <c r="P95" s="200" t="s">
        <v>590</v>
      </c>
      <c r="Q95" s="200" t="s">
        <v>275</v>
      </c>
      <c r="R95" s="200" t="s">
        <v>611</v>
      </c>
      <c r="S95" s="200" t="s">
        <v>436</v>
      </c>
      <c r="T95" s="200" t="s">
        <v>630</v>
      </c>
      <c r="U95" s="200">
        <v>5738</v>
      </c>
      <c r="V95" s="200" t="s">
        <v>585</v>
      </c>
      <c r="W95" s="200" t="s">
        <v>280</v>
      </c>
      <c r="X95" s="200">
        <v>8.1560000000000006</v>
      </c>
      <c r="Y95" s="203">
        <v>-0.4</v>
      </c>
      <c r="Z95" s="203">
        <v>1.97</v>
      </c>
      <c r="AA95" s="203">
        <v>16.059999999999999</v>
      </c>
      <c r="AB95" s="203">
        <v>-1.49</v>
      </c>
      <c r="AC95" s="203">
        <v>0</v>
      </c>
      <c r="AD95" s="203">
        <v>0</v>
      </c>
      <c r="AE95" s="203">
        <v>14.17</v>
      </c>
      <c r="AF95" s="203">
        <v>-1.96</v>
      </c>
      <c r="AG95" s="200" t="s">
        <v>279</v>
      </c>
      <c r="AH95" s="203">
        <v>0</v>
      </c>
      <c r="AI95" s="200" t="s">
        <v>279</v>
      </c>
      <c r="AJ95" s="203">
        <v>0</v>
      </c>
      <c r="AK95" s="200" t="s">
        <v>279</v>
      </c>
      <c r="AL95" s="203">
        <v>0</v>
      </c>
      <c r="AM95" s="200" t="s">
        <v>279</v>
      </c>
      <c r="AN95" s="203">
        <v>0</v>
      </c>
      <c r="AO95" s="200" t="s">
        <v>279</v>
      </c>
      <c r="AP95" s="203">
        <v>0</v>
      </c>
      <c r="AQ95" s="203">
        <v>16.059999999999999</v>
      </c>
      <c r="AR95" s="203">
        <v>0</v>
      </c>
      <c r="AS95" s="200" t="str">
        <f t="shared" si="1"/>
        <v>1.00000000</v>
      </c>
      <c r="AT95" s="200" t="str">
        <f>"10.0"</f>
        <v>10.0</v>
      </c>
      <c r="AU95" s="203">
        <v>0</v>
      </c>
    </row>
    <row r="96" spans="1:47" x14ac:dyDescent="0.2">
      <c r="A96" s="200" t="str">
        <f>"0496002599173"</f>
        <v>0496002599173</v>
      </c>
      <c r="B96" s="200">
        <v>3</v>
      </c>
      <c r="C96" s="200" t="s">
        <v>585</v>
      </c>
      <c r="D96" s="200" t="s">
        <v>628</v>
      </c>
      <c r="E96" s="200" t="s">
        <v>628</v>
      </c>
      <c r="F96" s="200" t="s">
        <v>243</v>
      </c>
      <c r="G96" s="200">
        <v>5738</v>
      </c>
      <c r="H96" s="200" t="s">
        <v>270</v>
      </c>
      <c r="I96" s="200">
        <v>111782</v>
      </c>
      <c r="J96" s="201">
        <v>42594</v>
      </c>
      <c r="K96" s="202">
        <v>0.62361111111111112</v>
      </c>
      <c r="L96" s="201">
        <v>42598</v>
      </c>
      <c r="M96" s="200" t="s">
        <v>271</v>
      </c>
      <c r="N96" s="200" t="s">
        <v>588</v>
      </c>
      <c r="O96" s="200" t="s">
        <v>589</v>
      </c>
      <c r="P96" s="200" t="s">
        <v>590</v>
      </c>
      <c r="Q96" s="200" t="s">
        <v>275</v>
      </c>
      <c r="R96" s="200" t="s">
        <v>611</v>
      </c>
      <c r="S96" s="200" t="s">
        <v>436</v>
      </c>
      <c r="T96" s="200" t="s">
        <v>630</v>
      </c>
      <c r="U96" s="200">
        <v>5738</v>
      </c>
      <c r="V96" s="200" t="s">
        <v>585</v>
      </c>
      <c r="W96" s="200" t="s">
        <v>280</v>
      </c>
      <c r="X96" s="200">
        <v>22.143999999999998</v>
      </c>
      <c r="Y96" s="203">
        <v>-1.1000000000000001</v>
      </c>
      <c r="Z96" s="203">
        <v>1.95</v>
      </c>
      <c r="AA96" s="203">
        <v>43.16</v>
      </c>
      <c r="AB96" s="203">
        <v>-4.05</v>
      </c>
      <c r="AC96" s="203">
        <v>0</v>
      </c>
      <c r="AD96" s="203">
        <v>0</v>
      </c>
      <c r="AE96" s="203">
        <v>38.01</v>
      </c>
      <c r="AF96" s="203">
        <v>-5.31</v>
      </c>
      <c r="AG96" s="200" t="s">
        <v>279</v>
      </c>
      <c r="AH96" s="203">
        <v>0</v>
      </c>
      <c r="AI96" s="200" t="s">
        <v>279</v>
      </c>
      <c r="AJ96" s="203">
        <v>0</v>
      </c>
      <c r="AK96" s="200" t="s">
        <v>279</v>
      </c>
      <c r="AL96" s="203">
        <v>0</v>
      </c>
      <c r="AM96" s="200" t="s">
        <v>279</v>
      </c>
      <c r="AN96" s="203">
        <v>0</v>
      </c>
      <c r="AO96" s="200" t="s">
        <v>279</v>
      </c>
      <c r="AP96" s="203">
        <v>0</v>
      </c>
      <c r="AQ96" s="203">
        <v>43.16</v>
      </c>
      <c r="AR96" s="203">
        <v>0</v>
      </c>
      <c r="AS96" s="200" t="str">
        <f t="shared" si="1"/>
        <v>1.00000000</v>
      </c>
      <c r="AT96" s="200" t="str">
        <f>"10.0"</f>
        <v>10.0</v>
      </c>
      <c r="AU96" s="203">
        <v>0</v>
      </c>
    </row>
    <row r="97" spans="1:47" x14ac:dyDescent="0.2">
      <c r="A97" s="200" t="str">
        <f>"0496002595700"</f>
        <v>0496002595700</v>
      </c>
      <c r="B97" s="200">
        <v>2</v>
      </c>
      <c r="C97" s="200" t="s">
        <v>156</v>
      </c>
      <c r="D97" s="200">
        <v>42</v>
      </c>
      <c r="E97" s="200">
        <v>42</v>
      </c>
      <c r="F97" s="200" t="s">
        <v>243</v>
      </c>
      <c r="G97" s="200">
        <v>2262</v>
      </c>
      <c r="H97" s="200" t="s">
        <v>270</v>
      </c>
      <c r="I97" s="200">
        <v>27539</v>
      </c>
      <c r="J97" s="201">
        <v>42595</v>
      </c>
      <c r="K97" s="202">
        <v>0.9770833333333333</v>
      </c>
      <c r="L97" s="201">
        <v>42598</v>
      </c>
      <c r="M97" s="200" t="s">
        <v>271</v>
      </c>
      <c r="N97" s="200" t="s">
        <v>272</v>
      </c>
      <c r="O97" s="200" t="s">
        <v>273</v>
      </c>
      <c r="P97" s="200" t="s">
        <v>274</v>
      </c>
      <c r="Q97" s="200" t="s">
        <v>275</v>
      </c>
      <c r="R97" s="200" t="s">
        <v>276</v>
      </c>
      <c r="S97" s="200" t="s">
        <v>156</v>
      </c>
      <c r="T97" s="200" t="s">
        <v>277</v>
      </c>
      <c r="U97" s="200">
        <v>2262</v>
      </c>
      <c r="V97" s="200" t="s">
        <v>156</v>
      </c>
      <c r="W97" s="200" t="s">
        <v>280</v>
      </c>
      <c r="X97" s="200">
        <v>6.5789999999999997</v>
      </c>
      <c r="Y97" s="203">
        <v>-0.2</v>
      </c>
      <c r="Z97" s="203">
        <v>2.02</v>
      </c>
      <c r="AA97" s="203">
        <v>13.29</v>
      </c>
      <c r="AB97" s="203">
        <v>-1.2</v>
      </c>
      <c r="AC97" s="203">
        <v>0</v>
      </c>
      <c r="AD97" s="203">
        <v>0</v>
      </c>
      <c r="AE97" s="203">
        <v>11.89</v>
      </c>
      <c r="AF97" s="203">
        <v>-1.58</v>
      </c>
      <c r="AG97" s="200" t="s">
        <v>279</v>
      </c>
      <c r="AH97" s="203">
        <v>0</v>
      </c>
      <c r="AI97" s="200" t="s">
        <v>279</v>
      </c>
      <c r="AJ97" s="203">
        <v>0</v>
      </c>
      <c r="AK97" s="200" t="s">
        <v>279</v>
      </c>
      <c r="AL97" s="203">
        <v>0</v>
      </c>
      <c r="AM97" s="200" t="s">
        <v>279</v>
      </c>
      <c r="AN97" s="203">
        <v>0</v>
      </c>
      <c r="AO97" s="200" t="s">
        <v>279</v>
      </c>
      <c r="AP97" s="203">
        <v>0</v>
      </c>
      <c r="AQ97" s="203">
        <v>13.29</v>
      </c>
      <c r="AR97" s="203">
        <v>0</v>
      </c>
      <c r="AS97" s="200" t="str">
        <f t="shared" si="1"/>
        <v>1.00000000</v>
      </c>
      <c r="AT97" s="200" t="str">
        <f>"45.9"</f>
        <v>45.9</v>
      </c>
      <c r="AU97" s="203">
        <v>0</v>
      </c>
    </row>
    <row r="98" spans="1:47" x14ac:dyDescent="0.2">
      <c r="A98" s="200" t="str">
        <f>"0496002595734"</f>
        <v>0496002595734</v>
      </c>
      <c r="B98" s="200">
        <v>2</v>
      </c>
      <c r="C98" s="200" t="s">
        <v>435</v>
      </c>
      <c r="D98" s="200">
        <v>80</v>
      </c>
      <c r="E98" s="200">
        <v>80</v>
      </c>
      <c r="F98" s="200" t="s">
        <v>243</v>
      </c>
      <c r="G98" s="200">
        <v>2086</v>
      </c>
      <c r="H98" s="200" t="s">
        <v>270</v>
      </c>
      <c r="I98" s="200">
        <v>63537</v>
      </c>
      <c r="J98" s="201">
        <v>42595</v>
      </c>
      <c r="K98" s="202">
        <v>0.4201388888888889</v>
      </c>
      <c r="L98" s="201">
        <v>42598</v>
      </c>
      <c r="M98" s="200" t="s">
        <v>271</v>
      </c>
      <c r="N98" s="200" t="s">
        <v>272</v>
      </c>
      <c r="O98" s="200" t="s">
        <v>273</v>
      </c>
      <c r="P98" s="200" t="s">
        <v>274</v>
      </c>
      <c r="Q98" s="200" t="s">
        <v>275</v>
      </c>
      <c r="R98" s="200" t="s">
        <v>276</v>
      </c>
      <c r="S98" s="200" t="s">
        <v>436</v>
      </c>
      <c r="T98" s="200" t="s">
        <v>435</v>
      </c>
      <c r="U98" s="200">
        <v>2086</v>
      </c>
      <c r="V98" s="200" t="s">
        <v>435</v>
      </c>
      <c r="W98" s="200" t="s">
        <v>280</v>
      </c>
      <c r="X98" s="200">
        <v>4.0460000000000003</v>
      </c>
      <c r="Y98" s="203">
        <v>-0.12</v>
      </c>
      <c r="Z98" s="203">
        <v>2.02</v>
      </c>
      <c r="AA98" s="203">
        <v>8.17</v>
      </c>
      <c r="AB98" s="203">
        <v>-0.74</v>
      </c>
      <c r="AC98" s="203">
        <v>0</v>
      </c>
      <c r="AD98" s="203">
        <v>0</v>
      </c>
      <c r="AE98" s="203">
        <v>7.31</v>
      </c>
      <c r="AF98" s="203">
        <v>-0.97</v>
      </c>
      <c r="AG98" s="200" t="s">
        <v>279</v>
      </c>
      <c r="AH98" s="203">
        <v>0</v>
      </c>
      <c r="AI98" s="200" t="s">
        <v>279</v>
      </c>
      <c r="AJ98" s="203">
        <v>0</v>
      </c>
      <c r="AK98" s="200" t="s">
        <v>279</v>
      </c>
      <c r="AL98" s="203">
        <v>0</v>
      </c>
      <c r="AM98" s="200" t="s">
        <v>279</v>
      </c>
      <c r="AN98" s="203">
        <v>0</v>
      </c>
      <c r="AO98" s="200" t="s">
        <v>279</v>
      </c>
      <c r="AP98" s="203">
        <v>0</v>
      </c>
      <c r="AQ98" s="203">
        <v>8.17</v>
      </c>
      <c r="AR98" s="203">
        <v>0</v>
      </c>
      <c r="AS98" s="200" t="str">
        <f t="shared" si="1"/>
        <v>1.00000000</v>
      </c>
      <c r="AT98" s="200" t="str">
        <f>"34.1"</f>
        <v>34.1</v>
      </c>
      <c r="AU98" s="203">
        <v>0</v>
      </c>
    </row>
    <row r="99" spans="1:47" x14ac:dyDescent="0.2">
      <c r="A99" s="200" t="str">
        <f>"0496002595734"</f>
        <v>0496002595734</v>
      </c>
      <c r="B99" s="200">
        <v>3</v>
      </c>
      <c r="C99" s="200" t="s">
        <v>435</v>
      </c>
      <c r="D99" s="200">
        <v>82</v>
      </c>
      <c r="E99" s="200">
        <v>82</v>
      </c>
      <c r="F99" s="200" t="s">
        <v>243</v>
      </c>
      <c r="G99" s="200">
        <v>2086</v>
      </c>
      <c r="H99" s="200" t="s">
        <v>270</v>
      </c>
      <c r="I99" s="200">
        <v>47653</v>
      </c>
      <c r="J99" s="201">
        <v>42596</v>
      </c>
      <c r="K99" s="202">
        <v>0.47986111111111113</v>
      </c>
      <c r="L99" s="201">
        <v>42598</v>
      </c>
      <c r="M99" s="200" t="s">
        <v>271</v>
      </c>
      <c r="N99" s="200" t="s">
        <v>454</v>
      </c>
      <c r="O99" s="200" t="s">
        <v>698</v>
      </c>
      <c r="P99" s="200" t="s">
        <v>699</v>
      </c>
      <c r="Q99" s="200" t="s">
        <v>275</v>
      </c>
      <c r="R99" s="200" t="s">
        <v>700</v>
      </c>
      <c r="S99" s="200" t="s">
        <v>436</v>
      </c>
      <c r="T99" s="200" t="s">
        <v>435</v>
      </c>
      <c r="U99" s="200">
        <v>2086</v>
      </c>
      <c r="V99" s="200" t="s">
        <v>435</v>
      </c>
      <c r="W99" s="200" t="s">
        <v>280</v>
      </c>
      <c r="X99" s="200">
        <v>11.801</v>
      </c>
      <c r="Y99" s="203">
        <v>-0.35</v>
      </c>
      <c r="Z99" s="203">
        <v>2.2599999999999998</v>
      </c>
      <c r="AA99" s="203">
        <v>26.66</v>
      </c>
      <c r="AB99" s="203">
        <v>-2.16</v>
      </c>
      <c r="AC99" s="203">
        <v>0</v>
      </c>
      <c r="AD99" s="203">
        <v>0</v>
      </c>
      <c r="AE99" s="203">
        <v>24.15</v>
      </c>
      <c r="AF99" s="203">
        <v>-2.83</v>
      </c>
      <c r="AG99" s="200" t="s">
        <v>279</v>
      </c>
      <c r="AH99" s="203">
        <v>0</v>
      </c>
      <c r="AI99" s="200" t="s">
        <v>279</v>
      </c>
      <c r="AJ99" s="203">
        <v>0</v>
      </c>
      <c r="AK99" s="200" t="s">
        <v>279</v>
      </c>
      <c r="AL99" s="203">
        <v>0</v>
      </c>
      <c r="AM99" s="200" t="s">
        <v>279</v>
      </c>
      <c r="AN99" s="203">
        <v>0</v>
      </c>
      <c r="AO99" s="200" t="s">
        <v>279</v>
      </c>
      <c r="AP99" s="203">
        <v>0</v>
      </c>
      <c r="AQ99" s="203">
        <v>26.66</v>
      </c>
      <c r="AR99" s="203">
        <v>0</v>
      </c>
      <c r="AS99" s="200" t="str">
        <f t="shared" si="1"/>
        <v>1.00000000</v>
      </c>
      <c r="AT99" s="200" t="str">
        <f>"12.5"</f>
        <v>12.5</v>
      </c>
      <c r="AU99" s="203">
        <v>0</v>
      </c>
    </row>
    <row r="100" spans="1:47" x14ac:dyDescent="0.2">
      <c r="A100" s="200" t="str">
        <f>"0496002595734"</f>
        <v>0496002595734</v>
      </c>
      <c r="B100" s="200">
        <v>2</v>
      </c>
      <c r="C100" s="200" t="s">
        <v>435</v>
      </c>
      <c r="D100" s="200">
        <v>80</v>
      </c>
      <c r="E100" s="200">
        <v>80</v>
      </c>
      <c r="F100" s="200" t="s">
        <v>243</v>
      </c>
      <c r="G100" s="200">
        <v>2086</v>
      </c>
      <c r="H100" s="200" t="s">
        <v>270</v>
      </c>
      <c r="I100" s="200">
        <v>63977</v>
      </c>
      <c r="J100" s="201">
        <v>42597</v>
      </c>
      <c r="K100" s="202">
        <v>0.95833333333333337</v>
      </c>
      <c r="L100" s="201">
        <v>42599</v>
      </c>
      <c r="M100" s="200" t="s">
        <v>271</v>
      </c>
      <c r="N100" s="200" t="s">
        <v>272</v>
      </c>
      <c r="O100" s="200" t="s">
        <v>273</v>
      </c>
      <c r="P100" s="200" t="s">
        <v>274</v>
      </c>
      <c r="Q100" s="200" t="s">
        <v>275</v>
      </c>
      <c r="R100" s="200" t="s">
        <v>276</v>
      </c>
      <c r="S100" s="200" t="s">
        <v>436</v>
      </c>
      <c r="T100" s="200" t="s">
        <v>435</v>
      </c>
      <c r="U100" s="200">
        <v>2086</v>
      </c>
      <c r="V100" s="200" t="s">
        <v>435</v>
      </c>
      <c r="W100" s="200" t="s">
        <v>280</v>
      </c>
      <c r="X100" s="200">
        <v>11.247999999999999</v>
      </c>
      <c r="Y100" s="203">
        <v>-0.34</v>
      </c>
      <c r="Z100" s="203">
        <v>2.02</v>
      </c>
      <c r="AA100" s="203">
        <v>22.71</v>
      </c>
      <c r="AB100" s="203">
        <v>-2.06</v>
      </c>
      <c r="AC100" s="203">
        <v>0</v>
      </c>
      <c r="AD100" s="203">
        <v>0</v>
      </c>
      <c r="AE100" s="203">
        <v>20.309999999999999</v>
      </c>
      <c r="AF100" s="203">
        <v>-2.7</v>
      </c>
      <c r="AG100" s="200" t="s">
        <v>279</v>
      </c>
      <c r="AH100" s="203">
        <v>0</v>
      </c>
      <c r="AI100" s="200" t="s">
        <v>279</v>
      </c>
      <c r="AJ100" s="203">
        <v>0</v>
      </c>
      <c r="AK100" s="200" t="s">
        <v>279</v>
      </c>
      <c r="AL100" s="203">
        <v>0</v>
      </c>
      <c r="AM100" s="200" t="s">
        <v>279</v>
      </c>
      <c r="AN100" s="203">
        <v>0</v>
      </c>
      <c r="AO100" s="200" t="s">
        <v>279</v>
      </c>
      <c r="AP100" s="203">
        <v>0</v>
      </c>
      <c r="AQ100" s="203">
        <v>22.71</v>
      </c>
      <c r="AR100" s="203">
        <v>0</v>
      </c>
      <c r="AS100" s="200" t="str">
        <f t="shared" si="1"/>
        <v>1.00000000</v>
      </c>
      <c r="AT100" s="200" t="str">
        <f>"39.1"</f>
        <v>39.1</v>
      </c>
      <c r="AU100" s="203">
        <v>0</v>
      </c>
    </row>
    <row r="101" spans="1:47" x14ac:dyDescent="0.2">
      <c r="A101" s="200" t="str">
        <f>"0496002599173"</f>
        <v>0496002599173</v>
      </c>
      <c r="B101" s="200">
        <v>2</v>
      </c>
      <c r="C101" s="200" t="s">
        <v>585</v>
      </c>
      <c r="D101" s="200" t="s">
        <v>594</v>
      </c>
      <c r="E101" s="200" t="s">
        <v>594</v>
      </c>
      <c r="F101" s="200" t="s">
        <v>243</v>
      </c>
      <c r="G101" s="200">
        <v>5647</v>
      </c>
      <c r="H101" s="200" t="s">
        <v>270</v>
      </c>
      <c r="I101" s="200">
        <v>110570</v>
      </c>
      <c r="J101" s="201">
        <v>42598</v>
      </c>
      <c r="K101" s="202">
        <v>0.47500000000000003</v>
      </c>
      <c r="L101" s="201">
        <v>42600</v>
      </c>
      <c r="M101" s="200" t="s">
        <v>271</v>
      </c>
      <c r="N101" s="200" t="s">
        <v>272</v>
      </c>
      <c r="O101" s="200" t="s">
        <v>273</v>
      </c>
      <c r="P101" s="200" t="s">
        <v>274</v>
      </c>
      <c r="Q101" s="200" t="s">
        <v>275</v>
      </c>
      <c r="R101" s="200" t="s">
        <v>276</v>
      </c>
      <c r="S101" s="200" t="s">
        <v>436</v>
      </c>
      <c r="T101" s="200" t="s">
        <v>595</v>
      </c>
      <c r="U101" s="200">
        <v>5647</v>
      </c>
      <c r="V101" s="200" t="s">
        <v>585</v>
      </c>
      <c r="W101" s="200" t="s">
        <v>280</v>
      </c>
      <c r="X101" s="200">
        <v>24.69</v>
      </c>
      <c r="Y101" s="203">
        <v>-0.74</v>
      </c>
      <c r="Z101" s="203">
        <v>2.02</v>
      </c>
      <c r="AA101" s="203">
        <v>49.85</v>
      </c>
      <c r="AB101" s="203">
        <v>-4.5199999999999996</v>
      </c>
      <c r="AC101" s="203">
        <v>0</v>
      </c>
      <c r="AD101" s="203">
        <v>0</v>
      </c>
      <c r="AE101" s="203">
        <v>44.59</v>
      </c>
      <c r="AF101" s="203">
        <v>-5.93</v>
      </c>
      <c r="AG101" s="200" t="s">
        <v>279</v>
      </c>
      <c r="AH101" s="203">
        <v>0</v>
      </c>
      <c r="AI101" s="200" t="s">
        <v>279</v>
      </c>
      <c r="AJ101" s="203">
        <v>0</v>
      </c>
      <c r="AK101" s="200" t="s">
        <v>279</v>
      </c>
      <c r="AL101" s="203">
        <v>0</v>
      </c>
      <c r="AM101" s="200" t="s">
        <v>279</v>
      </c>
      <c r="AN101" s="203">
        <v>0</v>
      </c>
      <c r="AO101" s="200" t="s">
        <v>279</v>
      </c>
      <c r="AP101" s="203">
        <v>0</v>
      </c>
      <c r="AQ101" s="203">
        <v>49.85</v>
      </c>
      <c r="AR101" s="203">
        <v>0</v>
      </c>
      <c r="AS101" s="200" t="str">
        <f t="shared" si="1"/>
        <v>1.00000000</v>
      </c>
      <c r="AT101" s="200" t="str">
        <f>"16.2"</f>
        <v>16.2</v>
      </c>
      <c r="AU101" s="203">
        <v>0</v>
      </c>
    </row>
    <row r="102" spans="1:47" x14ac:dyDescent="0.2">
      <c r="A102" s="200" t="str">
        <f>"0496002595700"</f>
        <v>0496002595700</v>
      </c>
      <c r="B102" s="200">
        <v>6</v>
      </c>
      <c r="C102" s="200" t="s">
        <v>156</v>
      </c>
      <c r="D102" s="200" t="s">
        <v>344</v>
      </c>
      <c r="E102" s="200" t="s">
        <v>345</v>
      </c>
      <c r="F102" s="200" t="s">
        <v>243</v>
      </c>
      <c r="G102" s="200">
        <v>2262</v>
      </c>
      <c r="H102" s="200" t="s">
        <v>270</v>
      </c>
      <c r="I102" s="200">
        <v>52500</v>
      </c>
      <c r="J102" s="201">
        <v>42599</v>
      </c>
      <c r="K102" s="202">
        <v>0.56111111111111112</v>
      </c>
      <c r="L102" s="201">
        <v>42601</v>
      </c>
      <c r="M102" s="200" t="s">
        <v>271</v>
      </c>
      <c r="N102" s="200" t="s">
        <v>272</v>
      </c>
      <c r="O102" s="200" t="s">
        <v>273</v>
      </c>
      <c r="P102" s="200" t="s">
        <v>274</v>
      </c>
      <c r="Q102" s="200" t="s">
        <v>275</v>
      </c>
      <c r="R102" s="200" t="s">
        <v>276</v>
      </c>
      <c r="S102" s="200" t="s">
        <v>156</v>
      </c>
      <c r="T102" s="200" t="s">
        <v>277</v>
      </c>
      <c r="U102" s="200">
        <v>2262</v>
      </c>
      <c r="V102" s="200" t="s">
        <v>156</v>
      </c>
      <c r="W102" s="200" t="s">
        <v>278</v>
      </c>
      <c r="X102" s="200">
        <v>6.9980000000000002</v>
      </c>
      <c r="Y102" s="203">
        <v>-0.21</v>
      </c>
      <c r="Z102" s="203">
        <v>2.61</v>
      </c>
      <c r="AA102" s="203">
        <v>18.260000000000002</v>
      </c>
      <c r="AB102" s="203">
        <v>-1.28</v>
      </c>
      <c r="AC102" s="203">
        <v>0</v>
      </c>
      <c r="AD102" s="203">
        <v>0</v>
      </c>
      <c r="AE102" s="203">
        <v>16.77</v>
      </c>
      <c r="AF102" s="203">
        <v>-1.68</v>
      </c>
      <c r="AG102" s="200" t="s">
        <v>279</v>
      </c>
      <c r="AH102" s="203">
        <v>0</v>
      </c>
      <c r="AI102" s="200" t="s">
        <v>279</v>
      </c>
      <c r="AJ102" s="203">
        <v>0</v>
      </c>
      <c r="AK102" s="200" t="s">
        <v>279</v>
      </c>
      <c r="AL102" s="203">
        <v>0</v>
      </c>
      <c r="AM102" s="200" t="s">
        <v>279</v>
      </c>
      <c r="AN102" s="203">
        <v>0</v>
      </c>
      <c r="AO102" s="200" t="s">
        <v>279</v>
      </c>
      <c r="AP102" s="203">
        <v>0</v>
      </c>
      <c r="AQ102" s="203">
        <v>18.260000000000002</v>
      </c>
      <c r="AR102" s="203">
        <v>0</v>
      </c>
      <c r="AS102" s="200" t="str">
        <f t="shared" si="1"/>
        <v>1.00000000</v>
      </c>
      <c r="AT102" s="200" t="str">
        <f>"32.2"</f>
        <v>32.2</v>
      </c>
      <c r="AU102" s="203">
        <v>0</v>
      </c>
    </row>
    <row r="103" spans="1:47" x14ac:dyDescent="0.2">
      <c r="A103" s="200" t="str">
        <f>"0496002595700"</f>
        <v>0496002595700</v>
      </c>
      <c r="B103" s="200">
        <v>2</v>
      </c>
      <c r="C103" s="200" t="s">
        <v>156</v>
      </c>
      <c r="D103" s="200">
        <v>42</v>
      </c>
      <c r="E103" s="200">
        <v>42</v>
      </c>
      <c r="F103" s="200" t="s">
        <v>243</v>
      </c>
      <c r="G103" s="200">
        <v>2262</v>
      </c>
      <c r="H103" s="200" t="s">
        <v>270</v>
      </c>
      <c r="I103" s="200">
        <v>27906</v>
      </c>
      <c r="J103" s="201">
        <v>42600</v>
      </c>
      <c r="K103" s="202">
        <v>0.34930555555555554</v>
      </c>
      <c r="L103" s="201">
        <v>42604</v>
      </c>
      <c r="M103" s="200" t="s">
        <v>271</v>
      </c>
      <c r="N103" s="200" t="s">
        <v>513</v>
      </c>
      <c r="O103" s="200" t="s">
        <v>596</v>
      </c>
      <c r="P103" s="200" t="s">
        <v>597</v>
      </c>
      <c r="Q103" s="200" t="s">
        <v>275</v>
      </c>
      <c r="R103" s="200" t="s">
        <v>598</v>
      </c>
      <c r="S103" s="200" t="s">
        <v>156</v>
      </c>
      <c r="T103" s="200" t="s">
        <v>277</v>
      </c>
      <c r="U103" s="200">
        <v>2262</v>
      </c>
      <c r="V103" s="200" t="s">
        <v>156</v>
      </c>
      <c r="W103" s="200" t="s">
        <v>280</v>
      </c>
      <c r="X103" s="200">
        <v>8.1750000000000007</v>
      </c>
      <c r="Y103" s="203">
        <v>-0.41</v>
      </c>
      <c r="Z103" s="203">
        <v>2.1</v>
      </c>
      <c r="AA103" s="203">
        <v>17.16</v>
      </c>
      <c r="AB103" s="203">
        <v>-1.5</v>
      </c>
      <c r="AC103" s="203">
        <v>0</v>
      </c>
      <c r="AD103" s="203">
        <v>0</v>
      </c>
      <c r="AE103" s="203">
        <v>15.25</v>
      </c>
      <c r="AF103" s="203">
        <v>-1.96</v>
      </c>
      <c r="AG103" s="200" t="s">
        <v>279</v>
      </c>
      <c r="AH103" s="203">
        <v>0</v>
      </c>
      <c r="AI103" s="200" t="s">
        <v>279</v>
      </c>
      <c r="AJ103" s="203">
        <v>0</v>
      </c>
      <c r="AK103" s="200" t="s">
        <v>279</v>
      </c>
      <c r="AL103" s="203">
        <v>0</v>
      </c>
      <c r="AM103" s="200" t="s">
        <v>279</v>
      </c>
      <c r="AN103" s="203">
        <v>0</v>
      </c>
      <c r="AO103" s="200" t="s">
        <v>279</v>
      </c>
      <c r="AP103" s="203">
        <v>0</v>
      </c>
      <c r="AQ103" s="203">
        <v>17.16</v>
      </c>
      <c r="AR103" s="203">
        <v>0</v>
      </c>
      <c r="AS103" s="200" t="str">
        <f t="shared" si="1"/>
        <v>1.00000000</v>
      </c>
      <c r="AT103" s="200" t="str">
        <f>"44.9"</f>
        <v>44.9</v>
      </c>
      <c r="AU103" s="203">
        <v>0</v>
      </c>
    </row>
    <row r="104" spans="1:47" x14ac:dyDescent="0.2">
      <c r="A104" s="200" t="str">
        <f>"0496002595734"</f>
        <v>0496002595734</v>
      </c>
      <c r="B104" s="200">
        <v>1</v>
      </c>
      <c r="C104" s="200" t="s">
        <v>435</v>
      </c>
      <c r="D104" s="200">
        <v>81</v>
      </c>
      <c r="E104" s="200">
        <v>81</v>
      </c>
      <c r="F104" s="200" t="s">
        <v>243</v>
      </c>
      <c r="G104" s="200">
        <v>2086</v>
      </c>
      <c r="H104" s="200" t="s">
        <v>270</v>
      </c>
      <c r="I104" s="200">
        <v>59845</v>
      </c>
      <c r="J104" s="201">
        <v>42600</v>
      </c>
      <c r="K104" s="202">
        <v>0.76944444444444438</v>
      </c>
      <c r="L104" s="201">
        <v>42604</v>
      </c>
      <c r="M104" s="200" t="s">
        <v>271</v>
      </c>
      <c r="N104" s="200" t="s">
        <v>272</v>
      </c>
      <c r="O104" s="200" t="s">
        <v>273</v>
      </c>
      <c r="P104" s="200" t="s">
        <v>274</v>
      </c>
      <c r="Q104" s="200" t="s">
        <v>275</v>
      </c>
      <c r="R104" s="200" t="s">
        <v>276</v>
      </c>
      <c r="S104" s="200" t="s">
        <v>436</v>
      </c>
      <c r="T104" s="200" t="s">
        <v>435</v>
      </c>
      <c r="U104" s="200">
        <v>2086</v>
      </c>
      <c r="V104" s="200" t="s">
        <v>435</v>
      </c>
      <c r="W104" s="200" t="s">
        <v>280</v>
      </c>
      <c r="X104" s="200">
        <v>13.776999999999999</v>
      </c>
      <c r="Y104" s="203">
        <v>-0.41</v>
      </c>
      <c r="Z104" s="203">
        <v>2.0499999999999998</v>
      </c>
      <c r="AA104" s="203">
        <v>28.23</v>
      </c>
      <c r="AB104" s="203">
        <v>-2.52</v>
      </c>
      <c r="AC104" s="203">
        <v>0</v>
      </c>
      <c r="AD104" s="203">
        <v>0</v>
      </c>
      <c r="AE104" s="203">
        <v>25.3</v>
      </c>
      <c r="AF104" s="203">
        <v>-3.31</v>
      </c>
      <c r="AG104" s="200" t="s">
        <v>279</v>
      </c>
      <c r="AH104" s="203">
        <v>0</v>
      </c>
      <c r="AI104" s="200" t="s">
        <v>279</v>
      </c>
      <c r="AJ104" s="203">
        <v>0</v>
      </c>
      <c r="AK104" s="200" t="s">
        <v>279</v>
      </c>
      <c r="AL104" s="203">
        <v>0</v>
      </c>
      <c r="AM104" s="200" t="s">
        <v>279</v>
      </c>
      <c r="AN104" s="203">
        <v>0</v>
      </c>
      <c r="AO104" s="200" t="s">
        <v>279</v>
      </c>
      <c r="AP104" s="203">
        <v>0</v>
      </c>
      <c r="AQ104" s="203">
        <v>28.23</v>
      </c>
      <c r="AR104" s="203">
        <v>0</v>
      </c>
      <c r="AS104" s="200" t="str">
        <f t="shared" si="1"/>
        <v>1.00000000</v>
      </c>
      <c r="AT104" s="200" t="str">
        <f>"21.0"</f>
        <v>21.0</v>
      </c>
      <c r="AU104" s="203">
        <v>0</v>
      </c>
    </row>
    <row r="105" spans="1:47" x14ac:dyDescent="0.2">
      <c r="A105" s="200" t="str">
        <f>"0496002595700"</f>
        <v>0496002595700</v>
      </c>
      <c r="B105" s="200">
        <v>6</v>
      </c>
      <c r="C105" s="200" t="s">
        <v>156</v>
      </c>
      <c r="D105" s="200" t="s">
        <v>344</v>
      </c>
      <c r="E105" s="200" t="s">
        <v>345</v>
      </c>
      <c r="F105" s="200" t="s">
        <v>243</v>
      </c>
      <c r="G105" s="200">
        <v>2262</v>
      </c>
      <c r="H105" s="200" t="s">
        <v>270</v>
      </c>
      <c r="I105" s="200">
        <v>52768</v>
      </c>
      <c r="J105" s="201">
        <v>42601</v>
      </c>
      <c r="K105" s="202">
        <v>0.49305555555555558</v>
      </c>
      <c r="L105" s="201">
        <v>42605</v>
      </c>
      <c r="M105" s="200" t="s">
        <v>271</v>
      </c>
      <c r="N105" s="200" t="s">
        <v>272</v>
      </c>
      <c r="O105" s="200" t="s">
        <v>273</v>
      </c>
      <c r="P105" s="200" t="s">
        <v>274</v>
      </c>
      <c r="Q105" s="200" t="s">
        <v>275</v>
      </c>
      <c r="R105" s="200" t="s">
        <v>276</v>
      </c>
      <c r="S105" s="200" t="s">
        <v>156</v>
      </c>
      <c r="T105" s="200" t="s">
        <v>277</v>
      </c>
      <c r="U105" s="200">
        <v>2262</v>
      </c>
      <c r="V105" s="200" t="s">
        <v>156</v>
      </c>
      <c r="W105" s="200" t="s">
        <v>278</v>
      </c>
      <c r="X105" s="200">
        <v>9.8390000000000004</v>
      </c>
      <c r="Y105" s="203">
        <v>-0.3</v>
      </c>
      <c r="Z105" s="203">
        <v>2.61</v>
      </c>
      <c r="AA105" s="203">
        <v>25.67</v>
      </c>
      <c r="AB105" s="203">
        <v>-1.8</v>
      </c>
      <c r="AC105" s="203">
        <v>0</v>
      </c>
      <c r="AD105" s="203">
        <v>0</v>
      </c>
      <c r="AE105" s="203">
        <v>23.57</v>
      </c>
      <c r="AF105" s="203">
        <v>-2.36</v>
      </c>
      <c r="AG105" s="200" t="s">
        <v>279</v>
      </c>
      <c r="AH105" s="203">
        <v>0</v>
      </c>
      <c r="AI105" s="200" t="s">
        <v>279</v>
      </c>
      <c r="AJ105" s="203">
        <v>0</v>
      </c>
      <c r="AK105" s="200" t="s">
        <v>279</v>
      </c>
      <c r="AL105" s="203">
        <v>0</v>
      </c>
      <c r="AM105" s="200" t="s">
        <v>279</v>
      </c>
      <c r="AN105" s="203">
        <v>0</v>
      </c>
      <c r="AO105" s="200" t="s">
        <v>279</v>
      </c>
      <c r="AP105" s="203">
        <v>0</v>
      </c>
      <c r="AQ105" s="203">
        <v>25.67</v>
      </c>
      <c r="AR105" s="203">
        <v>0</v>
      </c>
      <c r="AS105" s="200" t="str">
        <f t="shared" si="1"/>
        <v>1.00000000</v>
      </c>
      <c r="AT105" s="200" t="str">
        <f>"27.2"</f>
        <v>27.2</v>
      </c>
      <c r="AU105" s="203">
        <v>0</v>
      </c>
    </row>
    <row r="106" spans="1:47" x14ac:dyDescent="0.2">
      <c r="A106" s="200" t="str">
        <f>"0496002595734"</f>
        <v>0496002595734</v>
      </c>
      <c r="B106" s="200">
        <v>2</v>
      </c>
      <c r="C106" s="200" t="s">
        <v>435</v>
      </c>
      <c r="D106" s="200">
        <v>80</v>
      </c>
      <c r="E106" s="200">
        <v>80</v>
      </c>
      <c r="F106" s="200" t="s">
        <v>243</v>
      </c>
      <c r="G106" s="200">
        <v>2086</v>
      </c>
      <c r="H106" s="200" t="s">
        <v>270</v>
      </c>
      <c r="I106" s="200">
        <v>64066</v>
      </c>
      <c r="J106" s="201">
        <v>42601</v>
      </c>
      <c r="K106" s="202">
        <v>0.43055555555555558</v>
      </c>
      <c r="L106" s="201">
        <v>42605</v>
      </c>
      <c r="M106" s="200" t="s">
        <v>271</v>
      </c>
      <c r="N106" s="200" t="s">
        <v>272</v>
      </c>
      <c r="O106" s="200" t="s">
        <v>273</v>
      </c>
      <c r="P106" s="200" t="s">
        <v>274</v>
      </c>
      <c r="Q106" s="200" t="s">
        <v>275</v>
      </c>
      <c r="R106" s="200" t="s">
        <v>276</v>
      </c>
      <c r="S106" s="200" t="s">
        <v>436</v>
      </c>
      <c r="T106" s="200" t="s">
        <v>435</v>
      </c>
      <c r="U106" s="200">
        <v>2086</v>
      </c>
      <c r="V106" s="200" t="s">
        <v>435</v>
      </c>
      <c r="W106" s="200" t="s">
        <v>280</v>
      </c>
      <c r="X106" s="200">
        <v>2.972</v>
      </c>
      <c r="Y106" s="203">
        <v>-0.09</v>
      </c>
      <c r="Z106" s="203">
        <v>2.11</v>
      </c>
      <c r="AA106" s="203">
        <v>6.27</v>
      </c>
      <c r="AB106" s="203">
        <v>-0.54</v>
      </c>
      <c r="AC106" s="203">
        <v>0</v>
      </c>
      <c r="AD106" s="203">
        <v>0</v>
      </c>
      <c r="AE106" s="203">
        <v>5.64</v>
      </c>
      <c r="AF106" s="203">
        <v>-0.71</v>
      </c>
      <c r="AG106" s="200" t="s">
        <v>279</v>
      </c>
      <c r="AH106" s="203">
        <v>0</v>
      </c>
      <c r="AI106" s="200" t="s">
        <v>279</v>
      </c>
      <c r="AJ106" s="203">
        <v>0</v>
      </c>
      <c r="AK106" s="200" t="s">
        <v>279</v>
      </c>
      <c r="AL106" s="203">
        <v>0</v>
      </c>
      <c r="AM106" s="200" t="s">
        <v>279</v>
      </c>
      <c r="AN106" s="203">
        <v>0</v>
      </c>
      <c r="AO106" s="200" t="s">
        <v>279</v>
      </c>
      <c r="AP106" s="203">
        <v>0</v>
      </c>
      <c r="AQ106" s="203">
        <v>6.27</v>
      </c>
      <c r="AR106" s="203">
        <v>0</v>
      </c>
      <c r="AS106" s="200" t="str">
        <f t="shared" si="1"/>
        <v>1.00000000</v>
      </c>
      <c r="AT106" s="200" t="str">
        <f>"30.0"</f>
        <v>30.0</v>
      </c>
      <c r="AU106" s="203">
        <v>0</v>
      </c>
    </row>
    <row r="107" spans="1:47" x14ac:dyDescent="0.2">
      <c r="A107" s="200" t="str">
        <f>"0496002595734"</f>
        <v>0496002595734</v>
      </c>
      <c r="B107" s="200">
        <v>1</v>
      </c>
      <c r="C107" s="200" t="s">
        <v>435</v>
      </c>
      <c r="D107" s="200">
        <v>81</v>
      </c>
      <c r="E107" s="200">
        <v>81</v>
      </c>
      <c r="F107" s="200" t="s">
        <v>243</v>
      </c>
      <c r="G107" s="200">
        <v>2086</v>
      </c>
      <c r="H107" s="200" t="s">
        <v>270</v>
      </c>
      <c r="I107" s="200">
        <v>60093</v>
      </c>
      <c r="J107" s="201">
        <v>42602</v>
      </c>
      <c r="K107" s="202">
        <v>0.59236111111111112</v>
      </c>
      <c r="L107" s="201">
        <v>42605</v>
      </c>
      <c r="M107" s="200" t="s">
        <v>271</v>
      </c>
      <c r="N107" s="200" t="s">
        <v>272</v>
      </c>
      <c r="O107" s="200" t="s">
        <v>273</v>
      </c>
      <c r="P107" s="200" t="s">
        <v>274</v>
      </c>
      <c r="Q107" s="200" t="s">
        <v>275</v>
      </c>
      <c r="R107" s="200" t="s">
        <v>276</v>
      </c>
      <c r="S107" s="200" t="s">
        <v>436</v>
      </c>
      <c r="T107" s="200" t="s">
        <v>435</v>
      </c>
      <c r="U107" s="200">
        <v>2086</v>
      </c>
      <c r="V107" s="200" t="s">
        <v>435</v>
      </c>
      <c r="W107" s="200" t="s">
        <v>280</v>
      </c>
      <c r="X107" s="200">
        <v>13.01</v>
      </c>
      <c r="Y107" s="203">
        <v>-0.39</v>
      </c>
      <c r="Z107" s="203">
        <v>2.15</v>
      </c>
      <c r="AA107" s="203">
        <v>27.96</v>
      </c>
      <c r="AB107" s="203">
        <v>-2.38</v>
      </c>
      <c r="AC107" s="203">
        <v>0</v>
      </c>
      <c r="AD107" s="203">
        <v>0</v>
      </c>
      <c r="AE107" s="203">
        <v>25.19</v>
      </c>
      <c r="AF107" s="203">
        <v>-3.12</v>
      </c>
      <c r="AG107" s="200" t="s">
        <v>279</v>
      </c>
      <c r="AH107" s="203">
        <v>0</v>
      </c>
      <c r="AI107" s="200" t="s">
        <v>279</v>
      </c>
      <c r="AJ107" s="203">
        <v>0</v>
      </c>
      <c r="AK107" s="200" t="s">
        <v>279</v>
      </c>
      <c r="AL107" s="203">
        <v>0</v>
      </c>
      <c r="AM107" s="200" t="s">
        <v>279</v>
      </c>
      <c r="AN107" s="203">
        <v>0</v>
      </c>
      <c r="AO107" s="200" t="s">
        <v>279</v>
      </c>
      <c r="AP107" s="203">
        <v>0</v>
      </c>
      <c r="AQ107" s="203">
        <v>27.96</v>
      </c>
      <c r="AR107" s="203">
        <v>0</v>
      </c>
      <c r="AS107" s="200" t="str">
        <f t="shared" si="1"/>
        <v>1.00000000</v>
      </c>
      <c r="AT107" s="200" t="str">
        <f>"19.1"</f>
        <v>19.1</v>
      </c>
      <c r="AU107" s="203">
        <v>0</v>
      </c>
    </row>
    <row r="108" spans="1:47" x14ac:dyDescent="0.2">
      <c r="A108" s="200" t="str">
        <f>"0496002595734"</f>
        <v>0496002595734</v>
      </c>
      <c r="B108" s="200">
        <v>3</v>
      </c>
      <c r="C108" s="200" t="s">
        <v>435</v>
      </c>
      <c r="D108" s="200">
        <v>82</v>
      </c>
      <c r="E108" s="200">
        <v>82</v>
      </c>
      <c r="F108" s="200" t="s">
        <v>243</v>
      </c>
      <c r="G108" s="200">
        <v>2086</v>
      </c>
      <c r="H108" s="200" t="s">
        <v>270</v>
      </c>
      <c r="I108" s="200">
        <v>47846</v>
      </c>
      <c r="J108" s="201">
        <v>42602</v>
      </c>
      <c r="K108" s="202">
        <v>0.38472222222222219</v>
      </c>
      <c r="L108" s="201">
        <v>42605</v>
      </c>
      <c r="M108" s="200" t="s">
        <v>271</v>
      </c>
      <c r="N108" s="200" t="s">
        <v>272</v>
      </c>
      <c r="O108" s="200" t="s">
        <v>273</v>
      </c>
      <c r="P108" s="200" t="s">
        <v>274</v>
      </c>
      <c r="Q108" s="200" t="s">
        <v>275</v>
      </c>
      <c r="R108" s="200" t="s">
        <v>276</v>
      </c>
      <c r="S108" s="200" t="s">
        <v>436</v>
      </c>
      <c r="T108" s="200" t="s">
        <v>435</v>
      </c>
      <c r="U108" s="200">
        <v>2086</v>
      </c>
      <c r="V108" s="200" t="s">
        <v>435</v>
      </c>
      <c r="W108" s="200" t="s">
        <v>280</v>
      </c>
      <c r="X108" s="200">
        <v>10.801</v>
      </c>
      <c r="Y108" s="203">
        <v>-0.32</v>
      </c>
      <c r="Z108" s="203">
        <v>2.11</v>
      </c>
      <c r="AA108" s="203">
        <v>22.78</v>
      </c>
      <c r="AB108" s="203">
        <v>-1.98</v>
      </c>
      <c r="AC108" s="203">
        <v>0</v>
      </c>
      <c r="AD108" s="203">
        <v>0</v>
      </c>
      <c r="AE108" s="203">
        <v>20.48</v>
      </c>
      <c r="AF108" s="203">
        <v>-2.59</v>
      </c>
      <c r="AG108" s="200" t="s">
        <v>279</v>
      </c>
      <c r="AH108" s="203">
        <v>0</v>
      </c>
      <c r="AI108" s="200" t="s">
        <v>279</v>
      </c>
      <c r="AJ108" s="203">
        <v>0</v>
      </c>
      <c r="AK108" s="200" t="s">
        <v>279</v>
      </c>
      <c r="AL108" s="203">
        <v>0</v>
      </c>
      <c r="AM108" s="200" t="s">
        <v>279</v>
      </c>
      <c r="AN108" s="203">
        <v>0</v>
      </c>
      <c r="AO108" s="200" t="s">
        <v>279</v>
      </c>
      <c r="AP108" s="203">
        <v>0</v>
      </c>
      <c r="AQ108" s="203">
        <v>22.78</v>
      </c>
      <c r="AR108" s="203">
        <v>0</v>
      </c>
      <c r="AS108" s="200" t="str">
        <f t="shared" si="1"/>
        <v>1.00000000</v>
      </c>
      <c r="AT108" s="200" t="str">
        <f>"10.2"</f>
        <v>10.2</v>
      </c>
      <c r="AU108" s="203">
        <v>0</v>
      </c>
    </row>
    <row r="109" spans="1:47" x14ac:dyDescent="0.2">
      <c r="A109" s="200" t="str">
        <f>"0496002756187"</f>
        <v>0496002756187</v>
      </c>
      <c r="B109" s="200">
        <v>1</v>
      </c>
      <c r="C109" s="200" t="s">
        <v>599</v>
      </c>
      <c r="D109" s="200">
        <v>48</v>
      </c>
      <c r="E109" s="200">
        <v>48</v>
      </c>
      <c r="F109" s="200" t="s">
        <v>243</v>
      </c>
      <c r="G109" s="200">
        <v>8317</v>
      </c>
      <c r="H109" s="200" t="s">
        <v>270</v>
      </c>
      <c r="I109" s="200">
        <v>13202</v>
      </c>
      <c r="J109" s="201">
        <v>42602</v>
      </c>
      <c r="K109" s="202">
        <v>0.57733796296296302</v>
      </c>
      <c r="L109" s="201">
        <v>42605</v>
      </c>
      <c r="M109" s="200" t="s">
        <v>314</v>
      </c>
      <c r="N109" s="200" t="s">
        <v>415</v>
      </c>
      <c r="O109" s="200" t="s">
        <v>416</v>
      </c>
      <c r="P109" s="200" t="s">
        <v>417</v>
      </c>
      <c r="Q109" s="200" t="s">
        <v>275</v>
      </c>
      <c r="R109" s="200" t="s">
        <v>418</v>
      </c>
      <c r="S109" s="200" t="s">
        <v>600</v>
      </c>
      <c r="T109" s="200" t="s">
        <v>436</v>
      </c>
      <c r="U109" s="200">
        <v>8317</v>
      </c>
      <c r="V109" s="200" t="s">
        <v>599</v>
      </c>
      <c r="W109" s="200" t="s">
        <v>280</v>
      </c>
      <c r="X109" s="200">
        <v>15.281000000000001</v>
      </c>
      <c r="Y109" s="203">
        <v>0</v>
      </c>
      <c r="Z109" s="203">
        <v>2.0299999999999998</v>
      </c>
      <c r="AA109" s="203">
        <v>31.01</v>
      </c>
      <c r="AB109" s="203">
        <v>-2.8</v>
      </c>
      <c r="AC109" s="203">
        <v>0</v>
      </c>
      <c r="AD109" s="203">
        <v>0</v>
      </c>
      <c r="AE109" s="203">
        <v>28.21</v>
      </c>
      <c r="AF109" s="203">
        <v>-3.67</v>
      </c>
      <c r="AG109" s="200" t="s">
        <v>279</v>
      </c>
      <c r="AH109" s="203">
        <v>0</v>
      </c>
      <c r="AI109" s="200" t="s">
        <v>279</v>
      </c>
      <c r="AJ109" s="203">
        <v>0</v>
      </c>
      <c r="AK109" s="200" t="s">
        <v>279</v>
      </c>
      <c r="AL109" s="203">
        <v>0</v>
      </c>
      <c r="AM109" s="200" t="s">
        <v>279</v>
      </c>
      <c r="AN109" s="203">
        <v>0</v>
      </c>
      <c r="AO109" s="200" t="s">
        <v>279</v>
      </c>
      <c r="AP109" s="203">
        <v>0</v>
      </c>
      <c r="AQ109" s="203">
        <v>31.01</v>
      </c>
      <c r="AR109" s="203">
        <v>0</v>
      </c>
      <c r="AS109" s="200" t="str">
        <f t="shared" si="1"/>
        <v>1.00000000</v>
      </c>
      <c r="AT109" s="200" t="str">
        <f>"16.3"</f>
        <v>16.3</v>
      </c>
      <c r="AU109" s="203">
        <v>0</v>
      </c>
    </row>
    <row r="110" spans="1:47" x14ac:dyDescent="0.2">
      <c r="A110" s="200" t="str">
        <f>"0496002595700"</f>
        <v>0496002595700</v>
      </c>
      <c r="B110" s="200">
        <v>2</v>
      </c>
      <c r="C110" s="200" t="s">
        <v>156</v>
      </c>
      <c r="D110" s="200">
        <v>42</v>
      </c>
      <c r="E110" s="200">
        <v>42</v>
      </c>
      <c r="F110" s="200" t="s">
        <v>243</v>
      </c>
      <c r="G110" s="200">
        <v>2262</v>
      </c>
      <c r="H110" s="200" t="s">
        <v>270</v>
      </c>
      <c r="I110" s="200">
        <v>28243</v>
      </c>
      <c r="J110" s="201">
        <v>42603</v>
      </c>
      <c r="K110" s="202">
        <v>0.87498842592592585</v>
      </c>
      <c r="L110" s="201">
        <v>42605</v>
      </c>
      <c r="M110" s="200" t="s">
        <v>314</v>
      </c>
      <c r="N110" s="200" t="s">
        <v>415</v>
      </c>
      <c r="O110" s="200" t="s">
        <v>416</v>
      </c>
      <c r="P110" s="200" t="s">
        <v>417</v>
      </c>
      <c r="Q110" s="200" t="s">
        <v>275</v>
      </c>
      <c r="R110" s="200" t="s">
        <v>418</v>
      </c>
      <c r="S110" s="200" t="s">
        <v>156</v>
      </c>
      <c r="T110" s="200" t="s">
        <v>277</v>
      </c>
      <c r="U110" s="200">
        <v>2262</v>
      </c>
      <c r="V110" s="200" t="s">
        <v>156</v>
      </c>
      <c r="W110" s="200" t="s">
        <v>280</v>
      </c>
      <c r="X110" s="200">
        <v>6.665</v>
      </c>
      <c r="Y110" s="203">
        <v>0</v>
      </c>
      <c r="Z110" s="203">
        <v>2.0299999999999998</v>
      </c>
      <c r="AA110" s="203">
        <v>13.52</v>
      </c>
      <c r="AB110" s="203">
        <v>-1.22</v>
      </c>
      <c r="AC110" s="203">
        <v>0</v>
      </c>
      <c r="AD110" s="203">
        <v>0</v>
      </c>
      <c r="AE110" s="203">
        <v>12.3</v>
      </c>
      <c r="AF110" s="203">
        <v>-1.6</v>
      </c>
      <c r="AG110" s="200" t="s">
        <v>279</v>
      </c>
      <c r="AH110" s="203">
        <v>0</v>
      </c>
      <c r="AI110" s="200" t="s">
        <v>279</v>
      </c>
      <c r="AJ110" s="203">
        <v>0</v>
      </c>
      <c r="AK110" s="200" t="s">
        <v>279</v>
      </c>
      <c r="AL110" s="203">
        <v>0</v>
      </c>
      <c r="AM110" s="200" t="s">
        <v>279</v>
      </c>
      <c r="AN110" s="203">
        <v>0</v>
      </c>
      <c r="AO110" s="200" t="s">
        <v>279</v>
      </c>
      <c r="AP110" s="203">
        <v>0</v>
      </c>
      <c r="AQ110" s="203">
        <v>13.52</v>
      </c>
      <c r="AR110" s="203">
        <v>0</v>
      </c>
      <c r="AS110" s="200" t="str">
        <f t="shared" si="1"/>
        <v>1.00000000</v>
      </c>
      <c r="AT110" s="200" t="str">
        <f>"50.6"</f>
        <v>50.6</v>
      </c>
      <c r="AU110" s="203">
        <v>0</v>
      </c>
    </row>
    <row r="111" spans="1:47" x14ac:dyDescent="0.2">
      <c r="A111" s="200" t="str">
        <f>"0496002595700"</f>
        <v>0496002595700</v>
      </c>
      <c r="B111" s="200">
        <v>8</v>
      </c>
      <c r="C111" s="200" t="s">
        <v>156</v>
      </c>
      <c r="D111" s="200" t="s">
        <v>414</v>
      </c>
      <c r="E111" s="200">
        <v>47</v>
      </c>
      <c r="F111" s="200" t="s">
        <v>243</v>
      </c>
      <c r="G111" s="200">
        <v>2262</v>
      </c>
      <c r="H111" s="200" t="s">
        <v>270</v>
      </c>
      <c r="I111" s="200">
        <v>17544</v>
      </c>
      <c r="J111" s="201">
        <v>42603</v>
      </c>
      <c r="K111" s="202">
        <v>0.66041666666666665</v>
      </c>
      <c r="L111" s="201">
        <v>42605</v>
      </c>
      <c r="M111" s="200" t="s">
        <v>271</v>
      </c>
      <c r="N111" s="200" t="s">
        <v>272</v>
      </c>
      <c r="O111" s="200" t="s">
        <v>273</v>
      </c>
      <c r="P111" s="200" t="s">
        <v>274</v>
      </c>
      <c r="Q111" s="200" t="s">
        <v>275</v>
      </c>
      <c r="R111" s="200" t="s">
        <v>276</v>
      </c>
      <c r="S111" s="200" t="s">
        <v>156</v>
      </c>
      <c r="T111" s="200" t="s">
        <v>277</v>
      </c>
      <c r="U111" s="200">
        <v>2262</v>
      </c>
      <c r="V111" s="200" t="s">
        <v>156</v>
      </c>
      <c r="W111" s="200" t="s">
        <v>280</v>
      </c>
      <c r="X111" s="200">
        <v>13.959</v>
      </c>
      <c r="Y111" s="203">
        <v>-0.42</v>
      </c>
      <c r="Z111" s="203">
        <v>2.15</v>
      </c>
      <c r="AA111" s="203">
        <v>30</v>
      </c>
      <c r="AB111" s="203">
        <v>-2.5499999999999998</v>
      </c>
      <c r="AC111" s="203">
        <v>0</v>
      </c>
      <c r="AD111" s="203">
        <v>0</v>
      </c>
      <c r="AE111" s="203">
        <v>27.03</v>
      </c>
      <c r="AF111" s="203">
        <v>-3.35</v>
      </c>
      <c r="AG111" s="200" t="s">
        <v>279</v>
      </c>
      <c r="AH111" s="203">
        <v>0</v>
      </c>
      <c r="AI111" s="200" t="s">
        <v>279</v>
      </c>
      <c r="AJ111" s="203">
        <v>0</v>
      </c>
      <c r="AK111" s="200" t="s">
        <v>279</v>
      </c>
      <c r="AL111" s="203">
        <v>0</v>
      </c>
      <c r="AM111" s="200" t="s">
        <v>279</v>
      </c>
      <c r="AN111" s="203">
        <v>0</v>
      </c>
      <c r="AO111" s="200" t="s">
        <v>279</v>
      </c>
      <c r="AP111" s="203">
        <v>0</v>
      </c>
      <c r="AQ111" s="203">
        <v>30</v>
      </c>
      <c r="AR111" s="203">
        <v>0</v>
      </c>
      <c r="AS111" s="200" t="str">
        <f t="shared" si="1"/>
        <v>1.00000000</v>
      </c>
      <c r="AT111" s="200" t="str">
        <f>"43.7"</f>
        <v>43.7</v>
      </c>
      <c r="AU111" s="203">
        <v>0</v>
      </c>
    </row>
    <row r="112" spans="1:47" x14ac:dyDescent="0.2">
      <c r="A112" s="200" t="str">
        <f>"0496002595734"</f>
        <v>0496002595734</v>
      </c>
      <c r="B112" s="200">
        <v>3</v>
      </c>
      <c r="C112" s="200" t="s">
        <v>435</v>
      </c>
      <c r="D112" s="200">
        <v>82</v>
      </c>
      <c r="E112" s="200">
        <v>82</v>
      </c>
      <c r="F112" s="200" t="s">
        <v>243</v>
      </c>
      <c r="G112" s="200">
        <v>2086</v>
      </c>
      <c r="H112" s="200" t="s">
        <v>270</v>
      </c>
      <c r="I112" s="200">
        <v>489</v>
      </c>
      <c r="J112" s="201">
        <v>42603</v>
      </c>
      <c r="K112" s="202">
        <v>5.9722222222222225E-2</v>
      </c>
      <c r="L112" s="201">
        <v>42605</v>
      </c>
      <c r="M112" s="200" t="s">
        <v>271</v>
      </c>
      <c r="N112" s="200" t="s">
        <v>272</v>
      </c>
      <c r="O112" s="200" t="s">
        <v>273</v>
      </c>
      <c r="P112" s="200" t="s">
        <v>274</v>
      </c>
      <c r="Q112" s="200" t="s">
        <v>275</v>
      </c>
      <c r="R112" s="200" t="s">
        <v>276</v>
      </c>
      <c r="S112" s="200" t="s">
        <v>436</v>
      </c>
      <c r="T112" s="200" t="s">
        <v>435</v>
      </c>
      <c r="U112" s="200">
        <v>2086</v>
      </c>
      <c r="V112" s="200" t="s">
        <v>435</v>
      </c>
      <c r="W112" s="200" t="s">
        <v>280</v>
      </c>
      <c r="X112" s="200">
        <v>12.177</v>
      </c>
      <c r="Y112" s="203">
        <v>-0.37</v>
      </c>
      <c r="Z112" s="203">
        <v>2.15</v>
      </c>
      <c r="AA112" s="203">
        <v>26.17</v>
      </c>
      <c r="AB112" s="203">
        <v>-2.23</v>
      </c>
      <c r="AC112" s="203">
        <v>0</v>
      </c>
      <c r="AD112" s="203">
        <v>0</v>
      </c>
      <c r="AE112" s="203">
        <v>23.57</v>
      </c>
      <c r="AF112" s="203">
        <v>-2.92</v>
      </c>
      <c r="AG112" s="200" t="s">
        <v>279</v>
      </c>
      <c r="AH112" s="203">
        <v>0</v>
      </c>
      <c r="AI112" s="200" t="s">
        <v>279</v>
      </c>
      <c r="AJ112" s="203">
        <v>0</v>
      </c>
      <c r="AK112" s="200" t="s">
        <v>279</v>
      </c>
      <c r="AL112" s="203">
        <v>0</v>
      </c>
      <c r="AM112" s="200" t="s">
        <v>279</v>
      </c>
      <c r="AN112" s="203">
        <v>0</v>
      </c>
      <c r="AO112" s="200" t="s">
        <v>279</v>
      </c>
      <c r="AP112" s="203">
        <v>0</v>
      </c>
      <c r="AQ112" s="203">
        <v>26.17</v>
      </c>
      <c r="AR112" s="203">
        <v>0</v>
      </c>
      <c r="AS112" s="200" t="str">
        <f t="shared" si="1"/>
        <v>1.00000000</v>
      </c>
      <c r="AT112" s="200" t="str">
        <f>"10.3"</f>
        <v>10.3</v>
      </c>
      <c r="AU112" s="203">
        <v>0</v>
      </c>
    </row>
    <row r="113" spans="1:47" x14ac:dyDescent="0.2">
      <c r="A113" s="200" t="str">
        <f>"0496002595734"</f>
        <v>0496002595734</v>
      </c>
      <c r="B113" s="200">
        <v>1</v>
      </c>
      <c r="C113" s="200" t="s">
        <v>435</v>
      </c>
      <c r="D113" s="200">
        <v>81</v>
      </c>
      <c r="E113" s="200">
        <v>81</v>
      </c>
      <c r="F113" s="200" t="s">
        <v>243</v>
      </c>
      <c r="G113" s="200">
        <v>2086</v>
      </c>
      <c r="H113" s="200" t="s">
        <v>270</v>
      </c>
      <c r="I113" s="200">
        <v>60412</v>
      </c>
      <c r="J113" s="201">
        <v>42604</v>
      </c>
      <c r="K113" s="202">
        <v>0.86458333333333337</v>
      </c>
      <c r="L113" s="201">
        <v>42606</v>
      </c>
      <c r="M113" s="200" t="s">
        <v>271</v>
      </c>
      <c r="N113" s="200" t="s">
        <v>272</v>
      </c>
      <c r="O113" s="200" t="s">
        <v>273</v>
      </c>
      <c r="P113" s="200" t="s">
        <v>274</v>
      </c>
      <c r="Q113" s="200" t="s">
        <v>275</v>
      </c>
      <c r="R113" s="200" t="s">
        <v>276</v>
      </c>
      <c r="S113" s="200" t="s">
        <v>436</v>
      </c>
      <c r="T113" s="200" t="s">
        <v>435</v>
      </c>
      <c r="U113" s="200">
        <v>2086</v>
      </c>
      <c r="V113" s="200" t="s">
        <v>435</v>
      </c>
      <c r="W113" s="200" t="s">
        <v>280</v>
      </c>
      <c r="X113" s="200">
        <v>16.332999999999998</v>
      </c>
      <c r="Y113" s="203">
        <v>-0.49</v>
      </c>
      <c r="Z113" s="203">
        <v>2.15</v>
      </c>
      <c r="AA113" s="203">
        <v>35.1</v>
      </c>
      <c r="AB113" s="203">
        <v>-2.99</v>
      </c>
      <c r="AC113" s="203">
        <v>0</v>
      </c>
      <c r="AD113" s="203">
        <v>0</v>
      </c>
      <c r="AE113" s="203">
        <v>31.62</v>
      </c>
      <c r="AF113" s="203">
        <v>-3.92</v>
      </c>
      <c r="AG113" s="200" t="s">
        <v>279</v>
      </c>
      <c r="AH113" s="203">
        <v>0</v>
      </c>
      <c r="AI113" s="200" t="s">
        <v>279</v>
      </c>
      <c r="AJ113" s="203">
        <v>0</v>
      </c>
      <c r="AK113" s="200" t="s">
        <v>279</v>
      </c>
      <c r="AL113" s="203">
        <v>0</v>
      </c>
      <c r="AM113" s="200" t="s">
        <v>279</v>
      </c>
      <c r="AN113" s="203">
        <v>0</v>
      </c>
      <c r="AO113" s="200" t="s">
        <v>279</v>
      </c>
      <c r="AP113" s="203">
        <v>0</v>
      </c>
      <c r="AQ113" s="203">
        <v>35.1</v>
      </c>
      <c r="AR113" s="203">
        <v>0</v>
      </c>
      <c r="AS113" s="200" t="str">
        <f t="shared" si="1"/>
        <v>1.00000000</v>
      </c>
      <c r="AT113" s="200" t="str">
        <f>"19.5"</f>
        <v>19.5</v>
      </c>
      <c r="AU113" s="203">
        <v>0</v>
      </c>
    </row>
    <row r="114" spans="1:47" x14ac:dyDescent="0.2">
      <c r="A114" s="200" t="str">
        <f>"0496002595734"</f>
        <v>0496002595734</v>
      </c>
      <c r="B114" s="200">
        <v>2</v>
      </c>
      <c r="C114" s="200" t="s">
        <v>435</v>
      </c>
      <c r="D114" s="200">
        <v>80</v>
      </c>
      <c r="E114" s="200">
        <v>80</v>
      </c>
      <c r="F114" s="200" t="s">
        <v>243</v>
      </c>
      <c r="G114" s="200">
        <v>2086</v>
      </c>
      <c r="H114" s="200" t="s">
        <v>270</v>
      </c>
      <c r="I114" s="200">
        <v>64358</v>
      </c>
      <c r="J114" s="201">
        <v>42604</v>
      </c>
      <c r="K114" s="202">
        <v>0.76111111111111107</v>
      </c>
      <c r="L114" s="201">
        <v>42606</v>
      </c>
      <c r="M114" s="200" t="s">
        <v>271</v>
      </c>
      <c r="N114" s="200" t="s">
        <v>272</v>
      </c>
      <c r="O114" s="200" t="s">
        <v>273</v>
      </c>
      <c r="P114" s="200" t="s">
        <v>274</v>
      </c>
      <c r="Q114" s="200" t="s">
        <v>275</v>
      </c>
      <c r="R114" s="200" t="s">
        <v>276</v>
      </c>
      <c r="S114" s="200" t="s">
        <v>436</v>
      </c>
      <c r="T114" s="200" t="s">
        <v>435</v>
      </c>
      <c r="U114" s="200">
        <v>2086</v>
      </c>
      <c r="V114" s="200" t="s">
        <v>435</v>
      </c>
      <c r="W114" s="200" t="s">
        <v>280</v>
      </c>
      <c r="X114" s="200">
        <v>8.0310000000000006</v>
      </c>
      <c r="Y114" s="203">
        <v>-0.24</v>
      </c>
      <c r="Z114" s="203">
        <v>2.15</v>
      </c>
      <c r="AA114" s="203">
        <v>17.260000000000002</v>
      </c>
      <c r="AB114" s="203">
        <v>-1.47</v>
      </c>
      <c r="AC114" s="203">
        <v>0</v>
      </c>
      <c r="AD114" s="203">
        <v>0</v>
      </c>
      <c r="AE114" s="203">
        <v>15.55</v>
      </c>
      <c r="AF114" s="203">
        <v>-1.93</v>
      </c>
      <c r="AG114" s="200" t="s">
        <v>279</v>
      </c>
      <c r="AH114" s="203">
        <v>0</v>
      </c>
      <c r="AI114" s="200" t="s">
        <v>279</v>
      </c>
      <c r="AJ114" s="203">
        <v>0</v>
      </c>
      <c r="AK114" s="200" t="s">
        <v>279</v>
      </c>
      <c r="AL114" s="203">
        <v>0</v>
      </c>
      <c r="AM114" s="200" t="s">
        <v>279</v>
      </c>
      <c r="AN114" s="203">
        <v>0</v>
      </c>
      <c r="AO114" s="200" t="s">
        <v>279</v>
      </c>
      <c r="AP114" s="203">
        <v>0</v>
      </c>
      <c r="AQ114" s="203">
        <v>17.260000000000002</v>
      </c>
      <c r="AR114" s="203">
        <v>0</v>
      </c>
      <c r="AS114" s="200" t="str">
        <f t="shared" si="1"/>
        <v>1.00000000</v>
      </c>
      <c r="AT114" s="200" t="str">
        <f>"36.4"</f>
        <v>36.4</v>
      </c>
      <c r="AU114" s="203">
        <v>0</v>
      </c>
    </row>
    <row r="115" spans="1:47" x14ac:dyDescent="0.2">
      <c r="A115" s="200" t="str">
        <f>"0496002599173"</f>
        <v>0496002599173</v>
      </c>
      <c r="B115" s="200">
        <v>1</v>
      </c>
      <c r="C115" s="200" t="s">
        <v>585</v>
      </c>
      <c r="D115" s="200" t="s">
        <v>586</v>
      </c>
      <c r="E115" s="200" t="s">
        <v>586</v>
      </c>
      <c r="F115" s="200" t="s">
        <v>243</v>
      </c>
      <c r="G115" s="200">
        <v>5314</v>
      </c>
      <c r="H115" s="200" t="s">
        <v>270</v>
      </c>
      <c r="I115" s="200">
        <v>60406</v>
      </c>
      <c r="J115" s="201">
        <v>42604</v>
      </c>
      <c r="K115" s="202">
        <v>0.42430555555555555</v>
      </c>
      <c r="L115" s="201">
        <v>42606</v>
      </c>
      <c r="M115" s="200" t="s">
        <v>606</v>
      </c>
      <c r="N115" s="200" t="s">
        <v>399</v>
      </c>
      <c r="O115" s="200" t="s">
        <v>400</v>
      </c>
      <c r="P115" s="200" t="s">
        <v>274</v>
      </c>
      <c r="Q115" s="200" t="s">
        <v>275</v>
      </c>
      <c r="R115" s="200" t="s">
        <v>401</v>
      </c>
      <c r="S115" s="200" t="s">
        <v>436</v>
      </c>
      <c r="T115" s="200" t="s">
        <v>587</v>
      </c>
      <c r="U115" s="200">
        <v>5314</v>
      </c>
      <c r="V115" s="200" t="s">
        <v>585</v>
      </c>
      <c r="W115" s="200" t="s">
        <v>280</v>
      </c>
      <c r="X115" s="200">
        <v>28.105</v>
      </c>
      <c r="Y115" s="203">
        <v>0</v>
      </c>
      <c r="Z115" s="203">
        <v>2.12</v>
      </c>
      <c r="AA115" s="203">
        <v>59.55</v>
      </c>
      <c r="AB115" s="203">
        <v>-5.14</v>
      </c>
      <c r="AC115" s="203">
        <v>0</v>
      </c>
      <c r="AD115" s="203">
        <v>0</v>
      </c>
      <c r="AE115" s="203">
        <v>54.41</v>
      </c>
      <c r="AF115" s="203">
        <v>-6.75</v>
      </c>
      <c r="AG115" s="200" t="s">
        <v>279</v>
      </c>
      <c r="AH115" s="203">
        <v>0</v>
      </c>
      <c r="AI115" s="200" t="s">
        <v>279</v>
      </c>
      <c r="AJ115" s="203">
        <v>0</v>
      </c>
      <c r="AK115" s="200" t="s">
        <v>279</v>
      </c>
      <c r="AL115" s="203">
        <v>0</v>
      </c>
      <c r="AM115" s="200" t="s">
        <v>279</v>
      </c>
      <c r="AN115" s="203">
        <v>0</v>
      </c>
      <c r="AO115" s="200" t="s">
        <v>279</v>
      </c>
      <c r="AP115" s="203">
        <v>0</v>
      </c>
      <c r="AQ115" s="203">
        <v>59.55</v>
      </c>
      <c r="AR115" s="203">
        <v>0</v>
      </c>
      <c r="AS115" s="200" t="str">
        <f t="shared" si="1"/>
        <v>1.00000000</v>
      </c>
      <c r="AT115" s="200" t="str">
        <f>"12.9"</f>
        <v>12.9</v>
      </c>
      <c r="AU115" s="203">
        <v>0</v>
      </c>
    </row>
    <row r="116" spans="1:47" x14ac:dyDescent="0.2">
      <c r="A116" s="200" t="str">
        <f>"0496002595700"</f>
        <v>0496002595700</v>
      </c>
      <c r="B116" s="200">
        <v>2</v>
      </c>
      <c r="C116" s="200" t="s">
        <v>156</v>
      </c>
      <c r="D116" s="200">
        <v>42</v>
      </c>
      <c r="E116" s="200">
        <v>42</v>
      </c>
      <c r="F116" s="200" t="s">
        <v>243</v>
      </c>
      <c r="G116" s="200">
        <v>2262</v>
      </c>
      <c r="H116" s="200" t="s">
        <v>270</v>
      </c>
      <c r="I116" s="200">
        <v>26232</v>
      </c>
      <c r="J116" s="201">
        <v>42606</v>
      </c>
      <c r="K116" s="202">
        <v>0.25486111111111109</v>
      </c>
      <c r="L116" s="201">
        <v>42608</v>
      </c>
      <c r="M116" s="200" t="s">
        <v>271</v>
      </c>
      <c r="N116" s="200" t="s">
        <v>272</v>
      </c>
      <c r="O116" s="200" t="s">
        <v>273</v>
      </c>
      <c r="P116" s="200" t="s">
        <v>274</v>
      </c>
      <c r="Q116" s="200" t="s">
        <v>275</v>
      </c>
      <c r="R116" s="200" t="s">
        <v>276</v>
      </c>
      <c r="S116" s="200" t="s">
        <v>156</v>
      </c>
      <c r="T116" s="200" t="s">
        <v>277</v>
      </c>
      <c r="U116" s="200">
        <v>2262</v>
      </c>
      <c r="V116" s="200" t="s">
        <v>156</v>
      </c>
      <c r="W116" s="200" t="s">
        <v>280</v>
      </c>
      <c r="X116" s="200">
        <v>2.39</v>
      </c>
      <c r="Y116" s="203">
        <v>-7.0000000000000007E-2</v>
      </c>
      <c r="Z116" s="203">
        <v>2.15</v>
      </c>
      <c r="AA116" s="203">
        <v>5.14</v>
      </c>
      <c r="AB116" s="203">
        <v>-0.44</v>
      </c>
      <c r="AC116" s="203">
        <v>0</v>
      </c>
      <c r="AD116" s="203">
        <v>0</v>
      </c>
      <c r="AE116" s="203">
        <v>4.63</v>
      </c>
      <c r="AF116" s="203">
        <v>-0.56999999999999995</v>
      </c>
      <c r="AG116" s="200" t="s">
        <v>279</v>
      </c>
      <c r="AH116" s="203">
        <v>0</v>
      </c>
      <c r="AI116" s="200" t="s">
        <v>279</v>
      </c>
      <c r="AJ116" s="203">
        <v>0</v>
      </c>
      <c r="AK116" s="200" t="s">
        <v>279</v>
      </c>
      <c r="AL116" s="203">
        <v>0</v>
      </c>
      <c r="AM116" s="200" t="s">
        <v>279</v>
      </c>
      <c r="AN116" s="203">
        <v>0</v>
      </c>
      <c r="AO116" s="200" t="s">
        <v>279</v>
      </c>
      <c r="AP116" s="203">
        <v>0</v>
      </c>
      <c r="AQ116" s="203">
        <v>5.14</v>
      </c>
      <c r="AR116" s="203">
        <v>0</v>
      </c>
      <c r="AS116" s="200" t="str">
        <f t="shared" si="1"/>
        <v>1.00000000</v>
      </c>
      <c r="AT116" s="200" t="str">
        <f>"47.7"</f>
        <v>47.7</v>
      </c>
      <c r="AU116" s="203">
        <v>0</v>
      </c>
    </row>
    <row r="117" spans="1:47" x14ac:dyDescent="0.2">
      <c r="A117" s="200" t="str">
        <f>"0496002595700"</f>
        <v>0496002595700</v>
      </c>
      <c r="B117" s="200">
        <v>6</v>
      </c>
      <c r="C117" s="200" t="s">
        <v>156</v>
      </c>
      <c r="D117" s="200" t="s">
        <v>344</v>
      </c>
      <c r="E117" s="200" t="s">
        <v>345</v>
      </c>
      <c r="F117" s="200" t="s">
        <v>243</v>
      </c>
      <c r="G117" s="200">
        <v>2262</v>
      </c>
      <c r="H117" s="200" t="s">
        <v>270</v>
      </c>
      <c r="I117" s="200">
        <v>53113</v>
      </c>
      <c r="J117" s="201">
        <v>42607</v>
      </c>
      <c r="K117" s="202">
        <v>0.72499999999999998</v>
      </c>
      <c r="L117" s="201">
        <v>42611</v>
      </c>
      <c r="M117" s="200" t="s">
        <v>701</v>
      </c>
      <c r="N117" s="200" t="s">
        <v>702</v>
      </c>
      <c r="O117" s="200" t="s">
        <v>703</v>
      </c>
      <c r="P117" s="200" t="s">
        <v>704</v>
      </c>
      <c r="Q117" s="200" t="s">
        <v>309</v>
      </c>
      <c r="R117" s="200" t="s">
        <v>705</v>
      </c>
      <c r="S117" s="200" t="s">
        <v>156</v>
      </c>
      <c r="T117" s="200" t="s">
        <v>277</v>
      </c>
      <c r="U117" s="200">
        <v>2262</v>
      </c>
      <c r="V117" s="200" t="s">
        <v>156</v>
      </c>
      <c r="W117" s="200" t="s">
        <v>280</v>
      </c>
      <c r="X117" s="200">
        <v>12.452999999999999</v>
      </c>
      <c r="Y117" s="203">
        <v>0</v>
      </c>
      <c r="Z117" s="203">
        <v>2.8</v>
      </c>
      <c r="AA117" s="203">
        <v>34.86</v>
      </c>
      <c r="AB117" s="203">
        <v>-2.2799999999999998</v>
      </c>
      <c r="AC117" s="203">
        <v>0</v>
      </c>
      <c r="AD117" s="203">
        <v>0</v>
      </c>
      <c r="AE117" s="203">
        <v>32.58</v>
      </c>
      <c r="AF117" s="203">
        <v>-3.11</v>
      </c>
      <c r="AG117" s="200" t="s">
        <v>279</v>
      </c>
      <c r="AH117" s="203">
        <v>0</v>
      </c>
      <c r="AI117" s="200" t="s">
        <v>279</v>
      </c>
      <c r="AJ117" s="203">
        <v>0</v>
      </c>
      <c r="AK117" s="200" t="s">
        <v>279</v>
      </c>
      <c r="AL117" s="203">
        <v>0</v>
      </c>
      <c r="AM117" s="200" t="s">
        <v>279</v>
      </c>
      <c r="AN117" s="203">
        <v>0</v>
      </c>
      <c r="AO117" s="200" t="s">
        <v>279</v>
      </c>
      <c r="AP117" s="203">
        <v>0</v>
      </c>
      <c r="AQ117" s="203">
        <v>34.86</v>
      </c>
      <c r="AR117" s="203">
        <v>0</v>
      </c>
      <c r="AS117" s="200" t="str">
        <f t="shared" si="1"/>
        <v>1.00000000</v>
      </c>
      <c r="AT117" s="200" t="str">
        <f>"27.7"</f>
        <v>27.7</v>
      </c>
      <c r="AU117" s="203">
        <v>0</v>
      </c>
    </row>
    <row r="118" spans="1:47" x14ac:dyDescent="0.2">
      <c r="A118" s="200" t="str">
        <f>"0496002595734"</f>
        <v>0496002595734</v>
      </c>
      <c r="B118" s="200">
        <v>2</v>
      </c>
      <c r="C118" s="200" t="s">
        <v>435</v>
      </c>
      <c r="D118" s="200">
        <v>80</v>
      </c>
      <c r="E118" s="200">
        <v>80</v>
      </c>
      <c r="F118" s="200" t="s">
        <v>243</v>
      </c>
      <c r="G118" s="200">
        <v>2086</v>
      </c>
      <c r="H118" s="200" t="s">
        <v>270</v>
      </c>
      <c r="I118" s="200">
        <v>64492</v>
      </c>
      <c r="J118" s="201">
        <v>42607</v>
      </c>
      <c r="K118" s="202">
        <v>0.35069444444444442</v>
      </c>
      <c r="L118" s="201">
        <v>42611</v>
      </c>
      <c r="M118" s="200" t="s">
        <v>271</v>
      </c>
      <c r="N118" s="200" t="s">
        <v>272</v>
      </c>
      <c r="O118" s="200" t="s">
        <v>273</v>
      </c>
      <c r="P118" s="200" t="s">
        <v>274</v>
      </c>
      <c r="Q118" s="200" t="s">
        <v>275</v>
      </c>
      <c r="R118" s="200" t="s">
        <v>276</v>
      </c>
      <c r="S118" s="200" t="s">
        <v>436</v>
      </c>
      <c r="T118" s="200" t="s">
        <v>435</v>
      </c>
      <c r="U118" s="200">
        <v>2086</v>
      </c>
      <c r="V118" s="200" t="s">
        <v>435</v>
      </c>
      <c r="W118" s="200" t="s">
        <v>280</v>
      </c>
      <c r="X118" s="200">
        <v>3.734</v>
      </c>
      <c r="Y118" s="203">
        <v>-0.11</v>
      </c>
      <c r="Z118" s="203">
        <v>2.15</v>
      </c>
      <c r="AA118" s="203">
        <v>8.0299999999999994</v>
      </c>
      <c r="AB118" s="203">
        <v>-0.68</v>
      </c>
      <c r="AC118" s="203">
        <v>0</v>
      </c>
      <c r="AD118" s="203">
        <v>0</v>
      </c>
      <c r="AE118" s="203">
        <v>7.24</v>
      </c>
      <c r="AF118" s="203">
        <v>-0.9</v>
      </c>
      <c r="AG118" s="200" t="s">
        <v>279</v>
      </c>
      <c r="AH118" s="203">
        <v>0</v>
      </c>
      <c r="AI118" s="200" t="s">
        <v>279</v>
      </c>
      <c r="AJ118" s="203">
        <v>0</v>
      </c>
      <c r="AK118" s="200" t="s">
        <v>279</v>
      </c>
      <c r="AL118" s="203">
        <v>0</v>
      </c>
      <c r="AM118" s="200" t="s">
        <v>279</v>
      </c>
      <c r="AN118" s="203">
        <v>0</v>
      </c>
      <c r="AO118" s="200" t="s">
        <v>279</v>
      </c>
      <c r="AP118" s="203">
        <v>0</v>
      </c>
      <c r="AQ118" s="203">
        <v>8.0299999999999994</v>
      </c>
      <c r="AR118" s="203">
        <v>0</v>
      </c>
      <c r="AS118" s="200" t="str">
        <f t="shared" si="1"/>
        <v>1.00000000</v>
      </c>
      <c r="AT118" s="200" t="str">
        <f>"35.9"</f>
        <v>35.9</v>
      </c>
      <c r="AU118" s="203">
        <v>0</v>
      </c>
    </row>
    <row r="119" spans="1:47" x14ac:dyDescent="0.2">
      <c r="A119" s="200" t="str">
        <f>"0496002595700"</f>
        <v>0496002595700</v>
      </c>
      <c r="B119" s="200">
        <v>6</v>
      </c>
      <c r="C119" s="200" t="s">
        <v>156</v>
      </c>
      <c r="D119" s="200" t="s">
        <v>344</v>
      </c>
      <c r="E119" s="200" t="s">
        <v>345</v>
      </c>
      <c r="F119" s="200" t="s">
        <v>243</v>
      </c>
      <c r="G119" s="200">
        <v>2262</v>
      </c>
      <c r="H119" s="200" t="s">
        <v>270</v>
      </c>
      <c r="I119" s="200">
        <v>53200</v>
      </c>
      <c r="J119" s="201">
        <v>42608</v>
      </c>
      <c r="K119" s="202">
        <v>0.57708333333333328</v>
      </c>
      <c r="L119" s="201">
        <v>42612</v>
      </c>
      <c r="M119" s="200" t="s">
        <v>271</v>
      </c>
      <c r="N119" s="200" t="s">
        <v>272</v>
      </c>
      <c r="O119" s="200" t="s">
        <v>273</v>
      </c>
      <c r="P119" s="200" t="s">
        <v>274</v>
      </c>
      <c r="Q119" s="200" t="s">
        <v>275</v>
      </c>
      <c r="R119" s="200" t="s">
        <v>276</v>
      </c>
      <c r="S119" s="200" t="s">
        <v>156</v>
      </c>
      <c r="T119" s="200" t="s">
        <v>277</v>
      </c>
      <c r="U119" s="200">
        <v>2262</v>
      </c>
      <c r="V119" s="200" t="s">
        <v>156</v>
      </c>
      <c r="W119" s="200" t="s">
        <v>335</v>
      </c>
      <c r="X119" s="200">
        <v>3.5430000000000001</v>
      </c>
      <c r="Y119" s="203">
        <v>-0.11</v>
      </c>
      <c r="Z119" s="203">
        <v>2.38</v>
      </c>
      <c r="AA119" s="203">
        <v>8.43</v>
      </c>
      <c r="AB119" s="203">
        <v>-0.65</v>
      </c>
      <c r="AC119" s="203">
        <v>0</v>
      </c>
      <c r="AD119" s="203">
        <v>0</v>
      </c>
      <c r="AE119" s="203">
        <v>7.67</v>
      </c>
      <c r="AF119" s="203">
        <v>-0.85</v>
      </c>
      <c r="AG119" s="200" t="s">
        <v>279</v>
      </c>
      <c r="AH119" s="203">
        <v>0</v>
      </c>
      <c r="AI119" s="200" t="s">
        <v>279</v>
      </c>
      <c r="AJ119" s="203">
        <v>0</v>
      </c>
      <c r="AK119" s="200" t="s">
        <v>279</v>
      </c>
      <c r="AL119" s="203">
        <v>0</v>
      </c>
      <c r="AM119" s="200" t="s">
        <v>279</v>
      </c>
      <c r="AN119" s="203">
        <v>0</v>
      </c>
      <c r="AO119" s="200" t="s">
        <v>279</v>
      </c>
      <c r="AP119" s="203">
        <v>0</v>
      </c>
      <c r="AQ119" s="203">
        <v>8.43</v>
      </c>
      <c r="AR119" s="203">
        <v>0</v>
      </c>
      <c r="AS119" s="200" t="str">
        <f t="shared" si="1"/>
        <v>1.00000000</v>
      </c>
      <c r="AT119" s="200" t="str">
        <f>"24.6"</f>
        <v>24.6</v>
      </c>
      <c r="AU119" s="203">
        <v>0</v>
      </c>
    </row>
    <row r="120" spans="1:47" x14ac:dyDescent="0.2">
      <c r="A120" s="200" t="str">
        <f>"0496002595734"</f>
        <v>0496002595734</v>
      </c>
      <c r="B120" s="200">
        <v>2</v>
      </c>
      <c r="C120" s="200" t="s">
        <v>435</v>
      </c>
      <c r="D120" s="200">
        <v>80</v>
      </c>
      <c r="E120" s="200">
        <v>80</v>
      </c>
      <c r="F120" s="200" t="s">
        <v>243</v>
      </c>
      <c r="G120" s="200">
        <v>2086</v>
      </c>
      <c r="H120" s="200" t="s">
        <v>270</v>
      </c>
      <c r="I120" s="200">
        <v>64673</v>
      </c>
      <c r="J120" s="201">
        <v>42608</v>
      </c>
      <c r="K120" s="202">
        <v>0.52986111111111112</v>
      </c>
      <c r="L120" s="201">
        <v>42612</v>
      </c>
      <c r="M120" s="200" t="s">
        <v>271</v>
      </c>
      <c r="N120" s="200" t="s">
        <v>272</v>
      </c>
      <c r="O120" s="200" t="s">
        <v>273</v>
      </c>
      <c r="P120" s="200" t="s">
        <v>274</v>
      </c>
      <c r="Q120" s="200" t="s">
        <v>275</v>
      </c>
      <c r="R120" s="200" t="s">
        <v>276</v>
      </c>
      <c r="S120" s="200" t="s">
        <v>436</v>
      </c>
      <c r="T120" s="200" t="s">
        <v>435</v>
      </c>
      <c r="U120" s="200">
        <v>2086</v>
      </c>
      <c r="V120" s="200" t="s">
        <v>435</v>
      </c>
      <c r="W120" s="200" t="s">
        <v>335</v>
      </c>
      <c r="X120" s="200">
        <v>4.5789999999999997</v>
      </c>
      <c r="Y120" s="203">
        <v>-0.14000000000000001</v>
      </c>
      <c r="Z120" s="203">
        <v>2.38</v>
      </c>
      <c r="AA120" s="203">
        <v>10.9</v>
      </c>
      <c r="AB120" s="203">
        <v>-0.84</v>
      </c>
      <c r="AC120" s="203">
        <v>0</v>
      </c>
      <c r="AD120" s="203">
        <v>0</v>
      </c>
      <c r="AE120" s="203">
        <v>9.92</v>
      </c>
      <c r="AF120" s="203">
        <v>-1.1000000000000001</v>
      </c>
      <c r="AG120" s="200" t="s">
        <v>279</v>
      </c>
      <c r="AH120" s="203">
        <v>0</v>
      </c>
      <c r="AI120" s="200" t="s">
        <v>279</v>
      </c>
      <c r="AJ120" s="203">
        <v>0</v>
      </c>
      <c r="AK120" s="200" t="s">
        <v>279</v>
      </c>
      <c r="AL120" s="203">
        <v>0</v>
      </c>
      <c r="AM120" s="200" t="s">
        <v>279</v>
      </c>
      <c r="AN120" s="203">
        <v>0</v>
      </c>
      <c r="AO120" s="200" t="s">
        <v>279</v>
      </c>
      <c r="AP120" s="203">
        <v>0</v>
      </c>
      <c r="AQ120" s="203">
        <v>10.9</v>
      </c>
      <c r="AR120" s="203">
        <v>0</v>
      </c>
      <c r="AS120" s="200" t="str">
        <f t="shared" si="1"/>
        <v>1.00000000</v>
      </c>
      <c r="AT120" s="200" t="str">
        <f>"39.5"</f>
        <v>39.5</v>
      </c>
      <c r="AU120" s="203">
        <v>0</v>
      </c>
    </row>
    <row r="121" spans="1:47" x14ac:dyDescent="0.2">
      <c r="A121" s="200" t="str">
        <f>"0496002595734"</f>
        <v>0496002595734</v>
      </c>
      <c r="B121" s="200">
        <v>2</v>
      </c>
      <c r="C121" s="200" t="s">
        <v>435</v>
      </c>
      <c r="D121" s="200">
        <v>80</v>
      </c>
      <c r="E121" s="200">
        <v>80</v>
      </c>
      <c r="F121" s="200" t="s">
        <v>243</v>
      </c>
      <c r="G121" s="200">
        <v>2086</v>
      </c>
      <c r="H121" s="200" t="s">
        <v>270</v>
      </c>
      <c r="I121" s="200">
        <v>64904</v>
      </c>
      <c r="J121" s="201">
        <v>42608</v>
      </c>
      <c r="K121" s="202">
        <v>0.97361111111111109</v>
      </c>
      <c r="L121" s="201">
        <v>42612</v>
      </c>
      <c r="M121" s="200" t="s">
        <v>271</v>
      </c>
      <c r="N121" s="200" t="s">
        <v>272</v>
      </c>
      <c r="O121" s="200" t="s">
        <v>273</v>
      </c>
      <c r="P121" s="200" t="s">
        <v>274</v>
      </c>
      <c r="Q121" s="200" t="s">
        <v>275</v>
      </c>
      <c r="R121" s="200" t="s">
        <v>276</v>
      </c>
      <c r="S121" s="200" t="s">
        <v>436</v>
      </c>
      <c r="T121" s="200" t="s">
        <v>435</v>
      </c>
      <c r="U121" s="200">
        <v>2086</v>
      </c>
      <c r="V121" s="200" t="s">
        <v>435</v>
      </c>
      <c r="W121" s="200" t="s">
        <v>335</v>
      </c>
      <c r="X121" s="200">
        <v>6.0590000000000002</v>
      </c>
      <c r="Y121" s="203">
        <v>-0.18</v>
      </c>
      <c r="Z121" s="203">
        <v>2.38</v>
      </c>
      <c r="AA121" s="203">
        <v>14.41</v>
      </c>
      <c r="AB121" s="203">
        <v>-1.1100000000000001</v>
      </c>
      <c r="AC121" s="203">
        <v>0</v>
      </c>
      <c r="AD121" s="203">
        <v>0</v>
      </c>
      <c r="AE121" s="203">
        <v>13.12</v>
      </c>
      <c r="AF121" s="203">
        <v>-1.45</v>
      </c>
      <c r="AG121" s="200" t="s">
        <v>279</v>
      </c>
      <c r="AH121" s="203">
        <v>0</v>
      </c>
      <c r="AI121" s="200" t="s">
        <v>279</v>
      </c>
      <c r="AJ121" s="203">
        <v>0</v>
      </c>
      <c r="AK121" s="200" t="s">
        <v>279</v>
      </c>
      <c r="AL121" s="203">
        <v>0</v>
      </c>
      <c r="AM121" s="200" t="s">
        <v>279</v>
      </c>
      <c r="AN121" s="203">
        <v>0</v>
      </c>
      <c r="AO121" s="200" t="s">
        <v>279</v>
      </c>
      <c r="AP121" s="203">
        <v>0</v>
      </c>
      <c r="AQ121" s="203">
        <v>14.41</v>
      </c>
      <c r="AR121" s="203">
        <v>0</v>
      </c>
      <c r="AS121" s="200" t="str">
        <f t="shared" si="1"/>
        <v>1.00000000</v>
      </c>
      <c r="AT121" s="200" t="str">
        <f>"38.1"</f>
        <v>38.1</v>
      </c>
      <c r="AU121" s="203">
        <v>0</v>
      </c>
    </row>
    <row r="122" spans="1:47" x14ac:dyDescent="0.2">
      <c r="A122" s="200" t="str">
        <f>"0496002595734"</f>
        <v>0496002595734</v>
      </c>
      <c r="B122" s="200">
        <v>3</v>
      </c>
      <c r="C122" s="200" t="s">
        <v>435</v>
      </c>
      <c r="D122" s="200">
        <v>82</v>
      </c>
      <c r="E122" s="200">
        <v>82</v>
      </c>
      <c r="F122" s="200" t="s">
        <v>243</v>
      </c>
      <c r="G122" s="200">
        <v>2086</v>
      </c>
      <c r="H122" s="200" t="s">
        <v>270</v>
      </c>
      <c r="I122" s="200">
        <v>48319</v>
      </c>
      <c r="J122" s="201">
        <v>42608</v>
      </c>
      <c r="K122" s="202">
        <v>0.80208333333333337</v>
      </c>
      <c r="L122" s="201">
        <v>42612</v>
      </c>
      <c r="M122" s="200" t="s">
        <v>271</v>
      </c>
      <c r="N122" s="200" t="s">
        <v>272</v>
      </c>
      <c r="O122" s="200" t="s">
        <v>273</v>
      </c>
      <c r="P122" s="200" t="s">
        <v>274</v>
      </c>
      <c r="Q122" s="200" t="s">
        <v>275</v>
      </c>
      <c r="R122" s="200" t="s">
        <v>276</v>
      </c>
      <c r="S122" s="200" t="s">
        <v>436</v>
      </c>
      <c r="T122" s="200" t="s">
        <v>435</v>
      </c>
      <c r="U122" s="200">
        <v>2086</v>
      </c>
      <c r="V122" s="200" t="s">
        <v>435</v>
      </c>
      <c r="W122" s="200" t="s">
        <v>280</v>
      </c>
      <c r="X122" s="200">
        <v>11.842000000000001</v>
      </c>
      <c r="Y122" s="203">
        <v>-0.36</v>
      </c>
      <c r="Z122" s="203">
        <v>2.15</v>
      </c>
      <c r="AA122" s="203">
        <v>25.45</v>
      </c>
      <c r="AB122" s="203">
        <v>-2.17</v>
      </c>
      <c r="AC122" s="203">
        <v>0</v>
      </c>
      <c r="AD122" s="203">
        <v>0</v>
      </c>
      <c r="AE122" s="203">
        <v>22.92</v>
      </c>
      <c r="AF122" s="203">
        <v>-2.84</v>
      </c>
      <c r="AG122" s="200" t="s">
        <v>279</v>
      </c>
      <c r="AH122" s="203">
        <v>0</v>
      </c>
      <c r="AI122" s="200" t="s">
        <v>279</v>
      </c>
      <c r="AJ122" s="203">
        <v>0</v>
      </c>
      <c r="AK122" s="200" t="s">
        <v>279</v>
      </c>
      <c r="AL122" s="203">
        <v>0</v>
      </c>
      <c r="AM122" s="200" t="s">
        <v>279</v>
      </c>
      <c r="AN122" s="203">
        <v>0</v>
      </c>
      <c r="AO122" s="200" t="s">
        <v>279</v>
      </c>
      <c r="AP122" s="203">
        <v>0</v>
      </c>
      <c r="AQ122" s="203">
        <v>25.45</v>
      </c>
      <c r="AR122" s="203">
        <v>0</v>
      </c>
      <c r="AS122" s="200" t="str">
        <f t="shared" si="1"/>
        <v>1.00000000</v>
      </c>
      <c r="AT122" s="200" t="str">
        <f>"17.9"</f>
        <v>17.9</v>
      </c>
      <c r="AU122" s="203">
        <v>0</v>
      </c>
    </row>
    <row r="123" spans="1:47" x14ac:dyDescent="0.2">
      <c r="A123" s="200" t="str">
        <f>"0496002599173"</f>
        <v>0496002599173</v>
      </c>
      <c r="B123" s="200">
        <v>2</v>
      </c>
      <c r="C123" s="200" t="s">
        <v>585</v>
      </c>
      <c r="D123" s="200" t="s">
        <v>594</v>
      </c>
      <c r="E123" s="200" t="s">
        <v>594</v>
      </c>
      <c r="F123" s="200" t="s">
        <v>243</v>
      </c>
      <c r="G123" s="200">
        <v>5647</v>
      </c>
      <c r="H123" s="200" t="s">
        <v>270</v>
      </c>
      <c r="I123" s="200">
        <v>110858</v>
      </c>
      <c r="J123" s="201">
        <v>42608</v>
      </c>
      <c r="K123" s="202">
        <v>0.54583333333333328</v>
      </c>
      <c r="L123" s="201">
        <v>42612</v>
      </c>
      <c r="M123" s="200" t="s">
        <v>271</v>
      </c>
      <c r="N123" s="200" t="s">
        <v>454</v>
      </c>
      <c r="O123" s="200" t="s">
        <v>455</v>
      </c>
      <c r="P123" s="200" t="s">
        <v>456</v>
      </c>
      <c r="Q123" s="200" t="s">
        <v>275</v>
      </c>
      <c r="R123" s="200" t="s">
        <v>706</v>
      </c>
      <c r="S123" s="200" t="s">
        <v>436</v>
      </c>
      <c r="T123" s="200" t="s">
        <v>595</v>
      </c>
      <c r="U123" s="200">
        <v>5647</v>
      </c>
      <c r="V123" s="200" t="s">
        <v>585</v>
      </c>
      <c r="W123" s="200" t="s">
        <v>280</v>
      </c>
      <c r="X123" s="200">
        <v>23.413</v>
      </c>
      <c r="Y123" s="203">
        <v>-0.7</v>
      </c>
      <c r="Z123" s="203">
        <v>2.16</v>
      </c>
      <c r="AA123" s="203">
        <v>50.55</v>
      </c>
      <c r="AB123" s="203">
        <v>-4.28</v>
      </c>
      <c r="AC123" s="203">
        <v>0</v>
      </c>
      <c r="AD123" s="203">
        <v>0</v>
      </c>
      <c r="AE123" s="203">
        <v>45.57</v>
      </c>
      <c r="AF123" s="203">
        <v>-5.62</v>
      </c>
      <c r="AG123" s="200" t="s">
        <v>279</v>
      </c>
      <c r="AH123" s="203">
        <v>0</v>
      </c>
      <c r="AI123" s="200" t="s">
        <v>279</v>
      </c>
      <c r="AJ123" s="203">
        <v>0</v>
      </c>
      <c r="AK123" s="200" t="s">
        <v>279</v>
      </c>
      <c r="AL123" s="203">
        <v>0</v>
      </c>
      <c r="AM123" s="200" t="s">
        <v>279</v>
      </c>
      <c r="AN123" s="203">
        <v>0</v>
      </c>
      <c r="AO123" s="200" t="s">
        <v>279</v>
      </c>
      <c r="AP123" s="203">
        <v>0</v>
      </c>
      <c r="AQ123" s="203">
        <v>50.55</v>
      </c>
      <c r="AR123" s="203">
        <v>0</v>
      </c>
      <c r="AS123" s="200" t="str">
        <f t="shared" si="1"/>
        <v>1.00000000</v>
      </c>
      <c r="AT123" s="200" t="str">
        <f>"16.1"</f>
        <v>16.1</v>
      </c>
      <c r="AU123" s="203">
        <v>0</v>
      </c>
    </row>
    <row r="124" spans="1:47" x14ac:dyDescent="0.2">
      <c r="A124" s="200" t="str">
        <f>"0496002595700"</f>
        <v>0496002595700</v>
      </c>
      <c r="B124" s="200">
        <v>7</v>
      </c>
      <c r="C124" s="200" t="s">
        <v>156</v>
      </c>
      <c r="D124" s="200" t="s">
        <v>371</v>
      </c>
      <c r="E124" s="200">
        <v>45</v>
      </c>
      <c r="F124" s="200" t="s">
        <v>243</v>
      </c>
      <c r="G124" s="200">
        <v>2262</v>
      </c>
      <c r="H124" s="200" t="s">
        <v>270</v>
      </c>
      <c r="I124" s="200">
        <v>15031</v>
      </c>
      <c r="J124" s="201">
        <v>42610</v>
      </c>
      <c r="K124" s="202">
        <v>0.51874999999999993</v>
      </c>
      <c r="L124" s="201">
        <v>42612</v>
      </c>
      <c r="M124" s="200" t="s">
        <v>271</v>
      </c>
      <c r="N124" s="200" t="s">
        <v>272</v>
      </c>
      <c r="O124" s="200" t="s">
        <v>273</v>
      </c>
      <c r="P124" s="200" t="s">
        <v>274</v>
      </c>
      <c r="Q124" s="200" t="s">
        <v>275</v>
      </c>
      <c r="R124" s="200" t="s">
        <v>276</v>
      </c>
      <c r="S124" s="200" t="s">
        <v>156</v>
      </c>
      <c r="T124" s="200" t="s">
        <v>277</v>
      </c>
      <c r="U124" s="200">
        <v>2262</v>
      </c>
      <c r="V124" s="200" t="s">
        <v>156</v>
      </c>
      <c r="W124" s="200" t="s">
        <v>280</v>
      </c>
      <c r="X124" s="200">
        <v>14.63</v>
      </c>
      <c r="Y124" s="203">
        <v>-0.44</v>
      </c>
      <c r="Z124" s="203">
        <v>2.15</v>
      </c>
      <c r="AA124" s="203">
        <v>31.44</v>
      </c>
      <c r="AB124" s="203">
        <v>-2.68</v>
      </c>
      <c r="AC124" s="203">
        <v>0</v>
      </c>
      <c r="AD124" s="203">
        <v>0</v>
      </c>
      <c r="AE124" s="203">
        <v>28.32</v>
      </c>
      <c r="AF124" s="203">
        <v>-3.51</v>
      </c>
      <c r="AG124" s="200" t="s">
        <v>279</v>
      </c>
      <c r="AH124" s="203">
        <v>0</v>
      </c>
      <c r="AI124" s="200" t="s">
        <v>279</v>
      </c>
      <c r="AJ124" s="203">
        <v>0</v>
      </c>
      <c r="AK124" s="200" t="s">
        <v>279</v>
      </c>
      <c r="AL124" s="203">
        <v>0</v>
      </c>
      <c r="AM124" s="200" t="s">
        <v>279</v>
      </c>
      <c r="AN124" s="203">
        <v>0</v>
      </c>
      <c r="AO124" s="200" t="s">
        <v>279</v>
      </c>
      <c r="AP124" s="203">
        <v>0</v>
      </c>
      <c r="AQ124" s="203">
        <v>31.44</v>
      </c>
      <c r="AR124" s="203">
        <v>0</v>
      </c>
      <c r="AS124" s="200" t="str">
        <f t="shared" si="1"/>
        <v>1.00000000</v>
      </c>
      <c r="AT124" s="200" t="str">
        <f>"18.0"</f>
        <v>18.0</v>
      </c>
      <c r="AU124" s="203">
        <v>0</v>
      </c>
    </row>
    <row r="125" spans="1:47" x14ac:dyDescent="0.2">
      <c r="A125" s="200" t="str">
        <f>"0496002595734"</f>
        <v>0496002595734</v>
      </c>
      <c r="B125" s="200">
        <v>1</v>
      </c>
      <c r="C125" s="200" t="s">
        <v>435</v>
      </c>
      <c r="D125" s="200">
        <v>81</v>
      </c>
      <c r="E125" s="200">
        <v>81</v>
      </c>
      <c r="F125" s="200" t="s">
        <v>243</v>
      </c>
      <c r="G125" s="200">
        <v>2086</v>
      </c>
      <c r="H125" s="200" t="s">
        <v>270</v>
      </c>
      <c r="I125" s="200">
        <v>60684</v>
      </c>
      <c r="J125" s="201">
        <v>42610</v>
      </c>
      <c r="K125" s="202">
        <v>0.82847222222222217</v>
      </c>
      <c r="L125" s="201">
        <v>42612</v>
      </c>
      <c r="M125" s="200" t="s">
        <v>271</v>
      </c>
      <c r="N125" s="200" t="s">
        <v>272</v>
      </c>
      <c r="O125" s="200" t="s">
        <v>273</v>
      </c>
      <c r="P125" s="200" t="s">
        <v>274</v>
      </c>
      <c r="Q125" s="200" t="s">
        <v>275</v>
      </c>
      <c r="R125" s="200" t="s">
        <v>276</v>
      </c>
      <c r="S125" s="200" t="s">
        <v>436</v>
      </c>
      <c r="T125" s="200" t="s">
        <v>435</v>
      </c>
      <c r="U125" s="200">
        <v>2086</v>
      </c>
      <c r="V125" s="200" t="s">
        <v>435</v>
      </c>
      <c r="W125" s="200" t="s">
        <v>280</v>
      </c>
      <c r="X125" s="200">
        <v>15.365</v>
      </c>
      <c r="Y125" s="203">
        <v>-0.46</v>
      </c>
      <c r="Z125" s="203">
        <v>2.15</v>
      </c>
      <c r="AA125" s="203">
        <v>33.020000000000003</v>
      </c>
      <c r="AB125" s="203">
        <v>-2.81</v>
      </c>
      <c r="AC125" s="203">
        <v>0</v>
      </c>
      <c r="AD125" s="203">
        <v>0</v>
      </c>
      <c r="AE125" s="203">
        <v>29.75</v>
      </c>
      <c r="AF125" s="203">
        <v>-3.69</v>
      </c>
      <c r="AG125" s="200" t="s">
        <v>279</v>
      </c>
      <c r="AH125" s="203">
        <v>0</v>
      </c>
      <c r="AI125" s="200" t="s">
        <v>279</v>
      </c>
      <c r="AJ125" s="203">
        <v>0</v>
      </c>
      <c r="AK125" s="200" t="s">
        <v>279</v>
      </c>
      <c r="AL125" s="203">
        <v>0</v>
      </c>
      <c r="AM125" s="200" t="s">
        <v>279</v>
      </c>
      <c r="AN125" s="203">
        <v>0</v>
      </c>
      <c r="AO125" s="200" t="s">
        <v>279</v>
      </c>
      <c r="AP125" s="203">
        <v>0</v>
      </c>
      <c r="AQ125" s="203">
        <v>33.020000000000003</v>
      </c>
      <c r="AR125" s="203">
        <v>0</v>
      </c>
      <c r="AS125" s="200" t="str">
        <f t="shared" si="1"/>
        <v>1.00000000</v>
      </c>
      <c r="AT125" s="200" t="str">
        <f>"17.7"</f>
        <v>17.7</v>
      </c>
      <c r="AU125" s="203">
        <v>0</v>
      </c>
    </row>
    <row r="126" spans="1:47" x14ac:dyDescent="0.2">
      <c r="A126" s="200" t="str">
        <f>"0496002595734"</f>
        <v>0496002595734</v>
      </c>
      <c r="B126" s="200">
        <v>3</v>
      </c>
      <c r="C126" s="200" t="s">
        <v>435</v>
      </c>
      <c r="D126" s="200">
        <v>82</v>
      </c>
      <c r="E126" s="200">
        <v>82</v>
      </c>
      <c r="F126" s="200" t="s">
        <v>243</v>
      </c>
      <c r="G126" s="200">
        <v>2086</v>
      </c>
      <c r="H126" s="200" t="s">
        <v>270</v>
      </c>
      <c r="I126" s="200">
        <v>48648</v>
      </c>
      <c r="J126" s="201">
        <v>42610</v>
      </c>
      <c r="K126" s="202">
        <v>0.95347222222222217</v>
      </c>
      <c r="L126" s="201">
        <v>42612</v>
      </c>
      <c r="M126" s="200" t="s">
        <v>271</v>
      </c>
      <c r="N126" s="200" t="s">
        <v>272</v>
      </c>
      <c r="O126" s="200" t="s">
        <v>273</v>
      </c>
      <c r="P126" s="200" t="s">
        <v>274</v>
      </c>
      <c r="Q126" s="200" t="s">
        <v>275</v>
      </c>
      <c r="R126" s="200" t="s">
        <v>276</v>
      </c>
      <c r="S126" s="200" t="s">
        <v>436</v>
      </c>
      <c r="T126" s="200" t="s">
        <v>435</v>
      </c>
      <c r="U126" s="200">
        <v>2086</v>
      </c>
      <c r="V126" s="200" t="s">
        <v>435</v>
      </c>
      <c r="W126" s="200" t="s">
        <v>278</v>
      </c>
      <c r="X126" s="200">
        <v>15.836</v>
      </c>
      <c r="Y126" s="203">
        <v>-0.48</v>
      </c>
      <c r="Z126" s="203">
        <v>2.6</v>
      </c>
      <c r="AA126" s="203">
        <v>41.16</v>
      </c>
      <c r="AB126" s="203">
        <v>-2.9</v>
      </c>
      <c r="AC126" s="203">
        <v>0</v>
      </c>
      <c r="AD126" s="203">
        <v>0</v>
      </c>
      <c r="AE126" s="203">
        <v>37.78</v>
      </c>
      <c r="AF126" s="203">
        <v>-3.8</v>
      </c>
      <c r="AG126" s="200" t="s">
        <v>279</v>
      </c>
      <c r="AH126" s="203">
        <v>0</v>
      </c>
      <c r="AI126" s="200" t="s">
        <v>279</v>
      </c>
      <c r="AJ126" s="203">
        <v>0</v>
      </c>
      <c r="AK126" s="200" t="s">
        <v>279</v>
      </c>
      <c r="AL126" s="203">
        <v>0</v>
      </c>
      <c r="AM126" s="200" t="s">
        <v>279</v>
      </c>
      <c r="AN126" s="203">
        <v>0</v>
      </c>
      <c r="AO126" s="200" t="s">
        <v>279</v>
      </c>
      <c r="AP126" s="203">
        <v>0</v>
      </c>
      <c r="AQ126" s="203">
        <v>41.16</v>
      </c>
      <c r="AR126" s="203">
        <v>0</v>
      </c>
      <c r="AS126" s="200" t="str">
        <f t="shared" si="1"/>
        <v>1.00000000</v>
      </c>
      <c r="AT126" s="200" t="str">
        <f>"20.8"</f>
        <v>20.8</v>
      </c>
      <c r="AU126" s="203">
        <v>0</v>
      </c>
    </row>
    <row r="127" spans="1:47" x14ac:dyDescent="0.2">
      <c r="A127" s="200" t="str">
        <f>"0496002595734"</f>
        <v>0496002595734</v>
      </c>
      <c r="B127" s="200">
        <v>1</v>
      </c>
      <c r="C127" s="200" t="s">
        <v>435</v>
      </c>
      <c r="D127" s="200">
        <v>81</v>
      </c>
      <c r="E127" s="200">
        <v>81</v>
      </c>
      <c r="F127" s="200" t="s">
        <v>243</v>
      </c>
      <c r="G127" s="200">
        <v>2086</v>
      </c>
      <c r="H127" s="200" t="s">
        <v>270</v>
      </c>
      <c r="I127" s="200">
        <v>60962</v>
      </c>
      <c r="J127" s="201">
        <v>42611</v>
      </c>
      <c r="K127" s="202">
        <v>0.91805555555555562</v>
      </c>
      <c r="L127" s="201">
        <v>42613</v>
      </c>
      <c r="M127" s="200" t="s">
        <v>271</v>
      </c>
      <c r="N127" s="200" t="s">
        <v>272</v>
      </c>
      <c r="O127" s="200" t="s">
        <v>273</v>
      </c>
      <c r="P127" s="200" t="s">
        <v>274</v>
      </c>
      <c r="Q127" s="200" t="s">
        <v>275</v>
      </c>
      <c r="R127" s="200" t="s">
        <v>276</v>
      </c>
      <c r="S127" s="200" t="s">
        <v>436</v>
      </c>
      <c r="T127" s="200" t="s">
        <v>435</v>
      </c>
      <c r="U127" s="200">
        <v>2086</v>
      </c>
      <c r="V127" s="200" t="s">
        <v>435</v>
      </c>
      <c r="W127" s="200" t="s">
        <v>280</v>
      </c>
      <c r="X127" s="200">
        <v>9.2629999999999999</v>
      </c>
      <c r="Y127" s="203">
        <v>-0.28000000000000003</v>
      </c>
      <c r="Z127" s="203">
        <v>2.16</v>
      </c>
      <c r="AA127" s="203">
        <v>20</v>
      </c>
      <c r="AB127" s="203">
        <v>-1.7</v>
      </c>
      <c r="AC127" s="203">
        <v>0</v>
      </c>
      <c r="AD127" s="203">
        <v>0</v>
      </c>
      <c r="AE127" s="203">
        <v>18.02</v>
      </c>
      <c r="AF127" s="203">
        <v>-2.2200000000000002</v>
      </c>
      <c r="AG127" s="200" t="s">
        <v>279</v>
      </c>
      <c r="AH127" s="203">
        <v>0</v>
      </c>
      <c r="AI127" s="200" t="s">
        <v>279</v>
      </c>
      <c r="AJ127" s="203">
        <v>0</v>
      </c>
      <c r="AK127" s="200" t="s">
        <v>279</v>
      </c>
      <c r="AL127" s="203">
        <v>0</v>
      </c>
      <c r="AM127" s="200" t="s">
        <v>279</v>
      </c>
      <c r="AN127" s="203">
        <v>0</v>
      </c>
      <c r="AO127" s="200" t="s">
        <v>279</v>
      </c>
      <c r="AP127" s="203">
        <v>0</v>
      </c>
      <c r="AQ127" s="203">
        <v>20</v>
      </c>
      <c r="AR127" s="203">
        <v>0</v>
      </c>
      <c r="AS127" s="200" t="str">
        <f t="shared" si="1"/>
        <v>1.00000000</v>
      </c>
      <c r="AT127" s="200" t="str">
        <f>"19.5"</f>
        <v>19.5</v>
      </c>
      <c r="AU127" s="203">
        <v>0</v>
      </c>
    </row>
    <row r="128" spans="1:47" x14ac:dyDescent="0.2">
      <c r="A128" s="200" t="str">
        <f>"0496002595734"</f>
        <v>0496002595734</v>
      </c>
      <c r="B128" s="200">
        <v>2</v>
      </c>
      <c r="C128" s="200" t="s">
        <v>435</v>
      </c>
      <c r="D128" s="200">
        <v>80</v>
      </c>
      <c r="E128" s="200">
        <v>80</v>
      </c>
      <c r="F128" s="200" t="s">
        <v>243</v>
      </c>
      <c r="G128" s="200">
        <v>2086</v>
      </c>
      <c r="H128" s="200" t="s">
        <v>270</v>
      </c>
      <c r="I128" s="200">
        <v>65108</v>
      </c>
      <c r="J128" s="201">
        <v>42612</v>
      </c>
      <c r="K128" s="202">
        <v>0.39444444444444443</v>
      </c>
      <c r="L128" s="201">
        <v>42614</v>
      </c>
      <c r="M128" s="200" t="s">
        <v>271</v>
      </c>
      <c r="N128" s="200" t="s">
        <v>272</v>
      </c>
      <c r="O128" s="200" t="s">
        <v>273</v>
      </c>
      <c r="P128" s="200" t="s">
        <v>274</v>
      </c>
      <c r="Q128" s="200" t="s">
        <v>275</v>
      </c>
      <c r="R128" s="200" t="s">
        <v>276</v>
      </c>
      <c r="S128" s="200" t="s">
        <v>436</v>
      </c>
      <c r="T128" s="200" t="s">
        <v>435</v>
      </c>
      <c r="U128" s="200">
        <v>2086</v>
      </c>
      <c r="V128" s="200" t="s">
        <v>435</v>
      </c>
      <c r="W128" s="200" t="s">
        <v>280</v>
      </c>
      <c r="X128" s="200">
        <v>6.016</v>
      </c>
      <c r="Y128" s="203">
        <v>-0.18</v>
      </c>
      <c r="Z128" s="203">
        <v>2.16</v>
      </c>
      <c r="AA128" s="203">
        <v>12.99</v>
      </c>
      <c r="AB128" s="203">
        <v>-1.1000000000000001</v>
      </c>
      <c r="AC128" s="203">
        <v>0</v>
      </c>
      <c r="AD128" s="203">
        <v>0</v>
      </c>
      <c r="AE128" s="203">
        <v>11.71</v>
      </c>
      <c r="AF128" s="203">
        <v>-1.44</v>
      </c>
      <c r="AG128" s="200" t="s">
        <v>279</v>
      </c>
      <c r="AH128" s="203">
        <v>0</v>
      </c>
      <c r="AI128" s="200" t="s">
        <v>279</v>
      </c>
      <c r="AJ128" s="203">
        <v>0</v>
      </c>
      <c r="AK128" s="200" t="s">
        <v>279</v>
      </c>
      <c r="AL128" s="203">
        <v>0</v>
      </c>
      <c r="AM128" s="200" t="s">
        <v>279</v>
      </c>
      <c r="AN128" s="203">
        <v>0</v>
      </c>
      <c r="AO128" s="200" t="s">
        <v>279</v>
      </c>
      <c r="AP128" s="203">
        <v>0</v>
      </c>
      <c r="AQ128" s="203">
        <v>12.99</v>
      </c>
      <c r="AR128" s="203">
        <v>0</v>
      </c>
      <c r="AS128" s="200" t="str">
        <f t="shared" si="1"/>
        <v>1.00000000</v>
      </c>
      <c r="AT128" s="200" t="str">
        <f>"33.9"</f>
        <v>33.9</v>
      </c>
      <c r="AU128" s="203">
        <v>0</v>
      </c>
    </row>
    <row r="129" spans="1:47" x14ac:dyDescent="0.2">
      <c r="A129" s="200" t="str">
        <f>"0496002595700"</f>
        <v>0496002595700</v>
      </c>
      <c r="B129" s="200">
        <v>5</v>
      </c>
      <c r="C129" s="200" t="s">
        <v>156</v>
      </c>
      <c r="D129" s="200">
        <v>86</v>
      </c>
      <c r="E129" s="200">
        <v>86</v>
      </c>
      <c r="F129" s="200" t="s">
        <v>243</v>
      </c>
      <c r="G129" s="200">
        <v>2262</v>
      </c>
      <c r="H129" s="200" t="s">
        <v>270</v>
      </c>
      <c r="I129" s="200">
        <v>5965</v>
      </c>
      <c r="J129" s="201">
        <v>42613</v>
      </c>
      <c r="K129" s="202">
        <v>0.79236111111111107</v>
      </c>
      <c r="L129" s="201">
        <v>42615</v>
      </c>
      <c r="M129" s="200" t="s">
        <v>271</v>
      </c>
      <c r="N129" s="200" t="s">
        <v>272</v>
      </c>
      <c r="O129" s="200" t="s">
        <v>273</v>
      </c>
      <c r="P129" s="200" t="s">
        <v>274</v>
      </c>
      <c r="Q129" s="200" t="s">
        <v>275</v>
      </c>
      <c r="R129" s="200" t="s">
        <v>276</v>
      </c>
      <c r="S129" s="200" t="s">
        <v>156</v>
      </c>
      <c r="T129" s="200" t="s">
        <v>277</v>
      </c>
      <c r="U129" s="200">
        <v>2262</v>
      </c>
      <c r="V129" s="200" t="s">
        <v>156</v>
      </c>
      <c r="W129" s="200" t="s">
        <v>280</v>
      </c>
      <c r="X129" s="200">
        <v>22.308</v>
      </c>
      <c r="Y129" s="203">
        <v>-0.67</v>
      </c>
      <c r="Z129" s="203">
        <v>2.1800000000000002</v>
      </c>
      <c r="AA129" s="203">
        <v>48.61</v>
      </c>
      <c r="AB129" s="203">
        <v>-4.08</v>
      </c>
      <c r="AC129" s="203">
        <v>0</v>
      </c>
      <c r="AD129" s="203">
        <v>0</v>
      </c>
      <c r="AE129" s="203">
        <v>43.86</v>
      </c>
      <c r="AF129" s="203">
        <v>-5.35</v>
      </c>
      <c r="AG129" s="200" t="s">
        <v>279</v>
      </c>
      <c r="AH129" s="203">
        <v>0</v>
      </c>
      <c r="AI129" s="200" t="s">
        <v>279</v>
      </c>
      <c r="AJ129" s="203">
        <v>0</v>
      </c>
      <c r="AK129" s="200" t="s">
        <v>279</v>
      </c>
      <c r="AL129" s="203">
        <v>0</v>
      </c>
      <c r="AM129" s="200" t="s">
        <v>279</v>
      </c>
      <c r="AN129" s="203">
        <v>0</v>
      </c>
      <c r="AO129" s="200" t="s">
        <v>279</v>
      </c>
      <c r="AP129" s="203">
        <v>0</v>
      </c>
      <c r="AQ129" s="203">
        <v>48.61</v>
      </c>
      <c r="AR129" s="203">
        <v>0</v>
      </c>
      <c r="AS129" s="200" t="str">
        <f t="shared" si="1"/>
        <v>1.00000000</v>
      </c>
      <c r="AT129" s="200" t="str">
        <f>"13.5"</f>
        <v>13.5</v>
      </c>
      <c r="AU129" s="203">
        <v>0</v>
      </c>
    </row>
    <row r="130" spans="1:47" x14ac:dyDescent="0.2">
      <c r="A130" s="200" t="str">
        <f>"0496002595700"</f>
        <v>0496002595700</v>
      </c>
      <c r="B130" s="200">
        <v>6</v>
      </c>
      <c r="C130" s="200" t="s">
        <v>156</v>
      </c>
      <c r="D130" s="200" t="s">
        <v>344</v>
      </c>
      <c r="E130" s="200" t="s">
        <v>345</v>
      </c>
      <c r="F130" s="200" t="s">
        <v>243</v>
      </c>
      <c r="G130" s="200">
        <v>2262</v>
      </c>
      <c r="H130" s="200" t="s">
        <v>270</v>
      </c>
      <c r="I130" s="200">
        <v>53473</v>
      </c>
      <c r="J130" s="201">
        <v>42613</v>
      </c>
      <c r="K130" s="202">
        <v>0.50069444444444444</v>
      </c>
      <c r="L130" s="201">
        <v>42615</v>
      </c>
      <c r="M130" s="200" t="s">
        <v>271</v>
      </c>
      <c r="N130" s="200" t="s">
        <v>272</v>
      </c>
      <c r="O130" s="200" t="s">
        <v>273</v>
      </c>
      <c r="P130" s="200" t="s">
        <v>274</v>
      </c>
      <c r="Q130" s="200" t="s">
        <v>275</v>
      </c>
      <c r="R130" s="200" t="s">
        <v>276</v>
      </c>
      <c r="S130" s="200" t="s">
        <v>156</v>
      </c>
      <c r="T130" s="200" t="s">
        <v>277</v>
      </c>
      <c r="U130" s="200">
        <v>2262</v>
      </c>
      <c r="V130" s="200" t="s">
        <v>156</v>
      </c>
      <c r="W130" s="200" t="s">
        <v>335</v>
      </c>
      <c r="X130" s="200">
        <v>10.29</v>
      </c>
      <c r="Y130" s="203">
        <v>-0.31</v>
      </c>
      <c r="Z130" s="203">
        <v>2.38</v>
      </c>
      <c r="AA130" s="203">
        <v>24.48</v>
      </c>
      <c r="AB130" s="203">
        <v>-1.88</v>
      </c>
      <c r="AC130" s="203">
        <v>0</v>
      </c>
      <c r="AD130" s="203">
        <v>0</v>
      </c>
      <c r="AE130" s="203">
        <v>22.29</v>
      </c>
      <c r="AF130" s="203">
        <v>-2.4700000000000002</v>
      </c>
      <c r="AG130" s="200" t="s">
        <v>279</v>
      </c>
      <c r="AH130" s="203">
        <v>0</v>
      </c>
      <c r="AI130" s="200" t="s">
        <v>279</v>
      </c>
      <c r="AJ130" s="203">
        <v>0</v>
      </c>
      <c r="AK130" s="200" t="s">
        <v>279</v>
      </c>
      <c r="AL130" s="203">
        <v>0</v>
      </c>
      <c r="AM130" s="200" t="s">
        <v>279</v>
      </c>
      <c r="AN130" s="203">
        <v>0</v>
      </c>
      <c r="AO130" s="200" t="s">
        <v>279</v>
      </c>
      <c r="AP130" s="203">
        <v>0</v>
      </c>
      <c r="AQ130" s="203">
        <v>24.48</v>
      </c>
      <c r="AR130" s="203">
        <v>0</v>
      </c>
      <c r="AS130" s="200" t="str">
        <f t="shared" ref="AS130:AS193" si="2">"1.00000000"</f>
        <v>1.00000000</v>
      </c>
      <c r="AT130" s="200" t="str">
        <f>"26.5"</f>
        <v>26.5</v>
      </c>
      <c r="AU130" s="203">
        <v>0</v>
      </c>
    </row>
    <row r="131" spans="1:47" x14ac:dyDescent="0.2">
      <c r="A131" s="200" t="str">
        <f>"0496002595700"</f>
        <v>0496002595700</v>
      </c>
      <c r="B131" s="200">
        <v>8</v>
      </c>
      <c r="C131" s="200" t="s">
        <v>156</v>
      </c>
      <c r="D131" s="200" t="s">
        <v>414</v>
      </c>
      <c r="E131" s="200">
        <v>47</v>
      </c>
      <c r="F131" s="200" t="s">
        <v>243</v>
      </c>
      <c r="G131" s="200">
        <v>2262</v>
      </c>
      <c r="H131" s="200" t="s">
        <v>270</v>
      </c>
      <c r="I131" s="200">
        <v>17749</v>
      </c>
      <c r="J131" s="201">
        <v>42613</v>
      </c>
      <c r="K131" s="202">
        <v>0.86944444444444446</v>
      </c>
      <c r="L131" s="201">
        <v>42615</v>
      </c>
      <c r="M131" s="200" t="s">
        <v>349</v>
      </c>
      <c r="N131" s="200" t="s">
        <v>350</v>
      </c>
      <c r="O131" s="200" t="s">
        <v>351</v>
      </c>
      <c r="P131" s="200" t="s">
        <v>343</v>
      </c>
      <c r="Q131" s="200" t="s">
        <v>275</v>
      </c>
      <c r="R131" s="200" t="s">
        <v>605</v>
      </c>
      <c r="S131" s="200" t="s">
        <v>156</v>
      </c>
      <c r="T131" s="200" t="s">
        <v>277</v>
      </c>
      <c r="U131" s="200">
        <v>2262</v>
      </c>
      <c r="V131" s="200" t="s">
        <v>156</v>
      </c>
      <c r="W131" s="200" t="s">
        <v>280</v>
      </c>
      <c r="X131" s="200">
        <v>17.562000000000001</v>
      </c>
      <c r="Y131" s="203">
        <v>0</v>
      </c>
      <c r="Z131" s="203">
        <v>2.15</v>
      </c>
      <c r="AA131" s="203">
        <v>37.74</v>
      </c>
      <c r="AB131" s="203">
        <v>-3.21</v>
      </c>
      <c r="AC131" s="203">
        <v>0</v>
      </c>
      <c r="AD131" s="203">
        <v>0</v>
      </c>
      <c r="AE131" s="203">
        <v>34.53</v>
      </c>
      <c r="AF131" s="203">
        <v>-4.21</v>
      </c>
      <c r="AG131" s="200" t="s">
        <v>279</v>
      </c>
      <c r="AH131" s="203">
        <v>0</v>
      </c>
      <c r="AI131" s="200" t="s">
        <v>279</v>
      </c>
      <c r="AJ131" s="203">
        <v>0</v>
      </c>
      <c r="AK131" s="200" t="s">
        <v>279</v>
      </c>
      <c r="AL131" s="203">
        <v>0</v>
      </c>
      <c r="AM131" s="200" t="s">
        <v>279</v>
      </c>
      <c r="AN131" s="203">
        <v>0</v>
      </c>
      <c r="AO131" s="200" t="s">
        <v>279</v>
      </c>
      <c r="AP131" s="203">
        <v>0</v>
      </c>
      <c r="AQ131" s="203">
        <v>37.74</v>
      </c>
      <c r="AR131" s="203">
        <v>0</v>
      </c>
      <c r="AS131" s="200" t="str">
        <f t="shared" si="2"/>
        <v>1.00000000</v>
      </c>
      <c r="AT131" s="200" t="str">
        <f>"27.1"</f>
        <v>27.1</v>
      </c>
      <c r="AU131" s="203">
        <v>0</v>
      </c>
    </row>
    <row r="132" spans="1:47" x14ac:dyDescent="0.2">
      <c r="A132" s="200" t="str">
        <f>"0496002595734"</f>
        <v>0496002595734</v>
      </c>
      <c r="B132" s="200">
        <v>1</v>
      </c>
      <c r="C132" s="200" t="s">
        <v>435</v>
      </c>
      <c r="D132" s="200">
        <v>81</v>
      </c>
      <c r="E132" s="200">
        <v>81</v>
      </c>
      <c r="F132" s="200" t="s">
        <v>243</v>
      </c>
      <c r="G132" s="200">
        <v>2086</v>
      </c>
      <c r="H132" s="200" t="s">
        <v>270</v>
      </c>
      <c r="I132" s="200">
        <v>61017</v>
      </c>
      <c r="J132" s="201">
        <v>42613</v>
      </c>
      <c r="K132" s="202">
        <v>0.625</v>
      </c>
      <c r="L132" s="201">
        <v>42615</v>
      </c>
      <c r="M132" s="200" t="s">
        <v>271</v>
      </c>
      <c r="N132" s="200" t="s">
        <v>272</v>
      </c>
      <c r="O132" s="200" t="s">
        <v>273</v>
      </c>
      <c r="P132" s="200" t="s">
        <v>274</v>
      </c>
      <c r="Q132" s="200" t="s">
        <v>275</v>
      </c>
      <c r="R132" s="200" t="s">
        <v>276</v>
      </c>
      <c r="S132" s="200" t="s">
        <v>436</v>
      </c>
      <c r="T132" s="200" t="s">
        <v>435</v>
      </c>
      <c r="U132" s="200">
        <v>2086</v>
      </c>
      <c r="V132" s="200" t="s">
        <v>435</v>
      </c>
      <c r="W132" s="200" t="s">
        <v>280</v>
      </c>
      <c r="X132" s="200">
        <v>8.8520000000000003</v>
      </c>
      <c r="Y132" s="203">
        <v>-0.27</v>
      </c>
      <c r="Z132" s="203">
        <v>2.1800000000000002</v>
      </c>
      <c r="AA132" s="203">
        <v>19.29</v>
      </c>
      <c r="AB132" s="203">
        <v>-1.62</v>
      </c>
      <c r="AC132" s="203">
        <v>0</v>
      </c>
      <c r="AD132" s="203">
        <v>0</v>
      </c>
      <c r="AE132" s="203">
        <v>17.399999999999999</v>
      </c>
      <c r="AF132" s="203">
        <v>-2.12</v>
      </c>
      <c r="AG132" s="200" t="s">
        <v>279</v>
      </c>
      <c r="AH132" s="203">
        <v>0</v>
      </c>
      <c r="AI132" s="200" t="s">
        <v>279</v>
      </c>
      <c r="AJ132" s="203">
        <v>0</v>
      </c>
      <c r="AK132" s="200" t="s">
        <v>279</v>
      </c>
      <c r="AL132" s="203">
        <v>0</v>
      </c>
      <c r="AM132" s="200" t="s">
        <v>279</v>
      </c>
      <c r="AN132" s="203">
        <v>0</v>
      </c>
      <c r="AO132" s="200" t="s">
        <v>279</v>
      </c>
      <c r="AP132" s="203">
        <v>0</v>
      </c>
      <c r="AQ132" s="203">
        <v>19.29</v>
      </c>
      <c r="AR132" s="203">
        <v>0</v>
      </c>
      <c r="AS132" s="200" t="str">
        <f t="shared" si="2"/>
        <v>1.00000000</v>
      </c>
      <c r="AT132" s="200" t="str">
        <f>"17.2"</f>
        <v>17.2</v>
      </c>
      <c r="AU132" s="203">
        <v>0</v>
      </c>
    </row>
    <row r="133" spans="1:47" x14ac:dyDescent="0.2">
      <c r="A133" s="200" t="str">
        <f>"0496002595734"</f>
        <v>0496002595734</v>
      </c>
      <c r="B133" s="200">
        <v>2</v>
      </c>
      <c r="C133" s="200" t="s">
        <v>435</v>
      </c>
      <c r="D133" s="200">
        <v>80</v>
      </c>
      <c r="E133" s="200">
        <v>80</v>
      </c>
      <c r="F133" s="200" t="s">
        <v>243</v>
      </c>
      <c r="G133" s="200">
        <v>2086</v>
      </c>
      <c r="H133" s="200" t="s">
        <v>270</v>
      </c>
      <c r="I133" s="200">
        <v>65511</v>
      </c>
      <c r="J133" s="201">
        <v>42613</v>
      </c>
      <c r="K133" s="202">
        <v>0.76388888888888884</v>
      </c>
      <c r="L133" s="201">
        <v>42615</v>
      </c>
      <c r="M133" s="200" t="s">
        <v>271</v>
      </c>
      <c r="N133" s="200" t="s">
        <v>272</v>
      </c>
      <c r="O133" s="200" t="s">
        <v>273</v>
      </c>
      <c r="P133" s="200" t="s">
        <v>274</v>
      </c>
      <c r="Q133" s="200" t="s">
        <v>275</v>
      </c>
      <c r="R133" s="200" t="s">
        <v>276</v>
      </c>
      <c r="S133" s="200" t="s">
        <v>436</v>
      </c>
      <c r="T133" s="200" t="s">
        <v>435</v>
      </c>
      <c r="U133" s="200">
        <v>2086</v>
      </c>
      <c r="V133" s="200" t="s">
        <v>435</v>
      </c>
      <c r="W133" s="200" t="s">
        <v>280</v>
      </c>
      <c r="X133" s="200">
        <v>10.577999999999999</v>
      </c>
      <c r="Y133" s="203">
        <v>-0.32</v>
      </c>
      <c r="Z133" s="203">
        <v>2.1800000000000002</v>
      </c>
      <c r="AA133" s="203">
        <v>23.05</v>
      </c>
      <c r="AB133" s="203">
        <v>-1.94</v>
      </c>
      <c r="AC133" s="203">
        <v>0</v>
      </c>
      <c r="AD133" s="203">
        <v>0</v>
      </c>
      <c r="AE133" s="203">
        <v>20.79</v>
      </c>
      <c r="AF133" s="203">
        <v>-2.54</v>
      </c>
      <c r="AG133" s="200" t="s">
        <v>279</v>
      </c>
      <c r="AH133" s="203">
        <v>0</v>
      </c>
      <c r="AI133" s="200" t="s">
        <v>279</v>
      </c>
      <c r="AJ133" s="203">
        <v>0</v>
      </c>
      <c r="AK133" s="200" t="s">
        <v>279</v>
      </c>
      <c r="AL133" s="203">
        <v>0</v>
      </c>
      <c r="AM133" s="200" t="s">
        <v>279</v>
      </c>
      <c r="AN133" s="203">
        <v>0</v>
      </c>
      <c r="AO133" s="200" t="s">
        <v>279</v>
      </c>
      <c r="AP133" s="203">
        <v>0</v>
      </c>
      <c r="AQ133" s="203">
        <v>23.05</v>
      </c>
      <c r="AR133" s="203">
        <v>0</v>
      </c>
      <c r="AS133" s="200" t="str">
        <f t="shared" si="2"/>
        <v>1.00000000</v>
      </c>
      <c r="AT133" s="200" t="str">
        <f>"38.1"</f>
        <v>38.1</v>
      </c>
      <c r="AU133" s="203">
        <v>0</v>
      </c>
    </row>
    <row r="134" spans="1:47" x14ac:dyDescent="0.2">
      <c r="A134" s="200" t="str">
        <f>"0496002599173"</f>
        <v>0496002599173</v>
      </c>
      <c r="B134" s="200">
        <v>3</v>
      </c>
      <c r="C134" s="200" t="s">
        <v>585</v>
      </c>
      <c r="D134" s="200" t="s">
        <v>628</v>
      </c>
      <c r="E134" s="200" t="s">
        <v>628</v>
      </c>
      <c r="F134" s="200" t="s">
        <v>243</v>
      </c>
      <c r="G134" s="200">
        <v>5738</v>
      </c>
      <c r="H134" s="200" t="s">
        <v>270</v>
      </c>
      <c r="I134" s="200">
        <v>112061</v>
      </c>
      <c r="J134" s="201">
        <v>42613</v>
      </c>
      <c r="K134" s="202">
        <v>0.39513888888888887</v>
      </c>
      <c r="L134" s="201">
        <v>42615</v>
      </c>
      <c r="M134" s="200" t="s">
        <v>271</v>
      </c>
      <c r="N134" s="200" t="s">
        <v>588</v>
      </c>
      <c r="O134" s="200" t="s">
        <v>589</v>
      </c>
      <c r="P134" s="200" t="s">
        <v>590</v>
      </c>
      <c r="Q134" s="200" t="s">
        <v>275</v>
      </c>
      <c r="R134" s="200" t="s">
        <v>611</v>
      </c>
      <c r="S134" s="200" t="s">
        <v>436</v>
      </c>
      <c r="T134" s="200" t="s">
        <v>630</v>
      </c>
      <c r="U134" s="200">
        <v>5738</v>
      </c>
      <c r="V134" s="200" t="s">
        <v>585</v>
      </c>
      <c r="W134" s="200" t="s">
        <v>280</v>
      </c>
      <c r="X134" s="200">
        <v>26.067</v>
      </c>
      <c r="Y134" s="203">
        <v>-1.3</v>
      </c>
      <c r="Z134" s="203">
        <v>2.15</v>
      </c>
      <c r="AA134" s="203">
        <v>56.02</v>
      </c>
      <c r="AB134" s="203">
        <v>-4.7699999999999996</v>
      </c>
      <c r="AC134" s="203">
        <v>0</v>
      </c>
      <c r="AD134" s="203">
        <v>0</v>
      </c>
      <c r="AE134" s="203">
        <v>49.95</v>
      </c>
      <c r="AF134" s="203">
        <v>-6.26</v>
      </c>
      <c r="AG134" s="200" t="s">
        <v>279</v>
      </c>
      <c r="AH134" s="203">
        <v>0</v>
      </c>
      <c r="AI134" s="200" t="s">
        <v>279</v>
      </c>
      <c r="AJ134" s="203">
        <v>0</v>
      </c>
      <c r="AK134" s="200" t="s">
        <v>279</v>
      </c>
      <c r="AL134" s="203">
        <v>0</v>
      </c>
      <c r="AM134" s="200" t="s">
        <v>279</v>
      </c>
      <c r="AN134" s="203">
        <v>0</v>
      </c>
      <c r="AO134" s="200" t="s">
        <v>279</v>
      </c>
      <c r="AP134" s="203">
        <v>0</v>
      </c>
      <c r="AQ134" s="203">
        <v>56.02</v>
      </c>
      <c r="AR134" s="203">
        <v>0</v>
      </c>
      <c r="AS134" s="200" t="str">
        <f t="shared" si="2"/>
        <v>1.00000000</v>
      </c>
      <c r="AT134" s="200" t="str">
        <f>"13.8"</f>
        <v>13.8</v>
      </c>
      <c r="AU134" s="203">
        <v>0</v>
      </c>
    </row>
    <row r="135" spans="1:47" x14ac:dyDescent="0.2">
      <c r="A135" s="200" t="str">
        <f>"0496002595700"</f>
        <v>0496002595700</v>
      </c>
      <c r="B135" s="200">
        <v>7</v>
      </c>
      <c r="C135" s="200" t="s">
        <v>156</v>
      </c>
      <c r="D135" s="200" t="s">
        <v>371</v>
      </c>
      <c r="E135" s="200">
        <v>45</v>
      </c>
      <c r="F135" s="200" t="s">
        <v>243</v>
      </c>
      <c r="G135" s="200">
        <v>2262</v>
      </c>
      <c r="H135" s="200" t="s">
        <v>270</v>
      </c>
      <c r="I135" s="200">
        <v>15189</v>
      </c>
      <c r="J135" s="201">
        <v>42614</v>
      </c>
      <c r="K135" s="202">
        <v>0.36805555555555558</v>
      </c>
      <c r="L135" s="201">
        <v>42618</v>
      </c>
      <c r="M135" s="200" t="s">
        <v>271</v>
      </c>
      <c r="N135" s="200" t="s">
        <v>272</v>
      </c>
      <c r="O135" s="200" t="s">
        <v>273</v>
      </c>
      <c r="P135" s="200" t="s">
        <v>274</v>
      </c>
      <c r="Q135" s="200" t="s">
        <v>275</v>
      </c>
      <c r="R135" s="200" t="s">
        <v>276</v>
      </c>
      <c r="S135" s="200" t="s">
        <v>156</v>
      </c>
      <c r="T135" s="200" t="s">
        <v>277</v>
      </c>
      <c r="U135" s="200">
        <v>2262</v>
      </c>
      <c r="V135" s="200" t="s">
        <v>156</v>
      </c>
      <c r="W135" s="200" t="s">
        <v>280</v>
      </c>
      <c r="X135" s="200">
        <v>9.3019999999999996</v>
      </c>
      <c r="Y135" s="203">
        <v>-0.19</v>
      </c>
      <c r="Z135" s="203">
        <v>2.1800000000000002</v>
      </c>
      <c r="AA135" s="203">
        <v>20.260000000000002</v>
      </c>
      <c r="AB135" s="203">
        <v>-1.7</v>
      </c>
      <c r="AC135" s="203">
        <v>0</v>
      </c>
      <c r="AD135" s="203">
        <v>0</v>
      </c>
      <c r="AE135" s="203">
        <v>18.37</v>
      </c>
      <c r="AF135" s="203">
        <v>-2.23</v>
      </c>
      <c r="AG135" s="200" t="s">
        <v>279</v>
      </c>
      <c r="AH135" s="203">
        <v>0</v>
      </c>
      <c r="AI135" s="200" t="s">
        <v>279</v>
      </c>
      <c r="AJ135" s="203">
        <v>0</v>
      </c>
      <c r="AK135" s="200" t="s">
        <v>279</v>
      </c>
      <c r="AL135" s="203">
        <v>0</v>
      </c>
      <c r="AM135" s="200" t="s">
        <v>279</v>
      </c>
      <c r="AN135" s="203">
        <v>0</v>
      </c>
      <c r="AO135" s="200" t="s">
        <v>279</v>
      </c>
      <c r="AP135" s="203">
        <v>0</v>
      </c>
      <c r="AQ135" s="203">
        <v>20.260000000000002</v>
      </c>
      <c r="AR135" s="203">
        <v>0</v>
      </c>
      <c r="AS135" s="200" t="str">
        <f t="shared" si="2"/>
        <v>1.00000000</v>
      </c>
      <c r="AT135" s="200" t="str">
        <f>"17.0"</f>
        <v>17.0</v>
      </c>
      <c r="AU135" s="203">
        <v>0</v>
      </c>
    </row>
    <row r="136" spans="1:47" x14ac:dyDescent="0.2">
      <c r="A136" s="200" t="str">
        <f>"0496002595734"</f>
        <v>0496002595734</v>
      </c>
      <c r="B136" s="200">
        <v>1</v>
      </c>
      <c r="C136" s="200" t="s">
        <v>435</v>
      </c>
      <c r="D136" s="200">
        <v>81</v>
      </c>
      <c r="E136" s="200">
        <v>81</v>
      </c>
      <c r="F136" s="200" t="s">
        <v>243</v>
      </c>
      <c r="G136" s="200">
        <v>2086</v>
      </c>
      <c r="H136" s="200" t="s">
        <v>270</v>
      </c>
      <c r="I136" s="200">
        <v>61230</v>
      </c>
      <c r="J136" s="201">
        <v>42615</v>
      </c>
      <c r="K136" s="202">
        <v>0.6777777777777777</v>
      </c>
      <c r="L136" s="201">
        <v>42619</v>
      </c>
      <c r="M136" s="200" t="s">
        <v>271</v>
      </c>
      <c r="N136" s="200" t="s">
        <v>272</v>
      </c>
      <c r="O136" s="200" t="s">
        <v>273</v>
      </c>
      <c r="P136" s="200" t="s">
        <v>274</v>
      </c>
      <c r="Q136" s="200" t="s">
        <v>275</v>
      </c>
      <c r="R136" s="200" t="s">
        <v>276</v>
      </c>
      <c r="S136" s="200" t="s">
        <v>436</v>
      </c>
      <c r="T136" s="200" t="s">
        <v>435</v>
      </c>
      <c r="U136" s="200">
        <v>2086</v>
      </c>
      <c r="V136" s="200" t="s">
        <v>435</v>
      </c>
      <c r="W136" s="200" t="s">
        <v>280</v>
      </c>
      <c r="X136" s="200">
        <v>11.372</v>
      </c>
      <c r="Y136" s="203">
        <v>-0.23</v>
      </c>
      <c r="Z136" s="203">
        <v>2.1800000000000002</v>
      </c>
      <c r="AA136" s="203">
        <v>24.78</v>
      </c>
      <c r="AB136" s="203">
        <v>-2.08</v>
      </c>
      <c r="AC136" s="203">
        <v>0</v>
      </c>
      <c r="AD136" s="203">
        <v>0</v>
      </c>
      <c r="AE136" s="203">
        <v>22.47</v>
      </c>
      <c r="AF136" s="203">
        <v>-2.73</v>
      </c>
      <c r="AG136" s="200" t="s">
        <v>279</v>
      </c>
      <c r="AH136" s="203">
        <v>0</v>
      </c>
      <c r="AI136" s="200" t="s">
        <v>279</v>
      </c>
      <c r="AJ136" s="203">
        <v>0</v>
      </c>
      <c r="AK136" s="200" t="s">
        <v>279</v>
      </c>
      <c r="AL136" s="203">
        <v>0</v>
      </c>
      <c r="AM136" s="200" t="s">
        <v>279</v>
      </c>
      <c r="AN136" s="203">
        <v>0</v>
      </c>
      <c r="AO136" s="200" t="s">
        <v>279</v>
      </c>
      <c r="AP136" s="203">
        <v>0</v>
      </c>
      <c r="AQ136" s="203">
        <v>24.78</v>
      </c>
      <c r="AR136" s="203">
        <v>0</v>
      </c>
      <c r="AS136" s="200" t="str">
        <f t="shared" si="2"/>
        <v>1.00000000</v>
      </c>
      <c r="AT136" s="200" t="str">
        <f>"6.2"</f>
        <v>6.2</v>
      </c>
      <c r="AU136" s="203">
        <v>0</v>
      </c>
    </row>
    <row r="137" spans="1:47" x14ac:dyDescent="0.2">
      <c r="A137" s="200" t="str">
        <f>"0496002595734"</f>
        <v>0496002595734</v>
      </c>
      <c r="B137" s="200">
        <v>3</v>
      </c>
      <c r="C137" s="200" t="s">
        <v>435</v>
      </c>
      <c r="D137" s="200">
        <v>82</v>
      </c>
      <c r="E137" s="200">
        <v>82</v>
      </c>
      <c r="F137" s="200" t="s">
        <v>243</v>
      </c>
      <c r="G137" s="200">
        <v>2086</v>
      </c>
      <c r="H137" s="200" t="s">
        <v>270</v>
      </c>
      <c r="I137" s="200">
        <v>1</v>
      </c>
      <c r="J137" s="201">
        <v>42615</v>
      </c>
      <c r="K137" s="202">
        <v>0.45347222222222222</v>
      </c>
      <c r="L137" s="201">
        <v>42619</v>
      </c>
      <c r="M137" s="200" t="s">
        <v>271</v>
      </c>
      <c r="N137" s="200" t="s">
        <v>272</v>
      </c>
      <c r="O137" s="200" t="s">
        <v>273</v>
      </c>
      <c r="P137" s="200" t="s">
        <v>274</v>
      </c>
      <c r="Q137" s="200" t="s">
        <v>275</v>
      </c>
      <c r="R137" s="200" t="s">
        <v>276</v>
      </c>
      <c r="S137" s="200" t="s">
        <v>436</v>
      </c>
      <c r="T137" s="200" t="s">
        <v>435</v>
      </c>
      <c r="U137" s="200">
        <v>2086</v>
      </c>
      <c r="V137" s="200" t="s">
        <v>435</v>
      </c>
      <c r="W137" s="200" t="s">
        <v>280</v>
      </c>
      <c r="X137" s="200">
        <v>13.074</v>
      </c>
      <c r="Y137" s="203">
        <v>-0.26</v>
      </c>
      <c r="Z137" s="203">
        <v>2.1800000000000002</v>
      </c>
      <c r="AA137" s="203">
        <v>28.49</v>
      </c>
      <c r="AB137" s="203">
        <v>-2.39</v>
      </c>
      <c r="AC137" s="203">
        <v>0</v>
      </c>
      <c r="AD137" s="203">
        <v>0</v>
      </c>
      <c r="AE137" s="203">
        <v>25.84</v>
      </c>
      <c r="AF137" s="203">
        <v>-3.14</v>
      </c>
      <c r="AG137" s="200" t="s">
        <v>279</v>
      </c>
      <c r="AH137" s="203">
        <v>0</v>
      </c>
      <c r="AI137" s="200" t="s">
        <v>279</v>
      </c>
      <c r="AJ137" s="203">
        <v>0</v>
      </c>
      <c r="AK137" s="200" t="s">
        <v>279</v>
      </c>
      <c r="AL137" s="203">
        <v>0</v>
      </c>
      <c r="AM137" s="200" t="s">
        <v>279</v>
      </c>
      <c r="AN137" s="203">
        <v>0</v>
      </c>
      <c r="AO137" s="200" t="s">
        <v>279</v>
      </c>
      <c r="AP137" s="203">
        <v>0</v>
      </c>
      <c r="AQ137" s="203">
        <v>28.49</v>
      </c>
      <c r="AR137" s="203">
        <v>0</v>
      </c>
      <c r="AS137" s="200" t="str">
        <f t="shared" si="2"/>
        <v>1.00000000</v>
      </c>
      <c r="AT137" s="200" t="str">
        <f>"17.9"</f>
        <v>17.9</v>
      </c>
      <c r="AU137" s="203">
        <v>0</v>
      </c>
    </row>
    <row r="138" spans="1:47" x14ac:dyDescent="0.2">
      <c r="A138" s="200" t="str">
        <f>"0496002599173"</f>
        <v>0496002599173</v>
      </c>
      <c r="B138" s="200">
        <v>2</v>
      </c>
      <c r="C138" s="200" t="s">
        <v>585</v>
      </c>
      <c r="D138" s="200" t="s">
        <v>594</v>
      </c>
      <c r="E138" s="200" t="s">
        <v>594</v>
      </c>
      <c r="F138" s="200" t="s">
        <v>243</v>
      </c>
      <c r="G138" s="200">
        <v>5647</v>
      </c>
      <c r="H138" s="200" t="s">
        <v>270</v>
      </c>
      <c r="I138" s="200">
        <v>111017</v>
      </c>
      <c r="J138" s="201">
        <v>42615</v>
      </c>
      <c r="K138" s="202">
        <v>0.45208333333333334</v>
      </c>
      <c r="L138" s="201">
        <v>42619</v>
      </c>
      <c r="M138" s="200" t="s">
        <v>271</v>
      </c>
      <c r="N138" s="200" t="s">
        <v>588</v>
      </c>
      <c r="O138" s="200" t="s">
        <v>589</v>
      </c>
      <c r="P138" s="200" t="s">
        <v>590</v>
      </c>
      <c r="Q138" s="200" t="s">
        <v>275</v>
      </c>
      <c r="R138" s="200" t="s">
        <v>611</v>
      </c>
      <c r="S138" s="200" t="s">
        <v>436</v>
      </c>
      <c r="T138" s="200" t="s">
        <v>595</v>
      </c>
      <c r="U138" s="200">
        <v>5647</v>
      </c>
      <c r="V138" s="200" t="s">
        <v>585</v>
      </c>
      <c r="W138" s="200" t="s">
        <v>280</v>
      </c>
      <c r="X138" s="200">
        <v>15.449</v>
      </c>
      <c r="Y138" s="203">
        <v>-0.31</v>
      </c>
      <c r="Z138" s="203">
        <v>2.15</v>
      </c>
      <c r="AA138" s="203">
        <v>33.200000000000003</v>
      </c>
      <c r="AB138" s="203">
        <v>-2.83</v>
      </c>
      <c r="AC138" s="203">
        <v>0</v>
      </c>
      <c r="AD138" s="203">
        <v>0</v>
      </c>
      <c r="AE138" s="203">
        <v>30.06</v>
      </c>
      <c r="AF138" s="203">
        <v>-3.71</v>
      </c>
      <c r="AG138" s="200" t="s">
        <v>279</v>
      </c>
      <c r="AH138" s="203">
        <v>0</v>
      </c>
      <c r="AI138" s="200" t="s">
        <v>279</v>
      </c>
      <c r="AJ138" s="203">
        <v>0</v>
      </c>
      <c r="AK138" s="200" t="s">
        <v>279</v>
      </c>
      <c r="AL138" s="203">
        <v>0</v>
      </c>
      <c r="AM138" s="200" t="s">
        <v>279</v>
      </c>
      <c r="AN138" s="203">
        <v>0</v>
      </c>
      <c r="AO138" s="200" t="s">
        <v>279</v>
      </c>
      <c r="AP138" s="203">
        <v>0</v>
      </c>
      <c r="AQ138" s="203">
        <v>33.200000000000003</v>
      </c>
      <c r="AR138" s="203">
        <v>0</v>
      </c>
      <c r="AS138" s="200" t="str">
        <f t="shared" si="2"/>
        <v>1.00000000</v>
      </c>
      <c r="AT138" s="200" t="str">
        <f>"10.3"</f>
        <v>10.3</v>
      </c>
      <c r="AU138" s="203">
        <v>0</v>
      </c>
    </row>
    <row r="139" spans="1:47" x14ac:dyDescent="0.2">
      <c r="A139" s="200" t="str">
        <f>"0496002595734"</f>
        <v>0496002595734</v>
      </c>
      <c r="B139" s="200">
        <v>1</v>
      </c>
      <c r="C139" s="200" t="s">
        <v>435</v>
      </c>
      <c r="D139" s="200">
        <v>81</v>
      </c>
      <c r="E139" s="200">
        <v>81</v>
      </c>
      <c r="F139" s="200" t="s">
        <v>243</v>
      </c>
      <c r="G139" s="200">
        <v>2086</v>
      </c>
      <c r="H139" s="200" t="s">
        <v>270</v>
      </c>
      <c r="I139" s="200">
        <v>61424</v>
      </c>
      <c r="J139" s="201">
        <v>42616</v>
      </c>
      <c r="K139" s="202">
        <v>0.98055555555555562</v>
      </c>
      <c r="L139" s="201">
        <v>42619</v>
      </c>
      <c r="M139" s="200" t="s">
        <v>271</v>
      </c>
      <c r="N139" s="200" t="s">
        <v>272</v>
      </c>
      <c r="O139" s="200" t="s">
        <v>273</v>
      </c>
      <c r="P139" s="200" t="s">
        <v>274</v>
      </c>
      <c r="Q139" s="200" t="s">
        <v>275</v>
      </c>
      <c r="R139" s="200" t="s">
        <v>276</v>
      </c>
      <c r="S139" s="200" t="s">
        <v>436</v>
      </c>
      <c r="T139" s="200" t="s">
        <v>435</v>
      </c>
      <c r="U139" s="200">
        <v>2086</v>
      </c>
      <c r="V139" s="200" t="s">
        <v>435</v>
      </c>
      <c r="W139" s="200" t="s">
        <v>335</v>
      </c>
      <c r="X139" s="200">
        <v>9.4529999999999994</v>
      </c>
      <c r="Y139" s="203">
        <v>-0.19</v>
      </c>
      <c r="Z139" s="203">
        <v>2.38</v>
      </c>
      <c r="AA139" s="203">
        <v>22.49</v>
      </c>
      <c r="AB139" s="203">
        <v>-1.73</v>
      </c>
      <c r="AC139" s="203">
        <v>0</v>
      </c>
      <c r="AD139" s="203">
        <v>0</v>
      </c>
      <c r="AE139" s="203">
        <v>20.57</v>
      </c>
      <c r="AF139" s="203">
        <v>-2.27</v>
      </c>
      <c r="AG139" s="200" t="s">
        <v>279</v>
      </c>
      <c r="AH139" s="203">
        <v>0</v>
      </c>
      <c r="AI139" s="200" t="s">
        <v>279</v>
      </c>
      <c r="AJ139" s="203">
        <v>0</v>
      </c>
      <c r="AK139" s="200" t="s">
        <v>279</v>
      </c>
      <c r="AL139" s="203">
        <v>0</v>
      </c>
      <c r="AM139" s="200" t="s">
        <v>279</v>
      </c>
      <c r="AN139" s="203">
        <v>0</v>
      </c>
      <c r="AO139" s="200" t="s">
        <v>279</v>
      </c>
      <c r="AP139" s="203">
        <v>0</v>
      </c>
      <c r="AQ139" s="203">
        <v>22.49</v>
      </c>
      <c r="AR139" s="203">
        <v>0</v>
      </c>
      <c r="AS139" s="200" t="str">
        <f t="shared" si="2"/>
        <v>1.00000000</v>
      </c>
      <c r="AT139" s="200" t="str">
        <f>"6.2"</f>
        <v>6.2</v>
      </c>
      <c r="AU139" s="203">
        <v>0</v>
      </c>
    </row>
    <row r="140" spans="1:47" x14ac:dyDescent="0.2">
      <c r="A140" s="200" t="str">
        <f>"0496002595734"</f>
        <v>0496002595734</v>
      </c>
      <c r="B140" s="200">
        <v>2</v>
      </c>
      <c r="C140" s="200" t="s">
        <v>435</v>
      </c>
      <c r="D140" s="200">
        <v>80</v>
      </c>
      <c r="E140" s="200">
        <v>80</v>
      </c>
      <c r="F140" s="200" t="s">
        <v>243</v>
      </c>
      <c r="G140" s="200">
        <v>2086</v>
      </c>
      <c r="H140" s="200" t="s">
        <v>270</v>
      </c>
      <c r="I140" s="200">
        <v>63869</v>
      </c>
      <c r="J140" s="201">
        <v>42616</v>
      </c>
      <c r="K140" s="202">
        <v>0.59027777777777779</v>
      </c>
      <c r="L140" s="201">
        <v>42619</v>
      </c>
      <c r="M140" s="200" t="s">
        <v>302</v>
      </c>
      <c r="N140" s="200" t="s">
        <v>707</v>
      </c>
      <c r="O140" s="200" t="s">
        <v>708</v>
      </c>
      <c r="P140" s="200" t="s">
        <v>709</v>
      </c>
      <c r="Q140" s="200" t="s">
        <v>309</v>
      </c>
      <c r="R140" s="200" t="s">
        <v>710</v>
      </c>
      <c r="S140" s="200" t="s">
        <v>436</v>
      </c>
      <c r="T140" s="200" t="s">
        <v>435</v>
      </c>
      <c r="U140" s="200">
        <v>2086</v>
      </c>
      <c r="V140" s="200" t="s">
        <v>435</v>
      </c>
      <c r="W140" s="200" t="s">
        <v>280</v>
      </c>
      <c r="X140" s="200">
        <v>9.9960000000000004</v>
      </c>
      <c r="Y140" s="203">
        <v>0</v>
      </c>
      <c r="Z140" s="203">
        <v>2.4300000000000002</v>
      </c>
      <c r="AA140" s="203">
        <v>24.28</v>
      </c>
      <c r="AB140" s="203">
        <v>-1.83</v>
      </c>
      <c r="AC140" s="203">
        <v>0</v>
      </c>
      <c r="AD140" s="203">
        <v>0</v>
      </c>
      <c r="AE140" s="203">
        <v>22.45</v>
      </c>
      <c r="AF140" s="203">
        <v>-2.5</v>
      </c>
      <c r="AG140" s="200" t="s">
        <v>279</v>
      </c>
      <c r="AH140" s="203">
        <v>0</v>
      </c>
      <c r="AI140" s="200" t="s">
        <v>279</v>
      </c>
      <c r="AJ140" s="203">
        <v>0</v>
      </c>
      <c r="AK140" s="200" t="s">
        <v>279</v>
      </c>
      <c r="AL140" s="203">
        <v>0</v>
      </c>
      <c r="AM140" s="200" t="s">
        <v>279</v>
      </c>
      <c r="AN140" s="203">
        <v>0</v>
      </c>
      <c r="AO140" s="200" t="s">
        <v>279</v>
      </c>
      <c r="AP140" s="203">
        <v>0</v>
      </c>
      <c r="AQ140" s="203">
        <v>24.28</v>
      </c>
      <c r="AR140" s="203">
        <v>0</v>
      </c>
      <c r="AS140" s="200" t="str">
        <f t="shared" si="2"/>
        <v>1.00000000</v>
      </c>
      <c r="AT140" s="200" t="str">
        <f>"38.1"</f>
        <v>38.1</v>
      </c>
      <c r="AU140" s="203">
        <v>0</v>
      </c>
    </row>
    <row r="141" spans="1:47" x14ac:dyDescent="0.2">
      <c r="A141" s="200" t="str">
        <f>"0496002595734"</f>
        <v>0496002595734</v>
      </c>
      <c r="B141" s="200">
        <v>3</v>
      </c>
      <c r="C141" s="200" t="s">
        <v>435</v>
      </c>
      <c r="D141" s="200">
        <v>82</v>
      </c>
      <c r="E141" s="200">
        <v>82</v>
      </c>
      <c r="F141" s="200" t="s">
        <v>243</v>
      </c>
      <c r="G141" s="200">
        <v>2086</v>
      </c>
      <c r="H141" s="200" t="s">
        <v>270</v>
      </c>
      <c r="I141" s="200">
        <v>49104</v>
      </c>
      <c r="J141" s="201">
        <v>42616</v>
      </c>
      <c r="K141" s="202">
        <v>0.65138888888888891</v>
      </c>
      <c r="L141" s="201">
        <v>42619</v>
      </c>
      <c r="M141" s="200" t="s">
        <v>271</v>
      </c>
      <c r="N141" s="200" t="s">
        <v>352</v>
      </c>
      <c r="O141" s="200" t="s">
        <v>353</v>
      </c>
      <c r="P141" s="200" t="s">
        <v>343</v>
      </c>
      <c r="Q141" s="200" t="s">
        <v>275</v>
      </c>
      <c r="R141" s="200" t="s">
        <v>602</v>
      </c>
      <c r="S141" s="200" t="s">
        <v>436</v>
      </c>
      <c r="T141" s="200" t="s">
        <v>435</v>
      </c>
      <c r="U141" s="200">
        <v>2086</v>
      </c>
      <c r="V141" s="200" t="s">
        <v>435</v>
      </c>
      <c r="W141" s="200" t="s">
        <v>280</v>
      </c>
      <c r="X141" s="200">
        <v>10.901</v>
      </c>
      <c r="Y141" s="203">
        <v>-0.22</v>
      </c>
      <c r="Z141" s="203">
        <v>2.13</v>
      </c>
      <c r="AA141" s="203">
        <v>23.21</v>
      </c>
      <c r="AB141" s="203">
        <v>-1.99</v>
      </c>
      <c r="AC141" s="203">
        <v>0</v>
      </c>
      <c r="AD141" s="203">
        <v>0</v>
      </c>
      <c r="AE141" s="203">
        <v>21</v>
      </c>
      <c r="AF141" s="203">
        <v>-2.62</v>
      </c>
      <c r="AG141" s="200" t="s">
        <v>279</v>
      </c>
      <c r="AH141" s="203">
        <v>0</v>
      </c>
      <c r="AI141" s="200" t="s">
        <v>279</v>
      </c>
      <c r="AJ141" s="203">
        <v>0</v>
      </c>
      <c r="AK141" s="200" t="s">
        <v>279</v>
      </c>
      <c r="AL141" s="203">
        <v>0</v>
      </c>
      <c r="AM141" s="200" t="s">
        <v>279</v>
      </c>
      <c r="AN141" s="203">
        <v>0</v>
      </c>
      <c r="AO141" s="200" t="s">
        <v>279</v>
      </c>
      <c r="AP141" s="203">
        <v>0</v>
      </c>
      <c r="AQ141" s="203">
        <v>23.21</v>
      </c>
      <c r="AR141" s="203">
        <v>0</v>
      </c>
      <c r="AS141" s="200" t="str">
        <f t="shared" si="2"/>
        <v>1.00000000</v>
      </c>
      <c r="AT141" s="200" t="str">
        <f>"17.9"</f>
        <v>17.9</v>
      </c>
      <c r="AU141" s="203">
        <v>0</v>
      </c>
    </row>
    <row r="142" spans="1:47" x14ac:dyDescent="0.2">
      <c r="A142" s="200" t="str">
        <f>"0496002595700"</f>
        <v>0496002595700</v>
      </c>
      <c r="B142" s="200">
        <v>7</v>
      </c>
      <c r="C142" s="200" t="s">
        <v>156</v>
      </c>
      <c r="D142" s="200" t="s">
        <v>371</v>
      </c>
      <c r="E142" s="200">
        <v>45</v>
      </c>
      <c r="F142" s="200" t="s">
        <v>243</v>
      </c>
      <c r="G142" s="200">
        <v>2262</v>
      </c>
      <c r="H142" s="200" t="s">
        <v>270</v>
      </c>
      <c r="I142" s="200">
        <v>15603</v>
      </c>
      <c r="J142" s="201">
        <v>42617</v>
      </c>
      <c r="K142" s="202">
        <v>0.5625</v>
      </c>
      <c r="L142" s="201">
        <v>42620</v>
      </c>
      <c r="M142" s="200" t="s">
        <v>302</v>
      </c>
      <c r="N142" s="200" t="s">
        <v>711</v>
      </c>
      <c r="O142" s="200" t="s">
        <v>712</v>
      </c>
      <c r="P142" s="200" t="s">
        <v>713</v>
      </c>
      <c r="Q142" s="200" t="s">
        <v>275</v>
      </c>
      <c r="R142" s="200" t="s">
        <v>714</v>
      </c>
      <c r="S142" s="200" t="s">
        <v>156</v>
      </c>
      <c r="T142" s="200" t="s">
        <v>277</v>
      </c>
      <c r="U142" s="200">
        <v>2262</v>
      </c>
      <c r="V142" s="200" t="s">
        <v>156</v>
      </c>
      <c r="W142" s="200" t="s">
        <v>280</v>
      </c>
      <c r="X142" s="200">
        <v>16.013999999999999</v>
      </c>
      <c r="Y142" s="203">
        <v>0</v>
      </c>
      <c r="Z142" s="203">
        <v>2.2599999999999998</v>
      </c>
      <c r="AA142" s="203">
        <v>36.18</v>
      </c>
      <c r="AB142" s="203">
        <v>-2.93</v>
      </c>
      <c r="AC142" s="203">
        <v>0</v>
      </c>
      <c r="AD142" s="203">
        <v>0</v>
      </c>
      <c r="AE142" s="203">
        <v>33.25</v>
      </c>
      <c r="AF142" s="203">
        <v>-3.84</v>
      </c>
      <c r="AG142" s="200" t="s">
        <v>279</v>
      </c>
      <c r="AH142" s="203">
        <v>0</v>
      </c>
      <c r="AI142" s="200" t="s">
        <v>279</v>
      </c>
      <c r="AJ142" s="203">
        <v>0</v>
      </c>
      <c r="AK142" s="200" t="s">
        <v>279</v>
      </c>
      <c r="AL142" s="203">
        <v>0</v>
      </c>
      <c r="AM142" s="200" t="s">
        <v>279</v>
      </c>
      <c r="AN142" s="203">
        <v>0</v>
      </c>
      <c r="AO142" s="200" t="s">
        <v>279</v>
      </c>
      <c r="AP142" s="203">
        <v>0</v>
      </c>
      <c r="AQ142" s="203">
        <v>36.18</v>
      </c>
      <c r="AR142" s="203">
        <v>0</v>
      </c>
      <c r="AS142" s="200" t="str">
        <f t="shared" si="2"/>
        <v>1.00000000</v>
      </c>
      <c r="AT142" s="200" t="str">
        <f>"25.8"</f>
        <v>25.8</v>
      </c>
      <c r="AU142" s="203">
        <v>0</v>
      </c>
    </row>
    <row r="143" spans="1:47" x14ac:dyDescent="0.2">
      <c r="A143" s="200" t="str">
        <f>"0496002595700"</f>
        <v>0496002595700</v>
      </c>
      <c r="B143" s="200">
        <v>8</v>
      </c>
      <c r="C143" s="200" t="s">
        <v>156</v>
      </c>
      <c r="D143" s="200" t="s">
        <v>414</v>
      </c>
      <c r="E143" s="200">
        <v>47</v>
      </c>
      <c r="F143" s="200" t="s">
        <v>243</v>
      </c>
      <c r="G143" s="200">
        <v>2262</v>
      </c>
      <c r="H143" s="200" t="s">
        <v>270</v>
      </c>
      <c r="I143" s="200">
        <v>18126</v>
      </c>
      <c r="J143" s="201">
        <v>42617</v>
      </c>
      <c r="K143" s="202">
        <v>0.79791666666666661</v>
      </c>
      <c r="L143" s="201">
        <v>42619</v>
      </c>
      <c r="M143" s="200" t="s">
        <v>302</v>
      </c>
      <c r="N143" s="200" t="s">
        <v>715</v>
      </c>
      <c r="O143" s="200" t="s">
        <v>716</v>
      </c>
      <c r="P143" s="200" t="s">
        <v>717</v>
      </c>
      <c r="Q143" s="200" t="s">
        <v>466</v>
      </c>
      <c r="R143" s="200">
        <v>3242</v>
      </c>
      <c r="S143" s="200" t="s">
        <v>156</v>
      </c>
      <c r="T143" s="200" t="s">
        <v>277</v>
      </c>
      <c r="U143" s="200">
        <v>2262</v>
      </c>
      <c r="V143" s="200" t="s">
        <v>156</v>
      </c>
      <c r="W143" s="200" t="s">
        <v>280</v>
      </c>
      <c r="X143" s="200">
        <v>16.076000000000001</v>
      </c>
      <c r="Y143" s="203">
        <v>0</v>
      </c>
      <c r="Z143" s="203">
        <v>2.2000000000000002</v>
      </c>
      <c r="AA143" s="203">
        <v>35.35</v>
      </c>
      <c r="AB143" s="203">
        <v>-2.94</v>
      </c>
      <c r="AC143" s="203">
        <v>0</v>
      </c>
      <c r="AD143" s="203">
        <v>0</v>
      </c>
      <c r="AE143" s="203">
        <v>32.409999999999997</v>
      </c>
      <c r="AF143" s="203">
        <v>-3.57</v>
      </c>
      <c r="AG143" s="200" t="s">
        <v>279</v>
      </c>
      <c r="AH143" s="203">
        <v>0</v>
      </c>
      <c r="AI143" s="200" t="s">
        <v>279</v>
      </c>
      <c r="AJ143" s="203">
        <v>0</v>
      </c>
      <c r="AK143" s="200" t="s">
        <v>279</v>
      </c>
      <c r="AL143" s="203">
        <v>0</v>
      </c>
      <c r="AM143" s="200" t="s">
        <v>279</v>
      </c>
      <c r="AN143" s="203">
        <v>0</v>
      </c>
      <c r="AO143" s="200" t="s">
        <v>279</v>
      </c>
      <c r="AP143" s="203">
        <v>0</v>
      </c>
      <c r="AQ143" s="203">
        <v>35.35</v>
      </c>
      <c r="AR143" s="203">
        <v>0</v>
      </c>
      <c r="AS143" s="200" t="str">
        <f t="shared" si="2"/>
        <v>1.00000000</v>
      </c>
      <c r="AT143" s="200" t="str">
        <f>"11.7"</f>
        <v>11.7</v>
      </c>
      <c r="AU143" s="203">
        <v>0</v>
      </c>
    </row>
    <row r="144" spans="1:47" x14ac:dyDescent="0.2">
      <c r="A144" s="200" t="str">
        <f>"0496002595700"</f>
        <v>0496002595700</v>
      </c>
      <c r="B144" s="200">
        <v>5</v>
      </c>
      <c r="C144" s="200" t="s">
        <v>156</v>
      </c>
      <c r="D144" s="200">
        <v>86</v>
      </c>
      <c r="E144" s="200">
        <v>86</v>
      </c>
      <c r="F144" s="200" t="s">
        <v>243</v>
      </c>
      <c r="G144" s="200">
        <v>2262</v>
      </c>
      <c r="H144" s="200" t="s">
        <v>270</v>
      </c>
      <c r="I144" s="200">
        <v>6153</v>
      </c>
      <c r="J144" s="201">
        <v>42618</v>
      </c>
      <c r="K144" s="202">
        <v>0.39444444444444443</v>
      </c>
      <c r="L144" s="201">
        <v>42620</v>
      </c>
      <c r="M144" s="200" t="s">
        <v>302</v>
      </c>
      <c r="N144" s="200" t="s">
        <v>303</v>
      </c>
      <c r="O144" s="200" t="s">
        <v>304</v>
      </c>
      <c r="P144" s="200" t="s">
        <v>297</v>
      </c>
      <c r="Q144" s="200" t="s">
        <v>275</v>
      </c>
      <c r="R144" s="200" t="s">
        <v>298</v>
      </c>
      <c r="S144" s="200" t="s">
        <v>156</v>
      </c>
      <c r="T144" s="200" t="s">
        <v>277</v>
      </c>
      <c r="U144" s="200">
        <v>2262</v>
      </c>
      <c r="V144" s="200" t="s">
        <v>156</v>
      </c>
      <c r="W144" s="200" t="s">
        <v>280</v>
      </c>
      <c r="X144" s="200">
        <v>14.295</v>
      </c>
      <c r="Y144" s="203">
        <v>0</v>
      </c>
      <c r="Z144" s="203">
        <v>2.1</v>
      </c>
      <c r="AA144" s="203">
        <v>30.01</v>
      </c>
      <c r="AB144" s="203">
        <v>-2.62</v>
      </c>
      <c r="AC144" s="203">
        <v>0</v>
      </c>
      <c r="AD144" s="203">
        <v>0</v>
      </c>
      <c r="AE144" s="203">
        <v>27.39</v>
      </c>
      <c r="AF144" s="203">
        <v>-3.43</v>
      </c>
      <c r="AG144" s="200" t="s">
        <v>279</v>
      </c>
      <c r="AH144" s="203">
        <v>0</v>
      </c>
      <c r="AI144" s="200" t="s">
        <v>279</v>
      </c>
      <c r="AJ144" s="203">
        <v>0</v>
      </c>
      <c r="AK144" s="200" t="s">
        <v>279</v>
      </c>
      <c r="AL144" s="203">
        <v>0</v>
      </c>
      <c r="AM144" s="200" t="s">
        <v>279</v>
      </c>
      <c r="AN144" s="203">
        <v>0</v>
      </c>
      <c r="AO144" s="200" t="s">
        <v>279</v>
      </c>
      <c r="AP144" s="203">
        <v>0</v>
      </c>
      <c r="AQ144" s="203">
        <v>30.01</v>
      </c>
      <c r="AR144" s="203">
        <v>0</v>
      </c>
      <c r="AS144" s="200" t="str">
        <f t="shared" si="2"/>
        <v>1.00000000</v>
      </c>
      <c r="AT144" s="200" t="str">
        <f>"13.2"</f>
        <v>13.2</v>
      </c>
      <c r="AU144" s="203">
        <v>0</v>
      </c>
    </row>
    <row r="145" spans="1:47" x14ac:dyDescent="0.2">
      <c r="A145" s="200" t="str">
        <f>"0496002595734"</f>
        <v>0496002595734</v>
      </c>
      <c r="B145" s="200">
        <v>3</v>
      </c>
      <c r="C145" s="200" t="s">
        <v>435</v>
      </c>
      <c r="D145" s="200">
        <v>82</v>
      </c>
      <c r="E145" s="200">
        <v>82</v>
      </c>
      <c r="F145" s="200" t="s">
        <v>243</v>
      </c>
      <c r="G145" s="200">
        <v>2086</v>
      </c>
      <c r="H145" s="200" t="s">
        <v>270</v>
      </c>
      <c r="I145" s="200">
        <v>14000</v>
      </c>
      <c r="J145" s="201">
        <v>42619</v>
      </c>
      <c r="K145" s="202">
        <v>0.87430555555555556</v>
      </c>
      <c r="L145" s="201">
        <v>42621</v>
      </c>
      <c r="M145" s="200" t="s">
        <v>271</v>
      </c>
      <c r="N145" s="200" t="s">
        <v>352</v>
      </c>
      <c r="O145" s="200" t="s">
        <v>353</v>
      </c>
      <c r="P145" s="200" t="s">
        <v>343</v>
      </c>
      <c r="Q145" s="200" t="s">
        <v>275</v>
      </c>
      <c r="R145" s="200" t="s">
        <v>602</v>
      </c>
      <c r="S145" s="200" t="s">
        <v>436</v>
      </c>
      <c r="T145" s="200" t="s">
        <v>435</v>
      </c>
      <c r="U145" s="200">
        <v>2086</v>
      </c>
      <c r="V145" s="200" t="s">
        <v>435</v>
      </c>
      <c r="W145" s="200" t="s">
        <v>280</v>
      </c>
      <c r="X145" s="200">
        <v>15.271000000000001</v>
      </c>
      <c r="Y145" s="203">
        <v>-0.31</v>
      </c>
      <c r="Z145" s="203">
        <v>2.12</v>
      </c>
      <c r="AA145" s="203">
        <v>32.36</v>
      </c>
      <c r="AB145" s="203">
        <v>-2.79</v>
      </c>
      <c r="AC145" s="203">
        <v>0</v>
      </c>
      <c r="AD145" s="203">
        <v>0</v>
      </c>
      <c r="AE145" s="203">
        <v>29.26</v>
      </c>
      <c r="AF145" s="203">
        <v>-3.67</v>
      </c>
      <c r="AG145" s="200" t="s">
        <v>279</v>
      </c>
      <c r="AH145" s="203">
        <v>0</v>
      </c>
      <c r="AI145" s="200" t="s">
        <v>279</v>
      </c>
      <c r="AJ145" s="203">
        <v>0</v>
      </c>
      <c r="AK145" s="200" t="s">
        <v>279</v>
      </c>
      <c r="AL145" s="203">
        <v>0</v>
      </c>
      <c r="AM145" s="200" t="s">
        <v>279</v>
      </c>
      <c r="AN145" s="203">
        <v>0</v>
      </c>
      <c r="AO145" s="200" t="s">
        <v>279</v>
      </c>
      <c r="AP145" s="203">
        <v>0</v>
      </c>
      <c r="AQ145" s="203">
        <v>32.36</v>
      </c>
      <c r="AR145" s="203">
        <v>0</v>
      </c>
      <c r="AS145" s="200" t="str">
        <f t="shared" si="2"/>
        <v>1.00000000</v>
      </c>
      <c r="AT145" s="200" t="str">
        <f>"17.9"</f>
        <v>17.9</v>
      </c>
      <c r="AU145" s="203">
        <v>0</v>
      </c>
    </row>
    <row r="146" spans="1:47" x14ac:dyDescent="0.2">
      <c r="A146" s="200" t="str">
        <f>"0496002595700"</f>
        <v>0496002595700</v>
      </c>
      <c r="B146" s="200">
        <v>8</v>
      </c>
      <c r="C146" s="200" t="s">
        <v>156</v>
      </c>
      <c r="D146" s="200" t="s">
        <v>414</v>
      </c>
      <c r="E146" s="200">
        <v>47</v>
      </c>
      <c r="F146" s="200" t="s">
        <v>243</v>
      </c>
      <c r="G146" s="200">
        <v>2262</v>
      </c>
      <c r="H146" s="200" t="s">
        <v>270</v>
      </c>
      <c r="I146" s="200">
        <v>18573</v>
      </c>
      <c r="J146" s="201">
        <v>42622</v>
      </c>
      <c r="K146" s="202">
        <v>0.67569444444444438</v>
      </c>
      <c r="L146" s="201">
        <v>42626</v>
      </c>
      <c r="M146" s="200" t="s">
        <v>271</v>
      </c>
      <c r="N146" s="200" t="s">
        <v>272</v>
      </c>
      <c r="O146" s="200" t="s">
        <v>273</v>
      </c>
      <c r="P146" s="200" t="s">
        <v>274</v>
      </c>
      <c r="Q146" s="200" t="s">
        <v>275</v>
      </c>
      <c r="R146" s="200" t="s">
        <v>276</v>
      </c>
      <c r="S146" s="200" t="s">
        <v>156</v>
      </c>
      <c r="T146" s="200" t="s">
        <v>277</v>
      </c>
      <c r="U146" s="200">
        <v>2262</v>
      </c>
      <c r="V146" s="200" t="s">
        <v>156</v>
      </c>
      <c r="W146" s="200" t="s">
        <v>280</v>
      </c>
      <c r="X146" s="200">
        <v>18.757999999999999</v>
      </c>
      <c r="Y146" s="203">
        <v>-0.38</v>
      </c>
      <c r="Z146" s="203">
        <v>2.12</v>
      </c>
      <c r="AA146" s="203">
        <v>39.75</v>
      </c>
      <c r="AB146" s="203">
        <v>-3.43</v>
      </c>
      <c r="AC146" s="203">
        <v>0</v>
      </c>
      <c r="AD146" s="203">
        <v>0</v>
      </c>
      <c r="AE146" s="203">
        <v>35.94</v>
      </c>
      <c r="AF146" s="203">
        <v>-4.5</v>
      </c>
      <c r="AG146" s="200" t="s">
        <v>279</v>
      </c>
      <c r="AH146" s="203">
        <v>0</v>
      </c>
      <c r="AI146" s="200" t="s">
        <v>279</v>
      </c>
      <c r="AJ146" s="203">
        <v>0</v>
      </c>
      <c r="AK146" s="200" t="s">
        <v>279</v>
      </c>
      <c r="AL146" s="203">
        <v>0</v>
      </c>
      <c r="AM146" s="200" t="s">
        <v>279</v>
      </c>
      <c r="AN146" s="203">
        <v>0</v>
      </c>
      <c r="AO146" s="200" t="s">
        <v>279</v>
      </c>
      <c r="AP146" s="203">
        <v>0</v>
      </c>
      <c r="AQ146" s="203">
        <v>39.75</v>
      </c>
      <c r="AR146" s="203">
        <v>0</v>
      </c>
      <c r="AS146" s="200" t="str">
        <f t="shared" si="2"/>
        <v>1.00000000</v>
      </c>
      <c r="AT146" s="200" t="str">
        <f>"23.8"</f>
        <v>23.8</v>
      </c>
      <c r="AU146" s="203">
        <v>0</v>
      </c>
    </row>
    <row r="147" spans="1:47" x14ac:dyDescent="0.2">
      <c r="A147" s="200" t="str">
        <f>"0496002595734"</f>
        <v>0496002595734</v>
      </c>
      <c r="B147" s="200">
        <v>1</v>
      </c>
      <c r="C147" s="200" t="s">
        <v>435</v>
      </c>
      <c r="D147" s="200">
        <v>81</v>
      </c>
      <c r="E147" s="200">
        <v>81</v>
      </c>
      <c r="F147" s="200" t="s">
        <v>243</v>
      </c>
      <c r="G147" s="200">
        <v>2086</v>
      </c>
      <c r="H147" s="200" t="s">
        <v>270</v>
      </c>
      <c r="I147" s="200">
        <v>61000</v>
      </c>
      <c r="J147" s="201">
        <v>42622</v>
      </c>
      <c r="K147" s="202">
        <v>0.93541666666666667</v>
      </c>
      <c r="L147" s="201">
        <v>42626</v>
      </c>
      <c r="M147" s="200" t="s">
        <v>271</v>
      </c>
      <c r="N147" s="200" t="s">
        <v>272</v>
      </c>
      <c r="O147" s="200" t="s">
        <v>273</v>
      </c>
      <c r="P147" s="200" t="s">
        <v>274</v>
      </c>
      <c r="Q147" s="200" t="s">
        <v>275</v>
      </c>
      <c r="R147" s="200" t="s">
        <v>276</v>
      </c>
      <c r="S147" s="200" t="s">
        <v>436</v>
      </c>
      <c r="T147" s="200" t="s">
        <v>435</v>
      </c>
      <c r="U147" s="200">
        <v>2086</v>
      </c>
      <c r="V147" s="200" t="s">
        <v>435</v>
      </c>
      <c r="W147" s="200" t="s">
        <v>280</v>
      </c>
      <c r="X147" s="200">
        <v>13.119</v>
      </c>
      <c r="Y147" s="203">
        <v>-0.26</v>
      </c>
      <c r="Z147" s="203">
        <v>2.12</v>
      </c>
      <c r="AA147" s="203">
        <v>27.8</v>
      </c>
      <c r="AB147" s="203">
        <v>-2.4</v>
      </c>
      <c r="AC147" s="203">
        <v>0</v>
      </c>
      <c r="AD147" s="203">
        <v>0</v>
      </c>
      <c r="AE147" s="203">
        <v>25.14</v>
      </c>
      <c r="AF147" s="203">
        <v>-3.15</v>
      </c>
      <c r="AG147" s="200" t="s">
        <v>279</v>
      </c>
      <c r="AH147" s="203">
        <v>0</v>
      </c>
      <c r="AI147" s="200" t="s">
        <v>279</v>
      </c>
      <c r="AJ147" s="203">
        <v>0</v>
      </c>
      <c r="AK147" s="200" t="s">
        <v>279</v>
      </c>
      <c r="AL147" s="203">
        <v>0</v>
      </c>
      <c r="AM147" s="200" t="s">
        <v>279</v>
      </c>
      <c r="AN147" s="203">
        <v>0</v>
      </c>
      <c r="AO147" s="200" t="s">
        <v>279</v>
      </c>
      <c r="AP147" s="203">
        <v>0</v>
      </c>
      <c r="AQ147" s="203">
        <v>27.8</v>
      </c>
      <c r="AR147" s="203">
        <v>0</v>
      </c>
      <c r="AS147" s="200" t="str">
        <f t="shared" si="2"/>
        <v>1.00000000</v>
      </c>
      <c r="AT147" s="200" t="str">
        <f>"18.8"</f>
        <v>18.8</v>
      </c>
      <c r="AU147" s="203">
        <v>0</v>
      </c>
    </row>
    <row r="148" spans="1:47" x14ac:dyDescent="0.2">
      <c r="A148" s="200" t="str">
        <f>"0496002595734"</f>
        <v>0496002595734</v>
      </c>
      <c r="B148" s="200">
        <v>2</v>
      </c>
      <c r="C148" s="200" t="s">
        <v>435</v>
      </c>
      <c r="D148" s="200">
        <v>80</v>
      </c>
      <c r="E148" s="200">
        <v>80</v>
      </c>
      <c r="F148" s="200" t="s">
        <v>243</v>
      </c>
      <c r="G148" s="200">
        <v>2086</v>
      </c>
      <c r="H148" s="200" t="s">
        <v>270</v>
      </c>
      <c r="I148" s="200">
        <v>66459</v>
      </c>
      <c r="J148" s="201">
        <v>42622</v>
      </c>
      <c r="K148" s="202">
        <v>0.7583333333333333</v>
      </c>
      <c r="L148" s="201">
        <v>42626</v>
      </c>
      <c r="M148" s="200" t="s">
        <v>271</v>
      </c>
      <c r="N148" s="200" t="s">
        <v>352</v>
      </c>
      <c r="O148" s="200" t="s">
        <v>353</v>
      </c>
      <c r="P148" s="200" t="s">
        <v>343</v>
      </c>
      <c r="Q148" s="200" t="s">
        <v>275</v>
      </c>
      <c r="R148" s="200" t="s">
        <v>602</v>
      </c>
      <c r="S148" s="200" t="s">
        <v>436</v>
      </c>
      <c r="T148" s="200" t="s">
        <v>435</v>
      </c>
      <c r="U148" s="200">
        <v>2086</v>
      </c>
      <c r="V148" s="200" t="s">
        <v>435</v>
      </c>
      <c r="W148" s="200" t="s">
        <v>280</v>
      </c>
      <c r="X148" s="200">
        <v>7.7759999999999998</v>
      </c>
      <c r="Y148" s="203">
        <v>-0.16</v>
      </c>
      <c r="Z148" s="203">
        <v>2.1</v>
      </c>
      <c r="AA148" s="203">
        <v>16.329999999999998</v>
      </c>
      <c r="AB148" s="203">
        <v>-1.42</v>
      </c>
      <c r="AC148" s="203">
        <v>0</v>
      </c>
      <c r="AD148" s="203">
        <v>0</v>
      </c>
      <c r="AE148" s="203">
        <v>14.75</v>
      </c>
      <c r="AF148" s="203">
        <v>-1.87</v>
      </c>
      <c r="AG148" s="200" t="s">
        <v>279</v>
      </c>
      <c r="AH148" s="203">
        <v>0</v>
      </c>
      <c r="AI148" s="200" t="s">
        <v>279</v>
      </c>
      <c r="AJ148" s="203">
        <v>0</v>
      </c>
      <c r="AK148" s="200" t="s">
        <v>279</v>
      </c>
      <c r="AL148" s="203">
        <v>0</v>
      </c>
      <c r="AM148" s="200" t="s">
        <v>279</v>
      </c>
      <c r="AN148" s="203">
        <v>0</v>
      </c>
      <c r="AO148" s="200" t="s">
        <v>279</v>
      </c>
      <c r="AP148" s="203">
        <v>0</v>
      </c>
      <c r="AQ148" s="203">
        <v>16.329999999999998</v>
      </c>
      <c r="AR148" s="203">
        <v>0</v>
      </c>
      <c r="AS148" s="200" t="str">
        <f t="shared" si="2"/>
        <v>1.00000000</v>
      </c>
      <c r="AT148" s="200" t="str">
        <f>"38.1"</f>
        <v>38.1</v>
      </c>
      <c r="AU148" s="203">
        <v>0</v>
      </c>
    </row>
    <row r="149" spans="1:47" x14ac:dyDescent="0.2">
      <c r="A149" s="200" t="str">
        <f>"0496002599173"</f>
        <v>0496002599173</v>
      </c>
      <c r="B149" s="200">
        <v>1</v>
      </c>
      <c r="C149" s="200" t="s">
        <v>585</v>
      </c>
      <c r="D149" s="200" t="s">
        <v>586</v>
      </c>
      <c r="E149" s="200" t="s">
        <v>586</v>
      </c>
      <c r="F149" s="200" t="s">
        <v>243</v>
      </c>
      <c r="G149" s="200">
        <v>5314</v>
      </c>
      <c r="H149" s="200" t="s">
        <v>270</v>
      </c>
      <c r="I149" s="200">
        <v>60817</v>
      </c>
      <c r="J149" s="201">
        <v>42622</v>
      </c>
      <c r="K149" s="202">
        <v>0.58402777777777781</v>
      </c>
      <c r="L149" s="201">
        <v>42626</v>
      </c>
      <c r="M149" s="200" t="s">
        <v>606</v>
      </c>
      <c r="N149" s="200" t="s">
        <v>399</v>
      </c>
      <c r="O149" s="200" t="s">
        <v>400</v>
      </c>
      <c r="P149" s="200" t="s">
        <v>274</v>
      </c>
      <c r="Q149" s="200" t="s">
        <v>275</v>
      </c>
      <c r="R149" s="200" t="s">
        <v>401</v>
      </c>
      <c r="S149" s="200" t="s">
        <v>436</v>
      </c>
      <c r="T149" s="200" t="s">
        <v>587</v>
      </c>
      <c r="U149" s="200">
        <v>5314</v>
      </c>
      <c r="V149" s="200" t="s">
        <v>585</v>
      </c>
      <c r="W149" s="200" t="s">
        <v>280</v>
      </c>
      <c r="X149" s="200">
        <v>30.015999999999998</v>
      </c>
      <c r="Y149" s="203">
        <v>0</v>
      </c>
      <c r="Z149" s="203">
        <v>2.15</v>
      </c>
      <c r="AA149" s="203">
        <v>64.5</v>
      </c>
      <c r="AB149" s="203">
        <v>-5.49</v>
      </c>
      <c r="AC149" s="203">
        <v>0</v>
      </c>
      <c r="AD149" s="203">
        <v>0</v>
      </c>
      <c r="AE149" s="203">
        <v>59.01</v>
      </c>
      <c r="AF149" s="203">
        <v>-7.2</v>
      </c>
      <c r="AG149" s="200" t="s">
        <v>279</v>
      </c>
      <c r="AH149" s="203">
        <v>0</v>
      </c>
      <c r="AI149" s="200" t="s">
        <v>279</v>
      </c>
      <c r="AJ149" s="203">
        <v>0</v>
      </c>
      <c r="AK149" s="200" t="s">
        <v>279</v>
      </c>
      <c r="AL149" s="203">
        <v>0</v>
      </c>
      <c r="AM149" s="200" t="s">
        <v>279</v>
      </c>
      <c r="AN149" s="203">
        <v>0</v>
      </c>
      <c r="AO149" s="200" t="s">
        <v>279</v>
      </c>
      <c r="AP149" s="203">
        <v>0</v>
      </c>
      <c r="AQ149" s="203">
        <v>64.5</v>
      </c>
      <c r="AR149" s="203">
        <v>0</v>
      </c>
      <c r="AS149" s="200" t="str">
        <f t="shared" si="2"/>
        <v>1.00000000</v>
      </c>
      <c r="AT149" s="200" t="str">
        <f>"13.7"</f>
        <v>13.7</v>
      </c>
      <c r="AU149" s="203">
        <v>0</v>
      </c>
    </row>
    <row r="150" spans="1:47" x14ac:dyDescent="0.2">
      <c r="A150" s="200" t="str">
        <f>"0496002595700"</f>
        <v>0496002595700</v>
      </c>
      <c r="B150" s="200">
        <v>2</v>
      </c>
      <c r="C150" s="200" t="s">
        <v>156</v>
      </c>
      <c r="D150" s="200">
        <v>42</v>
      </c>
      <c r="E150" s="200">
        <v>42</v>
      </c>
      <c r="F150" s="200" t="s">
        <v>243</v>
      </c>
      <c r="G150" s="200">
        <v>2262</v>
      </c>
      <c r="H150" s="200" t="s">
        <v>270</v>
      </c>
      <c r="I150" s="200">
        <v>28749</v>
      </c>
      <c r="J150" s="201">
        <v>42623</v>
      </c>
      <c r="K150" s="202">
        <v>0.93052083333333335</v>
      </c>
      <c r="L150" s="201">
        <v>42626</v>
      </c>
      <c r="M150" s="200" t="s">
        <v>340</v>
      </c>
      <c r="N150" s="200" t="s">
        <v>687</v>
      </c>
      <c r="O150" s="200" t="s">
        <v>382</v>
      </c>
      <c r="P150" s="200" t="s">
        <v>383</v>
      </c>
      <c r="Q150" s="200" t="s">
        <v>275</v>
      </c>
      <c r="R150" s="200" t="s">
        <v>718</v>
      </c>
      <c r="S150" s="200" t="s">
        <v>156</v>
      </c>
      <c r="T150" s="200" t="s">
        <v>277</v>
      </c>
      <c r="U150" s="200">
        <v>2262</v>
      </c>
      <c r="V150" s="200" t="s">
        <v>156</v>
      </c>
      <c r="W150" s="200" t="s">
        <v>280</v>
      </c>
      <c r="X150" s="200">
        <v>9.5589999999999993</v>
      </c>
      <c r="Y150" s="203">
        <v>0</v>
      </c>
      <c r="Z150" s="203">
        <v>2.16</v>
      </c>
      <c r="AA150" s="203">
        <v>20.64</v>
      </c>
      <c r="AB150" s="203">
        <v>-1.75</v>
      </c>
      <c r="AC150" s="203">
        <v>0</v>
      </c>
      <c r="AD150" s="203">
        <v>0</v>
      </c>
      <c r="AE150" s="203">
        <v>18.89</v>
      </c>
      <c r="AF150" s="203">
        <v>-2.29</v>
      </c>
      <c r="AG150" s="200" t="s">
        <v>279</v>
      </c>
      <c r="AH150" s="203">
        <v>0</v>
      </c>
      <c r="AI150" s="200" t="s">
        <v>279</v>
      </c>
      <c r="AJ150" s="203">
        <v>0</v>
      </c>
      <c r="AK150" s="200" t="s">
        <v>279</v>
      </c>
      <c r="AL150" s="203">
        <v>0</v>
      </c>
      <c r="AM150" s="200" t="s">
        <v>279</v>
      </c>
      <c r="AN150" s="203">
        <v>0</v>
      </c>
      <c r="AO150" s="200" t="s">
        <v>279</v>
      </c>
      <c r="AP150" s="203">
        <v>0</v>
      </c>
      <c r="AQ150" s="203">
        <v>20.64</v>
      </c>
      <c r="AR150" s="203">
        <v>0</v>
      </c>
      <c r="AS150" s="200" t="str">
        <f t="shared" si="2"/>
        <v>1.00000000</v>
      </c>
      <c r="AT150" s="200" t="str">
        <f>"47.9"</f>
        <v>47.9</v>
      </c>
      <c r="AU150" s="203">
        <v>0</v>
      </c>
    </row>
    <row r="151" spans="1:47" x14ac:dyDescent="0.2">
      <c r="A151" s="200" t="str">
        <f>"0496002595700"</f>
        <v>0496002595700</v>
      </c>
      <c r="B151" s="200">
        <v>7</v>
      </c>
      <c r="C151" s="200" t="s">
        <v>156</v>
      </c>
      <c r="D151" s="200" t="s">
        <v>371</v>
      </c>
      <c r="E151" s="200">
        <v>45</v>
      </c>
      <c r="F151" s="200" t="s">
        <v>243</v>
      </c>
      <c r="G151" s="200">
        <v>2262</v>
      </c>
      <c r="H151" s="200" t="s">
        <v>270</v>
      </c>
      <c r="I151" s="200">
        <v>15842</v>
      </c>
      <c r="J151" s="201">
        <v>42624</v>
      </c>
      <c r="K151" s="202">
        <v>0.60833333333333328</v>
      </c>
      <c r="L151" s="201">
        <v>42626</v>
      </c>
      <c r="M151" s="200" t="s">
        <v>271</v>
      </c>
      <c r="N151" s="200" t="s">
        <v>422</v>
      </c>
      <c r="O151" s="200" t="s">
        <v>423</v>
      </c>
      <c r="P151" s="200" t="s">
        <v>424</v>
      </c>
      <c r="Q151" s="200" t="s">
        <v>275</v>
      </c>
      <c r="R151" s="200" t="s">
        <v>719</v>
      </c>
      <c r="S151" s="200" t="s">
        <v>156</v>
      </c>
      <c r="T151" s="200" t="s">
        <v>277</v>
      </c>
      <c r="U151" s="200">
        <v>2262</v>
      </c>
      <c r="V151" s="200" t="s">
        <v>156</v>
      </c>
      <c r="W151" s="200" t="s">
        <v>280</v>
      </c>
      <c r="X151" s="200">
        <v>10.125999999999999</v>
      </c>
      <c r="Y151" s="203">
        <v>-0.2</v>
      </c>
      <c r="Z151" s="203">
        <v>2.13</v>
      </c>
      <c r="AA151" s="203">
        <v>21.56</v>
      </c>
      <c r="AB151" s="203">
        <v>-1.85</v>
      </c>
      <c r="AC151" s="203">
        <v>0</v>
      </c>
      <c r="AD151" s="203">
        <v>0</v>
      </c>
      <c r="AE151" s="203">
        <v>19.510000000000002</v>
      </c>
      <c r="AF151" s="203">
        <v>-2.4300000000000002</v>
      </c>
      <c r="AG151" s="200" t="s">
        <v>279</v>
      </c>
      <c r="AH151" s="203">
        <v>0</v>
      </c>
      <c r="AI151" s="200" t="s">
        <v>279</v>
      </c>
      <c r="AJ151" s="203">
        <v>0</v>
      </c>
      <c r="AK151" s="200" t="s">
        <v>279</v>
      </c>
      <c r="AL151" s="203">
        <v>0</v>
      </c>
      <c r="AM151" s="200" t="s">
        <v>279</v>
      </c>
      <c r="AN151" s="203">
        <v>0</v>
      </c>
      <c r="AO151" s="200" t="s">
        <v>279</v>
      </c>
      <c r="AP151" s="203">
        <v>0</v>
      </c>
      <c r="AQ151" s="203">
        <v>21.56</v>
      </c>
      <c r="AR151" s="203">
        <v>0</v>
      </c>
      <c r="AS151" s="200" t="str">
        <f t="shared" si="2"/>
        <v>1.00000000</v>
      </c>
      <c r="AT151" s="200" t="str">
        <f>"23.6"</f>
        <v>23.6</v>
      </c>
      <c r="AU151" s="203">
        <v>0</v>
      </c>
    </row>
    <row r="152" spans="1:47" x14ac:dyDescent="0.2">
      <c r="A152" s="200" t="str">
        <f>"0496002595700"</f>
        <v>0496002595700</v>
      </c>
      <c r="B152" s="200">
        <v>6</v>
      </c>
      <c r="C152" s="200" t="s">
        <v>156</v>
      </c>
      <c r="D152" s="200" t="s">
        <v>344</v>
      </c>
      <c r="E152" s="200" t="s">
        <v>345</v>
      </c>
      <c r="F152" s="200" t="s">
        <v>243</v>
      </c>
      <c r="G152" s="200">
        <v>2262</v>
      </c>
      <c r="H152" s="200" t="s">
        <v>270</v>
      </c>
      <c r="I152" s="200">
        <v>53682</v>
      </c>
      <c r="J152" s="201">
        <v>42625</v>
      </c>
      <c r="K152" s="202">
        <v>0.42638888888888887</v>
      </c>
      <c r="L152" s="201">
        <v>42627</v>
      </c>
      <c r="M152" s="200" t="s">
        <v>271</v>
      </c>
      <c r="N152" s="200" t="s">
        <v>272</v>
      </c>
      <c r="O152" s="200" t="s">
        <v>273</v>
      </c>
      <c r="P152" s="200" t="s">
        <v>274</v>
      </c>
      <c r="Q152" s="200" t="s">
        <v>275</v>
      </c>
      <c r="R152" s="200" t="s">
        <v>276</v>
      </c>
      <c r="S152" s="200" t="s">
        <v>156</v>
      </c>
      <c r="T152" s="200" t="s">
        <v>277</v>
      </c>
      <c r="U152" s="200">
        <v>2262</v>
      </c>
      <c r="V152" s="200" t="s">
        <v>156</v>
      </c>
      <c r="W152" s="200" t="s">
        <v>335</v>
      </c>
      <c r="X152" s="200">
        <v>12.965999999999999</v>
      </c>
      <c r="Y152" s="203">
        <v>-0.26</v>
      </c>
      <c r="Z152" s="203">
        <v>2.33</v>
      </c>
      <c r="AA152" s="203">
        <v>30.2</v>
      </c>
      <c r="AB152" s="203">
        <v>-2.37</v>
      </c>
      <c r="AC152" s="203">
        <v>0</v>
      </c>
      <c r="AD152" s="203">
        <v>0</v>
      </c>
      <c r="AE152" s="203">
        <v>27.57</v>
      </c>
      <c r="AF152" s="203">
        <v>-3.11</v>
      </c>
      <c r="AG152" s="200" t="s">
        <v>279</v>
      </c>
      <c r="AH152" s="203">
        <v>0</v>
      </c>
      <c r="AI152" s="200" t="s">
        <v>279</v>
      </c>
      <c r="AJ152" s="203">
        <v>0</v>
      </c>
      <c r="AK152" s="200" t="s">
        <v>279</v>
      </c>
      <c r="AL152" s="203">
        <v>0</v>
      </c>
      <c r="AM152" s="200" t="s">
        <v>279</v>
      </c>
      <c r="AN152" s="203">
        <v>0</v>
      </c>
      <c r="AO152" s="200" t="s">
        <v>279</v>
      </c>
      <c r="AP152" s="203">
        <v>0</v>
      </c>
      <c r="AQ152" s="203">
        <v>30.2</v>
      </c>
      <c r="AR152" s="203">
        <v>0</v>
      </c>
      <c r="AS152" s="200" t="str">
        <f t="shared" si="2"/>
        <v>1.00000000</v>
      </c>
      <c r="AT152" s="200" t="str">
        <f>"27.6"</f>
        <v>27.6</v>
      </c>
      <c r="AU152" s="203">
        <v>0</v>
      </c>
    </row>
    <row r="153" spans="1:47" x14ac:dyDescent="0.2">
      <c r="A153" s="200" t="str">
        <f>"0496002595700"</f>
        <v>0496002595700</v>
      </c>
      <c r="B153" s="200">
        <v>8</v>
      </c>
      <c r="C153" s="200" t="s">
        <v>156</v>
      </c>
      <c r="D153" s="200" t="s">
        <v>414</v>
      </c>
      <c r="E153" s="200">
        <v>47</v>
      </c>
      <c r="F153" s="200" t="s">
        <v>243</v>
      </c>
      <c r="G153" s="200">
        <v>2262</v>
      </c>
      <c r="H153" s="200" t="s">
        <v>270</v>
      </c>
      <c r="I153" s="200">
        <v>18794</v>
      </c>
      <c r="J153" s="201">
        <v>42625</v>
      </c>
      <c r="K153" s="202">
        <v>0.35972222222222222</v>
      </c>
      <c r="L153" s="201">
        <v>42627</v>
      </c>
      <c r="M153" s="200" t="s">
        <v>302</v>
      </c>
      <c r="N153" s="200" t="s">
        <v>303</v>
      </c>
      <c r="O153" s="200" t="s">
        <v>304</v>
      </c>
      <c r="P153" s="200" t="s">
        <v>297</v>
      </c>
      <c r="Q153" s="200" t="s">
        <v>275</v>
      </c>
      <c r="R153" s="200" t="s">
        <v>298</v>
      </c>
      <c r="S153" s="200" t="s">
        <v>156</v>
      </c>
      <c r="T153" s="200" t="s">
        <v>277</v>
      </c>
      <c r="U153" s="200">
        <v>2262</v>
      </c>
      <c r="V153" s="200" t="s">
        <v>156</v>
      </c>
      <c r="W153" s="200" t="s">
        <v>280</v>
      </c>
      <c r="X153" s="200">
        <v>12.222</v>
      </c>
      <c r="Y153" s="203">
        <v>0</v>
      </c>
      <c r="Z153" s="203">
        <v>2.08</v>
      </c>
      <c r="AA153" s="203">
        <v>25.41</v>
      </c>
      <c r="AB153" s="203">
        <v>-2.2400000000000002</v>
      </c>
      <c r="AC153" s="203">
        <v>0</v>
      </c>
      <c r="AD153" s="203">
        <v>0</v>
      </c>
      <c r="AE153" s="203">
        <v>23.17</v>
      </c>
      <c r="AF153" s="203">
        <v>-2.93</v>
      </c>
      <c r="AG153" s="200" t="s">
        <v>279</v>
      </c>
      <c r="AH153" s="203">
        <v>0</v>
      </c>
      <c r="AI153" s="200" t="s">
        <v>279</v>
      </c>
      <c r="AJ153" s="203">
        <v>0</v>
      </c>
      <c r="AK153" s="200" t="s">
        <v>279</v>
      </c>
      <c r="AL153" s="203">
        <v>0</v>
      </c>
      <c r="AM153" s="200" t="s">
        <v>279</v>
      </c>
      <c r="AN153" s="203">
        <v>0</v>
      </c>
      <c r="AO153" s="200" t="s">
        <v>279</v>
      </c>
      <c r="AP153" s="203">
        <v>0</v>
      </c>
      <c r="AQ153" s="203">
        <v>25.41</v>
      </c>
      <c r="AR153" s="203">
        <v>0</v>
      </c>
      <c r="AS153" s="200" t="str">
        <f t="shared" si="2"/>
        <v>1.00000000</v>
      </c>
      <c r="AT153" s="200" t="str">
        <f>"23.5"</f>
        <v>23.5</v>
      </c>
      <c r="AU153" s="203">
        <v>0</v>
      </c>
    </row>
    <row r="154" spans="1:47" x14ac:dyDescent="0.2">
      <c r="A154" s="200" t="str">
        <f>"0496002595734"</f>
        <v>0496002595734</v>
      </c>
      <c r="B154" s="200">
        <v>1</v>
      </c>
      <c r="C154" s="200" t="s">
        <v>435</v>
      </c>
      <c r="D154" s="200">
        <v>81</v>
      </c>
      <c r="E154" s="200">
        <v>81</v>
      </c>
      <c r="F154" s="200" t="s">
        <v>243</v>
      </c>
      <c r="G154" s="200">
        <v>2086</v>
      </c>
      <c r="H154" s="200" t="s">
        <v>270</v>
      </c>
      <c r="I154" s="200">
        <v>61837</v>
      </c>
      <c r="J154" s="201">
        <v>42625</v>
      </c>
      <c r="K154" s="202">
        <v>0.24166666666666667</v>
      </c>
      <c r="L154" s="201">
        <v>42627</v>
      </c>
      <c r="M154" s="200" t="s">
        <v>271</v>
      </c>
      <c r="N154" s="200" t="s">
        <v>272</v>
      </c>
      <c r="O154" s="200" t="s">
        <v>273</v>
      </c>
      <c r="P154" s="200" t="s">
        <v>274</v>
      </c>
      <c r="Q154" s="200" t="s">
        <v>275</v>
      </c>
      <c r="R154" s="200" t="s">
        <v>276</v>
      </c>
      <c r="S154" s="200" t="s">
        <v>436</v>
      </c>
      <c r="T154" s="200" t="s">
        <v>435</v>
      </c>
      <c r="U154" s="200">
        <v>2086</v>
      </c>
      <c r="V154" s="200" t="s">
        <v>435</v>
      </c>
      <c r="W154" s="200" t="s">
        <v>280</v>
      </c>
      <c r="X154" s="200">
        <v>13.945</v>
      </c>
      <c r="Y154" s="203">
        <v>-0.28000000000000003</v>
      </c>
      <c r="Z154" s="203">
        <v>2.12</v>
      </c>
      <c r="AA154" s="203">
        <v>29.55</v>
      </c>
      <c r="AB154" s="203">
        <v>-2.5499999999999998</v>
      </c>
      <c r="AC154" s="203">
        <v>0</v>
      </c>
      <c r="AD154" s="203">
        <v>0</v>
      </c>
      <c r="AE154" s="203">
        <v>26.72</v>
      </c>
      <c r="AF154" s="203">
        <v>-3.35</v>
      </c>
      <c r="AG154" s="200" t="s">
        <v>279</v>
      </c>
      <c r="AH154" s="203">
        <v>0</v>
      </c>
      <c r="AI154" s="200" t="s">
        <v>279</v>
      </c>
      <c r="AJ154" s="203">
        <v>0</v>
      </c>
      <c r="AK154" s="200" t="s">
        <v>279</v>
      </c>
      <c r="AL154" s="203">
        <v>0</v>
      </c>
      <c r="AM154" s="200" t="s">
        <v>279</v>
      </c>
      <c r="AN154" s="203">
        <v>0</v>
      </c>
      <c r="AO154" s="200" t="s">
        <v>279</v>
      </c>
      <c r="AP154" s="203">
        <v>0</v>
      </c>
      <c r="AQ154" s="203">
        <v>29.55</v>
      </c>
      <c r="AR154" s="203">
        <v>0</v>
      </c>
      <c r="AS154" s="200" t="str">
        <f t="shared" si="2"/>
        <v>1.00000000</v>
      </c>
      <c r="AT154" s="200" t="str">
        <f>"21.7"</f>
        <v>21.7</v>
      </c>
      <c r="AU154" s="203">
        <v>0</v>
      </c>
    </row>
    <row r="155" spans="1:47" x14ac:dyDescent="0.2">
      <c r="A155" s="200" t="str">
        <f>"0496002599173"</f>
        <v>0496002599173</v>
      </c>
      <c r="B155" s="200">
        <v>2</v>
      </c>
      <c r="C155" s="200" t="s">
        <v>585</v>
      </c>
      <c r="D155" s="200" t="s">
        <v>594</v>
      </c>
      <c r="E155" s="200" t="s">
        <v>594</v>
      </c>
      <c r="F155" s="200" t="s">
        <v>243</v>
      </c>
      <c r="G155" s="200">
        <v>5647</v>
      </c>
      <c r="H155" s="200" t="s">
        <v>270</v>
      </c>
      <c r="I155" s="200">
        <v>111316</v>
      </c>
      <c r="J155" s="201">
        <v>42625</v>
      </c>
      <c r="K155" s="202">
        <v>0.38194444444444442</v>
      </c>
      <c r="L155" s="201">
        <v>42627</v>
      </c>
      <c r="M155" s="200" t="s">
        <v>271</v>
      </c>
      <c r="N155" s="200" t="s">
        <v>272</v>
      </c>
      <c r="O155" s="200" t="s">
        <v>273</v>
      </c>
      <c r="P155" s="200" t="s">
        <v>274</v>
      </c>
      <c r="Q155" s="200" t="s">
        <v>275</v>
      </c>
      <c r="R155" s="200" t="s">
        <v>276</v>
      </c>
      <c r="S155" s="200" t="s">
        <v>436</v>
      </c>
      <c r="T155" s="200" t="s">
        <v>595</v>
      </c>
      <c r="U155" s="200">
        <v>5647</v>
      </c>
      <c r="V155" s="200" t="s">
        <v>585</v>
      </c>
      <c r="W155" s="200" t="s">
        <v>280</v>
      </c>
      <c r="X155" s="200">
        <v>21.849</v>
      </c>
      <c r="Y155" s="203">
        <v>-0.44</v>
      </c>
      <c r="Z155" s="203">
        <v>2.12</v>
      </c>
      <c r="AA155" s="203">
        <v>46.3</v>
      </c>
      <c r="AB155" s="203">
        <v>-4</v>
      </c>
      <c r="AC155" s="203">
        <v>0</v>
      </c>
      <c r="AD155" s="203">
        <v>0</v>
      </c>
      <c r="AE155" s="203">
        <v>41.86</v>
      </c>
      <c r="AF155" s="203">
        <v>-5.24</v>
      </c>
      <c r="AG155" s="200" t="s">
        <v>279</v>
      </c>
      <c r="AH155" s="203">
        <v>0</v>
      </c>
      <c r="AI155" s="200" t="s">
        <v>279</v>
      </c>
      <c r="AJ155" s="203">
        <v>0</v>
      </c>
      <c r="AK155" s="200" t="s">
        <v>279</v>
      </c>
      <c r="AL155" s="203">
        <v>0</v>
      </c>
      <c r="AM155" s="200" t="s">
        <v>279</v>
      </c>
      <c r="AN155" s="203">
        <v>0</v>
      </c>
      <c r="AO155" s="200" t="s">
        <v>279</v>
      </c>
      <c r="AP155" s="203">
        <v>0</v>
      </c>
      <c r="AQ155" s="203">
        <v>46.3</v>
      </c>
      <c r="AR155" s="203">
        <v>0</v>
      </c>
      <c r="AS155" s="200" t="str">
        <f t="shared" si="2"/>
        <v>1.00000000</v>
      </c>
      <c r="AT155" s="200" t="str">
        <f>"10.3"</f>
        <v>10.3</v>
      </c>
      <c r="AU155" s="203">
        <v>0</v>
      </c>
    </row>
    <row r="156" spans="1:47" x14ac:dyDescent="0.2">
      <c r="A156" s="200" t="str">
        <f>"0496002595700"</f>
        <v>0496002595700</v>
      </c>
      <c r="B156" s="200">
        <v>6</v>
      </c>
      <c r="C156" s="200" t="s">
        <v>156</v>
      </c>
      <c r="D156" s="200" t="s">
        <v>344</v>
      </c>
      <c r="E156" s="200" t="s">
        <v>345</v>
      </c>
      <c r="F156" s="200" t="s">
        <v>243</v>
      </c>
      <c r="G156" s="200">
        <v>2262</v>
      </c>
      <c r="H156" s="200" t="s">
        <v>270</v>
      </c>
      <c r="I156" s="200">
        <v>54914</v>
      </c>
      <c r="J156" s="201">
        <v>42626</v>
      </c>
      <c r="K156" s="202">
        <v>0.49513888888888885</v>
      </c>
      <c r="L156" s="201">
        <v>42628</v>
      </c>
      <c r="M156" s="200" t="s">
        <v>271</v>
      </c>
      <c r="N156" s="200" t="s">
        <v>272</v>
      </c>
      <c r="O156" s="200" t="s">
        <v>273</v>
      </c>
      <c r="P156" s="200" t="s">
        <v>274</v>
      </c>
      <c r="Q156" s="200" t="s">
        <v>275</v>
      </c>
      <c r="R156" s="200" t="s">
        <v>276</v>
      </c>
      <c r="S156" s="200" t="s">
        <v>156</v>
      </c>
      <c r="T156" s="200" t="s">
        <v>277</v>
      </c>
      <c r="U156" s="200">
        <v>2262</v>
      </c>
      <c r="V156" s="200" t="s">
        <v>156</v>
      </c>
      <c r="W156" s="200" t="s">
        <v>335</v>
      </c>
      <c r="X156" s="200">
        <v>11.03</v>
      </c>
      <c r="Y156" s="203">
        <v>-0.22</v>
      </c>
      <c r="Z156" s="203">
        <v>2.33</v>
      </c>
      <c r="AA156" s="203">
        <v>25.69</v>
      </c>
      <c r="AB156" s="203">
        <v>-2.02</v>
      </c>
      <c r="AC156" s="203">
        <v>0</v>
      </c>
      <c r="AD156" s="203">
        <v>0</v>
      </c>
      <c r="AE156" s="203">
        <v>23.45</v>
      </c>
      <c r="AF156" s="203">
        <v>-2.65</v>
      </c>
      <c r="AG156" s="200" t="s">
        <v>279</v>
      </c>
      <c r="AH156" s="203">
        <v>0</v>
      </c>
      <c r="AI156" s="200" t="s">
        <v>279</v>
      </c>
      <c r="AJ156" s="203">
        <v>0</v>
      </c>
      <c r="AK156" s="200" t="s">
        <v>279</v>
      </c>
      <c r="AL156" s="203">
        <v>0</v>
      </c>
      <c r="AM156" s="200" t="s">
        <v>279</v>
      </c>
      <c r="AN156" s="203">
        <v>0</v>
      </c>
      <c r="AO156" s="200" t="s">
        <v>279</v>
      </c>
      <c r="AP156" s="203">
        <v>0</v>
      </c>
      <c r="AQ156" s="203">
        <v>25.69</v>
      </c>
      <c r="AR156" s="203">
        <v>0</v>
      </c>
      <c r="AS156" s="200" t="str">
        <f t="shared" si="2"/>
        <v>1.00000000</v>
      </c>
      <c r="AT156" s="200" t="str">
        <f>"27.6"</f>
        <v>27.6</v>
      </c>
      <c r="AU156" s="203">
        <v>0</v>
      </c>
    </row>
    <row r="157" spans="1:47" x14ac:dyDescent="0.2">
      <c r="A157" s="200" t="str">
        <f>"0496002595734"</f>
        <v>0496002595734</v>
      </c>
      <c r="B157" s="200">
        <v>2</v>
      </c>
      <c r="C157" s="200" t="s">
        <v>435</v>
      </c>
      <c r="D157" s="200">
        <v>80</v>
      </c>
      <c r="E157" s="200">
        <v>80</v>
      </c>
      <c r="F157" s="200" t="s">
        <v>243</v>
      </c>
      <c r="G157" s="200">
        <v>2086</v>
      </c>
      <c r="H157" s="200" t="s">
        <v>270</v>
      </c>
      <c r="I157" s="200">
        <v>66893</v>
      </c>
      <c r="J157" s="201">
        <v>42626</v>
      </c>
      <c r="K157" s="202">
        <v>8.3333333333333332E-3</v>
      </c>
      <c r="L157" s="201">
        <v>42627</v>
      </c>
      <c r="M157" s="200" t="s">
        <v>271</v>
      </c>
      <c r="N157" s="200" t="s">
        <v>272</v>
      </c>
      <c r="O157" s="200" t="s">
        <v>273</v>
      </c>
      <c r="P157" s="200" t="s">
        <v>274</v>
      </c>
      <c r="Q157" s="200" t="s">
        <v>275</v>
      </c>
      <c r="R157" s="200" t="s">
        <v>276</v>
      </c>
      <c r="S157" s="200" t="s">
        <v>436</v>
      </c>
      <c r="T157" s="200" t="s">
        <v>435</v>
      </c>
      <c r="U157" s="200">
        <v>2086</v>
      </c>
      <c r="V157" s="200" t="s">
        <v>435</v>
      </c>
      <c r="W157" s="200" t="s">
        <v>280</v>
      </c>
      <c r="X157" s="200">
        <v>10.901</v>
      </c>
      <c r="Y157" s="203">
        <v>-0.22</v>
      </c>
      <c r="Z157" s="203">
        <v>2.12</v>
      </c>
      <c r="AA157" s="203">
        <v>23.1</v>
      </c>
      <c r="AB157" s="203">
        <v>-1.99</v>
      </c>
      <c r="AC157" s="203">
        <v>0</v>
      </c>
      <c r="AD157" s="203">
        <v>0</v>
      </c>
      <c r="AE157" s="203">
        <v>20.89</v>
      </c>
      <c r="AF157" s="203">
        <v>-2.62</v>
      </c>
      <c r="AG157" s="200" t="s">
        <v>279</v>
      </c>
      <c r="AH157" s="203">
        <v>0</v>
      </c>
      <c r="AI157" s="200" t="s">
        <v>279</v>
      </c>
      <c r="AJ157" s="203">
        <v>0</v>
      </c>
      <c r="AK157" s="200" t="s">
        <v>279</v>
      </c>
      <c r="AL157" s="203">
        <v>0</v>
      </c>
      <c r="AM157" s="200" t="s">
        <v>279</v>
      </c>
      <c r="AN157" s="203">
        <v>0</v>
      </c>
      <c r="AO157" s="200" t="s">
        <v>279</v>
      </c>
      <c r="AP157" s="203">
        <v>0</v>
      </c>
      <c r="AQ157" s="203">
        <v>23.1</v>
      </c>
      <c r="AR157" s="203">
        <v>0</v>
      </c>
      <c r="AS157" s="200" t="str">
        <f t="shared" si="2"/>
        <v>1.00000000</v>
      </c>
      <c r="AT157" s="200" t="str">
        <f>"39.8"</f>
        <v>39.8</v>
      </c>
      <c r="AU157" s="203">
        <v>0</v>
      </c>
    </row>
    <row r="158" spans="1:47" x14ac:dyDescent="0.2">
      <c r="A158" s="200" t="str">
        <f>"0496002595809"</f>
        <v>0496002595809</v>
      </c>
      <c r="B158" s="200">
        <v>2</v>
      </c>
      <c r="C158" s="200" t="s">
        <v>570</v>
      </c>
      <c r="D158" s="200">
        <v>2014</v>
      </c>
      <c r="E158" s="200">
        <v>2014</v>
      </c>
      <c r="F158" s="200" t="s">
        <v>243</v>
      </c>
      <c r="G158" s="200">
        <v>2233</v>
      </c>
      <c r="H158" s="200" t="s">
        <v>270</v>
      </c>
      <c r="I158" s="200">
        <v>8579</v>
      </c>
      <c r="J158" s="201">
        <v>42626</v>
      </c>
      <c r="K158" s="202">
        <v>0.31319444444444444</v>
      </c>
      <c r="L158" s="201">
        <v>42628</v>
      </c>
      <c r="M158" s="200" t="s">
        <v>271</v>
      </c>
      <c r="N158" s="200" t="s">
        <v>272</v>
      </c>
      <c r="O158" s="200" t="s">
        <v>273</v>
      </c>
      <c r="P158" s="200" t="s">
        <v>274</v>
      </c>
      <c r="Q158" s="200" t="s">
        <v>275</v>
      </c>
      <c r="R158" s="200" t="s">
        <v>276</v>
      </c>
      <c r="S158" s="200" t="s">
        <v>436</v>
      </c>
      <c r="T158" s="200" t="s">
        <v>570</v>
      </c>
      <c r="U158" s="200">
        <v>2233</v>
      </c>
      <c r="V158" s="200" t="s">
        <v>570</v>
      </c>
      <c r="W158" s="200" t="s">
        <v>280</v>
      </c>
      <c r="X158" s="200">
        <v>8.6120000000000001</v>
      </c>
      <c r="Y158" s="203">
        <v>-0.17</v>
      </c>
      <c r="Z158" s="203">
        <v>2.12</v>
      </c>
      <c r="AA158" s="203">
        <v>18.25</v>
      </c>
      <c r="AB158" s="203">
        <v>-1.58</v>
      </c>
      <c r="AC158" s="203">
        <v>0</v>
      </c>
      <c r="AD158" s="203">
        <v>0</v>
      </c>
      <c r="AE158" s="203">
        <v>16.5</v>
      </c>
      <c r="AF158" s="203">
        <v>-2.0699999999999998</v>
      </c>
      <c r="AG158" s="200" t="s">
        <v>279</v>
      </c>
      <c r="AH158" s="203">
        <v>0</v>
      </c>
      <c r="AI158" s="200" t="s">
        <v>279</v>
      </c>
      <c r="AJ158" s="203">
        <v>0</v>
      </c>
      <c r="AK158" s="200" t="s">
        <v>279</v>
      </c>
      <c r="AL158" s="203">
        <v>0</v>
      </c>
      <c r="AM158" s="200" t="s">
        <v>279</v>
      </c>
      <c r="AN158" s="203">
        <v>0</v>
      </c>
      <c r="AO158" s="200" t="s">
        <v>279</v>
      </c>
      <c r="AP158" s="203">
        <v>0</v>
      </c>
      <c r="AQ158" s="203">
        <v>18.25</v>
      </c>
      <c r="AR158" s="203">
        <v>0</v>
      </c>
      <c r="AS158" s="200" t="str">
        <f t="shared" si="2"/>
        <v>1.00000000</v>
      </c>
      <c r="AT158" s="200" t="str">
        <f>"14.2"</f>
        <v>14.2</v>
      </c>
      <c r="AU158" s="203">
        <v>0</v>
      </c>
    </row>
    <row r="159" spans="1:47" x14ac:dyDescent="0.2">
      <c r="A159" s="200" t="str">
        <f>"0496002756187"</f>
        <v>0496002756187</v>
      </c>
      <c r="B159" s="200">
        <v>1</v>
      </c>
      <c r="C159" s="200" t="s">
        <v>599</v>
      </c>
      <c r="D159" s="200">
        <v>48</v>
      </c>
      <c r="E159" s="200">
        <v>48</v>
      </c>
      <c r="F159" s="200" t="s">
        <v>243</v>
      </c>
      <c r="G159" s="200">
        <v>8317</v>
      </c>
      <c r="H159" s="200" t="s">
        <v>270</v>
      </c>
      <c r="I159" s="200">
        <v>13466</v>
      </c>
      <c r="J159" s="201">
        <v>42627</v>
      </c>
      <c r="K159" s="202">
        <v>0.71180555555555547</v>
      </c>
      <c r="L159" s="201">
        <v>42629</v>
      </c>
      <c r="M159" s="200" t="s">
        <v>271</v>
      </c>
      <c r="N159" s="200" t="s">
        <v>272</v>
      </c>
      <c r="O159" s="200" t="s">
        <v>273</v>
      </c>
      <c r="P159" s="200" t="s">
        <v>274</v>
      </c>
      <c r="Q159" s="200" t="s">
        <v>275</v>
      </c>
      <c r="R159" s="200" t="s">
        <v>276</v>
      </c>
      <c r="S159" s="200" t="s">
        <v>600</v>
      </c>
      <c r="T159" s="200" t="s">
        <v>436</v>
      </c>
      <c r="U159" s="200">
        <v>8317</v>
      </c>
      <c r="V159" s="200" t="s">
        <v>599</v>
      </c>
      <c r="W159" s="200" t="s">
        <v>280</v>
      </c>
      <c r="X159" s="200">
        <v>19.111999999999998</v>
      </c>
      <c r="Y159" s="203">
        <v>-0.38</v>
      </c>
      <c r="Z159" s="203">
        <v>2.12</v>
      </c>
      <c r="AA159" s="203">
        <v>40.5</v>
      </c>
      <c r="AB159" s="203">
        <v>-3.5</v>
      </c>
      <c r="AC159" s="203">
        <v>0</v>
      </c>
      <c r="AD159" s="203">
        <v>0</v>
      </c>
      <c r="AE159" s="203">
        <v>36.619999999999997</v>
      </c>
      <c r="AF159" s="203">
        <v>-4.59</v>
      </c>
      <c r="AG159" s="200" t="s">
        <v>279</v>
      </c>
      <c r="AH159" s="203">
        <v>0</v>
      </c>
      <c r="AI159" s="200" t="s">
        <v>279</v>
      </c>
      <c r="AJ159" s="203">
        <v>0</v>
      </c>
      <c r="AK159" s="200" t="s">
        <v>279</v>
      </c>
      <c r="AL159" s="203">
        <v>0</v>
      </c>
      <c r="AM159" s="200" t="s">
        <v>279</v>
      </c>
      <c r="AN159" s="203">
        <v>0</v>
      </c>
      <c r="AO159" s="200" t="s">
        <v>279</v>
      </c>
      <c r="AP159" s="203">
        <v>0</v>
      </c>
      <c r="AQ159" s="203">
        <v>40.5</v>
      </c>
      <c r="AR159" s="203">
        <v>0</v>
      </c>
      <c r="AS159" s="200" t="str">
        <f t="shared" si="2"/>
        <v>1.00000000</v>
      </c>
      <c r="AT159" s="200" t="str">
        <f>"13.8"</f>
        <v>13.8</v>
      </c>
      <c r="AU159" s="203">
        <v>0</v>
      </c>
    </row>
    <row r="160" spans="1:47" x14ac:dyDescent="0.2">
      <c r="A160" s="200" t="str">
        <f>"0496002595734"</f>
        <v>0496002595734</v>
      </c>
      <c r="B160" s="200">
        <v>1</v>
      </c>
      <c r="C160" s="200" t="s">
        <v>435</v>
      </c>
      <c r="D160" s="200">
        <v>81</v>
      </c>
      <c r="E160" s="200">
        <v>81</v>
      </c>
      <c r="F160" s="200" t="s">
        <v>243</v>
      </c>
      <c r="G160" s="200">
        <v>2086</v>
      </c>
      <c r="H160" s="200" t="s">
        <v>270</v>
      </c>
      <c r="I160" s="200">
        <v>62097</v>
      </c>
      <c r="J160" s="201">
        <v>42628</v>
      </c>
      <c r="K160" s="202">
        <v>0.64097222222222217</v>
      </c>
      <c r="L160" s="201">
        <v>42632</v>
      </c>
      <c r="M160" s="200" t="s">
        <v>271</v>
      </c>
      <c r="N160" s="200" t="s">
        <v>272</v>
      </c>
      <c r="O160" s="200" t="s">
        <v>273</v>
      </c>
      <c r="P160" s="200" t="s">
        <v>274</v>
      </c>
      <c r="Q160" s="200" t="s">
        <v>275</v>
      </c>
      <c r="R160" s="200" t="s">
        <v>276</v>
      </c>
      <c r="S160" s="200" t="s">
        <v>436</v>
      </c>
      <c r="T160" s="200" t="s">
        <v>435</v>
      </c>
      <c r="U160" s="200">
        <v>2086</v>
      </c>
      <c r="V160" s="200" t="s">
        <v>435</v>
      </c>
      <c r="W160" s="200" t="s">
        <v>280</v>
      </c>
      <c r="X160" s="200">
        <v>13.345000000000001</v>
      </c>
      <c r="Y160" s="203">
        <v>-0.27</v>
      </c>
      <c r="Z160" s="203">
        <v>2.12</v>
      </c>
      <c r="AA160" s="203">
        <v>28.28</v>
      </c>
      <c r="AB160" s="203">
        <v>-2.44</v>
      </c>
      <c r="AC160" s="203">
        <v>0</v>
      </c>
      <c r="AD160" s="203">
        <v>0</v>
      </c>
      <c r="AE160" s="203">
        <v>25.57</v>
      </c>
      <c r="AF160" s="203">
        <v>-3.2</v>
      </c>
      <c r="AG160" s="200" t="s">
        <v>279</v>
      </c>
      <c r="AH160" s="203">
        <v>0</v>
      </c>
      <c r="AI160" s="200" t="s">
        <v>279</v>
      </c>
      <c r="AJ160" s="203">
        <v>0</v>
      </c>
      <c r="AK160" s="200" t="s">
        <v>279</v>
      </c>
      <c r="AL160" s="203">
        <v>0</v>
      </c>
      <c r="AM160" s="200" t="s">
        <v>279</v>
      </c>
      <c r="AN160" s="203">
        <v>0</v>
      </c>
      <c r="AO160" s="200" t="s">
        <v>279</v>
      </c>
      <c r="AP160" s="203">
        <v>0</v>
      </c>
      <c r="AQ160" s="203">
        <v>28.28</v>
      </c>
      <c r="AR160" s="203">
        <v>0</v>
      </c>
      <c r="AS160" s="200" t="str">
        <f t="shared" si="2"/>
        <v>1.00000000</v>
      </c>
      <c r="AT160" s="200" t="str">
        <f>"19.5"</f>
        <v>19.5</v>
      </c>
      <c r="AU160" s="203">
        <v>0</v>
      </c>
    </row>
    <row r="161" spans="1:47" x14ac:dyDescent="0.2">
      <c r="A161" s="200" t="str">
        <f>"0496002595734"</f>
        <v>0496002595734</v>
      </c>
      <c r="B161" s="200">
        <v>2</v>
      </c>
      <c r="C161" s="200" t="s">
        <v>435</v>
      </c>
      <c r="D161" s="200">
        <v>80</v>
      </c>
      <c r="E161" s="200">
        <v>80</v>
      </c>
      <c r="F161" s="200" t="s">
        <v>243</v>
      </c>
      <c r="G161" s="200">
        <v>2086</v>
      </c>
      <c r="H161" s="200" t="s">
        <v>270</v>
      </c>
      <c r="I161" s="200">
        <v>66957</v>
      </c>
      <c r="J161" s="201">
        <v>42628</v>
      </c>
      <c r="K161" s="202">
        <v>0.51458333333333328</v>
      </c>
      <c r="L161" s="201">
        <v>42632</v>
      </c>
      <c r="M161" s="200" t="s">
        <v>271</v>
      </c>
      <c r="N161" s="200" t="s">
        <v>272</v>
      </c>
      <c r="O161" s="200" t="s">
        <v>273</v>
      </c>
      <c r="P161" s="200" t="s">
        <v>274</v>
      </c>
      <c r="Q161" s="200" t="s">
        <v>275</v>
      </c>
      <c r="R161" s="200" t="s">
        <v>276</v>
      </c>
      <c r="S161" s="200" t="s">
        <v>436</v>
      </c>
      <c r="T161" s="200" t="s">
        <v>435</v>
      </c>
      <c r="U161" s="200">
        <v>2086</v>
      </c>
      <c r="V161" s="200" t="s">
        <v>435</v>
      </c>
      <c r="W161" s="200" t="s">
        <v>278</v>
      </c>
      <c r="X161" s="200">
        <v>1.931</v>
      </c>
      <c r="Y161" s="203">
        <v>-0.04</v>
      </c>
      <c r="Z161" s="203">
        <v>2.5499999999999998</v>
      </c>
      <c r="AA161" s="203">
        <v>4.92</v>
      </c>
      <c r="AB161" s="203">
        <v>-0.35</v>
      </c>
      <c r="AC161" s="203">
        <v>0</v>
      </c>
      <c r="AD161" s="203">
        <v>0</v>
      </c>
      <c r="AE161" s="203">
        <v>4.53</v>
      </c>
      <c r="AF161" s="203">
        <v>-0.46</v>
      </c>
      <c r="AG161" s="200" t="s">
        <v>279</v>
      </c>
      <c r="AH161" s="203">
        <v>0</v>
      </c>
      <c r="AI161" s="200" t="s">
        <v>279</v>
      </c>
      <c r="AJ161" s="203">
        <v>0</v>
      </c>
      <c r="AK161" s="200" t="s">
        <v>279</v>
      </c>
      <c r="AL161" s="203">
        <v>0</v>
      </c>
      <c r="AM161" s="200" t="s">
        <v>279</v>
      </c>
      <c r="AN161" s="203">
        <v>0</v>
      </c>
      <c r="AO161" s="200" t="s">
        <v>279</v>
      </c>
      <c r="AP161" s="203">
        <v>0</v>
      </c>
      <c r="AQ161" s="203">
        <v>4.92</v>
      </c>
      <c r="AR161" s="203">
        <v>0</v>
      </c>
      <c r="AS161" s="200" t="str">
        <f t="shared" si="2"/>
        <v>1.00000000</v>
      </c>
      <c r="AT161" s="200" t="str">
        <f>"33.1"</f>
        <v>33.1</v>
      </c>
      <c r="AU161" s="203">
        <v>0</v>
      </c>
    </row>
    <row r="162" spans="1:47" x14ac:dyDescent="0.2">
      <c r="A162" s="200" t="str">
        <f>"0496002595734"</f>
        <v>0496002595734</v>
      </c>
      <c r="B162" s="200">
        <v>3</v>
      </c>
      <c r="C162" s="200" t="s">
        <v>435</v>
      </c>
      <c r="D162" s="200">
        <v>82</v>
      </c>
      <c r="E162" s="200">
        <v>82</v>
      </c>
      <c r="F162" s="200" t="s">
        <v>243</v>
      </c>
      <c r="G162" s="200">
        <v>2086</v>
      </c>
      <c r="H162" s="200" t="s">
        <v>270</v>
      </c>
      <c r="I162" s="200">
        <v>49550</v>
      </c>
      <c r="J162" s="201">
        <v>42628</v>
      </c>
      <c r="K162" s="202">
        <v>0.69652777777777775</v>
      </c>
      <c r="L162" s="201">
        <v>42632</v>
      </c>
      <c r="M162" s="200" t="s">
        <v>271</v>
      </c>
      <c r="N162" s="200" t="s">
        <v>272</v>
      </c>
      <c r="O162" s="200" t="s">
        <v>273</v>
      </c>
      <c r="P162" s="200" t="s">
        <v>274</v>
      </c>
      <c r="Q162" s="200" t="s">
        <v>275</v>
      </c>
      <c r="R162" s="200" t="s">
        <v>276</v>
      </c>
      <c r="S162" s="200" t="s">
        <v>436</v>
      </c>
      <c r="T162" s="200" t="s">
        <v>435</v>
      </c>
      <c r="U162" s="200">
        <v>2086</v>
      </c>
      <c r="V162" s="200" t="s">
        <v>435</v>
      </c>
      <c r="W162" s="200" t="s">
        <v>280</v>
      </c>
      <c r="X162" s="200">
        <v>11.958</v>
      </c>
      <c r="Y162" s="203">
        <v>-0.24</v>
      </c>
      <c r="Z162" s="203">
        <v>2.12</v>
      </c>
      <c r="AA162" s="203">
        <v>25.34</v>
      </c>
      <c r="AB162" s="203">
        <v>-2.19</v>
      </c>
      <c r="AC162" s="203">
        <v>0</v>
      </c>
      <c r="AD162" s="203">
        <v>0</v>
      </c>
      <c r="AE162" s="203">
        <v>22.91</v>
      </c>
      <c r="AF162" s="203">
        <v>-2.87</v>
      </c>
      <c r="AG162" s="200" t="s">
        <v>279</v>
      </c>
      <c r="AH162" s="203">
        <v>0</v>
      </c>
      <c r="AI162" s="200" t="s">
        <v>279</v>
      </c>
      <c r="AJ162" s="203">
        <v>0</v>
      </c>
      <c r="AK162" s="200" t="s">
        <v>279</v>
      </c>
      <c r="AL162" s="203">
        <v>0</v>
      </c>
      <c r="AM162" s="200" t="s">
        <v>279</v>
      </c>
      <c r="AN162" s="203">
        <v>0</v>
      </c>
      <c r="AO162" s="200" t="s">
        <v>279</v>
      </c>
      <c r="AP162" s="203">
        <v>0</v>
      </c>
      <c r="AQ162" s="203">
        <v>25.34</v>
      </c>
      <c r="AR162" s="203">
        <v>0</v>
      </c>
      <c r="AS162" s="200" t="str">
        <f t="shared" si="2"/>
        <v>1.00000000</v>
      </c>
      <c r="AT162" s="200" t="str">
        <f>"17.9"</f>
        <v>17.9</v>
      </c>
      <c r="AU162" s="203">
        <v>0</v>
      </c>
    </row>
    <row r="163" spans="1:47" x14ac:dyDescent="0.2">
      <c r="A163" s="200" t="str">
        <f>"0496002595700"</f>
        <v>0496002595700</v>
      </c>
      <c r="B163" s="200">
        <v>5</v>
      </c>
      <c r="C163" s="200" t="s">
        <v>156</v>
      </c>
      <c r="D163" s="200">
        <v>86</v>
      </c>
      <c r="E163" s="200">
        <v>86</v>
      </c>
      <c r="F163" s="200" t="s">
        <v>243</v>
      </c>
      <c r="G163" s="200">
        <v>2262</v>
      </c>
      <c r="H163" s="200" t="s">
        <v>270</v>
      </c>
      <c r="I163" s="200">
        <v>6492</v>
      </c>
      <c r="J163" s="201">
        <v>42629</v>
      </c>
      <c r="K163" s="202">
        <v>0.57638888888888895</v>
      </c>
      <c r="L163" s="201">
        <v>42633</v>
      </c>
      <c r="M163" s="200" t="s">
        <v>271</v>
      </c>
      <c r="N163" s="200" t="s">
        <v>272</v>
      </c>
      <c r="O163" s="200" t="s">
        <v>273</v>
      </c>
      <c r="P163" s="200" t="s">
        <v>274</v>
      </c>
      <c r="Q163" s="200" t="s">
        <v>275</v>
      </c>
      <c r="R163" s="200" t="s">
        <v>276</v>
      </c>
      <c r="S163" s="200" t="s">
        <v>156</v>
      </c>
      <c r="T163" s="200" t="s">
        <v>277</v>
      </c>
      <c r="U163" s="200">
        <v>2262</v>
      </c>
      <c r="V163" s="200" t="s">
        <v>156</v>
      </c>
      <c r="W163" s="200" t="s">
        <v>280</v>
      </c>
      <c r="X163" s="200">
        <v>18.72</v>
      </c>
      <c r="Y163" s="203">
        <v>-0.37</v>
      </c>
      <c r="Z163" s="203">
        <v>2.15</v>
      </c>
      <c r="AA163" s="203">
        <v>40.229999999999997</v>
      </c>
      <c r="AB163" s="203">
        <v>-3.43</v>
      </c>
      <c r="AC163" s="203">
        <v>0</v>
      </c>
      <c r="AD163" s="203">
        <v>0</v>
      </c>
      <c r="AE163" s="203">
        <v>36.43</v>
      </c>
      <c r="AF163" s="203">
        <v>-4.49</v>
      </c>
      <c r="AG163" s="200" t="s">
        <v>279</v>
      </c>
      <c r="AH163" s="203">
        <v>0</v>
      </c>
      <c r="AI163" s="200" t="s">
        <v>279</v>
      </c>
      <c r="AJ163" s="203">
        <v>0</v>
      </c>
      <c r="AK163" s="200" t="s">
        <v>279</v>
      </c>
      <c r="AL163" s="203">
        <v>0</v>
      </c>
      <c r="AM163" s="200" t="s">
        <v>279</v>
      </c>
      <c r="AN163" s="203">
        <v>0</v>
      </c>
      <c r="AO163" s="200" t="s">
        <v>279</v>
      </c>
      <c r="AP163" s="203">
        <v>0</v>
      </c>
      <c r="AQ163" s="203">
        <v>40.229999999999997</v>
      </c>
      <c r="AR163" s="203">
        <v>0</v>
      </c>
      <c r="AS163" s="200" t="str">
        <f t="shared" si="2"/>
        <v>1.00000000</v>
      </c>
      <c r="AT163" s="200" t="str">
        <f>"18.1"</f>
        <v>18.1</v>
      </c>
      <c r="AU163" s="203">
        <v>0</v>
      </c>
    </row>
    <row r="164" spans="1:47" x14ac:dyDescent="0.2">
      <c r="A164" s="200" t="str">
        <f>"0496002595734"</f>
        <v>0496002595734</v>
      </c>
      <c r="B164" s="200">
        <v>2</v>
      </c>
      <c r="C164" s="200" t="s">
        <v>435</v>
      </c>
      <c r="D164" s="200">
        <v>80</v>
      </c>
      <c r="E164" s="200">
        <v>80</v>
      </c>
      <c r="F164" s="200" t="s">
        <v>243</v>
      </c>
      <c r="G164" s="200">
        <v>2086</v>
      </c>
      <c r="H164" s="200" t="s">
        <v>270</v>
      </c>
      <c r="I164" s="200">
        <v>67293</v>
      </c>
      <c r="J164" s="201">
        <v>42629</v>
      </c>
      <c r="K164" s="202">
        <v>0.4993055555555555</v>
      </c>
      <c r="L164" s="201">
        <v>42633</v>
      </c>
      <c r="M164" s="200" t="s">
        <v>302</v>
      </c>
      <c r="N164" s="200" t="s">
        <v>501</v>
      </c>
      <c r="O164" s="200" t="s">
        <v>502</v>
      </c>
      <c r="P164" s="200" t="s">
        <v>274</v>
      </c>
      <c r="Q164" s="200" t="s">
        <v>275</v>
      </c>
      <c r="R164" s="200" t="s">
        <v>720</v>
      </c>
      <c r="S164" s="200" t="s">
        <v>436</v>
      </c>
      <c r="T164" s="200" t="s">
        <v>435</v>
      </c>
      <c r="U164" s="200">
        <v>2086</v>
      </c>
      <c r="V164" s="200" t="s">
        <v>435</v>
      </c>
      <c r="W164" s="200" t="s">
        <v>280</v>
      </c>
      <c r="X164" s="200">
        <v>9.1579999999999995</v>
      </c>
      <c r="Y164" s="203">
        <v>0</v>
      </c>
      <c r="Z164" s="203">
        <v>2.19</v>
      </c>
      <c r="AA164" s="203">
        <v>20.05</v>
      </c>
      <c r="AB164" s="203">
        <v>-1.68</v>
      </c>
      <c r="AC164" s="203">
        <v>0</v>
      </c>
      <c r="AD164" s="203">
        <v>0</v>
      </c>
      <c r="AE164" s="203">
        <v>18.37</v>
      </c>
      <c r="AF164" s="203">
        <v>-2.2000000000000002</v>
      </c>
      <c r="AG164" s="200" t="s">
        <v>279</v>
      </c>
      <c r="AH164" s="203">
        <v>0</v>
      </c>
      <c r="AI164" s="200" t="s">
        <v>279</v>
      </c>
      <c r="AJ164" s="203">
        <v>0</v>
      </c>
      <c r="AK164" s="200" t="s">
        <v>279</v>
      </c>
      <c r="AL164" s="203">
        <v>0</v>
      </c>
      <c r="AM164" s="200" t="s">
        <v>279</v>
      </c>
      <c r="AN164" s="203">
        <v>0</v>
      </c>
      <c r="AO164" s="200" t="s">
        <v>279</v>
      </c>
      <c r="AP164" s="203">
        <v>0</v>
      </c>
      <c r="AQ164" s="203">
        <v>20.05</v>
      </c>
      <c r="AR164" s="203">
        <v>0</v>
      </c>
      <c r="AS164" s="200" t="str">
        <f t="shared" si="2"/>
        <v>1.00000000</v>
      </c>
      <c r="AT164" s="200" t="str">
        <f>"36.7"</f>
        <v>36.7</v>
      </c>
      <c r="AU164" s="203">
        <v>0</v>
      </c>
    </row>
    <row r="165" spans="1:47" x14ac:dyDescent="0.2">
      <c r="A165" s="200" t="str">
        <f>"0496002595734"</f>
        <v>0496002595734</v>
      </c>
      <c r="B165" s="200">
        <v>3</v>
      </c>
      <c r="C165" s="200" t="s">
        <v>435</v>
      </c>
      <c r="D165" s="200">
        <v>82</v>
      </c>
      <c r="E165" s="200">
        <v>82</v>
      </c>
      <c r="F165" s="200" t="s">
        <v>243</v>
      </c>
      <c r="G165" s="200">
        <v>2086</v>
      </c>
      <c r="H165" s="200" t="s">
        <v>270</v>
      </c>
      <c r="I165" s="200">
        <v>49727</v>
      </c>
      <c r="J165" s="201">
        <v>42629</v>
      </c>
      <c r="K165" s="202">
        <v>0.69027777777777777</v>
      </c>
      <c r="L165" s="201">
        <v>42633</v>
      </c>
      <c r="M165" s="200" t="s">
        <v>271</v>
      </c>
      <c r="N165" s="200" t="s">
        <v>272</v>
      </c>
      <c r="O165" s="200" t="s">
        <v>273</v>
      </c>
      <c r="P165" s="200" t="s">
        <v>274</v>
      </c>
      <c r="Q165" s="200" t="s">
        <v>275</v>
      </c>
      <c r="R165" s="200" t="s">
        <v>276</v>
      </c>
      <c r="S165" s="200" t="s">
        <v>436</v>
      </c>
      <c r="T165" s="200" t="s">
        <v>435</v>
      </c>
      <c r="U165" s="200">
        <v>2086</v>
      </c>
      <c r="V165" s="200" t="s">
        <v>435</v>
      </c>
      <c r="W165" s="200" t="s">
        <v>280</v>
      </c>
      <c r="X165" s="200">
        <v>7.8449999999999998</v>
      </c>
      <c r="Y165" s="203">
        <v>-0.16</v>
      </c>
      <c r="Z165" s="203">
        <v>2.15</v>
      </c>
      <c r="AA165" s="203">
        <v>16.86</v>
      </c>
      <c r="AB165" s="203">
        <v>-1.44</v>
      </c>
      <c r="AC165" s="203">
        <v>0</v>
      </c>
      <c r="AD165" s="203">
        <v>0</v>
      </c>
      <c r="AE165" s="203">
        <v>15.26</v>
      </c>
      <c r="AF165" s="203">
        <v>-1.88</v>
      </c>
      <c r="AG165" s="200" t="s">
        <v>279</v>
      </c>
      <c r="AH165" s="203">
        <v>0</v>
      </c>
      <c r="AI165" s="200" t="s">
        <v>279</v>
      </c>
      <c r="AJ165" s="203">
        <v>0</v>
      </c>
      <c r="AK165" s="200" t="s">
        <v>279</v>
      </c>
      <c r="AL165" s="203">
        <v>0</v>
      </c>
      <c r="AM165" s="200" t="s">
        <v>279</v>
      </c>
      <c r="AN165" s="203">
        <v>0</v>
      </c>
      <c r="AO165" s="200" t="s">
        <v>279</v>
      </c>
      <c r="AP165" s="203">
        <v>0</v>
      </c>
      <c r="AQ165" s="203">
        <v>16.86</v>
      </c>
      <c r="AR165" s="203">
        <v>0</v>
      </c>
      <c r="AS165" s="200" t="str">
        <f t="shared" si="2"/>
        <v>1.00000000</v>
      </c>
      <c r="AT165" s="200" t="str">
        <f>"22.6"</f>
        <v>22.6</v>
      </c>
      <c r="AU165" s="203">
        <v>0</v>
      </c>
    </row>
    <row r="166" spans="1:47" x14ac:dyDescent="0.2">
      <c r="A166" s="200" t="str">
        <f>"0496002595700"</f>
        <v>0496002595700</v>
      </c>
      <c r="B166" s="200">
        <v>8</v>
      </c>
      <c r="C166" s="200" t="s">
        <v>156</v>
      </c>
      <c r="D166" s="200" t="s">
        <v>414</v>
      </c>
      <c r="E166" s="200">
        <v>47</v>
      </c>
      <c r="F166" s="200" t="s">
        <v>243</v>
      </c>
      <c r="G166" s="200">
        <v>2262</v>
      </c>
      <c r="H166" s="200" t="s">
        <v>270</v>
      </c>
      <c r="I166" s="200">
        <v>19188</v>
      </c>
      <c r="J166" s="201">
        <v>42630</v>
      </c>
      <c r="K166" s="202">
        <v>0.64957175925925925</v>
      </c>
      <c r="L166" s="201">
        <v>42633</v>
      </c>
      <c r="M166" s="200" t="s">
        <v>721</v>
      </c>
      <c r="N166" s="200" t="s">
        <v>722</v>
      </c>
      <c r="O166" s="200" t="s">
        <v>723</v>
      </c>
      <c r="P166" s="200" t="s">
        <v>724</v>
      </c>
      <c r="Q166" s="200" t="s">
        <v>329</v>
      </c>
      <c r="R166" s="200" t="s">
        <v>725</v>
      </c>
      <c r="S166" s="200" t="s">
        <v>156</v>
      </c>
      <c r="T166" s="200" t="s">
        <v>277</v>
      </c>
      <c r="U166" s="200">
        <v>2262</v>
      </c>
      <c r="V166" s="200" t="s">
        <v>156</v>
      </c>
      <c r="W166" s="200" t="s">
        <v>280</v>
      </c>
      <c r="X166" s="200">
        <v>16.841999999999999</v>
      </c>
      <c r="Y166" s="203">
        <v>0</v>
      </c>
      <c r="Z166" s="203">
        <v>2.2999999999999998</v>
      </c>
      <c r="AA166" s="203">
        <v>38.72</v>
      </c>
      <c r="AB166" s="203">
        <v>-3.08</v>
      </c>
      <c r="AC166" s="203">
        <v>0</v>
      </c>
      <c r="AD166" s="203">
        <v>0</v>
      </c>
      <c r="AE166" s="203">
        <v>35.64</v>
      </c>
      <c r="AF166" s="203">
        <v>-6.61</v>
      </c>
      <c r="AG166" s="200" t="s">
        <v>279</v>
      </c>
      <c r="AH166" s="203">
        <v>0</v>
      </c>
      <c r="AI166" s="200" t="s">
        <v>279</v>
      </c>
      <c r="AJ166" s="203">
        <v>0</v>
      </c>
      <c r="AK166" s="200" t="s">
        <v>279</v>
      </c>
      <c r="AL166" s="203">
        <v>0</v>
      </c>
      <c r="AM166" s="200" t="s">
        <v>279</v>
      </c>
      <c r="AN166" s="203">
        <v>0</v>
      </c>
      <c r="AO166" s="200" t="s">
        <v>279</v>
      </c>
      <c r="AP166" s="203">
        <v>0</v>
      </c>
      <c r="AQ166" s="203">
        <v>38.72</v>
      </c>
      <c r="AR166" s="203">
        <v>0</v>
      </c>
      <c r="AS166" s="200" t="str">
        <f t="shared" si="2"/>
        <v>1.00000000</v>
      </c>
      <c r="AT166" s="200" t="str">
        <f>"27.1"</f>
        <v>27.1</v>
      </c>
      <c r="AU166" s="203">
        <v>0</v>
      </c>
    </row>
    <row r="167" spans="1:47" x14ac:dyDescent="0.2">
      <c r="A167" s="200" t="str">
        <f>"0496002595734"</f>
        <v>0496002595734</v>
      </c>
      <c r="B167" s="200">
        <v>2</v>
      </c>
      <c r="C167" s="200" t="s">
        <v>435</v>
      </c>
      <c r="D167" s="200">
        <v>80</v>
      </c>
      <c r="E167" s="200">
        <v>80</v>
      </c>
      <c r="F167" s="200" t="s">
        <v>243</v>
      </c>
      <c r="G167" s="200">
        <v>2086</v>
      </c>
      <c r="H167" s="200" t="s">
        <v>270</v>
      </c>
      <c r="I167" s="200">
        <v>67611</v>
      </c>
      <c r="J167" s="201">
        <v>42630</v>
      </c>
      <c r="K167" s="202">
        <v>0.59722222222222221</v>
      </c>
      <c r="L167" s="201">
        <v>42633</v>
      </c>
      <c r="M167" s="200" t="s">
        <v>271</v>
      </c>
      <c r="N167" s="200" t="s">
        <v>272</v>
      </c>
      <c r="O167" s="200" t="s">
        <v>273</v>
      </c>
      <c r="P167" s="200" t="s">
        <v>274</v>
      </c>
      <c r="Q167" s="200" t="s">
        <v>275</v>
      </c>
      <c r="R167" s="200" t="s">
        <v>276</v>
      </c>
      <c r="S167" s="200" t="s">
        <v>436</v>
      </c>
      <c r="T167" s="200" t="s">
        <v>435</v>
      </c>
      <c r="U167" s="200">
        <v>2086</v>
      </c>
      <c r="V167" s="200" t="s">
        <v>435</v>
      </c>
      <c r="W167" s="200" t="s">
        <v>280</v>
      </c>
      <c r="X167" s="200">
        <v>8.6270000000000007</v>
      </c>
      <c r="Y167" s="203">
        <v>-0.17</v>
      </c>
      <c r="Z167" s="203">
        <v>2.15</v>
      </c>
      <c r="AA167" s="203">
        <v>18.54</v>
      </c>
      <c r="AB167" s="203">
        <v>-1.58</v>
      </c>
      <c r="AC167" s="203">
        <v>0</v>
      </c>
      <c r="AD167" s="203">
        <v>0</v>
      </c>
      <c r="AE167" s="203">
        <v>16.79</v>
      </c>
      <c r="AF167" s="203">
        <v>-2.0699999999999998</v>
      </c>
      <c r="AG167" s="200" t="s">
        <v>279</v>
      </c>
      <c r="AH167" s="203">
        <v>0</v>
      </c>
      <c r="AI167" s="200" t="s">
        <v>279</v>
      </c>
      <c r="AJ167" s="203">
        <v>0</v>
      </c>
      <c r="AK167" s="200" t="s">
        <v>279</v>
      </c>
      <c r="AL167" s="203">
        <v>0</v>
      </c>
      <c r="AM167" s="200" t="s">
        <v>279</v>
      </c>
      <c r="AN167" s="203">
        <v>0</v>
      </c>
      <c r="AO167" s="200" t="s">
        <v>279</v>
      </c>
      <c r="AP167" s="203">
        <v>0</v>
      </c>
      <c r="AQ167" s="203">
        <v>18.54</v>
      </c>
      <c r="AR167" s="203">
        <v>0</v>
      </c>
      <c r="AS167" s="200" t="str">
        <f t="shared" si="2"/>
        <v>1.00000000</v>
      </c>
      <c r="AT167" s="200" t="str">
        <f>"36.9"</f>
        <v>36.9</v>
      </c>
      <c r="AU167" s="203">
        <v>0</v>
      </c>
    </row>
    <row r="168" spans="1:47" x14ac:dyDescent="0.2">
      <c r="A168" s="200" t="str">
        <f>"0496002595700"</f>
        <v>0496002595700</v>
      </c>
      <c r="B168" s="200">
        <v>2</v>
      </c>
      <c r="C168" s="200" t="s">
        <v>156</v>
      </c>
      <c r="D168" s="200">
        <v>42</v>
      </c>
      <c r="E168" s="200">
        <v>42</v>
      </c>
      <c r="F168" s="200" t="s">
        <v>243</v>
      </c>
      <c r="G168" s="200">
        <v>2262</v>
      </c>
      <c r="H168" s="200" t="s">
        <v>270</v>
      </c>
      <c r="I168" s="200">
        <v>29066</v>
      </c>
      <c r="J168" s="201">
        <v>42631</v>
      </c>
      <c r="K168" s="202">
        <v>0.6381944444444444</v>
      </c>
      <c r="L168" s="201">
        <v>42633</v>
      </c>
      <c r="M168" s="200" t="s">
        <v>271</v>
      </c>
      <c r="N168" s="200" t="s">
        <v>588</v>
      </c>
      <c r="O168" s="200" t="s">
        <v>589</v>
      </c>
      <c r="P168" s="200" t="s">
        <v>590</v>
      </c>
      <c r="Q168" s="200" t="s">
        <v>275</v>
      </c>
      <c r="R168" s="200" t="s">
        <v>611</v>
      </c>
      <c r="S168" s="200" t="s">
        <v>156</v>
      </c>
      <c r="T168" s="200" t="s">
        <v>277</v>
      </c>
      <c r="U168" s="200">
        <v>2262</v>
      </c>
      <c r="V168" s="200" t="s">
        <v>156</v>
      </c>
      <c r="W168" s="200" t="s">
        <v>280</v>
      </c>
      <c r="X168" s="200">
        <v>6.7779999999999996</v>
      </c>
      <c r="Y168" s="203">
        <v>-0.14000000000000001</v>
      </c>
      <c r="Z168" s="203">
        <v>2.14</v>
      </c>
      <c r="AA168" s="203">
        <v>14.5</v>
      </c>
      <c r="AB168" s="203">
        <v>-1.24</v>
      </c>
      <c r="AC168" s="203">
        <v>0</v>
      </c>
      <c r="AD168" s="203">
        <v>0</v>
      </c>
      <c r="AE168" s="203">
        <v>13.12</v>
      </c>
      <c r="AF168" s="203">
        <v>-1.63</v>
      </c>
      <c r="AG168" s="200" t="s">
        <v>279</v>
      </c>
      <c r="AH168" s="203">
        <v>0</v>
      </c>
      <c r="AI168" s="200" t="s">
        <v>279</v>
      </c>
      <c r="AJ168" s="203">
        <v>0</v>
      </c>
      <c r="AK168" s="200" t="s">
        <v>279</v>
      </c>
      <c r="AL168" s="203">
        <v>0</v>
      </c>
      <c r="AM168" s="200" t="s">
        <v>279</v>
      </c>
      <c r="AN168" s="203">
        <v>0</v>
      </c>
      <c r="AO168" s="200" t="s">
        <v>279</v>
      </c>
      <c r="AP168" s="203">
        <v>0</v>
      </c>
      <c r="AQ168" s="203">
        <v>14.5</v>
      </c>
      <c r="AR168" s="203">
        <v>0</v>
      </c>
      <c r="AS168" s="200" t="str">
        <f t="shared" si="2"/>
        <v>1.00000000</v>
      </c>
      <c r="AT168" s="200" t="str">
        <f>"46.8"</f>
        <v>46.8</v>
      </c>
      <c r="AU168" s="203">
        <v>0</v>
      </c>
    </row>
    <row r="169" spans="1:47" x14ac:dyDescent="0.2">
      <c r="A169" s="200" t="str">
        <f>"0496002595700"</f>
        <v>0496002595700</v>
      </c>
      <c r="B169" s="200">
        <v>8</v>
      </c>
      <c r="C169" s="200" t="s">
        <v>156</v>
      </c>
      <c r="D169" s="200" t="s">
        <v>414</v>
      </c>
      <c r="E169" s="200">
        <v>47</v>
      </c>
      <c r="F169" s="200" t="s">
        <v>243</v>
      </c>
      <c r="G169" s="200">
        <v>2262</v>
      </c>
      <c r="H169" s="200" t="s">
        <v>270</v>
      </c>
      <c r="I169" s="200">
        <v>19646</v>
      </c>
      <c r="J169" s="201">
        <v>42631</v>
      </c>
      <c r="K169" s="202">
        <v>0.85763888888888884</v>
      </c>
      <c r="L169" s="201">
        <v>42633</v>
      </c>
      <c r="M169" s="200" t="s">
        <v>302</v>
      </c>
      <c r="N169" s="200" t="s">
        <v>726</v>
      </c>
      <c r="O169" s="200" t="s">
        <v>727</v>
      </c>
      <c r="P169" s="200" t="s">
        <v>728</v>
      </c>
      <c r="Q169" s="200" t="s">
        <v>289</v>
      </c>
      <c r="R169" s="200">
        <v>7662</v>
      </c>
      <c r="S169" s="200" t="s">
        <v>156</v>
      </c>
      <c r="T169" s="200" t="s">
        <v>277</v>
      </c>
      <c r="U169" s="200">
        <v>2262</v>
      </c>
      <c r="V169" s="200" t="s">
        <v>156</v>
      </c>
      <c r="W169" s="200" t="s">
        <v>280</v>
      </c>
      <c r="X169" s="200">
        <v>17.809000000000001</v>
      </c>
      <c r="Y169" s="203">
        <v>0</v>
      </c>
      <c r="Z169" s="203">
        <v>1.98</v>
      </c>
      <c r="AA169" s="203">
        <v>35.24</v>
      </c>
      <c r="AB169" s="203">
        <v>-3.26</v>
      </c>
      <c r="AC169" s="203">
        <v>0</v>
      </c>
      <c r="AD169" s="203">
        <v>0</v>
      </c>
      <c r="AE169" s="203">
        <v>31.98</v>
      </c>
      <c r="AF169" s="203">
        <v>-2.58</v>
      </c>
      <c r="AG169" s="200" t="s">
        <v>279</v>
      </c>
      <c r="AH169" s="203">
        <v>0</v>
      </c>
      <c r="AI169" s="200" t="s">
        <v>279</v>
      </c>
      <c r="AJ169" s="203">
        <v>0</v>
      </c>
      <c r="AK169" s="200" t="s">
        <v>279</v>
      </c>
      <c r="AL169" s="203">
        <v>0</v>
      </c>
      <c r="AM169" s="200" t="s">
        <v>279</v>
      </c>
      <c r="AN169" s="203">
        <v>0</v>
      </c>
      <c r="AO169" s="200" t="s">
        <v>279</v>
      </c>
      <c r="AP169" s="203">
        <v>0</v>
      </c>
      <c r="AQ169" s="203">
        <v>35.24</v>
      </c>
      <c r="AR169" s="203">
        <v>0</v>
      </c>
      <c r="AS169" s="200" t="str">
        <f t="shared" si="2"/>
        <v>1.00000000</v>
      </c>
      <c r="AT169" s="200" t="str">
        <f>"25.7"</f>
        <v>25.7</v>
      </c>
      <c r="AU169" s="203">
        <v>0</v>
      </c>
    </row>
    <row r="170" spans="1:47" x14ac:dyDescent="0.2">
      <c r="A170" s="200" t="str">
        <f>"0496002595734"</f>
        <v>0496002595734</v>
      </c>
      <c r="B170" s="200">
        <v>1</v>
      </c>
      <c r="C170" s="200" t="s">
        <v>435</v>
      </c>
      <c r="D170" s="200">
        <v>81</v>
      </c>
      <c r="E170" s="200">
        <v>81</v>
      </c>
      <c r="F170" s="200" t="s">
        <v>243</v>
      </c>
      <c r="G170" s="200">
        <v>2086</v>
      </c>
      <c r="H170" s="200" t="s">
        <v>270</v>
      </c>
      <c r="I170" s="200">
        <v>62306</v>
      </c>
      <c r="J170" s="201">
        <v>42631</v>
      </c>
      <c r="K170" s="202">
        <v>0.32361111111111113</v>
      </c>
      <c r="L170" s="201">
        <v>42633</v>
      </c>
      <c r="M170" s="200" t="s">
        <v>271</v>
      </c>
      <c r="N170" s="200" t="s">
        <v>477</v>
      </c>
      <c r="O170" s="200" t="s">
        <v>478</v>
      </c>
      <c r="P170" s="200" t="s">
        <v>293</v>
      </c>
      <c r="Q170" s="200" t="s">
        <v>275</v>
      </c>
      <c r="R170" s="200">
        <v>1507</v>
      </c>
      <c r="S170" s="200" t="s">
        <v>436</v>
      </c>
      <c r="T170" s="200" t="s">
        <v>435</v>
      </c>
      <c r="U170" s="200">
        <v>2086</v>
      </c>
      <c r="V170" s="200" t="s">
        <v>435</v>
      </c>
      <c r="W170" s="200" t="s">
        <v>280</v>
      </c>
      <c r="X170" s="200">
        <v>13.12</v>
      </c>
      <c r="Y170" s="203">
        <v>-0.39</v>
      </c>
      <c r="Z170" s="203">
        <v>2.1800000000000002</v>
      </c>
      <c r="AA170" s="203">
        <v>28.59</v>
      </c>
      <c r="AB170" s="203">
        <v>-2.4</v>
      </c>
      <c r="AC170" s="203">
        <v>0</v>
      </c>
      <c r="AD170" s="203">
        <v>0</v>
      </c>
      <c r="AE170" s="203">
        <v>25.8</v>
      </c>
      <c r="AF170" s="203">
        <v>-3.15</v>
      </c>
      <c r="AG170" s="200" t="s">
        <v>279</v>
      </c>
      <c r="AH170" s="203">
        <v>0</v>
      </c>
      <c r="AI170" s="200" t="s">
        <v>279</v>
      </c>
      <c r="AJ170" s="203">
        <v>0</v>
      </c>
      <c r="AK170" s="200" t="s">
        <v>279</v>
      </c>
      <c r="AL170" s="203">
        <v>0</v>
      </c>
      <c r="AM170" s="200" t="s">
        <v>279</v>
      </c>
      <c r="AN170" s="203">
        <v>0</v>
      </c>
      <c r="AO170" s="200" t="s">
        <v>279</v>
      </c>
      <c r="AP170" s="203">
        <v>0</v>
      </c>
      <c r="AQ170" s="203">
        <v>28.59</v>
      </c>
      <c r="AR170" s="203">
        <v>0</v>
      </c>
      <c r="AS170" s="200" t="str">
        <f t="shared" si="2"/>
        <v>1.00000000</v>
      </c>
      <c r="AT170" s="200" t="str">
        <f>"15.9"</f>
        <v>15.9</v>
      </c>
      <c r="AU170" s="203">
        <v>0</v>
      </c>
    </row>
    <row r="171" spans="1:47" x14ac:dyDescent="0.2">
      <c r="A171" s="200" t="str">
        <f>"0496002595734"</f>
        <v>0496002595734</v>
      </c>
      <c r="B171" s="200">
        <v>3</v>
      </c>
      <c r="C171" s="200" t="s">
        <v>435</v>
      </c>
      <c r="D171" s="200">
        <v>82</v>
      </c>
      <c r="E171" s="200">
        <v>82</v>
      </c>
      <c r="F171" s="200" t="s">
        <v>243</v>
      </c>
      <c r="G171" s="200">
        <v>2086</v>
      </c>
      <c r="H171" s="200" t="s">
        <v>270</v>
      </c>
      <c r="I171" s="200">
        <v>49959</v>
      </c>
      <c r="J171" s="201">
        <v>42631</v>
      </c>
      <c r="K171" s="202">
        <v>0.75763888888888886</v>
      </c>
      <c r="L171" s="201">
        <v>42634</v>
      </c>
      <c r="M171" s="200" t="s">
        <v>325</v>
      </c>
      <c r="N171" s="200" t="s">
        <v>326</v>
      </c>
      <c r="O171" s="200" t="s">
        <v>729</v>
      </c>
      <c r="P171" s="200" t="s">
        <v>730</v>
      </c>
      <c r="Q171" s="200" t="s">
        <v>731</v>
      </c>
      <c r="R171" s="200" t="s">
        <v>732</v>
      </c>
      <c r="S171" s="200" t="s">
        <v>436</v>
      </c>
      <c r="T171" s="200" t="s">
        <v>435</v>
      </c>
      <c r="U171" s="200">
        <v>2086</v>
      </c>
      <c r="V171" s="200" t="s">
        <v>435</v>
      </c>
      <c r="W171" s="200" t="s">
        <v>280</v>
      </c>
      <c r="X171" s="200">
        <v>11.773999999999999</v>
      </c>
      <c r="Y171" s="203">
        <v>0</v>
      </c>
      <c r="Z171" s="203">
        <v>2.2000000000000002</v>
      </c>
      <c r="AA171" s="203">
        <v>25.89</v>
      </c>
      <c r="AB171" s="203">
        <v>-2.15</v>
      </c>
      <c r="AC171" s="203">
        <v>0</v>
      </c>
      <c r="AD171" s="203">
        <v>0</v>
      </c>
      <c r="AE171" s="203">
        <v>23.74</v>
      </c>
      <c r="AF171" s="203">
        <v>-4.01</v>
      </c>
      <c r="AG171" s="200" t="s">
        <v>279</v>
      </c>
      <c r="AH171" s="203">
        <v>0</v>
      </c>
      <c r="AI171" s="200" t="s">
        <v>279</v>
      </c>
      <c r="AJ171" s="203">
        <v>0</v>
      </c>
      <c r="AK171" s="200" t="s">
        <v>279</v>
      </c>
      <c r="AL171" s="203">
        <v>0</v>
      </c>
      <c r="AM171" s="200" t="s">
        <v>279</v>
      </c>
      <c r="AN171" s="203">
        <v>0</v>
      </c>
      <c r="AO171" s="200" t="s">
        <v>279</v>
      </c>
      <c r="AP171" s="203">
        <v>0</v>
      </c>
      <c r="AQ171" s="203">
        <v>25.89</v>
      </c>
      <c r="AR171" s="203">
        <v>0</v>
      </c>
      <c r="AS171" s="200" t="str">
        <f t="shared" si="2"/>
        <v>1.00000000</v>
      </c>
      <c r="AT171" s="200" t="str">
        <f>"19.7"</f>
        <v>19.7</v>
      </c>
      <c r="AU171" s="203">
        <v>0</v>
      </c>
    </row>
    <row r="172" spans="1:47" x14ac:dyDescent="0.2">
      <c r="A172" s="200" t="str">
        <f>"0496002595700"</f>
        <v>0496002595700</v>
      </c>
      <c r="B172" s="200">
        <v>6</v>
      </c>
      <c r="C172" s="200" t="s">
        <v>156</v>
      </c>
      <c r="D172" s="200" t="s">
        <v>344</v>
      </c>
      <c r="E172" s="200" t="s">
        <v>345</v>
      </c>
      <c r="F172" s="200" t="s">
        <v>243</v>
      </c>
      <c r="G172" s="200">
        <v>2262</v>
      </c>
      <c r="H172" s="200" t="s">
        <v>270</v>
      </c>
      <c r="I172" s="200">
        <v>54450</v>
      </c>
      <c r="J172" s="201">
        <v>42632</v>
      </c>
      <c r="K172" s="202">
        <v>0.35138888888888892</v>
      </c>
      <c r="L172" s="201">
        <v>42634</v>
      </c>
      <c r="M172" s="200" t="s">
        <v>271</v>
      </c>
      <c r="N172" s="200" t="s">
        <v>272</v>
      </c>
      <c r="O172" s="200" t="s">
        <v>273</v>
      </c>
      <c r="P172" s="200" t="s">
        <v>274</v>
      </c>
      <c r="Q172" s="200" t="s">
        <v>275</v>
      </c>
      <c r="R172" s="200" t="s">
        <v>276</v>
      </c>
      <c r="S172" s="200" t="s">
        <v>156</v>
      </c>
      <c r="T172" s="200" t="s">
        <v>277</v>
      </c>
      <c r="U172" s="200">
        <v>2262</v>
      </c>
      <c r="V172" s="200" t="s">
        <v>156</v>
      </c>
      <c r="W172" s="200" t="s">
        <v>335</v>
      </c>
      <c r="X172" s="200">
        <v>10.111000000000001</v>
      </c>
      <c r="Y172" s="203">
        <v>-0.2</v>
      </c>
      <c r="Z172" s="203">
        <v>2.33</v>
      </c>
      <c r="AA172" s="203">
        <v>23.55</v>
      </c>
      <c r="AB172" s="203">
        <v>-1.85</v>
      </c>
      <c r="AC172" s="203">
        <v>0</v>
      </c>
      <c r="AD172" s="203">
        <v>0</v>
      </c>
      <c r="AE172" s="203">
        <v>21.5</v>
      </c>
      <c r="AF172" s="203">
        <v>-2.4300000000000002</v>
      </c>
      <c r="AG172" s="200" t="s">
        <v>279</v>
      </c>
      <c r="AH172" s="203">
        <v>0</v>
      </c>
      <c r="AI172" s="200" t="s">
        <v>279</v>
      </c>
      <c r="AJ172" s="203">
        <v>0</v>
      </c>
      <c r="AK172" s="200" t="s">
        <v>279</v>
      </c>
      <c r="AL172" s="203">
        <v>0</v>
      </c>
      <c r="AM172" s="200" t="s">
        <v>279</v>
      </c>
      <c r="AN172" s="203">
        <v>0</v>
      </c>
      <c r="AO172" s="200" t="s">
        <v>279</v>
      </c>
      <c r="AP172" s="203">
        <v>0</v>
      </c>
      <c r="AQ172" s="203">
        <v>23.55</v>
      </c>
      <c r="AR172" s="203">
        <v>0</v>
      </c>
      <c r="AS172" s="200" t="str">
        <f t="shared" si="2"/>
        <v>1.00000000</v>
      </c>
      <c r="AT172" s="200" t="str">
        <f>"31.1"</f>
        <v>31.1</v>
      </c>
      <c r="AU172" s="203">
        <v>0</v>
      </c>
    </row>
    <row r="173" spans="1:47" x14ac:dyDescent="0.2">
      <c r="A173" s="200" t="str">
        <f>"0496002595734"</f>
        <v>0496002595734</v>
      </c>
      <c r="B173" s="200">
        <v>2</v>
      </c>
      <c r="C173" s="200" t="s">
        <v>435</v>
      </c>
      <c r="D173" s="200">
        <v>80</v>
      </c>
      <c r="E173" s="200">
        <v>80</v>
      </c>
      <c r="F173" s="200" t="s">
        <v>243</v>
      </c>
      <c r="G173" s="200">
        <v>2086</v>
      </c>
      <c r="H173" s="200" t="s">
        <v>270</v>
      </c>
      <c r="I173" s="200">
        <v>6500</v>
      </c>
      <c r="J173" s="201">
        <v>42632</v>
      </c>
      <c r="K173" s="202">
        <v>0.94791666666666663</v>
      </c>
      <c r="L173" s="201">
        <v>42634</v>
      </c>
      <c r="M173" s="200" t="s">
        <v>271</v>
      </c>
      <c r="N173" s="200" t="s">
        <v>272</v>
      </c>
      <c r="O173" s="200" t="s">
        <v>273</v>
      </c>
      <c r="P173" s="200" t="s">
        <v>274</v>
      </c>
      <c r="Q173" s="200" t="s">
        <v>275</v>
      </c>
      <c r="R173" s="200" t="s">
        <v>276</v>
      </c>
      <c r="S173" s="200" t="s">
        <v>436</v>
      </c>
      <c r="T173" s="200" t="s">
        <v>435</v>
      </c>
      <c r="U173" s="200">
        <v>2086</v>
      </c>
      <c r="V173" s="200" t="s">
        <v>435</v>
      </c>
      <c r="W173" s="200" t="s">
        <v>280</v>
      </c>
      <c r="X173" s="200">
        <v>7.8959999999999999</v>
      </c>
      <c r="Y173" s="203">
        <v>-0.16</v>
      </c>
      <c r="Z173" s="203">
        <v>2.17</v>
      </c>
      <c r="AA173" s="203">
        <v>17.12</v>
      </c>
      <c r="AB173" s="203">
        <v>-1.44</v>
      </c>
      <c r="AC173" s="203">
        <v>0</v>
      </c>
      <c r="AD173" s="203">
        <v>0</v>
      </c>
      <c r="AE173" s="203">
        <v>15.52</v>
      </c>
      <c r="AF173" s="203">
        <v>-1.9</v>
      </c>
      <c r="AG173" s="200" t="s">
        <v>279</v>
      </c>
      <c r="AH173" s="203">
        <v>0</v>
      </c>
      <c r="AI173" s="200" t="s">
        <v>279</v>
      </c>
      <c r="AJ173" s="203">
        <v>0</v>
      </c>
      <c r="AK173" s="200" t="s">
        <v>279</v>
      </c>
      <c r="AL173" s="203">
        <v>0</v>
      </c>
      <c r="AM173" s="200" t="s">
        <v>279</v>
      </c>
      <c r="AN173" s="203">
        <v>0</v>
      </c>
      <c r="AO173" s="200" t="s">
        <v>279</v>
      </c>
      <c r="AP173" s="203">
        <v>0</v>
      </c>
      <c r="AQ173" s="203">
        <v>17.12</v>
      </c>
      <c r="AR173" s="203">
        <v>0</v>
      </c>
      <c r="AS173" s="200" t="str">
        <f t="shared" si="2"/>
        <v>1.00000000</v>
      </c>
      <c r="AT173" s="200" t="str">
        <f>"38.1"</f>
        <v>38.1</v>
      </c>
      <c r="AU173" s="203">
        <v>0</v>
      </c>
    </row>
    <row r="174" spans="1:47" x14ac:dyDescent="0.2">
      <c r="A174" s="200" t="str">
        <f>"0496002595700"</f>
        <v>0496002595700</v>
      </c>
      <c r="B174" s="200">
        <v>6</v>
      </c>
      <c r="C174" s="200" t="s">
        <v>156</v>
      </c>
      <c r="D174" s="200" t="s">
        <v>344</v>
      </c>
      <c r="E174" s="200" t="s">
        <v>345</v>
      </c>
      <c r="F174" s="200" t="s">
        <v>243</v>
      </c>
      <c r="G174" s="200">
        <v>2262</v>
      </c>
      <c r="H174" s="200" t="s">
        <v>270</v>
      </c>
      <c r="I174" s="200">
        <v>54544</v>
      </c>
      <c r="J174" s="201">
        <v>42633</v>
      </c>
      <c r="K174" s="202">
        <v>0.42152777777777778</v>
      </c>
      <c r="L174" s="201">
        <v>42635</v>
      </c>
      <c r="M174" s="200" t="s">
        <v>271</v>
      </c>
      <c r="N174" s="200" t="s">
        <v>272</v>
      </c>
      <c r="O174" s="200" t="s">
        <v>273</v>
      </c>
      <c r="P174" s="200" t="s">
        <v>274</v>
      </c>
      <c r="Q174" s="200" t="s">
        <v>275</v>
      </c>
      <c r="R174" s="200" t="s">
        <v>276</v>
      </c>
      <c r="S174" s="200" t="s">
        <v>156</v>
      </c>
      <c r="T174" s="200" t="s">
        <v>277</v>
      </c>
      <c r="U174" s="200">
        <v>2262</v>
      </c>
      <c r="V174" s="200" t="s">
        <v>156</v>
      </c>
      <c r="W174" s="200" t="s">
        <v>335</v>
      </c>
      <c r="X174" s="200">
        <v>3.0640000000000001</v>
      </c>
      <c r="Y174" s="203">
        <v>-0.06</v>
      </c>
      <c r="Z174" s="203">
        <v>2.33</v>
      </c>
      <c r="AA174" s="203">
        <v>7.14</v>
      </c>
      <c r="AB174" s="203">
        <v>-0.56000000000000005</v>
      </c>
      <c r="AC174" s="203">
        <v>0</v>
      </c>
      <c r="AD174" s="203">
        <v>0</v>
      </c>
      <c r="AE174" s="203">
        <v>6.52</v>
      </c>
      <c r="AF174" s="203">
        <v>-0.74</v>
      </c>
      <c r="AG174" s="200" t="s">
        <v>279</v>
      </c>
      <c r="AH174" s="203">
        <v>0</v>
      </c>
      <c r="AI174" s="200" t="s">
        <v>279</v>
      </c>
      <c r="AJ174" s="203">
        <v>0</v>
      </c>
      <c r="AK174" s="200" t="s">
        <v>279</v>
      </c>
      <c r="AL174" s="203">
        <v>0</v>
      </c>
      <c r="AM174" s="200" t="s">
        <v>279</v>
      </c>
      <c r="AN174" s="203">
        <v>0</v>
      </c>
      <c r="AO174" s="200" t="s">
        <v>279</v>
      </c>
      <c r="AP174" s="203">
        <v>0</v>
      </c>
      <c r="AQ174" s="203">
        <v>7.14</v>
      </c>
      <c r="AR174" s="203">
        <v>0</v>
      </c>
      <c r="AS174" s="200" t="str">
        <f t="shared" si="2"/>
        <v>1.00000000</v>
      </c>
      <c r="AT174" s="200" t="str">
        <f>"30.7"</f>
        <v>30.7</v>
      </c>
      <c r="AU174" s="203">
        <v>0</v>
      </c>
    </row>
    <row r="175" spans="1:47" x14ac:dyDescent="0.2">
      <c r="A175" s="200" t="str">
        <f>"0496002595734"</f>
        <v>0496002595734</v>
      </c>
      <c r="B175" s="200">
        <v>1</v>
      </c>
      <c r="C175" s="200" t="s">
        <v>435</v>
      </c>
      <c r="D175" s="200">
        <v>81</v>
      </c>
      <c r="E175" s="200">
        <v>81</v>
      </c>
      <c r="F175" s="200" t="s">
        <v>243</v>
      </c>
      <c r="G175" s="200">
        <v>2086</v>
      </c>
      <c r="H175" s="200" t="s">
        <v>270</v>
      </c>
      <c r="I175" s="200">
        <v>62516</v>
      </c>
      <c r="J175" s="201">
        <v>42633</v>
      </c>
      <c r="K175" s="202">
        <v>0.4368055555555555</v>
      </c>
      <c r="L175" s="201">
        <v>42635</v>
      </c>
      <c r="M175" s="200" t="s">
        <v>271</v>
      </c>
      <c r="N175" s="200" t="s">
        <v>272</v>
      </c>
      <c r="O175" s="200" t="s">
        <v>273</v>
      </c>
      <c r="P175" s="200" t="s">
        <v>274</v>
      </c>
      <c r="Q175" s="200" t="s">
        <v>275</v>
      </c>
      <c r="R175" s="200" t="s">
        <v>276</v>
      </c>
      <c r="S175" s="200" t="s">
        <v>436</v>
      </c>
      <c r="T175" s="200" t="s">
        <v>435</v>
      </c>
      <c r="U175" s="200">
        <v>2086</v>
      </c>
      <c r="V175" s="200" t="s">
        <v>435</v>
      </c>
      <c r="W175" s="200" t="s">
        <v>280</v>
      </c>
      <c r="X175" s="200">
        <v>10.935</v>
      </c>
      <c r="Y175" s="203">
        <v>-0.22</v>
      </c>
      <c r="Z175" s="203">
        <v>2.17</v>
      </c>
      <c r="AA175" s="203">
        <v>23.72</v>
      </c>
      <c r="AB175" s="203">
        <v>-2</v>
      </c>
      <c r="AC175" s="203">
        <v>0</v>
      </c>
      <c r="AD175" s="203">
        <v>0</v>
      </c>
      <c r="AE175" s="203">
        <v>21.5</v>
      </c>
      <c r="AF175" s="203">
        <v>-2.62</v>
      </c>
      <c r="AG175" s="200" t="s">
        <v>279</v>
      </c>
      <c r="AH175" s="203">
        <v>0</v>
      </c>
      <c r="AI175" s="200" t="s">
        <v>279</v>
      </c>
      <c r="AJ175" s="203">
        <v>0</v>
      </c>
      <c r="AK175" s="200" t="s">
        <v>279</v>
      </c>
      <c r="AL175" s="203">
        <v>0</v>
      </c>
      <c r="AM175" s="200" t="s">
        <v>279</v>
      </c>
      <c r="AN175" s="203">
        <v>0</v>
      </c>
      <c r="AO175" s="200" t="s">
        <v>279</v>
      </c>
      <c r="AP175" s="203">
        <v>0</v>
      </c>
      <c r="AQ175" s="203">
        <v>23.72</v>
      </c>
      <c r="AR175" s="203">
        <v>0</v>
      </c>
      <c r="AS175" s="200" t="str">
        <f t="shared" si="2"/>
        <v>1.00000000</v>
      </c>
      <c r="AT175" s="200" t="str">
        <f>"19.2"</f>
        <v>19.2</v>
      </c>
      <c r="AU175" s="203">
        <v>0</v>
      </c>
    </row>
    <row r="176" spans="1:47" x14ac:dyDescent="0.2">
      <c r="A176" s="200" t="str">
        <f>"0496002595809"</f>
        <v>0496002595809</v>
      </c>
      <c r="B176" s="200">
        <v>2</v>
      </c>
      <c r="C176" s="200" t="s">
        <v>570</v>
      </c>
      <c r="D176" s="200">
        <v>2014</v>
      </c>
      <c r="E176" s="200">
        <v>2014</v>
      </c>
      <c r="F176" s="200" t="s">
        <v>243</v>
      </c>
      <c r="G176" s="200">
        <v>2233</v>
      </c>
      <c r="H176" s="200" t="s">
        <v>270</v>
      </c>
      <c r="I176" s="200">
        <v>8753</v>
      </c>
      <c r="J176" s="201">
        <v>42633</v>
      </c>
      <c r="K176" s="202">
        <v>0.45208333333333334</v>
      </c>
      <c r="L176" s="201">
        <v>42635</v>
      </c>
      <c r="M176" s="200" t="s">
        <v>271</v>
      </c>
      <c r="N176" s="200" t="s">
        <v>272</v>
      </c>
      <c r="O176" s="200" t="s">
        <v>273</v>
      </c>
      <c r="P176" s="200" t="s">
        <v>274</v>
      </c>
      <c r="Q176" s="200" t="s">
        <v>275</v>
      </c>
      <c r="R176" s="200" t="s">
        <v>276</v>
      </c>
      <c r="S176" s="200" t="s">
        <v>436</v>
      </c>
      <c r="T176" s="200" t="s">
        <v>570</v>
      </c>
      <c r="U176" s="200">
        <v>2233</v>
      </c>
      <c r="V176" s="200" t="s">
        <v>570</v>
      </c>
      <c r="W176" s="200" t="s">
        <v>280</v>
      </c>
      <c r="X176" s="200">
        <v>13.015000000000001</v>
      </c>
      <c r="Y176" s="203">
        <v>-0.26</v>
      </c>
      <c r="Z176" s="203">
        <v>2.17</v>
      </c>
      <c r="AA176" s="203">
        <v>28.23</v>
      </c>
      <c r="AB176" s="203">
        <v>-2.38</v>
      </c>
      <c r="AC176" s="203">
        <v>0</v>
      </c>
      <c r="AD176" s="203">
        <v>0</v>
      </c>
      <c r="AE176" s="203">
        <v>25.59</v>
      </c>
      <c r="AF176" s="203">
        <v>-3.12</v>
      </c>
      <c r="AG176" s="200" t="s">
        <v>279</v>
      </c>
      <c r="AH176" s="203">
        <v>0</v>
      </c>
      <c r="AI176" s="200" t="s">
        <v>279</v>
      </c>
      <c r="AJ176" s="203">
        <v>0</v>
      </c>
      <c r="AK176" s="200" t="s">
        <v>279</v>
      </c>
      <c r="AL176" s="203">
        <v>0</v>
      </c>
      <c r="AM176" s="200" t="s">
        <v>279</v>
      </c>
      <c r="AN176" s="203">
        <v>0</v>
      </c>
      <c r="AO176" s="200" t="s">
        <v>279</v>
      </c>
      <c r="AP176" s="203">
        <v>0</v>
      </c>
      <c r="AQ176" s="203">
        <v>28.23</v>
      </c>
      <c r="AR176" s="203">
        <v>0</v>
      </c>
      <c r="AS176" s="200" t="str">
        <f t="shared" si="2"/>
        <v>1.00000000</v>
      </c>
      <c r="AT176" s="200" t="str">
        <f>"13.4"</f>
        <v>13.4</v>
      </c>
      <c r="AU176" s="203">
        <v>0</v>
      </c>
    </row>
    <row r="177" spans="1:47" x14ac:dyDescent="0.2">
      <c r="A177" s="200" t="str">
        <f>"0496002595833"</f>
        <v>0496002595833</v>
      </c>
      <c r="B177" s="200">
        <v>1</v>
      </c>
      <c r="C177" s="200" t="s">
        <v>571</v>
      </c>
      <c r="D177" s="200" t="s">
        <v>571</v>
      </c>
      <c r="E177" s="200" t="s">
        <v>572</v>
      </c>
      <c r="F177" s="200" t="s">
        <v>243</v>
      </c>
      <c r="G177" s="200">
        <v>2328</v>
      </c>
      <c r="H177" s="200" t="s">
        <v>270</v>
      </c>
      <c r="I177" s="200">
        <v>50877</v>
      </c>
      <c r="J177" s="201">
        <v>42633</v>
      </c>
      <c r="K177" s="202">
        <v>0.77222222222222225</v>
      </c>
      <c r="L177" s="201">
        <v>42635</v>
      </c>
      <c r="M177" s="200" t="s">
        <v>271</v>
      </c>
      <c r="N177" s="200" t="s">
        <v>272</v>
      </c>
      <c r="O177" s="200" t="s">
        <v>273</v>
      </c>
      <c r="P177" s="200" t="s">
        <v>274</v>
      </c>
      <c r="Q177" s="200" t="s">
        <v>275</v>
      </c>
      <c r="R177" s="200" t="s">
        <v>276</v>
      </c>
      <c r="S177" s="200" t="s">
        <v>436</v>
      </c>
      <c r="T177" s="200" t="s">
        <v>571</v>
      </c>
      <c r="U177" s="200">
        <v>2328</v>
      </c>
      <c r="V177" s="200" t="s">
        <v>571</v>
      </c>
      <c r="W177" s="200" t="s">
        <v>280</v>
      </c>
      <c r="X177" s="200">
        <v>8.0679999999999996</v>
      </c>
      <c r="Y177" s="203">
        <v>-0.16</v>
      </c>
      <c r="Z177" s="203">
        <v>2.17</v>
      </c>
      <c r="AA177" s="203">
        <v>17.5</v>
      </c>
      <c r="AB177" s="203">
        <v>-1.48</v>
      </c>
      <c r="AC177" s="203">
        <v>0</v>
      </c>
      <c r="AD177" s="203">
        <v>0</v>
      </c>
      <c r="AE177" s="203">
        <v>15.86</v>
      </c>
      <c r="AF177" s="203">
        <v>-1.94</v>
      </c>
      <c r="AG177" s="200" t="s">
        <v>279</v>
      </c>
      <c r="AH177" s="203">
        <v>0</v>
      </c>
      <c r="AI177" s="200" t="s">
        <v>279</v>
      </c>
      <c r="AJ177" s="203">
        <v>0</v>
      </c>
      <c r="AK177" s="200" t="s">
        <v>279</v>
      </c>
      <c r="AL177" s="203">
        <v>0</v>
      </c>
      <c r="AM177" s="200" t="s">
        <v>279</v>
      </c>
      <c r="AN177" s="203">
        <v>0</v>
      </c>
      <c r="AO177" s="200" t="s">
        <v>279</v>
      </c>
      <c r="AP177" s="203">
        <v>0</v>
      </c>
      <c r="AQ177" s="203">
        <v>17.5</v>
      </c>
      <c r="AR177" s="203">
        <v>0</v>
      </c>
      <c r="AS177" s="200" t="str">
        <f t="shared" si="2"/>
        <v>1.00000000</v>
      </c>
      <c r="AT177" s="200" t="str">
        <f>"67.3"</f>
        <v>67.3</v>
      </c>
      <c r="AU177" s="203">
        <v>0</v>
      </c>
    </row>
    <row r="178" spans="1:47" x14ac:dyDescent="0.2">
      <c r="A178" s="200" t="str">
        <f>"0496002599173"</f>
        <v>0496002599173</v>
      </c>
      <c r="B178" s="200">
        <v>3</v>
      </c>
      <c r="C178" s="200" t="s">
        <v>585</v>
      </c>
      <c r="D178" s="200" t="s">
        <v>628</v>
      </c>
      <c r="E178" s="200" t="s">
        <v>628</v>
      </c>
      <c r="F178" s="200" t="s">
        <v>243</v>
      </c>
      <c r="G178" s="200">
        <v>5738</v>
      </c>
      <c r="H178" s="200" t="s">
        <v>270</v>
      </c>
      <c r="I178" s="200">
        <v>112306</v>
      </c>
      <c r="J178" s="201">
        <v>42633</v>
      </c>
      <c r="K178" s="202">
        <v>0.31944444444444448</v>
      </c>
      <c r="L178" s="201">
        <v>42635</v>
      </c>
      <c r="M178" s="200" t="s">
        <v>606</v>
      </c>
      <c r="N178" s="200" t="s">
        <v>399</v>
      </c>
      <c r="O178" s="200" t="s">
        <v>400</v>
      </c>
      <c r="P178" s="200" t="s">
        <v>274</v>
      </c>
      <c r="Q178" s="200" t="s">
        <v>275</v>
      </c>
      <c r="R178" s="200" t="s">
        <v>401</v>
      </c>
      <c r="S178" s="200" t="s">
        <v>436</v>
      </c>
      <c r="T178" s="200" t="s">
        <v>630</v>
      </c>
      <c r="U178" s="200">
        <v>5738</v>
      </c>
      <c r="V178" s="200" t="s">
        <v>585</v>
      </c>
      <c r="W178" s="200" t="s">
        <v>280</v>
      </c>
      <c r="X178" s="200">
        <v>22.605</v>
      </c>
      <c r="Y178" s="203">
        <v>0</v>
      </c>
      <c r="Z178" s="203">
        <v>2.1800000000000002</v>
      </c>
      <c r="AA178" s="203">
        <v>49.26</v>
      </c>
      <c r="AB178" s="203">
        <v>-4.1399999999999997</v>
      </c>
      <c r="AC178" s="203">
        <v>0</v>
      </c>
      <c r="AD178" s="203">
        <v>0</v>
      </c>
      <c r="AE178" s="203">
        <v>45.12</v>
      </c>
      <c r="AF178" s="203">
        <v>-5.43</v>
      </c>
      <c r="AG178" s="200" t="s">
        <v>279</v>
      </c>
      <c r="AH178" s="203">
        <v>0</v>
      </c>
      <c r="AI178" s="200" t="s">
        <v>279</v>
      </c>
      <c r="AJ178" s="203">
        <v>0</v>
      </c>
      <c r="AK178" s="200" t="s">
        <v>279</v>
      </c>
      <c r="AL178" s="203">
        <v>0</v>
      </c>
      <c r="AM178" s="200" t="s">
        <v>279</v>
      </c>
      <c r="AN178" s="203">
        <v>0</v>
      </c>
      <c r="AO178" s="200" t="s">
        <v>279</v>
      </c>
      <c r="AP178" s="203">
        <v>0</v>
      </c>
      <c r="AQ178" s="203">
        <v>49.26</v>
      </c>
      <c r="AR178" s="203">
        <v>0</v>
      </c>
      <c r="AS178" s="200" t="str">
        <f t="shared" si="2"/>
        <v>1.00000000</v>
      </c>
      <c r="AT178" s="200" t="str">
        <f>"10.8"</f>
        <v>10.8</v>
      </c>
      <c r="AU178" s="203">
        <v>0</v>
      </c>
    </row>
    <row r="179" spans="1:47" x14ac:dyDescent="0.2">
      <c r="A179" s="200" t="str">
        <f>"0496002595833"</f>
        <v>0496002595833</v>
      </c>
      <c r="B179" s="200">
        <v>1</v>
      </c>
      <c r="C179" s="200" t="s">
        <v>571</v>
      </c>
      <c r="D179" s="200" t="s">
        <v>571</v>
      </c>
      <c r="E179" s="200" t="s">
        <v>572</v>
      </c>
      <c r="F179" s="200" t="s">
        <v>243</v>
      </c>
      <c r="G179" s="200">
        <v>2328</v>
      </c>
      <c r="H179" s="200" t="s">
        <v>270</v>
      </c>
      <c r="I179" s="200">
        <v>51051</v>
      </c>
      <c r="J179" s="201">
        <v>42634</v>
      </c>
      <c r="K179" s="202">
        <v>0.75624999999999998</v>
      </c>
      <c r="L179" s="201">
        <v>42636</v>
      </c>
      <c r="M179" s="200" t="s">
        <v>271</v>
      </c>
      <c r="N179" s="200" t="s">
        <v>272</v>
      </c>
      <c r="O179" s="200" t="s">
        <v>273</v>
      </c>
      <c r="P179" s="200" t="s">
        <v>274</v>
      </c>
      <c r="Q179" s="200" t="s">
        <v>275</v>
      </c>
      <c r="R179" s="200" t="s">
        <v>276</v>
      </c>
      <c r="S179" s="200" t="s">
        <v>436</v>
      </c>
      <c r="T179" s="200" t="s">
        <v>571</v>
      </c>
      <c r="U179" s="200">
        <v>2328</v>
      </c>
      <c r="V179" s="200" t="s">
        <v>571</v>
      </c>
      <c r="W179" s="200" t="s">
        <v>280</v>
      </c>
      <c r="X179" s="200">
        <v>7.3390000000000004</v>
      </c>
      <c r="Y179" s="203">
        <v>-0.15</v>
      </c>
      <c r="Z179" s="203">
        <v>2.17</v>
      </c>
      <c r="AA179" s="203">
        <v>15.92</v>
      </c>
      <c r="AB179" s="203">
        <v>-1.34</v>
      </c>
      <c r="AC179" s="203">
        <v>0</v>
      </c>
      <c r="AD179" s="203">
        <v>0</v>
      </c>
      <c r="AE179" s="203">
        <v>14.43</v>
      </c>
      <c r="AF179" s="203">
        <v>-1.76</v>
      </c>
      <c r="AG179" s="200" t="s">
        <v>279</v>
      </c>
      <c r="AH179" s="203">
        <v>0</v>
      </c>
      <c r="AI179" s="200" t="s">
        <v>279</v>
      </c>
      <c r="AJ179" s="203">
        <v>0</v>
      </c>
      <c r="AK179" s="200" t="s">
        <v>279</v>
      </c>
      <c r="AL179" s="203">
        <v>0</v>
      </c>
      <c r="AM179" s="200" t="s">
        <v>279</v>
      </c>
      <c r="AN179" s="203">
        <v>0</v>
      </c>
      <c r="AO179" s="200" t="s">
        <v>279</v>
      </c>
      <c r="AP179" s="203">
        <v>0</v>
      </c>
      <c r="AQ179" s="203">
        <v>15.92</v>
      </c>
      <c r="AR179" s="203">
        <v>0</v>
      </c>
      <c r="AS179" s="200" t="str">
        <f t="shared" si="2"/>
        <v>1.00000000</v>
      </c>
      <c r="AT179" s="200" t="str">
        <f>"23.7"</f>
        <v>23.7</v>
      </c>
      <c r="AU179" s="203">
        <v>0</v>
      </c>
    </row>
    <row r="180" spans="1:47" x14ac:dyDescent="0.2">
      <c r="A180" s="200" t="str">
        <f>"0496002595700"</f>
        <v>0496002595700</v>
      </c>
      <c r="B180" s="200">
        <v>7</v>
      </c>
      <c r="C180" s="200" t="s">
        <v>156</v>
      </c>
      <c r="D180" s="200" t="s">
        <v>371</v>
      </c>
      <c r="E180" s="200">
        <v>45</v>
      </c>
      <c r="F180" s="200" t="s">
        <v>243</v>
      </c>
      <c r="G180" s="200">
        <v>2262</v>
      </c>
      <c r="H180" s="200" t="s">
        <v>270</v>
      </c>
      <c r="I180" s="200">
        <v>16172</v>
      </c>
      <c r="J180" s="201">
        <v>42635</v>
      </c>
      <c r="K180" s="202">
        <v>0.7181481481481482</v>
      </c>
      <c r="L180" s="201">
        <v>42639</v>
      </c>
      <c r="M180" s="200" t="s">
        <v>396</v>
      </c>
      <c r="N180" s="200" t="s">
        <v>397</v>
      </c>
      <c r="O180" s="200" t="s">
        <v>398</v>
      </c>
      <c r="P180" s="200" t="s">
        <v>343</v>
      </c>
      <c r="Q180" s="200" t="s">
        <v>275</v>
      </c>
      <c r="R180" s="200">
        <v>1035</v>
      </c>
      <c r="S180" s="200" t="s">
        <v>156</v>
      </c>
      <c r="T180" s="200" t="s">
        <v>277</v>
      </c>
      <c r="U180" s="200">
        <v>2262</v>
      </c>
      <c r="V180" s="200" t="s">
        <v>156</v>
      </c>
      <c r="W180" s="200" t="s">
        <v>280</v>
      </c>
      <c r="X180" s="200">
        <v>11.798</v>
      </c>
      <c r="Y180" s="203">
        <v>0</v>
      </c>
      <c r="Z180" s="203">
        <v>2.15</v>
      </c>
      <c r="AA180" s="203">
        <v>25.35</v>
      </c>
      <c r="AB180" s="203">
        <v>-2.16</v>
      </c>
      <c r="AC180" s="203">
        <v>0</v>
      </c>
      <c r="AD180" s="203">
        <v>0</v>
      </c>
      <c r="AE180" s="203">
        <v>23.19</v>
      </c>
      <c r="AF180" s="203">
        <v>-2.83</v>
      </c>
      <c r="AG180" s="200" t="s">
        <v>279</v>
      </c>
      <c r="AH180" s="203">
        <v>0</v>
      </c>
      <c r="AI180" s="200" t="s">
        <v>279</v>
      </c>
      <c r="AJ180" s="203">
        <v>0</v>
      </c>
      <c r="AK180" s="200" t="s">
        <v>279</v>
      </c>
      <c r="AL180" s="203">
        <v>0</v>
      </c>
      <c r="AM180" s="200" t="s">
        <v>279</v>
      </c>
      <c r="AN180" s="203">
        <v>0</v>
      </c>
      <c r="AO180" s="200" t="s">
        <v>279</v>
      </c>
      <c r="AP180" s="203">
        <v>0</v>
      </c>
      <c r="AQ180" s="203">
        <v>25.35</v>
      </c>
      <c r="AR180" s="203">
        <v>0</v>
      </c>
      <c r="AS180" s="200" t="str">
        <f t="shared" si="2"/>
        <v>1.00000000</v>
      </c>
      <c r="AT180" s="200" t="str">
        <f>"28.0"</f>
        <v>28.0</v>
      </c>
      <c r="AU180" s="203">
        <v>0</v>
      </c>
    </row>
    <row r="181" spans="1:47" x14ac:dyDescent="0.2">
      <c r="A181" s="200" t="str">
        <f>"0496002595734"</f>
        <v>0496002595734</v>
      </c>
      <c r="B181" s="200">
        <v>1</v>
      </c>
      <c r="C181" s="200" t="s">
        <v>435</v>
      </c>
      <c r="D181" s="200">
        <v>81</v>
      </c>
      <c r="E181" s="200">
        <v>81</v>
      </c>
      <c r="F181" s="200" t="s">
        <v>243</v>
      </c>
      <c r="G181" s="200">
        <v>2086</v>
      </c>
      <c r="H181" s="200" t="s">
        <v>270</v>
      </c>
      <c r="I181" s="200">
        <v>62457</v>
      </c>
      <c r="J181" s="201">
        <v>42635</v>
      </c>
      <c r="K181" s="202">
        <v>0.4152777777777778</v>
      </c>
      <c r="L181" s="201">
        <v>42639</v>
      </c>
      <c r="M181" s="200" t="s">
        <v>271</v>
      </c>
      <c r="N181" s="200" t="s">
        <v>272</v>
      </c>
      <c r="O181" s="200" t="s">
        <v>273</v>
      </c>
      <c r="P181" s="200" t="s">
        <v>274</v>
      </c>
      <c r="Q181" s="200" t="s">
        <v>275</v>
      </c>
      <c r="R181" s="200" t="s">
        <v>276</v>
      </c>
      <c r="S181" s="200" t="s">
        <v>436</v>
      </c>
      <c r="T181" s="200" t="s">
        <v>435</v>
      </c>
      <c r="U181" s="200">
        <v>2086</v>
      </c>
      <c r="V181" s="200" t="s">
        <v>435</v>
      </c>
      <c r="W181" s="200" t="s">
        <v>280</v>
      </c>
      <c r="X181" s="200">
        <v>13.032999999999999</v>
      </c>
      <c r="Y181" s="203">
        <v>-0.26</v>
      </c>
      <c r="Z181" s="203">
        <v>2.17</v>
      </c>
      <c r="AA181" s="203">
        <v>28.27</v>
      </c>
      <c r="AB181" s="203">
        <v>-2.39</v>
      </c>
      <c r="AC181" s="203">
        <v>0</v>
      </c>
      <c r="AD181" s="203">
        <v>0</v>
      </c>
      <c r="AE181" s="203">
        <v>25.62</v>
      </c>
      <c r="AF181" s="203">
        <v>-3.13</v>
      </c>
      <c r="AG181" s="200" t="s">
        <v>279</v>
      </c>
      <c r="AH181" s="203">
        <v>0</v>
      </c>
      <c r="AI181" s="200" t="s">
        <v>279</v>
      </c>
      <c r="AJ181" s="203">
        <v>0</v>
      </c>
      <c r="AK181" s="200" t="s">
        <v>279</v>
      </c>
      <c r="AL181" s="203">
        <v>0</v>
      </c>
      <c r="AM181" s="200" t="s">
        <v>279</v>
      </c>
      <c r="AN181" s="203">
        <v>0</v>
      </c>
      <c r="AO181" s="200" t="s">
        <v>279</v>
      </c>
      <c r="AP181" s="203">
        <v>0</v>
      </c>
      <c r="AQ181" s="203">
        <v>28.27</v>
      </c>
      <c r="AR181" s="203">
        <v>0</v>
      </c>
      <c r="AS181" s="200" t="str">
        <f t="shared" si="2"/>
        <v>1.00000000</v>
      </c>
      <c r="AT181" s="200" t="str">
        <f>"18.8"</f>
        <v>18.8</v>
      </c>
      <c r="AU181" s="203">
        <v>0</v>
      </c>
    </row>
    <row r="182" spans="1:47" x14ac:dyDescent="0.2">
      <c r="A182" s="200" t="str">
        <f>"0496002595734"</f>
        <v>0496002595734</v>
      </c>
      <c r="B182" s="200">
        <v>3</v>
      </c>
      <c r="C182" s="200" t="s">
        <v>435</v>
      </c>
      <c r="D182" s="200">
        <v>82</v>
      </c>
      <c r="E182" s="200">
        <v>82</v>
      </c>
      <c r="F182" s="200" t="s">
        <v>243</v>
      </c>
      <c r="G182" s="200">
        <v>2086</v>
      </c>
      <c r="H182" s="200" t="s">
        <v>270</v>
      </c>
      <c r="I182" s="200">
        <v>14000</v>
      </c>
      <c r="J182" s="201">
        <v>42635</v>
      </c>
      <c r="K182" s="202">
        <v>0.70694444444444438</v>
      </c>
      <c r="L182" s="201">
        <v>42639</v>
      </c>
      <c r="M182" s="200" t="s">
        <v>271</v>
      </c>
      <c r="N182" s="200" t="s">
        <v>272</v>
      </c>
      <c r="O182" s="200" t="s">
        <v>273</v>
      </c>
      <c r="P182" s="200" t="s">
        <v>274</v>
      </c>
      <c r="Q182" s="200" t="s">
        <v>275</v>
      </c>
      <c r="R182" s="200" t="s">
        <v>276</v>
      </c>
      <c r="S182" s="200" t="s">
        <v>436</v>
      </c>
      <c r="T182" s="200" t="s">
        <v>435</v>
      </c>
      <c r="U182" s="200">
        <v>2086</v>
      </c>
      <c r="V182" s="200" t="s">
        <v>435</v>
      </c>
      <c r="W182" s="200" t="s">
        <v>280</v>
      </c>
      <c r="X182" s="200">
        <v>12.909000000000001</v>
      </c>
      <c r="Y182" s="203">
        <v>-0.26</v>
      </c>
      <c r="Z182" s="203">
        <v>2.17</v>
      </c>
      <c r="AA182" s="203">
        <v>28</v>
      </c>
      <c r="AB182" s="203">
        <v>-2.36</v>
      </c>
      <c r="AC182" s="203">
        <v>0</v>
      </c>
      <c r="AD182" s="203">
        <v>0</v>
      </c>
      <c r="AE182" s="203">
        <v>25.38</v>
      </c>
      <c r="AF182" s="203">
        <v>-3.1</v>
      </c>
      <c r="AG182" s="200" t="s">
        <v>279</v>
      </c>
      <c r="AH182" s="203">
        <v>0</v>
      </c>
      <c r="AI182" s="200" t="s">
        <v>279</v>
      </c>
      <c r="AJ182" s="203">
        <v>0</v>
      </c>
      <c r="AK182" s="200" t="s">
        <v>279</v>
      </c>
      <c r="AL182" s="203">
        <v>0</v>
      </c>
      <c r="AM182" s="200" t="s">
        <v>279</v>
      </c>
      <c r="AN182" s="203">
        <v>0</v>
      </c>
      <c r="AO182" s="200" t="s">
        <v>279</v>
      </c>
      <c r="AP182" s="203">
        <v>0</v>
      </c>
      <c r="AQ182" s="203">
        <v>28</v>
      </c>
      <c r="AR182" s="203">
        <v>0</v>
      </c>
      <c r="AS182" s="200" t="str">
        <f t="shared" si="2"/>
        <v>1.00000000</v>
      </c>
      <c r="AT182" s="200" t="str">
        <f>"17.9"</f>
        <v>17.9</v>
      </c>
      <c r="AU182" s="203">
        <v>0</v>
      </c>
    </row>
    <row r="183" spans="1:47" x14ac:dyDescent="0.2">
      <c r="A183" s="200" t="str">
        <f>"0496002599173"</f>
        <v>0496002599173</v>
      </c>
      <c r="B183" s="200">
        <v>2</v>
      </c>
      <c r="C183" s="200" t="s">
        <v>585</v>
      </c>
      <c r="D183" s="200" t="s">
        <v>594</v>
      </c>
      <c r="E183" s="200" t="s">
        <v>594</v>
      </c>
      <c r="F183" s="200" t="s">
        <v>243</v>
      </c>
      <c r="G183" s="200">
        <v>5647</v>
      </c>
      <c r="H183" s="200" t="s">
        <v>270</v>
      </c>
      <c r="I183" s="200">
        <v>111627</v>
      </c>
      <c r="J183" s="201">
        <v>42635</v>
      </c>
      <c r="K183" s="202">
        <v>0.44861111111111113</v>
      </c>
      <c r="L183" s="201">
        <v>42639</v>
      </c>
      <c r="M183" s="200" t="s">
        <v>271</v>
      </c>
      <c r="N183" s="200" t="s">
        <v>352</v>
      </c>
      <c r="O183" s="200" t="s">
        <v>353</v>
      </c>
      <c r="P183" s="200" t="s">
        <v>343</v>
      </c>
      <c r="Q183" s="200" t="s">
        <v>275</v>
      </c>
      <c r="R183" s="200">
        <v>1035</v>
      </c>
      <c r="S183" s="200" t="s">
        <v>436</v>
      </c>
      <c r="T183" s="200" t="s">
        <v>595</v>
      </c>
      <c r="U183" s="200">
        <v>5647</v>
      </c>
      <c r="V183" s="200" t="s">
        <v>585</v>
      </c>
      <c r="W183" s="200" t="s">
        <v>280</v>
      </c>
      <c r="X183" s="200">
        <v>25.221</v>
      </c>
      <c r="Y183" s="203">
        <v>-0.5</v>
      </c>
      <c r="Z183" s="203">
        <v>2.15</v>
      </c>
      <c r="AA183" s="203">
        <v>54.2</v>
      </c>
      <c r="AB183" s="203">
        <v>-4.62</v>
      </c>
      <c r="AC183" s="203">
        <v>0</v>
      </c>
      <c r="AD183" s="203">
        <v>0</v>
      </c>
      <c r="AE183" s="203">
        <v>49.08</v>
      </c>
      <c r="AF183" s="203">
        <v>-6.05</v>
      </c>
      <c r="AG183" s="200" t="s">
        <v>279</v>
      </c>
      <c r="AH183" s="203">
        <v>0</v>
      </c>
      <c r="AI183" s="200" t="s">
        <v>279</v>
      </c>
      <c r="AJ183" s="203">
        <v>0</v>
      </c>
      <c r="AK183" s="200" t="s">
        <v>279</v>
      </c>
      <c r="AL183" s="203">
        <v>0</v>
      </c>
      <c r="AM183" s="200" t="s">
        <v>279</v>
      </c>
      <c r="AN183" s="203">
        <v>0</v>
      </c>
      <c r="AO183" s="200" t="s">
        <v>279</v>
      </c>
      <c r="AP183" s="203">
        <v>0</v>
      </c>
      <c r="AQ183" s="203">
        <v>54.2</v>
      </c>
      <c r="AR183" s="203">
        <v>0</v>
      </c>
      <c r="AS183" s="200" t="str">
        <f t="shared" si="2"/>
        <v>1.00000000</v>
      </c>
      <c r="AT183" s="200" t="str">
        <f>"12.3"</f>
        <v>12.3</v>
      </c>
      <c r="AU183" s="203">
        <v>0</v>
      </c>
    </row>
    <row r="184" spans="1:47" x14ac:dyDescent="0.2">
      <c r="A184" s="200" t="str">
        <f>"0496002595700"</f>
        <v>0496002595700</v>
      </c>
      <c r="B184" s="200">
        <v>6</v>
      </c>
      <c r="C184" s="200" t="s">
        <v>156</v>
      </c>
      <c r="D184" s="200" t="s">
        <v>344</v>
      </c>
      <c r="E184" s="200" t="s">
        <v>345</v>
      </c>
      <c r="F184" s="200" t="s">
        <v>243</v>
      </c>
      <c r="G184" s="200">
        <v>2262</v>
      </c>
      <c r="H184" s="200" t="s">
        <v>270</v>
      </c>
      <c r="I184" s="200">
        <v>54728</v>
      </c>
      <c r="J184" s="201">
        <v>42636</v>
      </c>
      <c r="K184" s="202">
        <v>0.41944444444444445</v>
      </c>
      <c r="L184" s="201">
        <v>42640</v>
      </c>
      <c r="M184" s="200" t="s">
        <v>271</v>
      </c>
      <c r="N184" s="200" t="s">
        <v>272</v>
      </c>
      <c r="O184" s="200" t="s">
        <v>273</v>
      </c>
      <c r="P184" s="200" t="s">
        <v>274</v>
      </c>
      <c r="Q184" s="200" t="s">
        <v>275</v>
      </c>
      <c r="R184" s="200" t="s">
        <v>276</v>
      </c>
      <c r="S184" s="200" t="s">
        <v>156</v>
      </c>
      <c r="T184" s="200" t="s">
        <v>277</v>
      </c>
      <c r="U184" s="200">
        <v>2262</v>
      </c>
      <c r="V184" s="200" t="s">
        <v>156</v>
      </c>
      <c r="W184" s="200" t="s">
        <v>335</v>
      </c>
      <c r="X184" s="200">
        <v>6.0190000000000001</v>
      </c>
      <c r="Y184" s="203">
        <v>-0.12</v>
      </c>
      <c r="Z184" s="203">
        <v>2.39</v>
      </c>
      <c r="AA184" s="203">
        <v>14.38</v>
      </c>
      <c r="AB184" s="203">
        <v>-1.1000000000000001</v>
      </c>
      <c r="AC184" s="203">
        <v>0</v>
      </c>
      <c r="AD184" s="203">
        <v>0</v>
      </c>
      <c r="AE184" s="203">
        <v>13.16</v>
      </c>
      <c r="AF184" s="203">
        <v>-1.44</v>
      </c>
      <c r="AG184" s="200" t="s">
        <v>279</v>
      </c>
      <c r="AH184" s="203">
        <v>0</v>
      </c>
      <c r="AI184" s="200" t="s">
        <v>279</v>
      </c>
      <c r="AJ184" s="203">
        <v>0</v>
      </c>
      <c r="AK184" s="200" t="s">
        <v>279</v>
      </c>
      <c r="AL184" s="203">
        <v>0</v>
      </c>
      <c r="AM184" s="200" t="s">
        <v>279</v>
      </c>
      <c r="AN184" s="203">
        <v>0</v>
      </c>
      <c r="AO184" s="200" t="s">
        <v>279</v>
      </c>
      <c r="AP184" s="203">
        <v>0</v>
      </c>
      <c r="AQ184" s="203">
        <v>14.38</v>
      </c>
      <c r="AR184" s="203">
        <v>0</v>
      </c>
      <c r="AS184" s="200" t="str">
        <f t="shared" si="2"/>
        <v>1.00000000</v>
      </c>
      <c r="AT184" s="200" t="str">
        <f>"30.6"</f>
        <v>30.6</v>
      </c>
      <c r="AU184" s="203">
        <v>0</v>
      </c>
    </row>
    <row r="185" spans="1:47" x14ac:dyDescent="0.2">
      <c r="A185" s="200" t="str">
        <f>"0496002595700"</f>
        <v>0496002595700</v>
      </c>
      <c r="B185" s="200">
        <v>8</v>
      </c>
      <c r="C185" s="200" t="s">
        <v>156</v>
      </c>
      <c r="D185" s="200" t="s">
        <v>414</v>
      </c>
      <c r="E185" s="200">
        <v>47</v>
      </c>
      <c r="F185" s="200" t="s">
        <v>243</v>
      </c>
      <c r="G185" s="200">
        <v>2262</v>
      </c>
      <c r="H185" s="200" t="s">
        <v>270</v>
      </c>
      <c r="I185" s="200">
        <v>19838</v>
      </c>
      <c r="J185" s="201">
        <v>42636</v>
      </c>
      <c r="K185" s="202">
        <v>0.77222222222222225</v>
      </c>
      <c r="L185" s="201">
        <v>42640</v>
      </c>
      <c r="M185" s="200" t="s">
        <v>271</v>
      </c>
      <c r="N185" s="200" t="s">
        <v>588</v>
      </c>
      <c r="O185" s="200" t="s">
        <v>589</v>
      </c>
      <c r="P185" s="200" t="s">
        <v>590</v>
      </c>
      <c r="Q185" s="200" t="s">
        <v>275</v>
      </c>
      <c r="R185" s="200">
        <v>1075</v>
      </c>
      <c r="S185" s="200" t="s">
        <v>156</v>
      </c>
      <c r="T185" s="200" t="s">
        <v>277</v>
      </c>
      <c r="U185" s="200">
        <v>2262</v>
      </c>
      <c r="V185" s="200" t="s">
        <v>156</v>
      </c>
      <c r="W185" s="200" t="s">
        <v>280</v>
      </c>
      <c r="X185" s="200">
        <v>7.04</v>
      </c>
      <c r="Y185" s="203">
        <v>-0.14000000000000001</v>
      </c>
      <c r="Z185" s="203">
        <v>2.15</v>
      </c>
      <c r="AA185" s="203">
        <v>15.13</v>
      </c>
      <c r="AB185" s="203">
        <v>-1.29</v>
      </c>
      <c r="AC185" s="203">
        <v>0</v>
      </c>
      <c r="AD185" s="203">
        <v>0</v>
      </c>
      <c r="AE185" s="203">
        <v>13.7</v>
      </c>
      <c r="AF185" s="203">
        <v>-1.69</v>
      </c>
      <c r="AG185" s="200" t="s">
        <v>279</v>
      </c>
      <c r="AH185" s="203">
        <v>0</v>
      </c>
      <c r="AI185" s="200" t="s">
        <v>279</v>
      </c>
      <c r="AJ185" s="203">
        <v>0</v>
      </c>
      <c r="AK185" s="200" t="s">
        <v>279</v>
      </c>
      <c r="AL185" s="203">
        <v>0</v>
      </c>
      <c r="AM185" s="200" t="s">
        <v>279</v>
      </c>
      <c r="AN185" s="203">
        <v>0</v>
      </c>
      <c r="AO185" s="200" t="s">
        <v>279</v>
      </c>
      <c r="AP185" s="203">
        <v>0</v>
      </c>
      <c r="AQ185" s="203">
        <v>15.13</v>
      </c>
      <c r="AR185" s="203">
        <v>0</v>
      </c>
      <c r="AS185" s="200" t="str">
        <f t="shared" si="2"/>
        <v>1.00000000</v>
      </c>
      <c r="AT185" s="200" t="str">
        <f>"27.3"</f>
        <v>27.3</v>
      </c>
      <c r="AU185" s="203">
        <v>0</v>
      </c>
    </row>
    <row r="186" spans="1:47" x14ac:dyDescent="0.2">
      <c r="A186" s="200" t="str">
        <f>"0496002595734"</f>
        <v>0496002595734</v>
      </c>
      <c r="B186" s="200">
        <v>2</v>
      </c>
      <c r="C186" s="200" t="s">
        <v>435</v>
      </c>
      <c r="D186" s="200">
        <v>80</v>
      </c>
      <c r="E186" s="200">
        <v>80</v>
      </c>
      <c r="F186" s="200" t="s">
        <v>243</v>
      </c>
      <c r="G186" s="200">
        <v>2086</v>
      </c>
      <c r="H186" s="200" t="s">
        <v>270</v>
      </c>
      <c r="I186" s="200">
        <v>6666</v>
      </c>
      <c r="J186" s="201">
        <v>42636</v>
      </c>
      <c r="K186" s="202">
        <v>0.86944444444444446</v>
      </c>
      <c r="L186" s="201">
        <v>42640</v>
      </c>
      <c r="M186" s="200" t="s">
        <v>271</v>
      </c>
      <c r="N186" s="200" t="s">
        <v>272</v>
      </c>
      <c r="O186" s="200" t="s">
        <v>273</v>
      </c>
      <c r="P186" s="200" t="s">
        <v>274</v>
      </c>
      <c r="Q186" s="200" t="s">
        <v>275</v>
      </c>
      <c r="R186" s="200" t="s">
        <v>276</v>
      </c>
      <c r="S186" s="200" t="s">
        <v>436</v>
      </c>
      <c r="T186" s="200" t="s">
        <v>435</v>
      </c>
      <c r="U186" s="200">
        <v>2086</v>
      </c>
      <c r="V186" s="200" t="s">
        <v>435</v>
      </c>
      <c r="W186" s="200" t="s">
        <v>280</v>
      </c>
      <c r="X186" s="200">
        <v>7.5970000000000004</v>
      </c>
      <c r="Y186" s="203">
        <v>-0.15</v>
      </c>
      <c r="Z186" s="203">
        <v>2.17</v>
      </c>
      <c r="AA186" s="203">
        <v>16.48</v>
      </c>
      <c r="AB186" s="203">
        <v>-1.39</v>
      </c>
      <c r="AC186" s="203">
        <v>0</v>
      </c>
      <c r="AD186" s="203">
        <v>0</v>
      </c>
      <c r="AE186" s="203">
        <v>14.94</v>
      </c>
      <c r="AF186" s="203">
        <v>-1.82</v>
      </c>
      <c r="AG186" s="200" t="s">
        <v>279</v>
      </c>
      <c r="AH186" s="203">
        <v>0</v>
      </c>
      <c r="AI186" s="200" t="s">
        <v>279</v>
      </c>
      <c r="AJ186" s="203">
        <v>0</v>
      </c>
      <c r="AK186" s="200" t="s">
        <v>279</v>
      </c>
      <c r="AL186" s="203">
        <v>0</v>
      </c>
      <c r="AM186" s="200" t="s">
        <v>279</v>
      </c>
      <c r="AN186" s="203">
        <v>0</v>
      </c>
      <c r="AO186" s="200" t="s">
        <v>279</v>
      </c>
      <c r="AP186" s="203">
        <v>0</v>
      </c>
      <c r="AQ186" s="203">
        <v>16.48</v>
      </c>
      <c r="AR186" s="203">
        <v>0</v>
      </c>
      <c r="AS186" s="200" t="str">
        <f t="shared" si="2"/>
        <v>1.00000000</v>
      </c>
      <c r="AT186" s="200" t="str">
        <f>"38.2"</f>
        <v>38.2</v>
      </c>
      <c r="AU186" s="203">
        <v>0</v>
      </c>
    </row>
    <row r="187" spans="1:47" x14ac:dyDescent="0.2">
      <c r="A187" s="200" t="str">
        <f>"0496002595700"</f>
        <v>0496002595700</v>
      </c>
      <c r="B187" s="200">
        <v>5</v>
      </c>
      <c r="C187" s="200" t="s">
        <v>156</v>
      </c>
      <c r="D187" s="200">
        <v>86</v>
      </c>
      <c r="E187" s="200">
        <v>86</v>
      </c>
      <c r="F187" s="200" t="s">
        <v>243</v>
      </c>
      <c r="G187" s="200">
        <v>2262</v>
      </c>
      <c r="H187" s="200" t="s">
        <v>270</v>
      </c>
      <c r="I187" s="200">
        <v>629</v>
      </c>
      <c r="J187" s="201">
        <v>42637</v>
      </c>
      <c r="K187" s="202">
        <v>0.70087962962962969</v>
      </c>
      <c r="L187" s="201">
        <v>42640</v>
      </c>
      <c r="M187" s="200" t="s">
        <v>384</v>
      </c>
      <c r="N187" s="200" t="s">
        <v>385</v>
      </c>
      <c r="O187" s="200" t="s">
        <v>386</v>
      </c>
      <c r="P187" s="200" t="s">
        <v>343</v>
      </c>
      <c r="Q187" s="200" t="s">
        <v>275</v>
      </c>
      <c r="R187" s="200" t="s">
        <v>387</v>
      </c>
      <c r="S187" s="200" t="s">
        <v>156</v>
      </c>
      <c r="T187" s="200" t="s">
        <v>277</v>
      </c>
      <c r="U187" s="200">
        <v>2262</v>
      </c>
      <c r="V187" s="200" t="s">
        <v>156</v>
      </c>
      <c r="W187" s="200" t="s">
        <v>280</v>
      </c>
      <c r="X187" s="200">
        <v>12.45</v>
      </c>
      <c r="Y187" s="203">
        <v>0</v>
      </c>
      <c r="Z187" s="203">
        <v>2.15</v>
      </c>
      <c r="AA187" s="203">
        <v>26.76</v>
      </c>
      <c r="AB187" s="203">
        <v>-2.2799999999999998</v>
      </c>
      <c r="AC187" s="203">
        <v>0</v>
      </c>
      <c r="AD187" s="203">
        <v>0</v>
      </c>
      <c r="AE187" s="203">
        <v>24.48</v>
      </c>
      <c r="AF187" s="203">
        <v>-2.99</v>
      </c>
      <c r="AG187" s="200" t="s">
        <v>279</v>
      </c>
      <c r="AH187" s="203">
        <v>0</v>
      </c>
      <c r="AI187" s="200" t="s">
        <v>279</v>
      </c>
      <c r="AJ187" s="203">
        <v>0</v>
      </c>
      <c r="AK187" s="200" t="s">
        <v>279</v>
      </c>
      <c r="AL187" s="203">
        <v>0</v>
      </c>
      <c r="AM187" s="200" t="s">
        <v>279</v>
      </c>
      <c r="AN187" s="203">
        <v>0</v>
      </c>
      <c r="AO187" s="200" t="s">
        <v>279</v>
      </c>
      <c r="AP187" s="203">
        <v>0</v>
      </c>
      <c r="AQ187" s="203">
        <v>26.76</v>
      </c>
      <c r="AR187" s="203">
        <v>0</v>
      </c>
      <c r="AS187" s="200" t="str">
        <f t="shared" si="2"/>
        <v>1.00000000</v>
      </c>
      <c r="AT187" s="200" t="str">
        <f>"18.1"</f>
        <v>18.1</v>
      </c>
      <c r="AU187" s="203">
        <v>0</v>
      </c>
    </row>
    <row r="188" spans="1:47" x14ac:dyDescent="0.2">
      <c r="A188" s="200" t="str">
        <f>"0496002595734"</f>
        <v>0496002595734</v>
      </c>
      <c r="B188" s="200">
        <v>3</v>
      </c>
      <c r="C188" s="200" t="s">
        <v>435</v>
      </c>
      <c r="D188" s="200">
        <v>82</v>
      </c>
      <c r="E188" s="200">
        <v>82</v>
      </c>
      <c r="F188" s="200" t="s">
        <v>243</v>
      </c>
      <c r="G188" s="200">
        <v>2086</v>
      </c>
      <c r="H188" s="200" t="s">
        <v>270</v>
      </c>
      <c r="I188" s="200">
        <v>50501</v>
      </c>
      <c r="J188" s="201">
        <v>42637</v>
      </c>
      <c r="K188" s="202">
        <v>0.69166666666666676</v>
      </c>
      <c r="L188" s="201">
        <v>42640</v>
      </c>
      <c r="M188" s="200" t="s">
        <v>271</v>
      </c>
      <c r="N188" s="200" t="s">
        <v>733</v>
      </c>
      <c r="O188" s="200" t="s">
        <v>734</v>
      </c>
      <c r="P188" s="200" t="s">
        <v>735</v>
      </c>
      <c r="Q188" s="200" t="s">
        <v>275</v>
      </c>
      <c r="R188" s="200" t="s">
        <v>736</v>
      </c>
      <c r="S188" s="200" t="s">
        <v>436</v>
      </c>
      <c r="T188" s="200" t="s">
        <v>435</v>
      </c>
      <c r="U188" s="200">
        <v>2086</v>
      </c>
      <c r="V188" s="200" t="s">
        <v>435</v>
      </c>
      <c r="W188" s="200" t="s">
        <v>280</v>
      </c>
      <c r="X188" s="200">
        <v>14.712</v>
      </c>
      <c r="Y188" s="203">
        <v>-0.28999999999999998</v>
      </c>
      <c r="Z188" s="203">
        <v>2.14</v>
      </c>
      <c r="AA188" s="203">
        <v>31.47</v>
      </c>
      <c r="AB188" s="203">
        <v>-2.69</v>
      </c>
      <c r="AC188" s="203">
        <v>0</v>
      </c>
      <c r="AD188" s="203">
        <v>0</v>
      </c>
      <c r="AE188" s="203">
        <v>28.49</v>
      </c>
      <c r="AF188" s="203">
        <v>-3.53</v>
      </c>
      <c r="AG188" s="200" t="s">
        <v>279</v>
      </c>
      <c r="AH188" s="203">
        <v>0</v>
      </c>
      <c r="AI188" s="200" t="s">
        <v>279</v>
      </c>
      <c r="AJ188" s="203">
        <v>0</v>
      </c>
      <c r="AK188" s="200" t="s">
        <v>279</v>
      </c>
      <c r="AL188" s="203">
        <v>0</v>
      </c>
      <c r="AM188" s="200" t="s">
        <v>279</v>
      </c>
      <c r="AN188" s="203">
        <v>0</v>
      </c>
      <c r="AO188" s="200" t="s">
        <v>279</v>
      </c>
      <c r="AP188" s="203">
        <v>0</v>
      </c>
      <c r="AQ188" s="203">
        <v>31.47</v>
      </c>
      <c r="AR188" s="203">
        <v>0</v>
      </c>
      <c r="AS188" s="200" t="str">
        <f t="shared" si="2"/>
        <v>1.00000000</v>
      </c>
      <c r="AT188" s="200" t="str">
        <f>"21.1"</f>
        <v>21.1</v>
      </c>
      <c r="AU188" s="203">
        <v>0</v>
      </c>
    </row>
    <row r="189" spans="1:47" x14ac:dyDescent="0.2">
      <c r="A189" s="200" t="str">
        <f>"0496002595890"</f>
        <v>0496002595890</v>
      </c>
      <c r="B189" s="200">
        <v>1</v>
      </c>
      <c r="C189" s="200" t="s">
        <v>579</v>
      </c>
      <c r="D189" s="200">
        <v>12</v>
      </c>
      <c r="F189" s="200" t="s">
        <v>243</v>
      </c>
      <c r="G189" s="200">
        <v>2834</v>
      </c>
      <c r="H189" s="200" t="s">
        <v>270</v>
      </c>
      <c r="I189" s="200">
        <v>99999</v>
      </c>
      <c r="J189" s="201">
        <v>42637</v>
      </c>
      <c r="K189" s="202">
        <v>0.44861111111111113</v>
      </c>
      <c r="L189" s="201">
        <v>42640</v>
      </c>
      <c r="M189" s="200" t="s">
        <v>271</v>
      </c>
      <c r="N189" s="200" t="s">
        <v>272</v>
      </c>
      <c r="O189" s="200" t="s">
        <v>273</v>
      </c>
      <c r="P189" s="200" t="s">
        <v>274</v>
      </c>
      <c r="Q189" s="200" t="s">
        <v>275</v>
      </c>
      <c r="R189" s="200" t="s">
        <v>276</v>
      </c>
      <c r="S189" s="200" t="s">
        <v>436</v>
      </c>
      <c r="T189" s="200" t="s">
        <v>579</v>
      </c>
      <c r="U189" s="200">
        <v>2834</v>
      </c>
      <c r="V189" s="200" t="s">
        <v>579</v>
      </c>
      <c r="W189" s="200" t="s">
        <v>280</v>
      </c>
      <c r="X189" s="200">
        <v>5.5570000000000004</v>
      </c>
      <c r="Y189" s="203">
        <v>-0.11</v>
      </c>
      <c r="Z189" s="203">
        <v>2.17</v>
      </c>
      <c r="AA189" s="203">
        <v>12.06</v>
      </c>
      <c r="AB189" s="203">
        <v>-1.02</v>
      </c>
      <c r="AC189" s="203">
        <v>0</v>
      </c>
      <c r="AD189" s="203">
        <v>0</v>
      </c>
      <c r="AE189" s="203">
        <v>10.93</v>
      </c>
      <c r="AF189" s="203">
        <v>-1.33</v>
      </c>
      <c r="AG189" s="200" t="s">
        <v>279</v>
      </c>
      <c r="AH189" s="203">
        <v>0</v>
      </c>
      <c r="AI189" s="200" t="s">
        <v>279</v>
      </c>
      <c r="AJ189" s="203">
        <v>0</v>
      </c>
      <c r="AK189" s="200" t="s">
        <v>279</v>
      </c>
      <c r="AL189" s="203">
        <v>0</v>
      </c>
      <c r="AM189" s="200" t="s">
        <v>279</v>
      </c>
      <c r="AN189" s="203">
        <v>0</v>
      </c>
      <c r="AO189" s="200" t="s">
        <v>279</v>
      </c>
      <c r="AP189" s="203">
        <v>0</v>
      </c>
      <c r="AQ189" s="203">
        <v>12.06</v>
      </c>
      <c r="AR189" s="203">
        <v>0</v>
      </c>
      <c r="AS189" s="200" t="str">
        <f t="shared" si="2"/>
        <v>1.00000000</v>
      </c>
      <c r="AT189" s="200" t="str">
        <f>"15453.3"</f>
        <v>15453.3</v>
      </c>
      <c r="AU189" s="203">
        <v>0</v>
      </c>
    </row>
    <row r="190" spans="1:47" x14ac:dyDescent="0.2">
      <c r="A190" s="200" t="str">
        <f>"0496002595700"</f>
        <v>0496002595700</v>
      </c>
      <c r="B190" s="200">
        <v>5</v>
      </c>
      <c r="C190" s="200" t="s">
        <v>156</v>
      </c>
      <c r="D190" s="200">
        <v>86</v>
      </c>
      <c r="E190" s="200">
        <v>86</v>
      </c>
      <c r="F190" s="200" t="s">
        <v>243</v>
      </c>
      <c r="G190" s="200">
        <v>2262</v>
      </c>
      <c r="H190" s="200" t="s">
        <v>270</v>
      </c>
      <c r="I190" s="200">
        <v>6843</v>
      </c>
      <c r="J190" s="201">
        <v>42638</v>
      </c>
      <c r="K190" s="202">
        <v>0.60150462962962969</v>
      </c>
      <c r="L190" s="201">
        <v>42640</v>
      </c>
      <c r="M190" s="200" t="s">
        <v>319</v>
      </c>
      <c r="N190" s="200" t="s">
        <v>737</v>
      </c>
      <c r="O190" s="200" t="s">
        <v>738</v>
      </c>
      <c r="P190" s="200" t="s">
        <v>739</v>
      </c>
      <c r="Q190" s="200" t="s">
        <v>395</v>
      </c>
      <c r="R190" s="200">
        <v>4240</v>
      </c>
      <c r="S190" s="200" t="s">
        <v>156</v>
      </c>
      <c r="T190" s="200" t="s">
        <v>277</v>
      </c>
      <c r="U190" s="200">
        <v>2262</v>
      </c>
      <c r="V190" s="200" t="s">
        <v>156</v>
      </c>
      <c r="W190" s="200" t="s">
        <v>280</v>
      </c>
      <c r="X190" s="200">
        <v>13.808</v>
      </c>
      <c r="Y190" s="203">
        <v>0</v>
      </c>
      <c r="Z190" s="203">
        <v>2.2000000000000002</v>
      </c>
      <c r="AA190" s="203">
        <v>30.36</v>
      </c>
      <c r="AB190" s="203">
        <v>-2.5299999999999998</v>
      </c>
      <c r="AC190" s="203">
        <v>0</v>
      </c>
      <c r="AD190" s="203">
        <v>0</v>
      </c>
      <c r="AE190" s="203">
        <v>27.83</v>
      </c>
      <c r="AF190" s="203">
        <v>-4.1399999999999997</v>
      </c>
      <c r="AG190" s="200" t="s">
        <v>279</v>
      </c>
      <c r="AH190" s="203">
        <v>0</v>
      </c>
      <c r="AI190" s="200" t="s">
        <v>279</v>
      </c>
      <c r="AJ190" s="203">
        <v>0</v>
      </c>
      <c r="AK190" s="200" t="s">
        <v>279</v>
      </c>
      <c r="AL190" s="203">
        <v>0</v>
      </c>
      <c r="AM190" s="200" t="s">
        <v>279</v>
      </c>
      <c r="AN190" s="203">
        <v>0</v>
      </c>
      <c r="AO190" s="200" t="s">
        <v>279</v>
      </c>
      <c r="AP190" s="203">
        <v>0</v>
      </c>
      <c r="AQ190" s="203">
        <v>30.36</v>
      </c>
      <c r="AR190" s="203">
        <v>0</v>
      </c>
      <c r="AS190" s="200" t="str">
        <f t="shared" si="2"/>
        <v>1.00000000</v>
      </c>
      <c r="AT190" s="200" t="str">
        <f>"18.1"</f>
        <v>18.1</v>
      </c>
      <c r="AU190" s="203">
        <v>0</v>
      </c>
    </row>
    <row r="191" spans="1:47" x14ac:dyDescent="0.2">
      <c r="A191" s="200" t="str">
        <f>"0496002595700"</f>
        <v>0496002595700</v>
      </c>
      <c r="B191" s="200">
        <v>8</v>
      </c>
      <c r="C191" s="200" t="s">
        <v>156</v>
      </c>
      <c r="D191" s="200" t="s">
        <v>414</v>
      </c>
      <c r="E191" s="200">
        <v>47</v>
      </c>
      <c r="F191" s="200" t="s">
        <v>243</v>
      </c>
      <c r="G191" s="200">
        <v>2262</v>
      </c>
      <c r="H191" s="200" t="s">
        <v>270</v>
      </c>
      <c r="I191" s="200">
        <v>20328</v>
      </c>
      <c r="J191" s="201">
        <v>42638</v>
      </c>
      <c r="K191" s="202">
        <v>0.28125</v>
      </c>
      <c r="L191" s="201">
        <v>42640</v>
      </c>
      <c r="M191" s="200" t="s">
        <v>606</v>
      </c>
      <c r="N191" s="200" t="s">
        <v>740</v>
      </c>
      <c r="O191" s="200" t="s">
        <v>741</v>
      </c>
      <c r="P191" s="200" t="s">
        <v>742</v>
      </c>
      <c r="Q191" s="200" t="s">
        <v>289</v>
      </c>
      <c r="R191" s="200" t="s">
        <v>743</v>
      </c>
      <c r="S191" s="200" t="s">
        <v>156</v>
      </c>
      <c r="T191" s="200" t="s">
        <v>277</v>
      </c>
      <c r="U191" s="200">
        <v>2262</v>
      </c>
      <c r="V191" s="200" t="s">
        <v>156</v>
      </c>
      <c r="W191" s="200" t="s">
        <v>280</v>
      </c>
      <c r="X191" s="200">
        <v>18.187999999999999</v>
      </c>
      <c r="Y191" s="203">
        <v>0</v>
      </c>
      <c r="Z191" s="203">
        <v>1.92</v>
      </c>
      <c r="AA191" s="203">
        <v>34.9</v>
      </c>
      <c r="AB191" s="203">
        <v>-3.33</v>
      </c>
      <c r="AC191" s="203">
        <v>0</v>
      </c>
      <c r="AD191" s="203">
        <v>0</v>
      </c>
      <c r="AE191" s="203">
        <v>31.57</v>
      </c>
      <c r="AF191" s="203">
        <v>-2.64</v>
      </c>
      <c r="AG191" s="200" t="s">
        <v>279</v>
      </c>
      <c r="AH191" s="203">
        <v>0</v>
      </c>
      <c r="AI191" s="200" t="s">
        <v>279</v>
      </c>
      <c r="AJ191" s="203">
        <v>0</v>
      </c>
      <c r="AK191" s="200" t="s">
        <v>279</v>
      </c>
      <c r="AL191" s="203">
        <v>0</v>
      </c>
      <c r="AM191" s="200" t="s">
        <v>279</v>
      </c>
      <c r="AN191" s="203">
        <v>0</v>
      </c>
      <c r="AO191" s="200" t="s">
        <v>279</v>
      </c>
      <c r="AP191" s="203">
        <v>0</v>
      </c>
      <c r="AQ191" s="203">
        <v>34.9</v>
      </c>
      <c r="AR191" s="203">
        <v>0</v>
      </c>
      <c r="AS191" s="200" t="str">
        <f t="shared" si="2"/>
        <v>1.00000000</v>
      </c>
      <c r="AT191" s="200" t="str">
        <f>"26.9"</f>
        <v>26.9</v>
      </c>
      <c r="AU191" s="203">
        <v>0</v>
      </c>
    </row>
    <row r="192" spans="1:47" x14ac:dyDescent="0.2">
      <c r="A192" s="200" t="str">
        <f>"0496002595700"</f>
        <v>0496002595700</v>
      </c>
      <c r="B192" s="200">
        <v>8</v>
      </c>
      <c r="C192" s="200" t="s">
        <v>156</v>
      </c>
      <c r="D192" s="200" t="s">
        <v>414</v>
      </c>
      <c r="E192" s="200">
        <v>47</v>
      </c>
      <c r="F192" s="200" t="s">
        <v>243</v>
      </c>
      <c r="G192" s="200">
        <v>2262</v>
      </c>
      <c r="H192" s="200" t="s">
        <v>270</v>
      </c>
      <c r="I192" s="200">
        <v>20497</v>
      </c>
      <c r="J192" s="201">
        <v>42638</v>
      </c>
      <c r="K192" s="202">
        <v>0.38194444444444442</v>
      </c>
      <c r="L192" s="201">
        <v>42640</v>
      </c>
      <c r="M192" s="200" t="s">
        <v>271</v>
      </c>
      <c r="N192" s="200" t="s">
        <v>588</v>
      </c>
      <c r="O192" s="200" t="s">
        <v>589</v>
      </c>
      <c r="P192" s="200" t="s">
        <v>590</v>
      </c>
      <c r="Q192" s="200" t="s">
        <v>275</v>
      </c>
      <c r="R192" s="200">
        <v>1075</v>
      </c>
      <c r="S192" s="200" t="s">
        <v>156</v>
      </c>
      <c r="T192" s="200" t="s">
        <v>277</v>
      </c>
      <c r="U192" s="200">
        <v>2262</v>
      </c>
      <c r="V192" s="200" t="s">
        <v>156</v>
      </c>
      <c r="W192" s="200" t="s">
        <v>280</v>
      </c>
      <c r="X192" s="200">
        <v>7.7169999999999996</v>
      </c>
      <c r="Y192" s="203">
        <v>-0.15</v>
      </c>
      <c r="Z192" s="203">
        <v>2.14</v>
      </c>
      <c r="AA192" s="203">
        <v>16.5</v>
      </c>
      <c r="AB192" s="203">
        <v>-1.41</v>
      </c>
      <c r="AC192" s="203">
        <v>0</v>
      </c>
      <c r="AD192" s="203">
        <v>0</v>
      </c>
      <c r="AE192" s="203">
        <v>14.94</v>
      </c>
      <c r="AF192" s="203">
        <v>-1.85</v>
      </c>
      <c r="AG192" s="200" t="s">
        <v>279</v>
      </c>
      <c r="AH192" s="203">
        <v>0</v>
      </c>
      <c r="AI192" s="200" t="s">
        <v>279</v>
      </c>
      <c r="AJ192" s="203">
        <v>0</v>
      </c>
      <c r="AK192" s="200" t="s">
        <v>279</v>
      </c>
      <c r="AL192" s="203">
        <v>0</v>
      </c>
      <c r="AM192" s="200" t="s">
        <v>279</v>
      </c>
      <c r="AN192" s="203">
        <v>0</v>
      </c>
      <c r="AO192" s="200" t="s">
        <v>279</v>
      </c>
      <c r="AP192" s="203">
        <v>0</v>
      </c>
      <c r="AQ192" s="203">
        <v>16.5</v>
      </c>
      <c r="AR192" s="203">
        <v>0</v>
      </c>
      <c r="AS192" s="200" t="str">
        <f t="shared" si="2"/>
        <v>1.00000000</v>
      </c>
      <c r="AT192" s="200" t="str">
        <f>"27.1"</f>
        <v>27.1</v>
      </c>
      <c r="AU192" s="203">
        <v>0</v>
      </c>
    </row>
    <row r="193" spans="1:47" x14ac:dyDescent="0.2">
      <c r="A193" s="200" t="str">
        <f>"0496002595734"</f>
        <v>0496002595734</v>
      </c>
      <c r="B193" s="200">
        <v>1</v>
      </c>
      <c r="C193" s="200" t="s">
        <v>435</v>
      </c>
      <c r="D193" s="200">
        <v>81</v>
      </c>
      <c r="E193" s="200">
        <v>81</v>
      </c>
      <c r="F193" s="200" t="s">
        <v>243</v>
      </c>
      <c r="G193" s="200">
        <v>2086</v>
      </c>
      <c r="H193" s="200" t="s">
        <v>270</v>
      </c>
      <c r="I193" s="200">
        <v>62924</v>
      </c>
      <c r="J193" s="201">
        <v>42638</v>
      </c>
      <c r="K193" s="202">
        <v>0.32430555555555557</v>
      </c>
      <c r="L193" s="201">
        <v>42640</v>
      </c>
      <c r="M193" s="200" t="s">
        <v>271</v>
      </c>
      <c r="N193" s="200" t="s">
        <v>272</v>
      </c>
      <c r="O193" s="200" t="s">
        <v>273</v>
      </c>
      <c r="P193" s="200" t="s">
        <v>274</v>
      </c>
      <c r="Q193" s="200" t="s">
        <v>275</v>
      </c>
      <c r="R193" s="200" t="s">
        <v>276</v>
      </c>
      <c r="S193" s="200" t="s">
        <v>436</v>
      </c>
      <c r="T193" s="200" t="s">
        <v>435</v>
      </c>
      <c r="U193" s="200">
        <v>2086</v>
      </c>
      <c r="V193" s="200" t="s">
        <v>435</v>
      </c>
      <c r="W193" s="200" t="s">
        <v>280</v>
      </c>
      <c r="X193" s="200">
        <v>10.124000000000001</v>
      </c>
      <c r="Y193" s="203">
        <v>-0.2</v>
      </c>
      <c r="Z193" s="203">
        <v>2.17</v>
      </c>
      <c r="AA193" s="203">
        <v>21.96</v>
      </c>
      <c r="AB193" s="203">
        <v>-1.85</v>
      </c>
      <c r="AC193" s="203">
        <v>0</v>
      </c>
      <c r="AD193" s="203">
        <v>0</v>
      </c>
      <c r="AE193" s="203">
        <v>19.91</v>
      </c>
      <c r="AF193" s="203">
        <v>-2.4300000000000002</v>
      </c>
      <c r="AG193" s="200" t="s">
        <v>279</v>
      </c>
      <c r="AH193" s="203">
        <v>0</v>
      </c>
      <c r="AI193" s="200" t="s">
        <v>279</v>
      </c>
      <c r="AJ193" s="203">
        <v>0</v>
      </c>
      <c r="AK193" s="200" t="s">
        <v>279</v>
      </c>
      <c r="AL193" s="203">
        <v>0</v>
      </c>
      <c r="AM193" s="200" t="s">
        <v>279</v>
      </c>
      <c r="AN193" s="203">
        <v>0</v>
      </c>
      <c r="AO193" s="200" t="s">
        <v>279</v>
      </c>
      <c r="AP193" s="203">
        <v>0</v>
      </c>
      <c r="AQ193" s="203">
        <v>21.96</v>
      </c>
      <c r="AR193" s="203">
        <v>0</v>
      </c>
      <c r="AS193" s="200" t="str">
        <f t="shared" si="2"/>
        <v>1.00000000</v>
      </c>
      <c r="AT193" s="200" t="str">
        <f>"16.1"</f>
        <v>16.1</v>
      </c>
      <c r="AU193" s="203">
        <v>0</v>
      </c>
    </row>
    <row r="194" spans="1:47" x14ac:dyDescent="0.2">
      <c r="A194" s="200" t="str">
        <f>"0496002595734"</f>
        <v>0496002595734</v>
      </c>
      <c r="B194" s="200">
        <v>2</v>
      </c>
      <c r="C194" s="200" t="s">
        <v>435</v>
      </c>
      <c r="D194" s="200">
        <v>80</v>
      </c>
      <c r="E194" s="200">
        <v>80</v>
      </c>
      <c r="F194" s="200" t="s">
        <v>243</v>
      </c>
      <c r="G194" s="200">
        <v>2086</v>
      </c>
      <c r="H194" s="200" t="s">
        <v>270</v>
      </c>
      <c r="I194" s="200">
        <v>68531</v>
      </c>
      <c r="J194" s="201">
        <v>42638</v>
      </c>
      <c r="K194" s="202">
        <v>0.35902777777777778</v>
      </c>
      <c r="L194" s="201">
        <v>42640</v>
      </c>
      <c r="M194" s="200" t="s">
        <v>271</v>
      </c>
      <c r="N194" s="200" t="s">
        <v>744</v>
      </c>
      <c r="O194" s="200" t="s">
        <v>745</v>
      </c>
      <c r="P194" s="200" t="s">
        <v>746</v>
      </c>
      <c r="Q194" s="200" t="s">
        <v>275</v>
      </c>
      <c r="R194" s="200" t="s">
        <v>747</v>
      </c>
      <c r="S194" s="200" t="s">
        <v>436</v>
      </c>
      <c r="T194" s="200" t="s">
        <v>435</v>
      </c>
      <c r="U194" s="200">
        <v>2086</v>
      </c>
      <c r="V194" s="200" t="s">
        <v>435</v>
      </c>
      <c r="W194" s="200" t="s">
        <v>280</v>
      </c>
      <c r="X194" s="200">
        <v>9.74</v>
      </c>
      <c r="Y194" s="203">
        <v>-0.19</v>
      </c>
      <c r="Z194" s="203">
        <v>2.08</v>
      </c>
      <c r="AA194" s="203">
        <v>20.25</v>
      </c>
      <c r="AB194" s="203">
        <v>-1.78</v>
      </c>
      <c r="AC194" s="203">
        <v>0</v>
      </c>
      <c r="AD194" s="203">
        <v>0</v>
      </c>
      <c r="AE194" s="203">
        <v>18.28</v>
      </c>
      <c r="AF194" s="203">
        <v>-2.34</v>
      </c>
      <c r="AG194" s="200" t="s">
        <v>279</v>
      </c>
      <c r="AH194" s="203">
        <v>0</v>
      </c>
      <c r="AI194" s="200" t="s">
        <v>279</v>
      </c>
      <c r="AJ194" s="203">
        <v>0</v>
      </c>
      <c r="AK194" s="200" t="s">
        <v>279</v>
      </c>
      <c r="AL194" s="203">
        <v>0</v>
      </c>
      <c r="AM194" s="200" t="s">
        <v>279</v>
      </c>
      <c r="AN194" s="203">
        <v>0</v>
      </c>
      <c r="AO194" s="200" t="s">
        <v>279</v>
      </c>
      <c r="AP194" s="203">
        <v>0</v>
      </c>
      <c r="AQ194" s="203">
        <v>20.25</v>
      </c>
      <c r="AR194" s="203">
        <v>0</v>
      </c>
      <c r="AS194" s="200" t="str">
        <f t="shared" ref="AS194:AS257" si="3">"1.00000000"</f>
        <v>1.00000000</v>
      </c>
      <c r="AT194" s="200" t="str">
        <f>"38.1"</f>
        <v>38.1</v>
      </c>
      <c r="AU194" s="203">
        <v>0</v>
      </c>
    </row>
    <row r="195" spans="1:47" x14ac:dyDescent="0.2">
      <c r="A195" s="200" t="str">
        <f>"0496002595734"</f>
        <v>0496002595734</v>
      </c>
      <c r="B195" s="200">
        <v>1</v>
      </c>
      <c r="C195" s="200" t="s">
        <v>435</v>
      </c>
      <c r="D195" s="200">
        <v>81</v>
      </c>
      <c r="E195" s="200">
        <v>81</v>
      </c>
      <c r="F195" s="200" t="s">
        <v>243</v>
      </c>
      <c r="G195" s="200">
        <v>2086</v>
      </c>
      <c r="H195" s="200" t="s">
        <v>270</v>
      </c>
      <c r="I195" s="200">
        <v>63174</v>
      </c>
      <c r="J195" s="201">
        <v>42639</v>
      </c>
      <c r="K195" s="202">
        <v>0.65972222222222221</v>
      </c>
      <c r="L195" s="201">
        <v>42641</v>
      </c>
      <c r="M195" s="200" t="s">
        <v>271</v>
      </c>
      <c r="N195" s="200" t="s">
        <v>272</v>
      </c>
      <c r="O195" s="200" t="s">
        <v>273</v>
      </c>
      <c r="P195" s="200" t="s">
        <v>274</v>
      </c>
      <c r="Q195" s="200" t="s">
        <v>275</v>
      </c>
      <c r="R195" s="200" t="s">
        <v>276</v>
      </c>
      <c r="S195" s="200" t="s">
        <v>436</v>
      </c>
      <c r="T195" s="200" t="s">
        <v>435</v>
      </c>
      <c r="U195" s="200">
        <v>2086</v>
      </c>
      <c r="V195" s="200" t="s">
        <v>435</v>
      </c>
      <c r="W195" s="200" t="s">
        <v>280</v>
      </c>
      <c r="X195" s="200">
        <v>10.525</v>
      </c>
      <c r="Y195" s="203">
        <v>-0.21</v>
      </c>
      <c r="Z195" s="203">
        <v>2.19</v>
      </c>
      <c r="AA195" s="203">
        <v>23.04</v>
      </c>
      <c r="AB195" s="203">
        <v>-1.93</v>
      </c>
      <c r="AC195" s="203">
        <v>0</v>
      </c>
      <c r="AD195" s="203">
        <v>0</v>
      </c>
      <c r="AE195" s="203">
        <v>20.9</v>
      </c>
      <c r="AF195" s="203">
        <v>-2.5299999999999998</v>
      </c>
      <c r="AG195" s="200" t="s">
        <v>279</v>
      </c>
      <c r="AH195" s="203">
        <v>0</v>
      </c>
      <c r="AI195" s="200" t="s">
        <v>279</v>
      </c>
      <c r="AJ195" s="203">
        <v>0</v>
      </c>
      <c r="AK195" s="200" t="s">
        <v>279</v>
      </c>
      <c r="AL195" s="203">
        <v>0</v>
      </c>
      <c r="AM195" s="200" t="s">
        <v>279</v>
      </c>
      <c r="AN195" s="203">
        <v>0</v>
      </c>
      <c r="AO195" s="200" t="s">
        <v>279</v>
      </c>
      <c r="AP195" s="203">
        <v>0</v>
      </c>
      <c r="AQ195" s="203">
        <v>23.04</v>
      </c>
      <c r="AR195" s="203">
        <v>0</v>
      </c>
      <c r="AS195" s="200" t="str">
        <f t="shared" si="3"/>
        <v>1.00000000</v>
      </c>
      <c r="AT195" s="200" t="str">
        <f>"23.8"</f>
        <v>23.8</v>
      </c>
      <c r="AU195" s="203">
        <v>0</v>
      </c>
    </row>
    <row r="196" spans="1:47" x14ac:dyDescent="0.2">
      <c r="A196" s="200" t="str">
        <f>"0496002595734"</f>
        <v>0496002595734</v>
      </c>
      <c r="B196" s="200">
        <v>2</v>
      </c>
      <c r="C196" s="200" t="s">
        <v>435</v>
      </c>
      <c r="D196" s="200">
        <v>80</v>
      </c>
      <c r="E196" s="200">
        <v>80</v>
      </c>
      <c r="F196" s="200" t="s">
        <v>243</v>
      </c>
      <c r="G196" s="200">
        <v>2086</v>
      </c>
      <c r="H196" s="200" t="s">
        <v>270</v>
      </c>
      <c r="I196" s="200">
        <v>68899</v>
      </c>
      <c r="J196" s="201">
        <v>42639</v>
      </c>
      <c r="K196" s="202">
        <v>0.38894675925925926</v>
      </c>
      <c r="L196" s="201">
        <v>42641</v>
      </c>
      <c r="M196" s="200" t="s">
        <v>340</v>
      </c>
      <c r="N196" s="200" t="s">
        <v>341</v>
      </c>
      <c r="O196" s="200" t="s">
        <v>342</v>
      </c>
      <c r="P196" s="200" t="s">
        <v>343</v>
      </c>
      <c r="Q196" s="200" t="s">
        <v>275</v>
      </c>
      <c r="R196" s="200">
        <v>1035</v>
      </c>
      <c r="S196" s="200" t="s">
        <v>436</v>
      </c>
      <c r="T196" s="200" t="s">
        <v>435</v>
      </c>
      <c r="U196" s="200">
        <v>2086</v>
      </c>
      <c r="V196" s="200" t="s">
        <v>435</v>
      </c>
      <c r="W196" s="200" t="s">
        <v>335</v>
      </c>
      <c r="X196" s="200">
        <v>10.78</v>
      </c>
      <c r="Y196" s="203">
        <v>0</v>
      </c>
      <c r="Z196" s="203">
        <v>2.31</v>
      </c>
      <c r="AA196" s="203">
        <v>24.89</v>
      </c>
      <c r="AB196" s="203">
        <v>-1.97</v>
      </c>
      <c r="AC196" s="203">
        <v>0</v>
      </c>
      <c r="AD196" s="203">
        <v>0</v>
      </c>
      <c r="AE196" s="203">
        <v>22.92</v>
      </c>
      <c r="AF196" s="203">
        <v>-2.59</v>
      </c>
      <c r="AG196" s="200" t="s">
        <v>279</v>
      </c>
      <c r="AH196" s="203">
        <v>0</v>
      </c>
      <c r="AI196" s="200" t="s">
        <v>279</v>
      </c>
      <c r="AJ196" s="203">
        <v>0</v>
      </c>
      <c r="AK196" s="200" t="s">
        <v>279</v>
      </c>
      <c r="AL196" s="203">
        <v>0</v>
      </c>
      <c r="AM196" s="200" t="s">
        <v>279</v>
      </c>
      <c r="AN196" s="203">
        <v>0</v>
      </c>
      <c r="AO196" s="200" t="s">
        <v>279</v>
      </c>
      <c r="AP196" s="203">
        <v>0</v>
      </c>
      <c r="AQ196" s="203">
        <v>24.89</v>
      </c>
      <c r="AR196" s="203">
        <v>0</v>
      </c>
      <c r="AS196" s="200" t="str">
        <f t="shared" si="3"/>
        <v>1.00000000</v>
      </c>
      <c r="AT196" s="200" t="str">
        <f>"34.1"</f>
        <v>34.1</v>
      </c>
      <c r="AU196" s="203">
        <v>0</v>
      </c>
    </row>
    <row r="197" spans="1:47" x14ac:dyDescent="0.2">
      <c r="A197" s="200" t="str">
        <f>"0496002595734"</f>
        <v>0496002595734</v>
      </c>
      <c r="B197" s="200">
        <v>3</v>
      </c>
      <c r="C197" s="200" t="s">
        <v>435</v>
      </c>
      <c r="D197" s="200">
        <v>82</v>
      </c>
      <c r="E197" s="200">
        <v>82</v>
      </c>
      <c r="F197" s="200" t="s">
        <v>243</v>
      </c>
      <c r="G197" s="200">
        <v>2086</v>
      </c>
      <c r="H197" s="200" t="s">
        <v>270</v>
      </c>
      <c r="I197" s="200">
        <v>50795</v>
      </c>
      <c r="J197" s="201">
        <v>42639</v>
      </c>
      <c r="K197" s="202">
        <v>0.41180555555555554</v>
      </c>
      <c r="L197" s="201">
        <v>42641</v>
      </c>
      <c r="M197" s="200" t="s">
        <v>271</v>
      </c>
      <c r="N197" s="200" t="s">
        <v>272</v>
      </c>
      <c r="O197" s="200" t="s">
        <v>273</v>
      </c>
      <c r="P197" s="200" t="s">
        <v>274</v>
      </c>
      <c r="Q197" s="200" t="s">
        <v>275</v>
      </c>
      <c r="R197" s="200" t="s">
        <v>276</v>
      </c>
      <c r="S197" s="200" t="s">
        <v>436</v>
      </c>
      <c r="T197" s="200" t="s">
        <v>435</v>
      </c>
      <c r="U197" s="200">
        <v>2086</v>
      </c>
      <c r="V197" s="200" t="s">
        <v>435</v>
      </c>
      <c r="W197" s="200" t="s">
        <v>280</v>
      </c>
      <c r="X197" s="200">
        <v>15.26</v>
      </c>
      <c r="Y197" s="203">
        <v>-0.31</v>
      </c>
      <c r="Z197" s="203">
        <v>2.17</v>
      </c>
      <c r="AA197" s="203">
        <v>33.1</v>
      </c>
      <c r="AB197" s="203">
        <v>-2.79</v>
      </c>
      <c r="AC197" s="203">
        <v>0</v>
      </c>
      <c r="AD197" s="203">
        <v>0</v>
      </c>
      <c r="AE197" s="203">
        <v>30</v>
      </c>
      <c r="AF197" s="203">
        <v>-3.66</v>
      </c>
      <c r="AG197" s="200" t="s">
        <v>279</v>
      </c>
      <c r="AH197" s="203">
        <v>0</v>
      </c>
      <c r="AI197" s="200" t="s">
        <v>279</v>
      </c>
      <c r="AJ197" s="203">
        <v>0</v>
      </c>
      <c r="AK197" s="200" t="s">
        <v>279</v>
      </c>
      <c r="AL197" s="203">
        <v>0</v>
      </c>
      <c r="AM197" s="200" t="s">
        <v>279</v>
      </c>
      <c r="AN197" s="203">
        <v>0</v>
      </c>
      <c r="AO197" s="200" t="s">
        <v>279</v>
      </c>
      <c r="AP197" s="203">
        <v>0</v>
      </c>
      <c r="AQ197" s="203">
        <v>33.1</v>
      </c>
      <c r="AR197" s="203">
        <v>0</v>
      </c>
      <c r="AS197" s="200" t="str">
        <f t="shared" si="3"/>
        <v>1.00000000</v>
      </c>
      <c r="AT197" s="200" t="str">
        <f>"19.3"</f>
        <v>19.3</v>
      </c>
      <c r="AU197" s="203">
        <v>0</v>
      </c>
    </row>
    <row r="198" spans="1:47" x14ac:dyDescent="0.2">
      <c r="A198" s="200" t="str">
        <f>"0496002595742"</f>
        <v>0496002595742</v>
      </c>
      <c r="B198" s="200">
        <v>1</v>
      </c>
      <c r="C198" s="200" t="s">
        <v>569</v>
      </c>
      <c r="D198" s="200">
        <v>84</v>
      </c>
      <c r="E198" s="200">
        <v>84</v>
      </c>
      <c r="F198" s="200" t="s">
        <v>243</v>
      </c>
      <c r="G198" s="200">
        <v>5823</v>
      </c>
      <c r="H198" s="200" t="s">
        <v>270</v>
      </c>
      <c r="I198" s="200">
        <v>22602</v>
      </c>
      <c r="J198" s="201">
        <v>42639</v>
      </c>
      <c r="K198" s="202">
        <v>0.59305555555555556</v>
      </c>
      <c r="L198" s="201">
        <v>42641</v>
      </c>
      <c r="M198" s="200" t="s">
        <v>271</v>
      </c>
      <c r="N198" s="200" t="s">
        <v>272</v>
      </c>
      <c r="O198" s="200" t="s">
        <v>273</v>
      </c>
      <c r="P198" s="200" t="s">
        <v>274</v>
      </c>
      <c r="Q198" s="200" t="s">
        <v>275</v>
      </c>
      <c r="R198" s="200" t="s">
        <v>276</v>
      </c>
      <c r="S198" s="200" t="s">
        <v>436</v>
      </c>
      <c r="T198" s="200" t="s">
        <v>569</v>
      </c>
      <c r="U198" s="200">
        <v>5823</v>
      </c>
      <c r="V198" s="200" t="s">
        <v>569</v>
      </c>
      <c r="W198" s="200" t="s">
        <v>280</v>
      </c>
      <c r="X198" s="200">
        <v>15.772</v>
      </c>
      <c r="Y198" s="203">
        <v>-0.32</v>
      </c>
      <c r="Z198" s="203">
        <v>2.17</v>
      </c>
      <c r="AA198" s="203">
        <v>34.21</v>
      </c>
      <c r="AB198" s="203">
        <v>-2.89</v>
      </c>
      <c r="AC198" s="203">
        <v>0</v>
      </c>
      <c r="AD198" s="203">
        <v>0</v>
      </c>
      <c r="AE198" s="203">
        <v>31</v>
      </c>
      <c r="AF198" s="203">
        <v>-3.79</v>
      </c>
      <c r="AG198" s="200" t="s">
        <v>279</v>
      </c>
      <c r="AH198" s="203">
        <v>0</v>
      </c>
      <c r="AI198" s="200" t="s">
        <v>279</v>
      </c>
      <c r="AJ198" s="203">
        <v>0</v>
      </c>
      <c r="AK198" s="200" t="s">
        <v>279</v>
      </c>
      <c r="AL198" s="203">
        <v>0</v>
      </c>
      <c r="AM198" s="200" t="s">
        <v>279</v>
      </c>
      <c r="AN198" s="203">
        <v>0</v>
      </c>
      <c r="AO198" s="200" t="s">
        <v>279</v>
      </c>
      <c r="AP198" s="203">
        <v>0</v>
      </c>
      <c r="AQ198" s="203">
        <v>34.21</v>
      </c>
      <c r="AR198" s="203">
        <v>0</v>
      </c>
      <c r="AS198" s="200" t="str">
        <f t="shared" si="3"/>
        <v>1.00000000</v>
      </c>
      <c r="AT198" s="200" t="str">
        <f>"0.0"</f>
        <v>0.0</v>
      </c>
      <c r="AU198" s="203">
        <v>0</v>
      </c>
    </row>
    <row r="199" spans="1:47" x14ac:dyDescent="0.2">
      <c r="A199" s="200" t="str">
        <f>"0496002595809"</f>
        <v>0496002595809</v>
      </c>
      <c r="B199" s="200">
        <v>1</v>
      </c>
      <c r="C199" s="200" t="s">
        <v>570</v>
      </c>
      <c r="D199" s="200">
        <v>2003</v>
      </c>
      <c r="E199" s="200">
        <v>2003</v>
      </c>
      <c r="F199" s="200" t="s">
        <v>243</v>
      </c>
      <c r="G199" s="200">
        <v>2233</v>
      </c>
      <c r="H199" s="200" t="s">
        <v>270</v>
      </c>
      <c r="I199" s="200">
        <v>159</v>
      </c>
      <c r="J199" s="201">
        <v>42639</v>
      </c>
      <c r="K199" s="202">
        <v>0.64374999999999993</v>
      </c>
      <c r="L199" s="201">
        <v>42641</v>
      </c>
      <c r="M199" s="200" t="s">
        <v>271</v>
      </c>
      <c r="N199" s="200" t="s">
        <v>272</v>
      </c>
      <c r="O199" s="200" t="s">
        <v>273</v>
      </c>
      <c r="P199" s="200" t="s">
        <v>274</v>
      </c>
      <c r="Q199" s="200" t="s">
        <v>275</v>
      </c>
      <c r="R199" s="200" t="s">
        <v>276</v>
      </c>
      <c r="S199" s="200" t="s">
        <v>436</v>
      </c>
      <c r="T199" s="200" t="s">
        <v>570</v>
      </c>
      <c r="U199" s="200">
        <v>2233</v>
      </c>
      <c r="V199" s="200" t="s">
        <v>570</v>
      </c>
      <c r="W199" s="200" t="s">
        <v>280</v>
      </c>
      <c r="X199" s="200">
        <v>9.0410000000000004</v>
      </c>
      <c r="Y199" s="203">
        <v>-0.18</v>
      </c>
      <c r="Z199" s="203">
        <v>2.19</v>
      </c>
      <c r="AA199" s="203">
        <v>19.8</v>
      </c>
      <c r="AB199" s="203">
        <v>-1.65</v>
      </c>
      <c r="AC199" s="203">
        <v>0</v>
      </c>
      <c r="AD199" s="203">
        <v>0</v>
      </c>
      <c r="AE199" s="203">
        <v>17.97</v>
      </c>
      <c r="AF199" s="203">
        <v>-2.17</v>
      </c>
      <c r="AG199" s="200" t="s">
        <v>279</v>
      </c>
      <c r="AH199" s="203">
        <v>0</v>
      </c>
      <c r="AI199" s="200" t="s">
        <v>279</v>
      </c>
      <c r="AJ199" s="203">
        <v>0</v>
      </c>
      <c r="AK199" s="200" t="s">
        <v>279</v>
      </c>
      <c r="AL199" s="203">
        <v>0</v>
      </c>
      <c r="AM199" s="200" t="s">
        <v>279</v>
      </c>
      <c r="AN199" s="203">
        <v>0</v>
      </c>
      <c r="AO199" s="200" t="s">
        <v>279</v>
      </c>
      <c r="AP199" s="203">
        <v>0</v>
      </c>
      <c r="AQ199" s="203">
        <v>19.8</v>
      </c>
      <c r="AR199" s="203">
        <v>0</v>
      </c>
      <c r="AS199" s="200" t="str">
        <f t="shared" si="3"/>
        <v>1.00000000</v>
      </c>
      <c r="AT199" s="200" t="str">
        <f>"0.0"</f>
        <v>0.0</v>
      </c>
      <c r="AU199" s="203">
        <v>0</v>
      </c>
    </row>
    <row r="200" spans="1:47" x14ac:dyDescent="0.2">
      <c r="A200" s="200" t="str">
        <f>"0496002595700"</f>
        <v>0496002595700</v>
      </c>
      <c r="B200" s="200">
        <v>1</v>
      </c>
      <c r="C200" s="200" t="s">
        <v>156</v>
      </c>
      <c r="D200" s="200" t="s">
        <v>269</v>
      </c>
      <c r="E200" s="200" t="s">
        <v>269</v>
      </c>
      <c r="F200" s="200" t="s">
        <v>243</v>
      </c>
      <c r="G200" s="200">
        <v>2262</v>
      </c>
      <c r="H200" s="200" t="s">
        <v>270</v>
      </c>
      <c r="I200" s="200">
        <v>7754</v>
      </c>
      <c r="J200" s="201">
        <v>42640</v>
      </c>
      <c r="K200" s="202">
        <v>0.85069444444444453</v>
      </c>
      <c r="L200" s="201">
        <v>42642</v>
      </c>
      <c r="M200" s="200" t="s">
        <v>271</v>
      </c>
      <c r="N200" s="200" t="s">
        <v>272</v>
      </c>
      <c r="O200" s="200" t="s">
        <v>273</v>
      </c>
      <c r="P200" s="200" t="s">
        <v>274</v>
      </c>
      <c r="Q200" s="200" t="s">
        <v>275</v>
      </c>
      <c r="R200" s="200" t="s">
        <v>276</v>
      </c>
      <c r="S200" s="200" t="s">
        <v>156</v>
      </c>
      <c r="T200" s="200" t="s">
        <v>277</v>
      </c>
      <c r="U200" s="200">
        <v>2262</v>
      </c>
      <c r="V200" s="200" t="s">
        <v>156</v>
      </c>
      <c r="W200" s="200" t="s">
        <v>278</v>
      </c>
      <c r="X200" s="200">
        <v>6.9119999999999999</v>
      </c>
      <c r="Y200" s="203">
        <v>-0.14000000000000001</v>
      </c>
      <c r="Z200" s="203">
        <v>2.62</v>
      </c>
      <c r="AA200" s="203">
        <v>18.11</v>
      </c>
      <c r="AB200" s="203">
        <v>-1.26</v>
      </c>
      <c r="AC200" s="203">
        <v>0</v>
      </c>
      <c r="AD200" s="203">
        <v>0</v>
      </c>
      <c r="AE200" s="203">
        <v>16.71</v>
      </c>
      <c r="AF200" s="203">
        <v>-1.66</v>
      </c>
      <c r="AG200" s="200" t="s">
        <v>279</v>
      </c>
      <c r="AH200" s="203">
        <v>0</v>
      </c>
      <c r="AI200" s="200" t="s">
        <v>279</v>
      </c>
      <c r="AJ200" s="203">
        <v>0</v>
      </c>
      <c r="AK200" s="200" t="s">
        <v>279</v>
      </c>
      <c r="AL200" s="203">
        <v>0</v>
      </c>
      <c r="AM200" s="200" t="s">
        <v>279</v>
      </c>
      <c r="AN200" s="203">
        <v>0</v>
      </c>
      <c r="AO200" s="200" t="s">
        <v>279</v>
      </c>
      <c r="AP200" s="203">
        <v>0</v>
      </c>
      <c r="AQ200" s="203">
        <v>18.11</v>
      </c>
      <c r="AR200" s="203">
        <v>0</v>
      </c>
      <c r="AS200" s="200" t="str">
        <f t="shared" si="3"/>
        <v>1.00000000</v>
      </c>
      <c r="AT200" s="200" t="str">
        <f>"70.8"</f>
        <v>70.8</v>
      </c>
      <c r="AU200" s="203">
        <v>0</v>
      </c>
    </row>
    <row r="201" spans="1:47" x14ac:dyDescent="0.2">
      <c r="A201" s="200" t="str">
        <f>"0496002595700"</f>
        <v>0496002595700</v>
      </c>
      <c r="B201" s="200">
        <v>5</v>
      </c>
      <c r="C201" s="200" t="s">
        <v>156</v>
      </c>
      <c r="D201" s="200">
        <v>86</v>
      </c>
      <c r="E201" s="200">
        <v>86</v>
      </c>
      <c r="F201" s="200" t="s">
        <v>243</v>
      </c>
      <c r="G201" s="200">
        <v>2262</v>
      </c>
      <c r="H201" s="200" t="s">
        <v>270</v>
      </c>
      <c r="I201" s="200">
        <v>7076</v>
      </c>
      <c r="J201" s="201">
        <v>42640</v>
      </c>
      <c r="K201" s="202">
        <v>0.67222222222222217</v>
      </c>
      <c r="L201" s="201">
        <v>42642</v>
      </c>
      <c r="M201" s="200" t="s">
        <v>271</v>
      </c>
      <c r="N201" s="200" t="s">
        <v>272</v>
      </c>
      <c r="O201" s="200" t="s">
        <v>273</v>
      </c>
      <c r="P201" s="200" t="s">
        <v>274</v>
      </c>
      <c r="Q201" s="200" t="s">
        <v>275</v>
      </c>
      <c r="R201" s="200" t="s">
        <v>276</v>
      </c>
      <c r="S201" s="200" t="s">
        <v>156</v>
      </c>
      <c r="T201" s="200" t="s">
        <v>277</v>
      </c>
      <c r="U201" s="200">
        <v>2262</v>
      </c>
      <c r="V201" s="200" t="s">
        <v>156</v>
      </c>
      <c r="W201" s="200" t="s">
        <v>278</v>
      </c>
      <c r="X201" s="200">
        <v>13.141999999999999</v>
      </c>
      <c r="Y201" s="203">
        <v>-0.26</v>
      </c>
      <c r="Z201" s="203">
        <v>2.62</v>
      </c>
      <c r="AA201" s="203">
        <v>34.42</v>
      </c>
      <c r="AB201" s="203">
        <v>-2.4</v>
      </c>
      <c r="AC201" s="203">
        <v>0</v>
      </c>
      <c r="AD201" s="203">
        <v>0</v>
      </c>
      <c r="AE201" s="203">
        <v>31.76</v>
      </c>
      <c r="AF201" s="203">
        <v>-3.15</v>
      </c>
      <c r="AG201" s="200" t="s">
        <v>279</v>
      </c>
      <c r="AH201" s="203">
        <v>0</v>
      </c>
      <c r="AI201" s="200" t="s">
        <v>279</v>
      </c>
      <c r="AJ201" s="203">
        <v>0</v>
      </c>
      <c r="AK201" s="200" t="s">
        <v>279</v>
      </c>
      <c r="AL201" s="203">
        <v>0</v>
      </c>
      <c r="AM201" s="200" t="s">
        <v>279</v>
      </c>
      <c r="AN201" s="203">
        <v>0</v>
      </c>
      <c r="AO201" s="200" t="s">
        <v>279</v>
      </c>
      <c r="AP201" s="203">
        <v>0</v>
      </c>
      <c r="AQ201" s="203">
        <v>34.42</v>
      </c>
      <c r="AR201" s="203">
        <v>0</v>
      </c>
      <c r="AS201" s="200" t="str">
        <f t="shared" si="3"/>
        <v>1.00000000</v>
      </c>
      <c r="AT201" s="200" t="str">
        <f>"17.7"</f>
        <v>17.7</v>
      </c>
      <c r="AU201" s="203">
        <v>0</v>
      </c>
    </row>
    <row r="202" spans="1:47" x14ac:dyDescent="0.2">
      <c r="A202" s="200" t="str">
        <f>"0496002595700"</f>
        <v>0496002595700</v>
      </c>
      <c r="B202" s="200">
        <v>6</v>
      </c>
      <c r="C202" s="200" t="s">
        <v>156</v>
      </c>
      <c r="D202" s="200" t="s">
        <v>344</v>
      </c>
      <c r="E202" s="200" t="s">
        <v>345</v>
      </c>
      <c r="F202" s="200" t="s">
        <v>243</v>
      </c>
      <c r="G202" s="200">
        <v>2262</v>
      </c>
      <c r="H202" s="200" t="s">
        <v>270</v>
      </c>
      <c r="I202" s="200">
        <v>55000</v>
      </c>
      <c r="J202" s="201">
        <v>42640</v>
      </c>
      <c r="K202" s="202">
        <v>0.40138888888888885</v>
      </c>
      <c r="L202" s="201">
        <v>42642</v>
      </c>
      <c r="M202" s="200" t="s">
        <v>271</v>
      </c>
      <c r="N202" s="200" t="s">
        <v>272</v>
      </c>
      <c r="O202" s="200" t="s">
        <v>273</v>
      </c>
      <c r="P202" s="200" t="s">
        <v>274</v>
      </c>
      <c r="Q202" s="200" t="s">
        <v>275</v>
      </c>
      <c r="R202" s="200" t="s">
        <v>276</v>
      </c>
      <c r="S202" s="200" t="s">
        <v>156</v>
      </c>
      <c r="T202" s="200" t="s">
        <v>277</v>
      </c>
      <c r="U202" s="200">
        <v>2262</v>
      </c>
      <c r="V202" s="200" t="s">
        <v>156</v>
      </c>
      <c r="W202" s="200" t="s">
        <v>335</v>
      </c>
      <c r="X202" s="200">
        <v>9.9079999999999995</v>
      </c>
      <c r="Y202" s="203">
        <v>-0.2</v>
      </c>
      <c r="Z202" s="203">
        <v>2.4</v>
      </c>
      <c r="AA202" s="203">
        <v>23.77</v>
      </c>
      <c r="AB202" s="203">
        <v>-1.81</v>
      </c>
      <c r="AC202" s="203">
        <v>0</v>
      </c>
      <c r="AD202" s="203">
        <v>0</v>
      </c>
      <c r="AE202" s="203">
        <v>21.76</v>
      </c>
      <c r="AF202" s="203">
        <v>-2.38</v>
      </c>
      <c r="AG202" s="200" t="s">
        <v>279</v>
      </c>
      <c r="AH202" s="203">
        <v>0</v>
      </c>
      <c r="AI202" s="200" t="s">
        <v>279</v>
      </c>
      <c r="AJ202" s="203">
        <v>0</v>
      </c>
      <c r="AK202" s="200" t="s">
        <v>279</v>
      </c>
      <c r="AL202" s="203">
        <v>0</v>
      </c>
      <c r="AM202" s="200" t="s">
        <v>279</v>
      </c>
      <c r="AN202" s="203">
        <v>0</v>
      </c>
      <c r="AO202" s="200" t="s">
        <v>279</v>
      </c>
      <c r="AP202" s="203">
        <v>0</v>
      </c>
      <c r="AQ202" s="203">
        <v>23.77</v>
      </c>
      <c r="AR202" s="203">
        <v>0</v>
      </c>
      <c r="AS202" s="200" t="str">
        <f t="shared" si="3"/>
        <v>1.00000000</v>
      </c>
      <c r="AT202" s="200" t="str">
        <f>"27.4"</f>
        <v>27.4</v>
      </c>
      <c r="AU202" s="203">
        <v>0</v>
      </c>
    </row>
    <row r="203" spans="1:47" x14ac:dyDescent="0.2">
      <c r="A203" s="200" t="str">
        <f>"0496002595700"</f>
        <v>0496002595700</v>
      </c>
      <c r="B203" s="200">
        <v>7</v>
      </c>
      <c r="C203" s="200" t="s">
        <v>156</v>
      </c>
      <c r="D203" s="200" t="s">
        <v>371</v>
      </c>
      <c r="E203" s="200">
        <v>45</v>
      </c>
      <c r="F203" s="200" t="s">
        <v>243</v>
      </c>
      <c r="G203" s="200">
        <v>2262</v>
      </c>
      <c r="H203" s="200" t="s">
        <v>270</v>
      </c>
      <c r="I203" s="200">
        <v>16473</v>
      </c>
      <c r="J203" s="201">
        <v>42640</v>
      </c>
      <c r="K203" s="202">
        <v>0.92847222222222225</v>
      </c>
      <c r="L203" s="201">
        <v>42642</v>
      </c>
      <c r="M203" s="200" t="s">
        <v>294</v>
      </c>
      <c r="N203" s="200" t="s">
        <v>379</v>
      </c>
      <c r="O203" s="200" t="s">
        <v>471</v>
      </c>
      <c r="P203" s="200" t="s">
        <v>389</v>
      </c>
      <c r="Q203" s="200" t="s">
        <v>275</v>
      </c>
      <c r="R203" s="200">
        <v>1364</v>
      </c>
      <c r="S203" s="200" t="s">
        <v>156</v>
      </c>
      <c r="T203" s="200" t="s">
        <v>277</v>
      </c>
      <c r="U203" s="200">
        <v>2262</v>
      </c>
      <c r="V203" s="200" t="s">
        <v>156</v>
      </c>
      <c r="W203" s="200" t="s">
        <v>280</v>
      </c>
      <c r="X203" s="200">
        <v>16.920000000000002</v>
      </c>
      <c r="Y203" s="203">
        <v>0</v>
      </c>
      <c r="Z203" s="203">
        <v>2.2000000000000002</v>
      </c>
      <c r="AA203" s="203">
        <v>37.22</v>
      </c>
      <c r="AB203" s="203">
        <v>-3.1</v>
      </c>
      <c r="AC203" s="203">
        <v>0</v>
      </c>
      <c r="AD203" s="203">
        <v>0</v>
      </c>
      <c r="AE203" s="203">
        <v>34.119999999999997</v>
      </c>
      <c r="AF203" s="203">
        <v>-4.0599999999999996</v>
      </c>
      <c r="AG203" s="200" t="s">
        <v>279</v>
      </c>
      <c r="AH203" s="203">
        <v>0</v>
      </c>
      <c r="AI203" s="200" t="s">
        <v>279</v>
      </c>
      <c r="AJ203" s="203">
        <v>0</v>
      </c>
      <c r="AK203" s="200" t="s">
        <v>279</v>
      </c>
      <c r="AL203" s="203">
        <v>0</v>
      </c>
      <c r="AM203" s="200" t="s">
        <v>279</v>
      </c>
      <c r="AN203" s="203">
        <v>0</v>
      </c>
      <c r="AO203" s="200" t="s">
        <v>279</v>
      </c>
      <c r="AP203" s="203">
        <v>0</v>
      </c>
      <c r="AQ203" s="203">
        <v>37.22</v>
      </c>
      <c r="AR203" s="203">
        <v>0</v>
      </c>
      <c r="AS203" s="200" t="str">
        <f t="shared" si="3"/>
        <v>1.00000000</v>
      </c>
      <c r="AT203" s="200" t="str">
        <f>"17.8"</f>
        <v>17.8</v>
      </c>
      <c r="AU203" s="203">
        <v>0</v>
      </c>
    </row>
    <row r="204" spans="1:47" x14ac:dyDescent="0.2">
      <c r="A204" s="200" t="str">
        <f>"0496002595700"</f>
        <v>0496002595700</v>
      </c>
      <c r="B204" s="200">
        <v>8</v>
      </c>
      <c r="C204" s="200" t="s">
        <v>156</v>
      </c>
      <c r="D204" s="200" t="s">
        <v>414</v>
      </c>
      <c r="E204" s="200">
        <v>47</v>
      </c>
      <c r="F204" s="200" t="s">
        <v>243</v>
      </c>
      <c r="G204" s="200">
        <v>2262</v>
      </c>
      <c r="H204" s="200" t="s">
        <v>270</v>
      </c>
      <c r="I204" s="200">
        <v>20890</v>
      </c>
      <c r="J204" s="201">
        <v>42640</v>
      </c>
      <c r="K204" s="202">
        <v>0.77628472222222233</v>
      </c>
      <c r="L204" s="201">
        <v>42642</v>
      </c>
      <c r="M204" s="200" t="s">
        <v>721</v>
      </c>
      <c r="N204" s="200" t="s">
        <v>748</v>
      </c>
      <c r="O204" s="200" t="s">
        <v>749</v>
      </c>
      <c r="P204" s="200" t="s">
        <v>432</v>
      </c>
      <c r="Q204" s="200" t="s">
        <v>329</v>
      </c>
      <c r="R204" s="200">
        <v>13490</v>
      </c>
      <c r="S204" s="200" t="s">
        <v>156</v>
      </c>
      <c r="T204" s="200" t="s">
        <v>277</v>
      </c>
      <c r="U204" s="200">
        <v>2262</v>
      </c>
      <c r="V204" s="200" t="s">
        <v>156</v>
      </c>
      <c r="W204" s="200" t="s">
        <v>280</v>
      </c>
      <c r="X204" s="200">
        <v>14.271000000000001</v>
      </c>
      <c r="Y204" s="203">
        <v>0</v>
      </c>
      <c r="Z204" s="203">
        <v>2.2799999999999998</v>
      </c>
      <c r="AA204" s="203">
        <v>32.520000000000003</v>
      </c>
      <c r="AB204" s="203">
        <v>-2.61</v>
      </c>
      <c r="AC204" s="203">
        <v>0</v>
      </c>
      <c r="AD204" s="203">
        <v>0</v>
      </c>
      <c r="AE204" s="203">
        <v>29.91</v>
      </c>
      <c r="AF204" s="203">
        <v>-6.08</v>
      </c>
      <c r="AG204" s="200" t="s">
        <v>279</v>
      </c>
      <c r="AH204" s="203">
        <v>0</v>
      </c>
      <c r="AI204" s="200" t="s">
        <v>279</v>
      </c>
      <c r="AJ204" s="203">
        <v>0</v>
      </c>
      <c r="AK204" s="200" t="s">
        <v>279</v>
      </c>
      <c r="AL204" s="203">
        <v>0</v>
      </c>
      <c r="AM204" s="200" t="s">
        <v>279</v>
      </c>
      <c r="AN204" s="203">
        <v>0</v>
      </c>
      <c r="AO204" s="200" t="s">
        <v>279</v>
      </c>
      <c r="AP204" s="203">
        <v>0</v>
      </c>
      <c r="AQ204" s="203">
        <v>32.520000000000003</v>
      </c>
      <c r="AR204" s="203">
        <v>0</v>
      </c>
      <c r="AS204" s="200" t="str">
        <f t="shared" si="3"/>
        <v>1.00000000</v>
      </c>
      <c r="AT204" s="200" t="str">
        <f>"27.5"</f>
        <v>27.5</v>
      </c>
      <c r="AU204" s="203">
        <v>0</v>
      </c>
    </row>
    <row r="205" spans="1:47" x14ac:dyDescent="0.2">
      <c r="A205" s="200" t="str">
        <f>"0496002595734"</f>
        <v>0496002595734</v>
      </c>
      <c r="B205" s="200">
        <v>2</v>
      </c>
      <c r="C205" s="200" t="s">
        <v>435</v>
      </c>
      <c r="D205" s="200">
        <v>80</v>
      </c>
      <c r="E205" s="200">
        <v>80</v>
      </c>
      <c r="F205" s="200" t="s">
        <v>243</v>
      </c>
      <c r="G205" s="200">
        <v>2086</v>
      </c>
      <c r="H205" s="200" t="s">
        <v>270</v>
      </c>
      <c r="I205" s="200">
        <v>69194</v>
      </c>
      <c r="J205" s="201">
        <v>42640</v>
      </c>
      <c r="K205" s="202">
        <v>0.69930555555555562</v>
      </c>
      <c r="L205" s="201">
        <v>42642</v>
      </c>
      <c r="M205" s="200" t="s">
        <v>271</v>
      </c>
      <c r="N205" s="200" t="s">
        <v>352</v>
      </c>
      <c r="O205" s="200" t="s">
        <v>353</v>
      </c>
      <c r="P205" s="200" t="s">
        <v>343</v>
      </c>
      <c r="Q205" s="200" t="s">
        <v>275</v>
      </c>
      <c r="R205" s="200">
        <v>1035</v>
      </c>
      <c r="S205" s="200" t="s">
        <v>436</v>
      </c>
      <c r="T205" s="200" t="s">
        <v>435</v>
      </c>
      <c r="U205" s="200">
        <v>2086</v>
      </c>
      <c r="V205" s="200" t="s">
        <v>435</v>
      </c>
      <c r="W205" s="200" t="s">
        <v>280</v>
      </c>
      <c r="X205" s="200">
        <v>9.3629999999999995</v>
      </c>
      <c r="Y205" s="203">
        <v>-0.19</v>
      </c>
      <c r="Z205" s="203">
        <v>2.17</v>
      </c>
      <c r="AA205" s="203">
        <v>20.309999999999999</v>
      </c>
      <c r="AB205" s="203">
        <v>-1.71</v>
      </c>
      <c r="AC205" s="203">
        <v>0</v>
      </c>
      <c r="AD205" s="203">
        <v>0</v>
      </c>
      <c r="AE205" s="203">
        <v>18.41</v>
      </c>
      <c r="AF205" s="203">
        <v>-2.25</v>
      </c>
      <c r="AG205" s="200" t="s">
        <v>279</v>
      </c>
      <c r="AH205" s="203">
        <v>0</v>
      </c>
      <c r="AI205" s="200" t="s">
        <v>279</v>
      </c>
      <c r="AJ205" s="203">
        <v>0</v>
      </c>
      <c r="AK205" s="200" t="s">
        <v>279</v>
      </c>
      <c r="AL205" s="203">
        <v>0</v>
      </c>
      <c r="AM205" s="200" t="s">
        <v>279</v>
      </c>
      <c r="AN205" s="203">
        <v>0</v>
      </c>
      <c r="AO205" s="200" t="s">
        <v>279</v>
      </c>
      <c r="AP205" s="203">
        <v>0</v>
      </c>
      <c r="AQ205" s="203">
        <v>20.309999999999999</v>
      </c>
      <c r="AR205" s="203">
        <v>0</v>
      </c>
      <c r="AS205" s="200" t="str">
        <f t="shared" si="3"/>
        <v>1.00000000</v>
      </c>
      <c r="AT205" s="200" t="str">
        <f>"31.5"</f>
        <v>31.5</v>
      </c>
      <c r="AU205" s="203">
        <v>0</v>
      </c>
    </row>
    <row r="206" spans="1:47" x14ac:dyDescent="0.2">
      <c r="A206" s="200" t="str">
        <f>"0496002595734"</f>
        <v>0496002595734</v>
      </c>
      <c r="B206" s="200">
        <v>3</v>
      </c>
      <c r="C206" s="200" t="s">
        <v>435</v>
      </c>
      <c r="D206" s="200">
        <v>82</v>
      </c>
      <c r="E206" s="200">
        <v>82</v>
      </c>
      <c r="F206" s="200" t="s">
        <v>243</v>
      </c>
      <c r="G206" s="200">
        <v>2086</v>
      </c>
      <c r="H206" s="200" t="s">
        <v>270</v>
      </c>
      <c r="I206" s="200">
        <v>51082</v>
      </c>
      <c r="J206" s="201">
        <v>42640</v>
      </c>
      <c r="K206" s="202">
        <v>0.37708333333333338</v>
      </c>
      <c r="L206" s="201">
        <v>42642</v>
      </c>
      <c r="M206" s="200" t="s">
        <v>271</v>
      </c>
      <c r="N206" s="200" t="s">
        <v>272</v>
      </c>
      <c r="O206" s="200" t="s">
        <v>273</v>
      </c>
      <c r="P206" s="200" t="s">
        <v>274</v>
      </c>
      <c r="Q206" s="200" t="s">
        <v>275</v>
      </c>
      <c r="R206" s="200" t="s">
        <v>276</v>
      </c>
      <c r="S206" s="200" t="s">
        <v>436</v>
      </c>
      <c r="T206" s="200" t="s">
        <v>435</v>
      </c>
      <c r="U206" s="200">
        <v>2086</v>
      </c>
      <c r="V206" s="200" t="s">
        <v>435</v>
      </c>
      <c r="W206" s="200" t="s">
        <v>280</v>
      </c>
      <c r="X206" s="200">
        <v>14.207000000000001</v>
      </c>
      <c r="Y206" s="203">
        <v>-0.28000000000000003</v>
      </c>
      <c r="Z206" s="203">
        <v>2.19</v>
      </c>
      <c r="AA206" s="203">
        <v>31.1</v>
      </c>
      <c r="AB206" s="203">
        <v>-2.6</v>
      </c>
      <c r="AC206" s="203">
        <v>0</v>
      </c>
      <c r="AD206" s="203">
        <v>0</v>
      </c>
      <c r="AE206" s="203">
        <v>28.22</v>
      </c>
      <c r="AF206" s="203">
        <v>-3.41</v>
      </c>
      <c r="AG206" s="200" t="s">
        <v>279</v>
      </c>
      <c r="AH206" s="203">
        <v>0</v>
      </c>
      <c r="AI206" s="200" t="s">
        <v>279</v>
      </c>
      <c r="AJ206" s="203">
        <v>0</v>
      </c>
      <c r="AK206" s="200" t="s">
        <v>279</v>
      </c>
      <c r="AL206" s="203">
        <v>0</v>
      </c>
      <c r="AM206" s="200" t="s">
        <v>279</v>
      </c>
      <c r="AN206" s="203">
        <v>0</v>
      </c>
      <c r="AO206" s="200" t="s">
        <v>279</v>
      </c>
      <c r="AP206" s="203">
        <v>0</v>
      </c>
      <c r="AQ206" s="203">
        <v>31.1</v>
      </c>
      <c r="AR206" s="203">
        <v>0</v>
      </c>
      <c r="AS206" s="200" t="str">
        <f t="shared" si="3"/>
        <v>1.00000000</v>
      </c>
      <c r="AT206" s="200" t="str">
        <f>"20.2"</f>
        <v>20.2</v>
      </c>
      <c r="AU206" s="203">
        <v>0</v>
      </c>
    </row>
    <row r="207" spans="1:47" x14ac:dyDescent="0.2">
      <c r="A207" s="200" t="str">
        <f>"0496002595734"</f>
        <v>0496002595734</v>
      </c>
      <c r="B207" s="200">
        <v>1</v>
      </c>
      <c r="C207" s="200" t="s">
        <v>435</v>
      </c>
      <c r="D207" s="200">
        <v>81</v>
      </c>
      <c r="E207" s="200">
        <v>81</v>
      </c>
      <c r="F207" s="200" t="s">
        <v>243</v>
      </c>
      <c r="G207" s="200">
        <v>2086</v>
      </c>
      <c r="H207" s="200" t="s">
        <v>270</v>
      </c>
      <c r="I207" s="200">
        <v>63254</v>
      </c>
      <c r="J207" s="201">
        <v>42641</v>
      </c>
      <c r="K207" s="202">
        <v>0.81319444444444444</v>
      </c>
      <c r="L207" s="201">
        <v>42643</v>
      </c>
      <c r="M207" s="200" t="s">
        <v>271</v>
      </c>
      <c r="N207" s="200" t="s">
        <v>272</v>
      </c>
      <c r="O207" s="200" t="s">
        <v>273</v>
      </c>
      <c r="P207" s="200" t="s">
        <v>274</v>
      </c>
      <c r="Q207" s="200" t="s">
        <v>275</v>
      </c>
      <c r="R207" s="200" t="s">
        <v>276</v>
      </c>
      <c r="S207" s="200" t="s">
        <v>436</v>
      </c>
      <c r="T207" s="200" t="s">
        <v>435</v>
      </c>
      <c r="U207" s="200">
        <v>2086</v>
      </c>
      <c r="V207" s="200" t="s">
        <v>435</v>
      </c>
      <c r="W207" s="200" t="s">
        <v>280</v>
      </c>
      <c r="X207" s="200">
        <v>14.090999999999999</v>
      </c>
      <c r="Y207" s="203">
        <v>-0.28000000000000003</v>
      </c>
      <c r="Z207" s="203">
        <v>2.2400000000000002</v>
      </c>
      <c r="AA207" s="203">
        <v>31.55</v>
      </c>
      <c r="AB207" s="203">
        <v>-2.58</v>
      </c>
      <c r="AC207" s="203">
        <v>0</v>
      </c>
      <c r="AD207" s="203">
        <v>0</v>
      </c>
      <c r="AE207" s="203">
        <v>28.69</v>
      </c>
      <c r="AF207" s="203">
        <v>-3.38</v>
      </c>
      <c r="AG207" s="200" t="s">
        <v>279</v>
      </c>
      <c r="AH207" s="203">
        <v>0</v>
      </c>
      <c r="AI207" s="200" t="s">
        <v>279</v>
      </c>
      <c r="AJ207" s="203">
        <v>0</v>
      </c>
      <c r="AK207" s="200" t="s">
        <v>279</v>
      </c>
      <c r="AL207" s="203">
        <v>0</v>
      </c>
      <c r="AM207" s="200" t="s">
        <v>279</v>
      </c>
      <c r="AN207" s="203">
        <v>0</v>
      </c>
      <c r="AO207" s="200" t="s">
        <v>279</v>
      </c>
      <c r="AP207" s="203">
        <v>0</v>
      </c>
      <c r="AQ207" s="203">
        <v>31.55</v>
      </c>
      <c r="AR207" s="203">
        <v>0</v>
      </c>
      <c r="AS207" s="200" t="str">
        <f t="shared" si="3"/>
        <v>1.00000000</v>
      </c>
      <c r="AT207" s="200" t="str">
        <f>"23.8"</f>
        <v>23.8</v>
      </c>
      <c r="AU207" s="203">
        <v>0</v>
      </c>
    </row>
    <row r="208" spans="1:47" x14ac:dyDescent="0.2">
      <c r="A208" s="200" t="str">
        <f>"0496002595700"</f>
        <v>0496002595700</v>
      </c>
      <c r="B208" s="200">
        <v>2</v>
      </c>
      <c r="C208" s="200" t="s">
        <v>156</v>
      </c>
      <c r="D208" s="200">
        <v>42</v>
      </c>
      <c r="E208" s="200">
        <v>42</v>
      </c>
      <c r="F208" s="200" t="s">
        <v>243</v>
      </c>
      <c r="G208" s="200">
        <v>2262</v>
      </c>
      <c r="H208" s="200" t="s">
        <v>270</v>
      </c>
      <c r="I208" s="200">
        <v>30085</v>
      </c>
      <c r="J208" s="201">
        <v>42642</v>
      </c>
      <c r="K208" s="202">
        <v>0.37361111111111112</v>
      </c>
      <c r="L208" s="201">
        <v>42646</v>
      </c>
      <c r="M208" s="200" t="s">
        <v>271</v>
      </c>
      <c r="N208" s="200" t="s">
        <v>272</v>
      </c>
      <c r="O208" s="200" t="s">
        <v>273</v>
      </c>
      <c r="P208" s="200" t="s">
        <v>274</v>
      </c>
      <c r="Q208" s="200" t="s">
        <v>275</v>
      </c>
      <c r="R208" s="200" t="s">
        <v>276</v>
      </c>
      <c r="S208" s="200" t="s">
        <v>156</v>
      </c>
      <c r="T208" s="200" t="s">
        <v>277</v>
      </c>
      <c r="U208" s="200">
        <v>2262</v>
      </c>
      <c r="V208" s="200" t="s">
        <v>156</v>
      </c>
      <c r="W208" s="200" t="s">
        <v>280</v>
      </c>
      <c r="X208" s="200">
        <v>8.798</v>
      </c>
      <c r="Y208" s="203">
        <v>-0.18</v>
      </c>
      <c r="Z208" s="203">
        <v>2.2400000000000002</v>
      </c>
      <c r="AA208" s="203">
        <v>19.7</v>
      </c>
      <c r="AB208" s="203">
        <v>-1.61</v>
      </c>
      <c r="AC208" s="203">
        <v>0</v>
      </c>
      <c r="AD208" s="203">
        <v>0</v>
      </c>
      <c r="AE208" s="203">
        <v>17.91</v>
      </c>
      <c r="AF208" s="203">
        <v>-2.11</v>
      </c>
      <c r="AG208" s="200" t="s">
        <v>279</v>
      </c>
      <c r="AH208" s="203">
        <v>0</v>
      </c>
      <c r="AI208" s="200" t="s">
        <v>279</v>
      </c>
      <c r="AJ208" s="203">
        <v>0</v>
      </c>
      <c r="AK208" s="200" t="s">
        <v>279</v>
      </c>
      <c r="AL208" s="203">
        <v>0</v>
      </c>
      <c r="AM208" s="200" t="s">
        <v>279</v>
      </c>
      <c r="AN208" s="203">
        <v>0</v>
      </c>
      <c r="AO208" s="200" t="s">
        <v>279</v>
      </c>
      <c r="AP208" s="203">
        <v>0</v>
      </c>
      <c r="AQ208" s="203">
        <v>19.7</v>
      </c>
      <c r="AR208" s="203">
        <v>0</v>
      </c>
      <c r="AS208" s="200" t="str">
        <f t="shared" si="3"/>
        <v>1.00000000</v>
      </c>
      <c r="AT208" s="200" t="str">
        <f>"47.8"</f>
        <v>47.8</v>
      </c>
      <c r="AU208" s="203">
        <v>0</v>
      </c>
    </row>
    <row r="209" spans="1:47" x14ac:dyDescent="0.2">
      <c r="A209" s="200" t="str">
        <f>"0496002599140"</f>
        <v>0496002599140</v>
      </c>
      <c r="B209" s="200">
        <v>1</v>
      </c>
      <c r="C209" s="200" t="s">
        <v>581</v>
      </c>
      <c r="D209" s="200" t="s">
        <v>582</v>
      </c>
      <c r="E209" s="200" t="s">
        <v>582</v>
      </c>
      <c r="F209" s="200" t="s">
        <v>243</v>
      </c>
      <c r="G209" s="200">
        <v>2323</v>
      </c>
      <c r="H209" s="200" t="s">
        <v>270</v>
      </c>
      <c r="I209" s="200">
        <v>999</v>
      </c>
      <c r="J209" s="201">
        <v>42642</v>
      </c>
      <c r="K209" s="202">
        <v>0.81527777777777777</v>
      </c>
      <c r="L209" s="201">
        <v>42646</v>
      </c>
      <c r="M209" s="200" t="s">
        <v>271</v>
      </c>
      <c r="N209" s="200" t="s">
        <v>352</v>
      </c>
      <c r="O209" s="200" t="s">
        <v>353</v>
      </c>
      <c r="P209" s="200" t="s">
        <v>343</v>
      </c>
      <c r="Q209" s="200" t="s">
        <v>275</v>
      </c>
      <c r="R209" s="200">
        <v>1035</v>
      </c>
      <c r="S209" s="200" t="s">
        <v>436</v>
      </c>
      <c r="T209" s="200" t="s">
        <v>581</v>
      </c>
      <c r="U209" s="200">
        <v>2323</v>
      </c>
      <c r="V209" s="200" t="s">
        <v>581</v>
      </c>
      <c r="W209" s="200" t="s">
        <v>280</v>
      </c>
      <c r="X209" s="200">
        <v>27.963000000000001</v>
      </c>
      <c r="Y209" s="203">
        <v>-0.56000000000000005</v>
      </c>
      <c r="Z209" s="203">
        <v>2.2200000000000002</v>
      </c>
      <c r="AA209" s="203">
        <v>62.05</v>
      </c>
      <c r="AB209" s="203">
        <v>-5.12</v>
      </c>
      <c r="AC209" s="203">
        <v>0</v>
      </c>
      <c r="AD209" s="203">
        <v>0</v>
      </c>
      <c r="AE209" s="203">
        <v>56.37</v>
      </c>
      <c r="AF209" s="203">
        <v>-6.71</v>
      </c>
      <c r="AG209" s="200" t="s">
        <v>279</v>
      </c>
      <c r="AH209" s="203">
        <v>0</v>
      </c>
      <c r="AI209" s="200" t="s">
        <v>279</v>
      </c>
      <c r="AJ209" s="203">
        <v>0</v>
      </c>
      <c r="AK209" s="200" t="s">
        <v>279</v>
      </c>
      <c r="AL209" s="203">
        <v>0</v>
      </c>
      <c r="AM209" s="200" t="s">
        <v>279</v>
      </c>
      <c r="AN209" s="203">
        <v>0</v>
      </c>
      <c r="AO209" s="200" t="s">
        <v>279</v>
      </c>
      <c r="AP209" s="203">
        <v>0</v>
      </c>
      <c r="AQ209" s="203">
        <v>62.05</v>
      </c>
      <c r="AR209" s="203">
        <v>0</v>
      </c>
      <c r="AS209" s="200" t="str">
        <f t="shared" si="3"/>
        <v>1.00000000</v>
      </c>
      <c r="AT209" s="200" t="str">
        <f>"0.0"</f>
        <v>0.0</v>
      </c>
      <c r="AU209" s="203">
        <v>0</v>
      </c>
    </row>
    <row r="210" spans="1:47" x14ac:dyDescent="0.2">
      <c r="A210" s="200" t="str">
        <f>"0496002599140"</f>
        <v>0496002599140</v>
      </c>
      <c r="B210" s="200">
        <v>1</v>
      </c>
      <c r="C210" s="200" t="s">
        <v>581</v>
      </c>
      <c r="D210" s="200" t="s">
        <v>582</v>
      </c>
      <c r="E210" s="200" t="s">
        <v>582</v>
      </c>
      <c r="F210" s="200" t="s">
        <v>243</v>
      </c>
      <c r="G210" s="200">
        <v>2323</v>
      </c>
      <c r="H210" s="200" t="s">
        <v>270</v>
      </c>
      <c r="I210" s="200">
        <v>999</v>
      </c>
      <c r="J210" s="201">
        <v>42642</v>
      </c>
      <c r="K210" s="202">
        <v>0.81597222222222221</v>
      </c>
      <c r="L210" s="201">
        <v>42646</v>
      </c>
      <c r="M210" s="200" t="s">
        <v>271</v>
      </c>
      <c r="N210" s="200" t="s">
        <v>352</v>
      </c>
      <c r="O210" s="200" t="s">
        <v>353</v>
      </c>
      <c r="P210" s="200" t="s">
        <v>343</v>
      </c>
      <c r="Q210" s="200" t="s">
        <v>275</v>
      </c>
      <c r="R210" s="200">
        <v>1035</v>
      </c>
      <c r="S210" s="200" t="s">
        <v>436</v>
      </c>
      <c r="T210" s="200" t="s">
        <v>581</v>
      </c>
      <c r="U210" s="200">
        <v>2323</v>
      </c>
      <c r="V210" s="200" t="s">
        <v>581</v>
      </c>
      <c r="W210" s="200" t="s">
        <v>280</v>
      </c>
      <c r="X210" s="200">
        <v>25.029</v>
      </c>
      <c r="Y210" s="203">
        <v>-0.5</v>
      </c>
      <c r="Z210" s="203">
        <v>2.2200000000000002</v>
      </c>
      <c r="AA210" s="203">
        <v>55.54</v>
      </c>
      <c r="AB210" s="203">
        <v>-4.58</v>
      </c>
      <c r="AC210" s="203">
        <v>0</v>
      </c>
      <c r="AD210" s="203">
        <v>0</v>
      </c>
      <c r="AE210" s="203">
        <v>50.46</v>
      </c>
      <c r="AF210" s="203">
        <v>-6.01</v>
      </c>
      <c r="AG210" s="200" t="s">
        <v>279</v>
      </c>
      <c r="AH210" s="203">
        <v>0</v>
      </c>
      <c r="AI210" s="200" t="s">
        <v>279</v>
      </c>
      <c r="AJ210" s="203">
        <v>0</v>
      </c>
      <c r="AK210" s="200" t="s">
        <v>279</v>
      </c>
      <c r="AL210" s="203">
        <v>0</v>
      </c>
      <c r="AM210" s="200" t="s">
        <v>279</v>
      </c>
      <c r="AN210" s="203">
        <v>0</v>
      </c>
      <c r="AO210" s="200" t="s">
        <v>279</v>
      </c>
      <c r="AP210" s="203">
        <v>0</v>
      </c>
      <c r="AQ210" s="203">
        <v>55.54</v>
      </c>
      <c r="AR210" s="203">
        <v>0</v>
      </c>
      <c r="AS210" s="200" t="str">
        <f t="shared" si="3"/>
        <v>1.00000000</v>
      </c>
      <c r="AT210" s="200" t="str">
        <f>"0.0"</f>
        <v>0.0</v>
      </c>
      <c r="AU210" s="203">
        <v>0</v>
      </c>
    </row>
    <row r="211" spans="1:47" x14ac:dyDescent="0.2">
      <c r="A211" s="200" t="str">
        <f>"0496002599140"</f>
        <v>0496002599140</v>
      </c>
      <c r="B211" s="200">
        <v>1</v>
      </c>
      <c r="C211" s="200" t="s">
        <v>581</v>
      </c>
      <c r="D211" s="200" t="s">
        <v>582</v>
      </c>
      <c r="E211" s="200" t="s">
        <v>582</v>
      </c>
      <c r="F211" s="200" t="s">
        <v>243</v>
      </c>
      <c r="G211" s="200">
        <v>2323</v>
      </c>
      <c r="H211" s="200" t="s">
        <v>270</v>
      </c>
      <c r="I211" s="200">
        <v>999</v>
      </c>
      <c r="J211" s="201">
        <v>42642</v>
      </c>
      <c r="K211" s="202">
        <v>0.81666666666666676</v>
      </c>
      <c r="L211" s="201">
        <v>42646</v>
      </c>
      <c r="M211" s="200" t="s">
        <v>271</v>
      </c>
      <c r="N211" s="200" t="s">
        <v>352</v>
      </c>
      <c r="O211" s="200" t="s">
        <v>353</v>
      </c>
      <c r="P211" s="200" t="s">
        <v>343</v>
      </c>
      <c r="Q211" s="200" t="s">
        <v>275</v>
      </c>
      <c r="R211" s="200">
        <v>1035</v>
      </c>
      <c r="S211" s="200" t="s">
        <v>436</v>
      </c>
      <c r="T211" s="200" t="s">
        <v>581</v>
      </c>
      <c r="U211" s="200">
        <v>2323</v>
      </c>
      <c r="V211" s="200" t="s">
        <v>581</v>
      </c>
      <c r="W211" s="200" t="s">
        <v>280</v>
      </c>
      <c r="X211" s="200">
        <v>25.488</v>
      </c>
      <c r="Y211" s="203">
        <v>-0.51</v>
      </c>
      <c r="Z211" s="203">
        <v>2.2200000000000002</v>
      </c>
      <c r="AA211" s="203">
        <v>56.56</v>
      </c>
      <c r="AB211" s="203">
        <v>-4.66</v>
      </c>
      <c r="AC211" s="203">
        <v>0</v>
      </c>
      <c r="AD211" s="203">
        <v>0</v>
      </c>
      <c r="AE211" s="203">
        <v>51.39</v>
      </c>
      <c r="AF211" s="203">
        <v>-6.12</v>
      </c>
      <c r="AG211" s="200" t="s">
        <v>279</v>
      </c>
      <c r="AH211" s="203">
        <v>0</v>
      </c>
      <c r="AI211" s="200" t="s">
        <v>279</v>
      </c>
      <c r="AJ211" s="203">
        <v>0</v>
      </c>
      <c r="AK211" s="200" t="s">
        <v>279</v>
      </c>
      <c r="AL211" s="203">
        <v>0</v>
      </c>
      <c r="AM211" s="200" t="s">
        <v>279</v>
      </c>
      <c r="AN211" s="203">
        <v>0</v>
      </c>
      <c r="AO211" s="200" t="s">
        <v>279</v>
      </c>
      <c r="AP211" s="203">
        <v>0</v>
      </c>
      <c r="AQ211" s="203">
        <v>56.56</v>
      </c>
      <c r="AR211" s="203">
        <v>0</v>
      </c>
      <c r="AS211" s="200" t="str">
        <f t="shared" si="3"/>
        <v>1.00000000</v>
      </c>
      <c r="AT211" s="200" t="str">
        <f>"0.0"</f>
        <v>0.0</v>
      </c>
      <c r="AU211" s="203">
        <v>0</v>
      </c>
    </row>
    <row r="212" spans="1:47" x14ac:dyDescent="0.2">
      <c r="A212" s="200" t="str">
        <f>"0496002599140"</f>
        <v>0496002599140</v>
      </c>
      <c r="B212" s="200">
        <v>1</v>
      </c>
      <c r="C212" s="200" t="s">
        <v>581</v>
      </c>
      <c r="D212" s="200" t="s">
        <v>582</v>
      </c>
      <c r="E212" s="200" t="s">
        <v>582</v>
      </c>
      <c r="F212" s="200" t="s">
        <v>243</v>
      </c>
      <c r="G212" s="200">
        <v>2323</v>
      </c>
      <c r="H212" s="200" t="s">
        <v>270</v>
      </c>
      <c r="I212" s="200">
        <v>99</v>
      </c>
      <c r="J212" s="201">
        <v>42642</v>
      </c>
      <c r="K212" s="202">
        <v>0.81736111111111109</v>
      </c>
      <c r="L212" s="201">
        <v>42646</v>
      </c>
      <c r="M212" s="200" t="s">
        <v>271</v>
      </c>
      <c r="N212" s="200" t="s">
        <v>352</v>
      </c>
      <c r="O212" s="200" t="s">
        <v>353</v>
      </c>
      <c r="P212" s="200" t="s">
        <v>343</v>
      </c>
      <c r="Q212" s="200" t="s">
        <v>275</v>
      </c>
      <c r="R212" s="200">
        <v>1035</v>
      </c>
      <c r="S212" s="200" t="s">
        <v>436</v>
      </c>
      <c r="T212" s="200" t="s">
        <v>581</v>
      </c>
      <c r="U212" s="200">
        <v>2323</v>
      </c>
      <c r="V212" s="200" t="s">
        <v>581</v>
      </c>
      <c r="W212" s="200" t="s">
        <v>280</v>
      </c>
      <c r="X212" s="200">
        <v>28.904</v>
      </c>
      <c r="Y212" s="203">
        <v>-0.57999999999999996</v>
      </c>
      <c r="Z212" s="203">
        <v>2.2200000000000002</v>
      </c>
      <c r="AA212" s="203">
        <v>64.14</v>
      </c>
      <c r="AB212" s="203">
        <v>-5.29</v>
      </c>
      <c r="AC212" s="203">
        <v>0</v>
      </c>
      <c r="AD212" s="203">
        <v>0</v>
      </c>
      <c r="AE212" s="203">
        <v>58.27</v>
      </c>
      <c r="AF212" s="203">
        <v>-6.94</v>
      </c>
      <c r="AG212" s="200" t="s">
        <v>279</v>
      </c>
      <c r="AH212" s="203">
        <v>0</v>
      </c>
      <c r="AI212" s="200" t="s">
        <v>279</v>
      </c>
      <c r="AJ212" s="203">
        <v>0</v>
      </c>
      <c r="AK212" s="200" t="s">
        <v>279</v>
      </c>
      <c r="AL212" s="203">
        <v>0</v>
      </c>
      <c r="AM212" s="200" t="s">
        <v>279</v>
      </c>
      <c r="AN212" s="203">
        <v>0</v>
      </c>
      <c r="AO212" s="200" t="s">
        <v>279</v>
      </c>
      <c r="AP212" s="203">
        <v>0</v>
      </c>
      <c r="AQ212" s="203">
        <v>64.14</v>
      </c>
      <c r="AR212" s="203">
        <v>0</v>
      </c>
      <c r="AS212" s="200" t="str">
        <f t="shared" si="3"/>
        <v>1.00000000</v>
      </c>
      <c r="AT212" s="200" t="str">
        <f>"0.0"</f>
        <v>0.0</v>
      </c>
      <c r="AU212" s="203">
        <v>0</v>
      </c>
    </row>
    <row r="213" spans="1:47" x14ac:dyDescent="0.2">
      <c r="A213" s="200" t="str">
        <f>"0496002599140"</f>
        <v>0496002599140</v>
      </c>
      <c r="B213" s="200">
        <v>1</v>
      </c>
      <c r="C213" s="200" t="s">
        <v>581</v>
      </c>
      <c r="D213" s="200" t="s">
        <v>582</v>
      </c>
      <c r="E213" s="200" t="s">
        <v>582</v>
      </c>
      <c r="F213" s="200" t="s">
        <v>243</v>
      </c>
      <c r="G213" s="200">
        <v>2323</v>
      </c>
      <c r="H213" s="200" t="s">
        <v>270</v>
      </c>
      <c r="I213" s="200">
        <v>999</v>
      </c>
      <c r="J213" s="201">
        <v>42642</v>
      </c>
      <c r="K213" s="202">
        <v>0.82013888888888886</v>
      </c>
      <c r="L213" s="201">
        <v>42646</v>
      </c>
      <c r="M213" s="200" t="s">
        <v>271</v>
      </c>
      <c r="N213" s="200" t="s">
        <v>352</v>
      </c>
      <c r="O213" s="200" t="s">
        <v>353</v>
      </c>
      <c r="P213" s="200" t="s">
        <v>343</v>
      </c>
      <c r="Q213" s="200" t="s">
        <v>275</v>
      </c>
      <c r="R213" s="200">
        <v>1035</v>
      </c>
      <c r="S213" s="200" t="s">
        <v>436</v>
      </c>
      <c r="T213" s="200" t="s">
        <v>581</v>
      </c>
      <c r="U213" s="200">
        <v>2323</v>
      </c>
      <c r="V213" s="200" t="s">
        <v>581</v>
      </c>
      <c r="W213" s="200" t="s">
        <v>278</v>
      </c>
      <c r="X213" s="200">
        <v>13.073</v>
      </c>
      <c r="Y213" s="203">
        <v>-0.26</v>
      </c>
      <c r="Z213" s="203">
        <v>2.5</v>
      </c>
      <c r="AA213" s="203">
        <v>32.67</v>
      </c>
      <c r="AB213" s="203">
        <v>-2.39</v>
      </c>
      <c r="AC213" s="203">
        <v>0</v>
      </c>
      <c r="AD213" s="203">
        <v>0</v>
      </c>
      <c r="AE213" s="203">
        <v>30.02</v>
      </c>
      <c r="AF213" s="203">
        <v>-3.14</v>
      </c>
      <c r="AG213" s="200" t="s">
        <v>279</v>
      </c>
      <c r="AH213" s="203">
        <v>0</v>
      </c>
      <c r="AI213" s="200" t="s">
        <v>279</v>
      </c>
      <c r="AJ213" s="203">
        <v>0</v>
      </c>
      <c r="AK213" s="200" t="s">
        <v>279</v>
      </c>
      <c r="AL213" s="203">
        <v>0</v>
      </c>
      <c r="AM213" s="200" t="s">
        <v>279</v>
      </c>
      <c r="AN213" s="203">
        <v>0</v>
      </c>
      <c r="AO213" s="200" t="s">
        <v>279</v>
      </c>
      <c r="AP213" s="203">
        <v>0</v>
      </c>
      <c r="AQ213" s="203">
        <v>32.67</v>
      </c>
      <c r="AR213" s="203">
        <v>0</v>
      </c>
      <c r="AS213" s="200" t="str">
        <f t="shared" si="3"/>
        <v>1.00000000</v>
      </c>
      <c r="AT213" s="200" t="str">
        <f>"68.8"</f>
        <v>68.8</v>
      </c>
      <c r="AU213" s="203">
        <v>0</v>
      </c>
    </row>
    <row r="214" spans="1:47" x14ac:dyDescent="0.2">
      <c r="A214" s="200" t="str">
        <f>"0496002595700"</f>
        <v>0496002595700</v>
      </c>
      <c r="B214" s="200">
        <v>6</v>
      </c>
      <c r="C214" s="200" t="s">
        <v>156</v>
      </c>
      <c r="D214" s="200" t="s">
        <v>344</v>
      </c>
      <c r="E214" s="200" t="s">
        <v>345</v>
      </c>
      <c r="F214" s="200" t="s">
        <v>243</v>
      </c>
      <c r="G214" s="200">
        <v>2262</v>
      </c>
      <c r="H214" s="200" t="s">
        <v>270</v>
      </c>
      <c r="I214" s="200">
        <v>55210</v>
      </c>
      <c r="J214" s="201">
        <v>42643</v>
      </c>
      <c r="K214" s="202">
        <v>0.41319444444444442</v>
      </c>
      <c r="L214" s="201">
        <v>42647</v>
      </c>
      <c r="M214" s="200" t="s">
        <v>271</v>
      </c>
      <c r="N214" s="200" t="s">
        <v>272</v>
      </c>
      <c r="O214" s="200" t="s">
        <v>273</v>
      </c>
      <c r="P214" s="200" t="s">
        <v>274</v>
      </c>
      <c r="Q214" s="200" t="s">
        <v>275</v>
      </c>
      <c r="R214" s="200" t="s">
        <v>276</v>
      </c>
      <c r="S214" s="200" t="s">
        <v>156</v>
      </c>
      <c r="T214" s="200" t="s">
        <v>277</v>
      </c>
      <c r="U214" s="200">
        <v>2262</v>
      </c>
      <c r="V214" s="200" t="s">
        <v>156</v>
      </c>
      <c r="W214" s="200" t="s">
        <v>335</v>
      </c>
      <c r="X214" s="200">
        <v>7.0170000000000003</v>
      </c>
      <c r="Y214" s="203">
        <v>-0.14000000000000001</v>
      </c>
      <c r="Z214" s="203">
        <v>2.35</v>
      </c>
      <c r="AA214" s="203">
        <v>16.489999999999998</v>
      </c>
      <c r="AB214" s="203">
        <v>-1.28</v>
      </c>
      <c r="AC214" s="203">
        <v>0</v>
      </c>
      <c r="AD214" s="203">
        <v>0</v>
      </c>
      <c r="AE214" s="203">
        <v>15.07</v>
      </c>
      <c r="AF214" s="203">
        <v>-1.68</v>
      </c>
      <c r="AG214" s="200" t="s">
        <v>279</v>
      </c>
      <c r="AH214" s="203">
        <v>0</v>
      </c>
      <c r="AI214" s="200" t="s">
        <v>279</v>
      </c>
      <c r="AJ214" s="203">
        <v>0</v>
      </c>
      <c r="AK214" s="200" t="s">
        <v>279</v>
      </c>
      <c r="AL214" s="203">
        <v>0</v>
      </c>
      <c r="AM214" s="200" t="s">
        <v>279</v>
      </c>
      <c r="AN214" s="203">
        <v>0</v>
      </c>
      <c r="AO214" s="200" t="s">
        <v>279</v>
      </c>
      <c r="AP214" s="203">
        <v>0</v>
      </c>
      <c r="AQ214" s="203">
        <v>16.489999999999998</v>
      </c>
      <c r="AR214" s="203">
        <v>0</v>
      </c>
      <c r="AS214" s="200" t="str">
        <f t="shared" si="3"/>
        <v>1.00000000</v>
      </c>
      <c r="AT214" s="200" t="str">
        <f>"29.9"</f>
        <v>29.9</v>
      </c>
      <c r="AU214" s="203">
        <v>0</v>
      </c>
    </row>
    <row r="215" spans="1:47" x14ac:dyDescent="0.2">
      <c r="A215" s="200" t="str">
        <f>"0496002595700"</f>
        <v>0496002595700</v>
      </c>
      <c r="B215" s="200">
        <v>7</v>
      </c>
      <c r="C215" s="200" t="s">
        <v>156</v>
      </c>
      <c r="D215" s="200" t="s">
        <v>371</v>
      </c>
      <c r="E215" s="200">
        <v>45</v>
      </c>
      <c r="F215" s="200" t="s">
        <v>243</v>
      </c>
      <c r="G215" s="200">
        <v>2262</v>
      </c>
      <c r="H215" s="200" t="s">
        <v>270</v>
      </c>
      <c r="I215" s="200">
        <v>16716</v>
      </c>
      <c r="J215" s="201">
        <v>42643</v>
      </c>
      <c r="K215" s="202">
        <v>0.49513888888888885</v>
      </c>
      <c r="L215" s="201">
        <v>42647</v>
      </c>
      <c r="M215" s="200" t="s">
        <v>271</v>
      </c>
      <c r="N215" s="200" t="s">
        <v>272</v>
      </c>
      <c r="O215" s="200" t="s">
        <v>273</v>
      </c>
      <c r="P215" s="200" t="s">
        <v>274</v>
      </c>
      <c r="Q215" s="200" t="s">
        <v>275</v>
      </c>
      <c r="R215" s="200" t="s">
        <v>276</v>
      </c>
      <c r="S215" s="200" t="s">
        <v>156</v>
      </c>
      <c r="T215" s="200" t="s">
        <v>277</v>
      </c>
      <c r="U215" s="200">
        <v>2262</v>
      </c>
      <c r="V215" s="200" t="s">
        <v>156</v>
      </c>
      <c r="W215" s="200" t="s">
        <v>280</v>
      </c>
      <c r="X215" s="200">
        <v>7.7789999999999999</v>
      </c>
      <c r="Y215" s="203">
        <v>-0.16</v>
      </c>
      <c r="Z215" s="203">
        <v>2.2400000000000002</v>
      </c>
      <c r="AA215" s="203">
        <v>17.41</v>
      </c>
      <c r="AB215" s="203">
        <v>-1.42</v>
      </c>
      <c r="AC215" s="203">
        <v>0</v>
      </c>
      <c r="AD215" s="203">
        <v>0</v>
      </c>
      <c r="AE215" s="203">
        <v>15.83</v>
      </c>
      <c r="AF215" s="203">
        <v>-1.87</v>
      </c>
      <c r="AG215" s="200" t="s">
        <v>279</v>
      </c>
      <c r="AH215" s="203">
        <v>0</v>
      </c>
      <c r="AI215" s="200" t="s">
        <v>279</v>
      </c>
      <c r="AJ215" s="203">
        <v>0</v>
      </c>
      <c r="AK215" s="200" t="s">
        <v>279</v>
      </c>
      <c r="AL215" s="203">
        <v>0</v>
      </c>
      <c r="AM215" s="200" t="s">
        <v>279</v>
      </c>
      <c r="AN215" s="203">
        <v>0</v>
      </c>
      <c r="AO215" s="200" t="s">
        <v>279</v>
      </c>
      <c r="AP215" s="203">
        <v>0</v>
      </c>
      <c r="AQ215" s="203">
        <v>17.41</v>
      </c>
      <c r="AR215" s="203">
        <v>0</v>
      </c>
      <c r="AS215" s="200" t="str">
        <f t="shared" si="3"/>
        <v>1.00000000</v>
      </c>
      <c r="AT215" s="200" t="str">
        <f>"31.2"</f>
        <v>31.2</v>
      </c>
      <c r="AU215" s="203">
        <v>0</v>
      </c>
    </row>
    <row r="216" spans="1:47" x14ac:dyDescent="0.2">
      <c r="A216" s="200" t="str">
        <f>"0496002595700"</f>
        <v>0496002595700</v>
      </c>
      <c r="B216" s="200">
        <v>8</v>
      </c>
      <c r="C216" s="200" t="s">
        <v>156</v>
      </c>
      <c r="D216" s="200" t="s">
        <v>414</v>
      </c>
      <c r="E216" s="200">
        <v>47</v>
      </c>
      <c r="F216" s="200" t="s">
        <v>243</v>
      </c>
      <c r="G216" s="200">
        <v>2262</v>
      </c>
      <c r="H216" s="200" t="s">
        <v>270</v>
      </c>
      <c r="I216" s="200">
        <v>21205</v>
      </c>
      <c r="J216" s="201">
        <v>42643</v>
      </c>
      <c r="K216" s="202">
        <v>0.94305555555555554</v>
      </c>
      <c r="L216" s="201">
        <v>42647</v>
      </c>
      <c r="M216" s="200" t="s">
        <v>271</v>
      </c>
      <c r="N216" s="200" t="s">
        <v>272</v>
      </c>
      <c r="O216" s="200" t="s">
        <v>273</v>
      </c>
      <c r="P216" s="200" t="s">
        <v>274</v>
      </c>
      <c r="Q216" s="200" t="s">
        <v>275</v>
      </c>
      <c r="R216" s="200" t="s">
        <v>276</v>
      </c>
      <c r="S216" s="200" t="s">
        <v>156</v>
      </c>
      <c r="T216" s="200" t="s">
        <v>277</v>
      </c>
      <c r="U216" s="200">
        <v>2262</v>
      </c>
      <c r="V216" s="200" t="s">
        <v>156</v>
      </c>
      <c r="W216" s="200" t="s">
        <v>280</v>
      </c>
      <c r="X216" s="200">
        <v>14.603999999999999</v>
      </c>
      <c r="Y216" s="203">
        <v>-0.28999999999999998</v>
      </c>
      <c r="Z216" s="203">
        <v>2.2400000000000002</v>
      </c>
      <c r="AA216" s="203">
        <v>32.700000000000003</v>
      </c>
      <c r="AB216" s="203">
        <v>-2.67</v>
      </c>
      <c r="AC216" s="203">
        <v>0</v>
      </c>
      <c r="AD216" s="203">
        <v>0</v>
      </c>
      <c r="AE216" s="203">
        <v>29.74</v>
      </c>
      <c r="AF216" s="203">
        <v>-3.5</v>
      </c>
      <c r="AG216" s="200" t="s">
        <v>279</v>
      </c>
      <c r="AH216" s="203">
        <v>0</v>
      </c>
      <c r="AI216" s="200" t="s">
        <v>279</v>
      </c>
      <c r="AJ216" s="203">
        <v>0</v>
      </c>
      <c r="AK216" s="200" t="s">
        <v>279</v>
      </c>
      <c r="AL216" s="203">
        <v>0</v>
      </c>
      <c r="AM216" s="200" t="s">
        <v>279</v>
      </c>
      <c r="AN216" s="203">
        <v>0</v>
      </c>
      <c r="AO216" s="200" t="s">
        <v>279</v>
      </c>
      <c r="AP216" s="203">
        <v>0</v>
      </c>
      <c r="AQ216" s="203">
        <v>32.700000000000003</v>
      </c>
      <c r="AR216" s="203">
        <v>0</v>
      </c>
      <c r="AS216" s="200" t="str">
        <f t="shared" si="3"/>
        <v>1.00000000</v>
      </c>
      <c r="AT216" s="200" t="str">
        <f>"27.0"</f>
        <v>27.0</v>
      </c>
      <c r="AU216" s="203">
        <v>0</v>
      </c>
    </row>
    <row r="217" spans="1:47" x14ac:dyDescent="0.2">
      <c r="A217" s="200" t="str">
        <f>"0496002595742"</f>
        <v>0496002595742</v>
      </c>
      <c r="B217" s="200">
        <v>3</v>
      </c>
      <c r="C217" s="200" t="s">
        <v>569</v>
      </c>
      <c r="D217" s="200">
        <v>20</v>
      </c>
      <c r="E217" s="200">
        <v>20</v>
      </c>
      <c r="F217" s="200" t="s">
        <v>243</v>
      </c>
      <c r="G217" s="200">
        <v>5823</v>
      </c>
      <c r="H217" s="200" t="s">
        <v>270</v>
      </c>
      <c r="I217" s="200">
        <v>14350</v>
      </c>
      <c r="J217" s="201">
        <v>42643</v>
      </c>
      <c r="K217" s="202">
        <v>0.38541666666666669</v>
      </c>
      <c r="L217" s="201">
        <v>42647</v>
      </c>
      <c r="M217" s="200" t="s">
        <v>271</v>
      </c>
      <c r="N217" s="200" t="s">
        <v>272</v>
      </c>
      <c r="O217" s="200" t="s">
        <v>273</v>
      </c>
      <c r="P217" s="200" t="s">
        <v>274</v>
      </c>
      <c r="Q217" s="200" t="s">
        <v>275</v>
      </c>
      <c r="R217" s="200" t="s">
        <v>276</v>
      </c>
      <c r="S217" s="200" t="s">
        <v>436</v>
      </c>
      <c r="T217" s="200" t="s">
        <v>569</v>
      </c>
      <c r="U217" s="200">
        <v>5823</v>
      </c>
      <c r="V217" s="200" t="s">
        <v>569</v>
      </c>
      <c r="W217" s="200" t="s">
        <v>335</v>
      </c>
      <c r="X217" s="200">
        <v>28.437000000000001</v>
      </c>
      <c r="Y217" s="203">
        <v>-0.56999999999999995</v>
      </c>
      <c r="Z217" s="203">
        <v>2.35</v>
      </c>
      <c r="AA217" s="203">
        <v>66.8</v>
      </c>
      <c r="AB217" s="203">
        <v>-5.2</v>
      </c>
      <c r="AC217" s="203">
        <v>0</v>
      </c>
      <c r="AD217" s="203">
        <v>0</v>
      </c>
      <c r="AE217" s="203">
        <v>61.03</v>
      </c>
      <c r="AF217" s="203">
        <v>-6.82</v>
      </c>
      <c r="AG217" s="200" t="s">
        <v>279</v>
      </c>
      <c r="AH217" s="203">
        <v>0</v>
      </c>
      <c r="AI217" s="200" t="s">
        <v>279</v>
      </c>
      <c r="AJ217" s="203">
        <v>0</v>
      </c>
      <c r="AK217" s="200" t="s">
        <v>279</v>
      </c>
      <c r="AL217" s="203">
        <v>0</v>
      </c>
      <c r="AM217" s="200" t="s">
        <v>279</v>
      </c>
      <c r="AN217" s="203">
        <v>0</v>
      </c>
      <c r="AO217" s="200" t="s">
        <v>279</v>
      </c>
      <c r="AP217" s="203">
        <v>0</v>
      </c>
      <c r="AQ217" s="203">
        <v>66.8</v>
      </c>
      <c r="AR217" s="203">
        <v>0</v>
      </c>
      <c r="AS217" s="200" t="str">
        <f t="shared" si="3"/>
        <v>1.00000000</v>
      </c>
      <c r="AT217" s="200" t="str">
        <f>"12.0"</f>
        <v>12.0</v>
      </c>
      <c r="AU217" s="203">
        <v>0</v>
      </c>
    </row>
    <row r="218" spans="1:47" x14ac:dyDescent="0.2">
      <c r="A218" s="200" t="str">
        <f>"0496002599173"</f>
        <v>0496002599173</v>
      </c>
      <c r="B218" s="200">
        <v>1</v>
      </c>
      <c r="C218" s="200" t="s">
        <v>585</v>
      </c>
      <c r="D218" s="200" t="s">
        <v>586</v>
      </c>
      <c r="E218" s="200" t="s">
        <v>586</v>
      </c>
      <c r="F218" s="200" t="s">
        <v>243</v>
      </c>
      <c r="G218" s="200">
        <v>5314</v>
      </c>
      <c r="H218" s="200" t="s">
        <v>270</v>
      </c>
      <c r="I218" s="200">
        <v>61248</v>
      </c>
      <c r="J218" s="201">
        <v>42643</v>
      </c>
      <c r="K218" s="202">
        <v>0.38472222222222219</v>
      </c>
      <c r="L218" s="201">
        <v>42647</v>
      </c>
      <c r="M218" s="200" t="s">
        <v>606</v>
      </c>
      <c r="N218" s="200" t="s">
        <v>399</v>
      </c>
      <c r="O218" s="200" t="s">
        <v>400</v>
      </c>
      <c r="P218" s="200" t="s">
        <v>274</v>
      </c>
      <c r="Q218" s="200" t="s">
        <v>275</v>
      </c>
      <c r="R218" s="200" t="s">
        <v>401</v>
      </c>
      <c r="S218" s="200" t="s">
        <v>436</v>
      </c>
      <c r="T218" s="200" t="s">
        <v>587</v>
      </c>
      <c r="U218" s="200">
        <v>5314</v>
      </c>
      <c r="V218" s="200" t="s">
        <v>585</v>
      </c>
      <c r="W218" s="200" t="s">
        <v>280</v>
      </c>
      <c r="X218" s="200">
        <v>29.936</v>
      </c>
      <c r="Y218" s="203">
        <v>0</v>
      </c>
      <c r="Z218" s="203">
        <v>2.2200000000000002</v>
      </c>
      <c r="AA218" s="203">
        <v>66.430000000000007</v>
      </c>
      <c r="AB218" s="203">
        <v>-5.48</v>
      </c>
      <c r="AC218" s="203">
        <v>0</v>
      </c>
      <c r="AD218" s="203">
        <v>0</v>
      </c>
      <c r="AE218" s="203">
        <v>60.95</v>
      </c>
      <c r="AF218" s="203">
        <v>-7.18</v>
      </c>
      <c r="AG218" s="200" t="s">
        <v>279</v>
      </c>
      <c r="AH218" s="203">
        <v>0</v>
      </c>
      <c r="AI218" s="200" t="s">
        <v>279</v>
      </c>
      <c r="AJ218" s="203">
        <v>0</v>
      </c>
      <c r="AK218" s="200" t="s">
        <v>279</v>
      </c>
      <c r="AL218" s="203">
        <v>0</v>
      </c>
      <c r="AM218" s="200" t="s">
        <v>279</v>
      </c>
      <c r="AN218" s="203">
        <v>0</v>
      </c>
      <c r="AO218" s="200" t="s">
        <v>279</v>
      </c>
      <c r="AP218" s="203">
        <v>0</v>
      </c>
      <c r="AQ218" s="203">
        <v>66.430000000000007</v>
      </c>
      <c r="AR218" s="203">
        <v>0</v>
      </c>
      <c r="AS218" s="200" t="str">
        <f t="shared" si="3"/>
        <v>1.00000000</v>
      </c>
      <c r="AT218" s="200" t="str">
        <f>"14.4"</f>
        <v>14.4</v>
      </c>
      <c r="AU218" s="203">
        <v>0</v>
      </c>
    </row>
    <row r="219" spans="1:47" x14ac:dyDescent="0.2">
      <c r="A219" s="200" t="str">
        <f>"0496002595734"</f>
        <v>0496002595734</v>
      </c>
      <c r="B219" s="200">
        <v>2</v>
      </c>
      <c r="C219" s="200" t="s">
        <v>435</v>
      </c>
      <c r="D219" s="200">
        <v>80</v>
      </c>
      <c r="E219" s="200">
        <v>80</v>
      </c>
      <c r="F219" s="200" t="s">
        <v>243</v>
      </c>
      <c r="G219" s="200">
        <v>2086</v>
      </c>
      <c r="H219" s="200" t="s">
        <v>270</v>
      </c>
      <c r="I219" s="200">
        <v>69512</v>
      </c>
      <c r="J219" s="201">
        <v>42644</v>
      </c>
      <c r="K219" s="202">
        <v>0.86425925925925917</v>
      </c>
      <c r="L219" s="201">
        <v>42647</v>
      </c>
      <c r="M219" s="200" t="s">
        <v>314</v>
      </c>
      <c r="N219" s="200" t="s">
        <v>415</v>
      </c>
      <c r="O219" s="200" t="s">
        <v>416</v>
      </c>
      <c r="P219" s="200" t="s">
        <v>417</v>
      </c>
      <c r="Q219" s="200" t="s">
        <v>275</v>
      </c>
      <c r="R219" s="200" t="s">
        <v>418</v>
      </c>
      <c r="S219" s="200" t="s">
        <v>436</v>
      </c>
      <c r="T219" s="200" t="s">
        <v>435</v>
      </c>
      <c r="U219" s="200">
        <v>2086</v>
      </c>
      <c r="V219" s="200" t="s">
        <v>435</v>
      </c>
      <c r="W219" s="200" t="s">
        <v>280</v>
      </c>
      <c r="X219" s="200">
        <v>9.0489999999999995</v>
      </c>
      <c r="Y219" s="203">
        <v>0</v>
      </c>
      <c r="Z219" s="203">
        <v>2.1800000000000002</v>
      </c>
      <c r="AA219" s="203">
        <v>19.72</v>
      </c>
      <c r="AB219" s="203">
        <v>-1.66</v>
      </c>
      <c r="AC219" s="203">
        <v>0</v>
      </c>
      <c r="AD219" s="203">
        <v>0</v>
      </c>
      <c r="AE219" s="203">
        <v>18.059999999999999</v>
      </c>
      <c r="AF219" s="203">
        <v>-2.17</v>
      </c>
      <c r="AG219" s="200" t="s">
        <v>279</v>
      </c>
      <c r="AH219" s="203">
        <v>0</v>
      </c>
      <c r="AI219" s="200" t="s">
        <v>279</v>
      </c>
      <c r="AJ219" s="203">
        <v>0</v>
      </c>
      <c r="AK219" s="200" t="s">
        <v>279</v>
      </c>
      <c r="AL219" s="203">
        <v>0</v>
      </c>
      <c r="AM219" s="200" t="s">
        <v>279</v>
      </c>
      <c r="AN219" s="203">
        <v>0</v>
      </c>
      <c r="AO219" s="200" t="s">
        <v>279</v>
      </c>
      <c r="AP219" s="203">
        <v>0</v>
      </c>
      <c r="AQ219" s="203">
        <v>19.72</v>
      </c>
      <c r="AR219" s="203">
        <v>0</v>
      </c>
      <c r="AS219" s="200" t="str">
        <f t="shared" si="3"/>
        <v>1.00000000</v>
      </c>
      <c r="AT219" s="200" t="str">
        <f>"35.1"</f>
        <v>35.1</v>
      </c>
      <c r="AU219" s="203">
        <v>0</v>
      </c>
    </row>
    <row r="220" spans="1:47" x14ac:dyDescent="0.2">
      <c r="A220" s="200" t="str">
        <f>"0496002595734"</f>
        <v>0496002595734</v>
      </c>
      <c r="B220" s="200">
        <v>3</v>
      </c>
      <c r="C220" s="200" t="s">
        <v>435</v>
      </c>
      <c r="D220" s="200">
        <v>82</v>
      </c>
      <c r="E220" s="200">
        <v>82</v>
      </c>
      <c r="F220" s="200" t="s">
        <v>243</v>
      </c>
      <c r="G220" s="200">
        <v>2086</v>
      </c>
      <c r="H220" s="200" t="s">
        <v>270</v>
      </c>
      <c r="I220" s="200">
        <v>51315</v>
      </c>
      <c r="J220" s="201">
        <v>42645</v>
      </c>
      <c r="K220" s="202">
        <v>0.73749999999999993</v>
      </c>
      <c r="L220" s="201">
        <v>42647</v>
      </c>
      <c r="M220" s="200" t="s">
        <v>271</v>
      </c>
      <c r="N220" s="200" t="s">
        <v>272</v>
      </c>
      <c r="O220" s="200" t="s">
        <v>273</v>
      </c>
      <c r="P220" s="200" t="s">
        <v>274</v>
      </c>
      <c r="Q220" s="200" t="s">
        <v>275</v>
      </c>
      <c r="R220" s="200" t="s">
        <v>276</v>
      </c>
      <c r="S220" s="200" t="s">
        <v>436</v>
      </c>
      <c r="T220" s="200" t="s">
        <v>435</v>
      </c>
      <c r="U220" s="200">
        <v>2086</v>
      </c>
      <c r="V220" s="200" t="s">
        <v>435</v>
      </c>
      <c r="W220" s="200" t="s">
        <v>280</v>
      </c>
      <c r="X220" s="200">
        <v>13.72</v>
      </c>
      <c r="Y220" s="203">
        <v>-0.27</v>
      </c>
      <c r="Z220" s="203">
        <v>2.2400000000000002</v>
      </c>
      <c r="AA220" s="203">
        <v>30.72</v>
      </c>
      <c r="AB220" s="203">
        <v>-2.5099999999999998</v>
      </c>
      <c r="AC220" s="203">
        <v>0</v>
      </c>
      <c r="AD220" s="203">
        <v>0</v>
      </c>
      <c r="AE220" s="203">
        <v>27.94</v>
      </c>
      <c r="AF220" s="203">
        <v>-3.29</v>
      </c>
      <c r="AG220" s="200" t="s">
        <v>279</v>
      </c>
      <c r="AH220" s="203">
        <v>0</v>
      </c>
      <c r="AI220" s="200" t="s">
        <v>279</v>
      </c>
      <c r="AJ220" s="203">
        <v>0</v>
      </c>
      <c r="AK220" s="200" t="s">
        <v>279</v>
      </c>
      <c r="AL220" s="203">
        <v>0</v>
      </c>
      <c r="AM220" s="200" t="s">
        <v>279</v>
      </c>
      <c r="AN220" s="203">
        <v>0</v>
      </c>
      <c r="AO220" s="200" t="s">
        <v>279</v>
      </c>
      <c r="AP220" s="203">
        <v>0</v>
      </c>
      <c r="AQ220" s="203">
        <v>30.72</v>
      </c>
      <c r="AR220" s="203">
        <v>0</v>
      </c>
      <c r="AS220" s="200" t="str">
        <f t="shared" si="3"/>
        <v>1.00000000</v>
      </c>
      <c r="AT220" s="200" t="str">
        <f>"17.0"</f>
        <v>17.0</v>
      </c>
      <c r="AU220" s="203">
        <v>0</v>
      </c>
    </row>
    <row r="221" spans="1:47" x14ac:dyDescent="0.2">
      <c r="A221" s="200" t="str">
        <f>"0496002595734"</f>
        <v>0496002595734</v>
      </c>
      <c r="B221" s="200">
        <v>1</v>
      </c>
      <c r="C221" s="200" t="s">
        <v>435</v>
      </c>
      <c r="D221" s="200">
        <v>81</v>
      </c>
      <c r="E221" s="200">
        <v>81</v>
      </c>
      <c r="F221" s="200" t="s">
        <v>243</v>
      </c>
      <c r="G221" s="200">
        <v>2086</v>
      </c>
      <c r="H221" s="200" t="s">
        <v>270</v>
      </c>
      <c r="I221" s="200">
        <v>63748</v>
      </c>
      <c r="J221" s="201">
        <v>42646</v>
      </c>
      <c r="K221" s="202">
        <v>0.92847222222222225</v>
      </c>
      <c r="L221" s="201">
        <v>42648</v>
      </c>
      <c r="M221" s="200" t="s">
        <v>271</v>
      </c>
      <c r="N221" s="200" t="s">
        <v>272</v>
      </c>
      <c r="O221" s="200" t="s">
        <v>273</v>
      </c>
      <c r="P221" s="200" t="s">
        <v>274</v>
      </c>
      <c r="Q221" s="200" t="s">
        <v>275</v>
      </c>
      <c r="R221" s="200" t="s">
        <v>276</v>
      </c>
      <c r="S221" s="200" t="s">
        <v>436</v>
      </c>
      <c r="T221" s="200" t="s">
        <v>435</v>
      </c>
      <c r="U221" s="200">
        <v>2086</v>
      </c>
      <c r="V221" s="200" t="s">
        <v>435</v>
      </c>
      <c r="W221" s="200" t="s">
        <v>280</v>
      </c>
      <c r="X221" s="200">
        <v>14.609</v>
      </c>
      <c r="Y221" s="203">
        <v>-0.28999999999999998</v>
      </c>
      <c r="Z221" s="203">
        <v>2.2400000000000002</v>
      </c>
      <c r="AA221" s="203">
        <v>32.71</v>
      </c>
      <c r="AB221" s="203">
        <v>-2.67</v>
      </c>
      <c r="AC221" s="203">
        <v>0</v>
      </c>
      <c r="AD221" s="203">
        <v>0</v>
      </c>
      <c r="AE221" s="203">
        <v>29.75</v>
      </c>
      <c r="AF221" s="203">
        <v>-3.51</v>
      </c>
      <c r="AG221" s="200" t="s">
        <v>279</v>
      </c>
      <c r="AH221" s="203">
        <v>0</v>
      </c>
      <c r="AI221" s="200" t="s">
        <v>279</v>
      </c>
      <c r="AJ221" s="203">
        <v>0</v>
      </c>
      <c r="AK221" s="200" t="s">
        <v>279</v>
      </c>
      <c r="AL221" s="203">
        <v>0</v>
      </c>
      <c r="AM221" s="200" t="s">
        <v>279</v>
      </c>
      <c r="AN221" s="203">
        <v>0</v>
      </c>
      <c r="AO221" s="200" t="s">
        <v>279</v>
      </c>
      <c r="AP221" s="203">
        <v>0</v>
      </c>
      <c r="AQ221" s="203">
        <v>32.71</v>
      </c>
      <c r="AR221" s="203">
        <v>0</v>
      </c>
      <c r="AS221" s="200" t="str">
        <f t="shared" si="3"/>
        <v>1.00000000</v>
      </c>
      <c r="AT221" s="200" t="str">
        <f>"23.8"</f>
        <v>23.8</v>
      </c>
      <c r="AU221" s="203">
        <v>0</v>
      </c>
    </row>
    <row r="222" spans="1:47" x14ac:dyDescent="0.2">
      <c r="A222" s="200" t="str">
        <f>"0496002595734"</f>
        <v>0496002595734</v>
      </c>
      <c r="B222" s="200">
        <v>2</v>
      </c>
      <c r="C222" s="200" t="s">
        <v>435</v>
      </c>
      <c r="D222" s="200">
        <v>80</v>
      </c>
      <c r="E222" s="200">
        <v>80</v>
      </c>
      <c r="F222" s="200" t="s">
        <v>243</v>
      </c>
      <c r="G222" s="200">
        <v>2086</v>
      </c>
      <c r="H222" s="200" t="s">
        <v>270</v>
      </c>
      <c r="I222" s="200">
        <v>69734</v>
      </c>
      <c r="J222" s="201">
        <v>42646</v>
      </c>
      <c r="K222" s="202">
        <v>0.43958333333333338</v>
      </c>
      <c r="L222" s="201">
        <v>42648</v>
      </c>
      <c r="M222" s="200" t="s">
        <v>271</v>
      </c>
      <c r="N222" s="200" t="s">
        <v>272</v>
      </c>
      <c r="O222" s="200" t="s">
        <v>273</v>
      </c>
      <c r="P222" s="200" t="s">
        <v>274</v>
      </c>
      <c r="Q222" s="200" t="s">
        <v>275</v>
      </c>
      <c r="R222" s="200" t="s">
        <v>276</v>
      </c>
      <c r="S222" s="200" t="s">
        <v>436</v>
      </c>
      <c r="T222" s="200" t="s">
        <v>435</v>
      </c>
      <c r="U222" s="200">
        <v>2086</v>
      </c>
      <c r="V222" s="200" t="s">
        <v>435</v>
      </c>
      <c r="W222" s="200" t="s">
        <v>280</v>
      </c>
      <c r="X222" s="200">
        <v>5.8550000000000004</v>
      </c>
      <c r="Y222" s="203">
        <v>-0.12</v>
      </c>
      <c r="Z222" s="203">
        <v>2.2400000000000002</v>
      </c>
      <c r="AA222" s="203">
        <v>13.11</v>
      </c>
      <c r="AB222" s="203">
        <v>-1.07</v>
      </c>
      <c r="AC222" s="203">
        <v>0</v>
      </c>
      <c r="AD222" s="203">
        <v>0</v>
      </c>
      <c r="AE222" s="203">
        <v>11.92</v>
      </c>
      <c r="AF222" s="203">
        <v>-1.41</v>
      </c>
      <c r="AG222" s="200" t="s">
        <v>279</v>
      </c>
      <c r="AH222" s="203">
        <v>0</v>
      </c>
      <c r="AI222" s="200" t="s">
        <v>279</v>
      </c>
      <c r="AJ222" s="203">
        <v>0</v>
      </c>
      <c r="AK222" s="200" t="s">
        <v>279</v>
      </c>
      <c r="AL222" s="203">
        <v>0</v>
      </c>
      <c r="AM222" s="200" t="s">
        <v>279</v>
      </c>
      <c r="AN222" s="203">
        <v>0</v>
      </c>
      <c r="AO222" s="200" t="s">
        <v>279</v>
      </c>
      <c r="AP222" s="203">
        <v>0</v>
      </c>
      <c r="AQ222" s="203">
        <v>13.11</v>
      </c>
      <c r="AR222" s="203">
        <v>0</v>
      </c>
      <c r="AS222" s="200" t="str">
        <f t="shared" si="3"/>
        <v>1.00000000</v>
      </c>
      <c r="AT222" s="200" t="str">
        <f>"37.9"</f>
        <v>37.9</v>
      </c>
      <c r="AU222" s="203">
        <v>0</v>
      </c>
    </row>
    <row r="223" spans="1:47" x14ac:dyDescent="0.2">
      <c r="A223" s="200" t="str">
        <f>"0496002595916"</f>
        <v>0496002595916</v>
      </c>
      <c r="B223" s="200">
        <v>1</v>
      </c>
      <c r="C223" s="200" t="s">
        <v>580</v>
      </c>
      <c r="D223" s="200">
        <v>1989</v>
      </c>
      <c r="E223" s="200">
        <v>1989</v>
      </c>
      <c r="F223" s="200" t="s">
        <v>243</v>
      </c>
      <c r="G223" s="200">
        <v>2411</v>
      </c>
      <c r="H223" s="200" t="s">
        <v>270</v>
      </c>
      <c r="I223" s="200">
        <v>79272</v>
      </c>
      <c r="J223" s="201">
        <v>42646</v>
      </c>
      <c r="K223" s="202">
        <v>0.53194444444444444</v>
      </c>
      <c r="L223" s="201">
        <v>42648</v>
      </c>
      <c r="M223" s="200" t="s">
        <v>271</v>
      </c>
      <c r="N223" s="200" t="s">
        <v>272</v>
      </c>
      <c r="O223" s="200" t="s">
        <v>273</v>
      </c>
      <c r="P223" s="200" t="s">
        <v>274</v>
      </c>
      <c r="Q223" s="200" t="s">
        <v>275</v>
      </c>
      <c r="R223" s="200" t="s">
        <v>276</v>
      </c>
      <c r="S223" s="200" t="s">
        <v>436</v>
      </c>
      <c r="T223" s="200" t="s">
        <v>580</v>
      </c>
      <c r="U223" s="200">
        <v>2411</v>
      </c>
      <c r="V223" s="200" t="s">
        <v>580</v>
      </c>
      <c r="W223" s="200" t="s">
        <v>280</v>
      </c>
      <c r="X223" s="200">
        <v>30.79</v>
      </c>
      <c r="Y223" s="203">
        <v>-0.62</v>
      </c>
      <c r="Z223" s="203">
        <v>2.2400000000000002</v>
      </c>
      <c r="AA223" s="203">
        <v>68.94</v>
      </c>
      <c r="AB223" s="203">
        <v>-5.63</v>
      </c>
      <c r="AC223" s="203">
        <v>0</v>
      </c>
      <c r="AD223" s="203">
        <v>0</v>
      </c>
      <c r="AE223" s="203">
        <v>62.69</v>
      </c>
      <c r="AF223" s="203">
        <v>-7.39</v>
      </c>
      <c r="AG223" s="200" t="s">
        <v>279</v>
      </c>
      <c r="AH223" s="203">
        <v>0</v>
      </c>
      <c r="AI223" s="200" t="s">
        <v>279</v>
      </c>
      <c r="AJ223" s="203">
        <v>0</v>
      </c>
      <c r="AK223" s="200" t="s">
        <v>279</v>
      </c>
      <c r="AL223" s="203">
        <v>0</v>
      </c>
      <c r="AM223" s="200" t="s">
        <v>279</v>
      </c>
      <c r="AN223" s="203">
        <v>0</v>
      </c>
      <c r="AO223" s="200" t="s">
        <v>279</v>
      </c>
      <c r="AP223" s="203">
        <v>0</v>
      </c>
      <c r="AQ223" s="203">
        <v>68.94</v>
      </c>
      <c r="AR223" s="203">
        <v>0</v>
      </c>
      <c r="AS223" s="200" t="str">
        <f t="shared" si="3"/>
        <v>1.00000000</v>
      </c>
      <c r="AT223" s="200" t="str">
        <f>"16.6"</f>
        <v>16.6</v>
      </c>
      <c r="AU223" s="203">
        <v>0</v>
      </c>
    </row>
    <row r="224" spans="1:47" x14ac:dyDescent="0.2">
      <c r="A224" s="200" t="str">
        <f>"0496002599173"</f>
        <v>0496002599173</v>
      </c>
      <c r="B224" s="200">
        <v>2</v>
      </c>
      <c r="C224" s="200" t="s">
        <v>585</v>
      </c>
      <c r="D224" s="200" t="s">
        <v>594</v>
      </c>
      <c r="E224" s="200" t="s">
        <v>594</v>
      </c>
      <c r="F224" s="200" t="s">
        <v>243</v>
      </c>
      <c r="G224" s="200">
        <v>5647</v>
      </c>
      <c r="H224" s="200" t="s">
        <v>270</v>
      </c>
      <c r="I224" s="200">
        <v>111924</v>
      </c>
      <c r="J224" s="201">
        <v>42646</v>
      </c>
      <c r="K224" s="202">
        <v>0.31527777777777777</v>
      </c>
      <c r="L224" s="201">
        <v>42648</v>
      </c>
      <c r="M224" s="200" t="s">
        <v>606</v>
      </c>
      <c r="N224" s="200" t="s">
        <v>399</v>
      </c>
      <c r="O224" s="200" t="s">
        <v>400</v>
      </c>
      <c r="P224" s="200" t="s">
        <v>274</v>
      </c>
      <c r="Q224" s="200" t="s">
        <v>275</v>
      </c>
      <c r="R224" s="200" t="s">
        <v>401</v>
      </c>
      <c r="S224" s="200" t="s">
        <v>436</v>
      </c>
      <c r="T224" s="200" t="s">
        <v>595</v>
      </c>
      <c r="U224" s="200">
        <v>5647</v>
      </c>
      <c r="V224" s="200" t="s">
        <v>585</v>
      </c>
      <c r="W224" s="200" t="s">
        <v>280</v>
      </c>
      <c r="X224" s="200">
        <v>22.244</v>
      </c>
      <c r="Y224" s="203">
        <v>0</v>
      </c>
      <c r="Z224" s="203">
        <v>2.2599999999999998</v>
      </c>
      <c r="AA224" s="203">
        <v>50.25</v>
      </c>
      <c r="AB224" s="203">
        <v>-4.07</v>
      </c>
      <c r="AC224" s="203">
        <v>0</v>
      </c>
      <c r="AD224" s="203">
        <v>0</v>
      </c>
      <c r="AE224" s="203">
        <v>46.18</v>
      </c>
      <c r="AF224" s="203">
        <v>-5.34</v>
      </c>
      <c r="AG224" s="200" t="s">
        <v>279</v>
      </c>
      <c r="AH224" s="203">
        <v>0</v>
      </c>
      <c r="AI224" s="200" t="s">
        <v>279</v>
      </c>
      <c r="AJ224" s="203">
        <v>0</v>
      </c>
      <c r="AK224" s="200" t="s">
        <v>279</v>
      </c>
      <c r="AL224" s="203">
        <v>0</v>
      </c>
      <c r="AM224" s="200" t="s">
        <v>279</v>
      </c>
      <c r="AN224" s="203">
        <v>0</v>
      </c>
      <c r="AO224" s="200" t="s">
        <v>279</v>
      </c>
      <c r="AP224" s="203">
        <v>0</v>
      </c>
      <c r="AQ224" s="203">
        <v>50.25</v>
      </c>
      <c r="AR224" s="203">
        <v>0</v>
      </c>
      <c r="AS224" s="200" t="str">
        <f t="shared" si="3"/>
        <v>1.00000000</v>
      </c>
      <c r="AT224" s="200" t="str">
        <f>"13.4"</f>
        <v>13.4</v>
      </c>
      <c r="AU224" s="203">
        <v>0</v>
      </c>
    </row>
    <row r="225" spans="1:47" x14ac:dyDescent="0.2">
      <c r="A225" s="200" t="str">
        <f>"0496002595700"</f>
        <v>0496002595700</v>
      </c>
      <c r="B225" s="200">
        <v>2</v>
      </c>
      <c r="C225" s="200" t="s">
        <v>156</v>
      </c>
      <c r="D225" s="200">
        <v>42</v>
      </c>
      <c r="E225" s="200">
        <v>42</v>
      </c>
      <c r="F225" s="200" t="s">
        <v>243</v>
      </c>
      <c r="G225" s="200">
        <v>2262</v>
      </c>
      <c r="H225" s="200" t="s">
        <v>270</v>
      </c>
      <c r="I225" s="200">
        <v>30727</v>
      </c>
      <c r="J225" s="201">
        <v>42647</v>
      </c>
      <c r="K225" s="202">
        <v>0.56874999999999998</v>
      </c>
      <c r="L225" s="201">
        <v>42649</v>
      </c>
      <c r="M225" s="200" t="s">
        <v>271</v>
      </c>
      <c r="N225" s="200" t="s">
        <v>272</v>
      </c>
      <c r="O225" s="200" t="s">
        <v>273</v>
      </c>
      <c r="P225" s="200" t="s">
        <v>274</v>
      </c>
      <c r="Q225" s="200" t="s">
        <v>275</v>
      </c>
      <c r="R225" s="200" t="s">
        <v>276</v>
      </c>
      <c r="S225" s="200" t="s">
        <v>156</v>
      </c>
      <c r="T225" s="200" t="s">
        <v>277</v>
      </c>
      <c r="U225" s="200">
        <v>2262</v>
      </c>
      <c r="V225" s="200" t="s">
        <v>156</v>
      </c>
      <c r="W225" s="200" t="s">
        <v>280</v>
      </c>
      <c r="X225" s="200">
        <v>8.0879999999999992</v>
      </c>
      <c r="Y225" s="203">
        <v>-0.16</v>
      </c>
      <c r="Z225" s="203">
        <v>2.2400000000000002</v>
      </c>
      <c r="AA225" s="203">
        <v>18.11</v>
      </c>
      <c r="AB225" s="203">
        <v>-1.48</v>
      </c>
      <c r="AC225" s="203">
        <v>0</v>
      </c>
      <c r="AD225" s="203">
        <v>0</v>
      </c>
      <c r="AE225" s="203">
        <v>16.47</v>
      </c>
      <c r="AF225" s="203">
        <v>-1.94</v>
      </c>
      <c r="AG225" s="200" t="s">
        <v>279</v>
      </c>
      <c r="AH225" s="203">
        <v>0</v>
      </c>
      <c r="AI225" s="200" t="s">
        <v>279</v>
      </c>
      <c r="AJ225" s="203">
        <v>0</v>
      </c>
      <c r="AK225" s="200" t="s">
        <v>279</v>
      </c>
      <c r="AL225" s="203">
        <v>0</v>
      </c>
      <c r="AM225" s="200" t="s">
        <v>279</v>
      </c>
      <c r="AN225" s="203">
        <v>0</v>
      </c>
      <c r="AO225" s="200" t="s">
        <v>279</v>
      </c>
      <c r="AP225" s="203">
        <v>0</v>
      </c>
      <c r="AQ225" s="203">
        <v>18.11</v>
      </c>
      <c r="AR225" s="203">
        <v>0</v>
      </c>
      <c r="AS225" s="200" t="str">
        <f t="shared" si="3"/>
        <v>1.00000000</v>
      </c>
      <c r="AT225" s="200" t="str">
        <f>"47.8"</f>
        <v>47.8</v>
      </c>
      <c r="AU225" s="203">
        <v>0</v>
      </c>
    </row>
    <row r="226" spans="1:47" x14ac:dyDescent="0.2">
      <c r="A226" s="200" t="str">
        <f>"0496002599140"</f>
        <v>0496002599140</v>
      </c>
      <c r="B226" s="200">
        <v>1</v>
      </c>
      <c r="C226" s="200" t="s">
        <v>581</v>
      </c>
      <c r="D226" s="200" t="s">
        <v>582</v>
      </c>
      <c r="E226" s="200" t="s">
        <v>582</v>
      </c>
      <c r="F226" s="200" t="s">
        <v>243</v>
      </c>
      <c r="G226" s="200">
        <v>2323</v>
      </c>
      <c r="H226" s="200" t="s">
        <v>270</v>
      </c>
      <c r="I226" s="200">
        <v>9999</v>
      </c>
      <c r="J226" s="201">
        <v>42647</v>
      </c>
      <c r="K226" s="202">
        <v>0.58271990740740742</v>
      </c>
      <c r="L226" s="201">
        <v>42649</v>
      </c>
      <c r="M226" s="200" t="s">
        <v>340</v>
      </c>
      <c r="N226" s="200" t="s">
        <v>341</v>
      </c>
      <c r="O226" s="200" t="s">
        <v>342</v>
      </c>
      <c r="P226" s="200" t="s">
        <v>343</v>
      </c>
      <c r="Q226" s="200" t="s">
        <v>275</v>
      </c>
      <c r="R226" s="200">
        <v>1035</v>
      </c>
      <c r="S226" s="200" t="s">
        <v>436</v>
      </c>
      <c r="T226" s="200" t="s">
        <v>581</v>
      </c>
      <c r="U226" s="200">
        <v>2323</v>
      </c>
      <c r="V226" s="200" t="s">
        <v>581</v>
      </c>
      <c r="W226" s="200" t="s">
        <v>278</v>
      </c>
      <c r="X226" s="200">
        <v>9.4239999999999995</v>
      </c>
      <c r="Y226" s="203">
        <v>0</v>
      </c>
      <c r="Z226" s="203">
        <v>2.58</v>
      </c>
      <c r="AA226" s="203">
        <v>24.3</v>
      </c>
      <c r="AB226" s="203">
        <v>-1.72</v>
      </c>
      <c r="AC226" s="203">
        <v>0</v>
      </c>
      <c r="AD226" s="203">
        <v>0</v>
      </c>
      <c r="AE226" s="203">
        <v>22.58</v>
      </c>
      <c r="AF226" s="203">
        <v>-2.2599999999999998</v>
      </c>
      <c r="AG226" s="200" t="s">
        <v>279</v>
      </c>
      <c r="AH226" s="203">
        <v>0</v>
      </c>
      <c r="AI226" s="200" t="s">
        <v>279</v>
      </c>
      <c r="AJ226" s="203">
        <v>0</v>
      </c>
      <c r="AK226" s="200" t="s">
        <v>279</v>
      </c>
      <c r="AL226" s="203">
        <v>0</v>
      </c>
      <c r="AM226" s="200" t="s">
        <v>279</v>
      </c>
      <c r="AN226" s="203">
        <v>0</v>
      </c>
      <c r="AO226" s="200" t="s">
        <v>279</v>
      </c>
      <c r="AP226" s="203">
        <v>0</v>
      </c>
      <c r="AQ226" s="203">
        <v>24.3</v>
      </c>
      <c r="AR226" s="203">
        <v>0</v>
      </c>
      <c r="AS226" s="200" t="str">
        <f t="shared" si="3"/>
        <v>1.00000000</v>
      </c>
      <c r="AT226" s="200" t="str">
        <f>"955.0"</f>
        <v>955.0</v>
      </c>
      <c r="AU226" s="203">
        <v>0</v>
      </c>
    </row>
    <row r="227" spans="1:47" x14ac:dyDescent="0.2">
      <c r="A227" s="200" t="str">
        <f>"0496002599173"</f>
        <v>0496002599173</v>
      </c>
      <c r="B227" s="200">
        <v>3</v>
      </c>
      <c r="C227" s="200" t="s">
        <v>585</v>
      </c>
      <c r="D227" s="200" t="s">
        <v>628</v>
      </c>
      <c r="E227" s="200" t="s">
        <v>628</v>
      </c>
      <c r="F227" s="200" t="s">
        <v>243</v>
      </c>
      <c r="G227" s="200">
        <v>5738</v>
      </c>
      <c r="H227" s="200" t="s">
        <v>270</v>
      </c>
      <c r="I227" s="200">
        <v>112591</v>
      </c>
      <c r="J227" s="201">
        <v>42647</v>
      </c>
      <c r="K227" s="202">
        <v>0.34861111111111115</v>
      </c>
      <c r="L227" s="201">
        <v>42649</v>
      </c>
      <c r="M227" s="200" t="s">
        <v>606</v>
      </c>
      <c r="N227" s="200" t="s">
        <v>399</v>
      </c>
      <c r="O227" s="200" t="s">
        <v>400</v>
      </c>
      <c r="P227" s="200" t="s">
        <v>274</v>
      </c>
      <c r="Q227" s="200" t="s">
        <v>275</v>
      </c>
      <c r="R227" s="200" t="s">
        <v>401</v>
      </c>
      <c r="S227" s="200" t="s">
        <v>436</v>
      </c>
      <c r="T227" s="200" t="s">
        <v>630</v>
      </c>
      <c r="U227" s="200">
        <v>5738</v>
      </c>
      <c r="V227" s="200" t="s">
        <v>585</v>
      </c>
      <c r="W227" s="200" t="s">
        <v>280</v>
      </c>
      <c r="X227" s="200">
        <v>22.709</v>
      </c>
      <c r="Y227" s="203">
        <v>0</v>
      </c>
      <c r="Z227" s="203">
        <v>2.2599999999999998</v>
      </c>
      <c r="AA227" s="203">
        <v>51.3</v>
      </c>
      <c r="AB227" s="203">
        <v>-4.16</v>
      </c>
      <c r="AC227" s="203">
        <v>0</v>
      </c>
      <c r="AD227" s="203">
        <v>0</v>
      </c>
      <c r="AE227" s="203">
        <v>47.14</v>
      </c>
      <c r="AF227" s="203">
        <v>-5.45</v>
      </c>
      <c r="AG227" s="200" t="s">
        <v>279</v>
      </c>
      <c r="AH227" s="203">
        <v>0</v>
      </c>
      <c r="AI227" s="200" t="s">
        <v>279</v>
      </c>
      <c r="AJ227" s="203">
        <v>0</v>
      </c>
      <c r="AK227" s="200" t="s">
        <v>279</v>
      </c>
      <c r="AL227" s="203">
        <v>0</v>
      </c>
      <c r="AM227" s="200" t="s">
        <v>279</v>
      </c>
      <c r="AN227" s="203">
        <v>0</v>
      </c>
      <c r="AO227" s="200" t="s">
        <v>279</v>
      </c>
      <c r="AP227" s="203">
        <v>0</v>
      </c>
      <c r="AQ227" s="203">
        <v>51.3</v>
      </c>
      <c r="AR227" s="203">
        <v>0</v>
      </c>
      <c r="AS227" s="200" t="str">
        <f t="shared" si="3"/>
        <v>1.00000000</v>
      </c>
      <c r="AT227" s="200" t="str">
        <f>"12.6"</f>
        <v>12.6</v>
      </c>
      <c r="AU227" s="203">
        <v>0</v>
      </c>
    </row>
    <row r="228" spans="1:47" x14ac:dyDescent="0.2">
      <c r="A228" s="200" t="str">
        <f>"0496002595890"</f>
        <v>0496002595890</v>
      </c>
      <c r="B228" s="200">
        <v>1</v>
      </c>
      <c r="C228" s="200" t="s">
        <v>579</v>
      </c>
      <c r="D228" s="200">
        <v>12</v>
      </c>
      <c r="F228" s="200" t="s">
        <v>243</v>
      </c>
      <c r="G228" s="200">
        <v>2834</v>
      </c>
      <c r="H228" s="200" t="s">
        <v>270</v>
      </c>
      <c r="I228" s="200">
        <v>14600</v>
      </c>
      <c r="J228" s="201">
        <v>42648</v>
      </c>
      <c r="K228" s="202">
        <v>0.39097222222222222</v>
      </c>
      <c r="L228" s="201">
        <v>42650</v>
      </c>
      <c r="M228" s="200" t="s">
        <v>271</v>
      </c>
      <c r="N228" s="200" t="s">
        <v>272</v>
      </c>
      <c r="O228" s="200" t="s">
        <v>273</v>
      </c>
      <c r="P228" s="200" t="s">
        <v>274</v>
      </c>
      <c r="Q228" s="200" t="s">
        <v>275</v>
      </c>
      <c r="R228" s="200" t="s">
        <v>276</v>
      </c>
      <c r="S228" s="200" t="s">
        <v>436</v>
      </c>
      <c r="T228" s="200" t="s">
        <v>579</v>
      </c>
      <c r="U228" s="200">
        <v>2834</v>
      </c>
      <c r="V228" s="200" t="s">
        <v>579</v>
      </c>
      <c r="W228" s="200" t="s">
        <v>280</v>
      </c>
      <c r="X228" s="200">
        <v>25.451000000000001</v>
      </c>
      <c r="Y228" s="203">
        <v>-0.51</v>
      </c>
      <c r="Z228" s="203">
        <v>2.25</v>
      </c>
      <c r="AA228" s="203">
        <v>57.24</v>
      </c>
      <c r="AB228" s="203">
        <v>-4.66</v>
      </c>
      <c r="AC228" s="203">
        <v>0</v>
      </c>
      <c r="AD228" s="203">
        <v>0</v>
      </c>
      <c r="AE228" s="203">
        <v>52.07</v>
      </c>
      <c r="AF228" s="203">
        <v>-6.11</v>
      </c>
      <c r="AG228" s="200" t="s">
        <v>279</v>
      </c>
      <c r="AH228" s="203">
        <v>0</v>
      </c>
      <c r="AI228" s="200" t="s">
        <v>279</v>
      </c>
      <c r="AJ228" s="203">
        <v>0</v>
      </c>
      <c r="AK228" s="200" t="s">
        <v>279</v>
      </c>
      <c r="AL228" s="203">
        <v>0</v>
      </c>
      <c r="AM228" s="200" t="s">
        <v>279</v>
      </c>
      <c r="AN228" s="203">
        <v>0</v>
      </c>
      <c r="AO228" s="200" t="s">
        <v>279</v>
      </c>
      <c r="AP228" s="203">
        <v>0</v>
      </c>
      <c r="AQ228" s="203">
        <v>57.24</v>
      </c>
      <c r="AR228" s="203">
        <v>0</v>
      </c>
      <c r="AS228" s="200" t="str">
        <f t="shared" si="3"/>
        <v>1.00000000</v>
      </c>
      <c r="AT228" s="200" t="str">
        <f>"0.0"</f>
        <v>0.0</v>
      </c>
      <c r="AU228" s="203">
        <v>0</v>
      </c>
    </row>
    <row r="229" spans="1:47" x14ac:dyDescent="0.2">
      <c r="A229" s="200" t="str">
        <f>"0496002595734"</f>
        <v>0496002595734</v>
      </c>
      <c r="B229" s="200">
        <v>2</v>
      </c>
      <c r="C229" s="200" t="s">
        <v>435</v>
      </c>
      <c r="D229" s="200">
        <v>80</v>
      </c>
      <c r="E229" s="200">
        <v>80</v>
      </c>
      <c r="F229" s="200" t="s">
        <v>243</v>
      </c>
      <c r="G229" s="200">
        <v>2086</v>
      </c>
      <c r="H229" s="200" t="s">
        <v>270</v>
      </c>
      <c r="I229" s="200">
        <v>10278</v>
      </c>
      <c r="J229" s="201">
        <v>42649</v>
      </c>
      <c r="K229" s="202">
        <v>0.8847222222222223</v>
      </c>
      <c r="L229" s="201">
        <v>42653</v>
      </c>
      <c r="M229" s="200" t="s">
        <v>271</v>
      </c>
      <c r="N229" s="200" t="s">
        <v>272</v>
      </c>
      <c r="O229" s="200" t="s">
        <v>273</v>
      </c>
      <c r="P229" s="200" t="s">
        <v>274</v>
      </c>
      <c r="Q229" s="200" t="s">
        <v>275</v>
      </c>
      <c r="R229" s="200" t="s">
        <v>276</v>
      </c>
      <c r="S229" s="200" t="s">
        <v>436</v>
      </c>
      <c r="T229" s="200" t="s">
        <v>435</v>
      </c>
      <c r="U229" s="200">
        <v>2086</v>
      </c>
      <c r="V229" s="200" t="s">
        <v>435</v>
      </c>
      <c r="W229" s="200" t="s">
        <v>280</v>
      </c>
      <c r="X229" s="200">
        <v>12.472</v>
      </c>
      <c r="Y229" s="203">
        <v>-0.25</v>
      </c>
      <c r="Z229" s="203">
        <v>2.27</v>
      </c>
      <c r="AA229" s="203">
        <v>28.3</v>
      </c>
      <c r="AB229" s="203">
        <v>-2.2799999999999998</v>
      </c>
      <c r="AC229" s="203">
        <v>0</v>
      </c>
      <c r="AD229" s="203">
        <v>0</v>
      </c>
      <c r="AE229" s="203">
        <v>25.77</v>
      </c>
      <c r="AF229" s="203">
        <v>-2.99</v>
      </c>
      <c r="AG229" s="200" t="s">
        <v>279</v>
      </c>
      <c r="AH229" s="203">
        <v>0</v>
      </c>
      <c r="AI229" s="200" t="s">
        <v>279</v>
      </c>
      <c r="AJ229" s="203">
        <v>0</v>
      </c>
      <c r="AK229" s="200" t="s">
        <v>279</v>
      </c>
      <c r="AL229" s="203">
        <v>0</v>
      </c>
      <c r="AM229" s="200" t="s">
        <v>279</v>
      </c>
      <c r="AN229" s="203">
        <v>0</v>
      </c>
      <c r="AO229" s="200" t="s">
        <v>279</v>
      </c>
      <c r="AP229" s="203">
        <v>0</v>
      </c>
      <c r="AQ229" s="203">
        <v>28.3</v>
      </c>
      <c r="AR229" s="203">
        <v>0</v>
      </c>
      <c r="AS229" s="200" t="str">
        <f t="shared" si="3"/>
        <v>1.00000000</v>
      </c>
      <c r="AT229" s="200" t="str">
        <f>"38.2"</f>
        <v>38.2</v>
      </c>
      <c r="AU229" s="203">
        <v>0</v>
      </c>
    </row>
    <row r="230" spans="1:47" x14ac:dyDescent="0.2">
      <c r="A230" s="200" t="str">
        <f>"0496002595734"</f>
        <v>0496002595734</v>
      </c>
      <c r="B230" s="200">
        <v>3</v>
      </c>
      <c r="C230" s="200" t="s">
        <v>435</v>
      </c>
      <c r="D230" s="200">
        <v>82</v>
      </c>
      <c r="E230" s="200">
        <v>82</v>
      </c>
      <c r="F230" s="200" t="s">
        <v>243</v>
      </c>
      <c r="G230" s="200">
        <v>2086</v>
      </c>
      <c r="H230" s="200" t="s">
        <v>270</v>
      </c>
      <c r="I230" s="200">
        <v>51589</v>
      </c>
      <c r="J230" s="201">
        <v>42649</v>
      </c>
      <c r="K230" s="202">
        <v>0.72722222222222221</v>
      </c>
      <c r="L230" s="201">
        <v>42675</v>
      </c>
      <c r="M230" s="200" t="s">
        <v>310</v>
      </c>
      <c r="N230" s="200" t="s">
        <v>750</v>
      </c>
      <c r="O230" s="200" t="s">
        <v>751</v>
      </c>
      <c r="P230" s="200" t="s">
        <v>450</v>
      </c>
      <c r="Q230" s="200" t="s">
        <v>275</v>
      </c>
      <c r="R230" s="200">
        <v>2122</v>
      </c>
      <c r="S230" s="200" t="s">
        <v>436</v>
      </c>
      <c r="T230" s="200" t="s">
        <v>435</v>
      </c>
      <c r="U230" s="200">
        <v>2086</v>
      </c>
      <c r="V230" s="200" t="s">
        <v>435</v>
      </c>
      <c r="W230" s="200" t="s">
        <v>280</v>
      </c>
      <c r="X230" s="200">
        <v>14.608000000000001</v>
      </c>
      <c r="Y230" s="203">
        <v>0</v>
      </c>
      <c r="Z230" s="203">
        <v>2.2000000000000002</v>
      </c>
      <c r="AA230" s="203">
        <v>32.119999999999997</v>
      </c>
      <c r="AB230" s="203">
        <v>-2.67</v>
      </c>
      <c r="AC230" s="203">
        <v>0</v>
      </c>
      <c r="AD230" s="203">
        <v>0</v>
      </c>
      <c r="AE230" s="203">
        <v>29.45</v>
      </c>
      <c r="AF230" s="203">
        <v>-3.51</v>
      </c>
      <c r="AG230" s="200" t="s">
        <v>279</v>
      </c>
      <c r="AH230" s="203">
        <v>0</v>
      </c>
      <c r="AI230" s="200" t="s">
        <v>279</v>
      </c>
      <c r="AJ230" s="203">
        <v>0</v>
      </c>
      <c r="AK230" s="200" t="s">
        <v>279</v>
      </c>
      <c r="AL230" s="203">
        <v>0</v>
      </c>
      <c r="AM230" s="200" t="s">
        <v>279</v>
      </c>
      <c r="AN230" s="203">
        <v>0</v>
      </c>
      <c r="AO230" s="200" t="s">
        <v>279</v>
      </c>
      <c r="AP230" s="203">
        <v>0</v>
      </c>
      <c r="AQ230" s="203">
        <v>32.119999999999997</v>
      </c>
      <c r="AR230" s="203">
        <v>0</v>
      </c>
      <c r="AS230" s="200" t="str">
        <f t="shared" si="3"/>
        <v>1.00000000</v>
      </c>
      <c r="AT230" s="200" t="str">
        <f>"18.8"</f>
        <v>18.8</v>
      </c>
      <c r="AU230" s="203">
        <v>0</v>
      </c>
    </row>
    <row r="231" spans="1:47" x14ac:dyDescent="0.2">
      <c r="A231" s="200" t="str">
        <f>"0496002595833"</f>
        <v>0496002595833</v>
      </c>
      <c r="B231" s="200">
        <v>1</v>
      </c>
      <c r="C231" s="200" t="s">
        <v>571</v>
      </c>
      <c r="D231" s="200" t="s">
        <v>571</v>
      </c>
      <c r="E231" s="200" t="s">
        <v>572</v>
      </c>
      <c r="F231" s="200" t="s">
        <v>243</v>
      </c>
      <c r="G231" s="200">
        <v>2328</v>
      </c>
      <c r="H231" s="200" t="s">
        <v>270</v>
      </c>
      <c r="I231" s="200">
        <v>51624</v>
      </c>
      <c r="J231" s="201">
        <v>42649</v>
      </c>
      <c r="K231" s="202">
        <v>0.49652777777777773</v>
      </c>
      <c r="L231" s="201">
        <v>42653</v>
      </c>
      <c r="M231" s="200" t="s">
        <v>271</v>
      </c>
      <c r="N231" s="200" t="s">
        <v>352</v>
      </c>
      <c r="O231" s="200" t="s">
        <v>353</v>
      </c>
      <c r="P231" s="200" t="s">
        <v>343</v>
      </c>
      <c r="Q231" s="200" t="s">
        <v>275</v>
      </c>
      <c r="R231" s="200">
        <v>1035</v>
      </c>
      <c r="S231" s="200" t="s">
        <v>436</v>
      </c>
      <c r="T231" s="200" t="s">
        <v>571</v>
      </c>
      <c r="U231" s="200">
        <v>2328</v>
      </c>
      <c r="V231" s="200" t="s">
        <v>571</v>
      </c>
      <c r="W231" s="200" t="s">
        <v>280</v>
      </c>
      <c r="X231" s="200">
        <v>11.295</v>
      </c>
      <c r="Y231" s="203">
        <v>-0.23</v>
      </c>
      <c r="Z231" s="203">
        <v>2.2400000000000002</v>
      </c>
      <c r="AA231" s="203">
        <v>25.29</v>
      </c>
      <c r="AB231" s="203">
        <v>-2.0699999999999998</v>
      </c>
      <c r="AC231" s="203">
        <v>0</v>
      </c>
      <c r="AD231" s="203">
        <v>0</v>
      </c>
      <c r="AE231" s="203">
        <v>22.99</v>
      </c>
      <c r="AF231" s="203">
        <v>-2.71</v>
      </c>
      <c r="AG231" s="200" t="s">
        <v>279</v>
      </c>
      <c r="AH231" s="203">
        <v>0</v>
      </c>
      <c r="AI231" s="200" t="s">
        <v>279</v>
      </c>
      <c r="AJ231" s="203">
        <v>0</v>
      </c>
      <c r="AK231" s="200" t="s">
        <v>279</v>
      </c>
      <c r="AL231" s="203">
        <v>0</v>
      </c>
      <c r="AM231" s="200" t="s">
        <v>279</v>
      </c>
      <c r="AN231" s="203">
        <v>0</v>
      </c>
      <c r="AO231" s="200" t="s">
        <v>279</v>
      </c>
      <c r="AP231" s="203">
        <v>0</v>
      </c>
      <c r="AQ231" s="203">
        <v>25.29</v>
      </c>
      <c r="AR231" s="203">
        <v>0</v>
      </c>
      <c r="AS231" s="200" t="str">
        <f t="shared" si="3"/>
        <v>1.00000000</v>
      </c>
      <c r="AT231" s="200" t="str">
        <f>"50.7"</f>
        <v>50.7</v>
      </c>
      <c r="AU231" s="203">
        <v>0</v>
      </c>
    </row>
    <row r="232" spans="1:47" x14ac:dyDescent="0.2">
      <c r="A232" s="200" t="str">
        <f>"0496002599140"</f>
        <v>0496002599140</v>
      </c>
      <c r="B232" s="200">
        <v>1</v>
      </c>
      <c r="C232" s="200" t="s">
        <v>581</v>
      </c>
      <c r="D232" s="200" t="s">
        <v>582</v>
      </c>
      <c r="E232" s="200" t="s">
        <v>582</v>
      </c>
      <c r="F232" s="200" t="s">
        <v>243</v>
      </c>
      <c r="G232" s="200">
        <v>2323</v>
      </c>
      <c r="H232" s="200" t="s">
        <v>270</v>
      </c>
      <c r="I232" s="200">
        <v>99</v>
      </c>
      <c r="J232" s="201">
        <v>42649</v>
      </c>
      <c r="K232" s="202">
        <v>0.65476851851851847</v>
      </c>
      <c r="L232" s="201">
        <v>42653</v>
      </c>
      <c r="M232" s="200" t="s">
        <v>314</v>
      </c>
      <c r="N232" s="200" t="s">
        <v>415</v>
      </c>
      <c r="O232" s="200" t="s">
        <v>416</v>
      </c>
      <c r="P232" s="200" t="s">
        <v>417</v>
      </c>
      <c r="Q232" s="200" t="s">
        <v>275</v>
      </c>
      <c r="R232" s="200" t="s">
        <v>418</v>
      </c>
      <c r="S232" s="200" t="s">
        <v>436</v>
      </c>
      <c r="T232" s="200" t="s">
        <v>581</v>
      </c>
      <c r="U232" s="200">
        <v>2323</v>
      </c>
      <c r="V232" s="200" t="s">
        <v>581</v>
      </c>
      <c r="W232" s="200" t="s">
        <v>278</v>
      </c>
      <c r="X232" s="200">
        <v>14.541</v>
      </c>
      <c r="Y232" s="203">
        <v>0</v>
      </c>
      <c r="Z232" s="203">
        <v>2.58</v>
      </c>
      <c r="AA232" s="203">
        <v>37.5</v>
      </c>
      <c r="AB232" s="203">
        <v>-2.66</v>
      </c>
      <c r="AC232" s="203">
        <v>0</v>
      </c>
      <c r="AD232" s="203">
        <v>0</v>
      </c>
      <c r="AE232" s="203">
        <v>34.840000000000003</v>
      </c>
      <c r="AF232" s="203">
        <v>-3.49</v>
      </c>
      <c r="AG232" s="200" t="s">
        <v>279</v>
      </c>
      <c r="AH232" s="203">
        <v>0</v>
      </c>
      <c r="AI232" s="200" t="s">
        <v>279</v>
      </c>
      <c r="AJ232" s="203">
        <v>0</v>
      </c>
      <c r="AK232" s="200" t="s">
        <v>279</v>
      </c>
      <c r="AL232" s="203">
        <v>0</v>
      </c>
      <c r="AM232" s="200" t="s">
        <v>279</v>
      </c>
      <c r="AN232" s="203">
        <v>0</v>
      </c>
      <c r="AO232" s="200" t="s">
        <v>279</v>
      </c>
      <c r="AP232" s="203">
        <v>0</v>
      </c>
      <c r="AQ232" s="203">
        <v>37.5</v>
      </c>
      <c r="AR232" s="203">
        <v>0</v>
      </c>
      <c r="AS232" s="200" t="str">
        <f t="shared" si="3"/>
        <v>1.00000000</v>
      </c>
      <c r="AT232" s="200" t="str">
        <f>"0.0"</f>
        <v>0.0</v>
      </c>
      <c r="AU232" s="203">
        <v>0</v>
      </c>
    </row>
    <row r="233" spans="1:47" x14ac:dyDescent="0.2">
      <c r="A233" s="200" t="str">
        <f>"0496002595700"</f>
        <v>0496002595700</v>
      </c>
      <c r="B233" s="200">
        <v>2</v>
      </c>
      <c r="C233" s="200" t="s">
        <v>156</v>
      </c>
      <c r="D233" s="200">
        <v>42</v>
      </c>
      <c r="E233" s="200">
        <v>42</v>
      </c>
      <c r="F233" s="200" t="s">
        <v>243</v>
      </c>
      <c r="G233" s="200">
        <v>2262</v>
      </c>
      <c r="H233" s="200" t="s">
        <v>270</v>
      </c>
      <c r="I233" s="200">
        <v>30925</v>
      </c>
      <c r="J233" s="201">
        <v>42650</v>
      </c>
      <c r="K233" s="202">
        <v>0.59560185185185188</v>
      </c>
      <c r="L233" s="201">
        <v>42654</v>
      </c>
      <c r="M233" s="200" t="s">
        <v>310</v>
      </c>
      <c r="N233" s="200" t="s">
        <v>331</v>
      </c>
      <c r="O233" s="200" t="s">
        <v>332</v>
      </c>
      <c r="P233" s="200" t="s">
        <v>274</v>
      </c>
      <c r="Q233" s="200" t="s">
        <v>275</v>
      </c>
      <c r="R233" s="200">
        <v>1002</v>
      </c>
      <c r="S233" s="200" t="s">
        <v>156</v>
      </c>
      <c r="T233" s="200" t="s">
        <v>277</v>
      </c>
      <c r="U233" s="200">
        <v>2262</v>
      </c>
      <c r="V233" s="200" t="s">
        <v>156</v>
      </c>
      <c r="W233" s="200" t="s">
        <v>280</v>
      </c>
      <c r="X233" s="200">
        <v>4.2060000000000004</v>
      </c>
      <c r="Y233" s="203">
        <v>0</v>
      </c>
      <c r="Z233" s="203">
        <v>2.2000000000000002</v>
      </c>
      <c r="AA233" s="203">
        <v>9.25</v>
      </c>
      <c r="AB233" s="203">
        <v>-0.77</v>
      </c>
      <c r="AC233" s="203">
        <v>0</v>
      </c>
      <c r="AD233" s="203">
        <v>0</v>
      </c>
      <c r="AE233" s="203">
        <v>8.48</v>
      </c>
      <c r="AF233" s="203">
        <v>-1.01</v>
      </c>
      <c r="AG233" s="200" t="s">
        <v>279</v>
      </c>
      <c r="AH233" s="203">
        <v>0</v>
      </c>
      <c r="AI233" s="200" t="s">
        <v>279</v>
      </c>
      <c r="AJ233" s="203">
        <v>0</v>
      </c>
      <c r="AK233" s="200" t="s">
        <v>279</v>
      </c>
      <c r="AL233" s="203">
        <v>0</v>
      </c>
      <c r="AM233" s="200" t="s">
        <v>279</v>
      </c>
      <c r="AN233" s="203">
        <v>0</v>
      </c>
      <c r="AO233" s="200" t="s">
        <v>279</v>
      </c>
      <c r="AP233" s="203">
        <v>0</v>
      </c>
      <c r="AQ233" s="203">
        <v>9.25</v>
      </c>
      <c r="AR233" s="203">
        <v>0</v>
      </c>
      <c r="AS233" s="200" t="str">
        <f t="shared" si="3"/>
        <v>1.00000000</v>
      </c>
      <c r="AT233" s="200" t="str">
        <f>"47.1"</f>
        <v>47.1</v>
      </c>
      <c r="AU233" s="203">
        <v>0</v>
      </c>
    </row>
    <row r="234" spans="1:47" x14ac:dyDescent="0.2">
      <c r="A234" s="200" t="str">
        <f>"0496002595700"</f>
        <v>0496002595700</v>
      </c>
      <c r="B234" s="200">
        <v>6</v>
      </c>
      <c r="C234" s="200" t="s">
        <v>156</v>
      </c>
      <c r="D234" s="200" t="s">
        <v>344</v>
      </c>
      <c r="E234" s="200" t="s">
        <v>345</v>
      </c>
      <c r="F234" s="200" t="s">
        <v>243</v>
      </c>
      <c r="G234" s="200">
        <v>2262</v>
      </c>
      <c r="H234" s="200" t="s">
        <v>270</v>
      </c>
      <c r="I234" s="200">
        <v>55487</v>
      </c>
      <c r="J234" s="201">
        <v>42650</v>
      </c>
      <c r="K234" s="202">
        <v>0.57986111111111105</v>
      </c>
      <c r="L234" s="201">
        <v>42654</v>
      </c>
      <c r="M234" s="200" t="s">
        <v>271</v>
      </c>
      <c r="N234" s="200" t="s">
        <v>272</v>
      </c>
      <c r="O234" s="200" t="s">
        <v>273</v>
      </c>
      <c r="P234" s="200" t="s">
        <v>274</v>
      </c>
      <c r="Q234" s="200" t="s">
        <v>275</v>
      </c>
      <c r="R234" s="200" t="s">
        <v>276</v>
      </c>
      <c r="S234" s="200" t="s">
        <v>156</v>
      </c>
      <c r="T234" s="200" t="s">
        <v>277</v>
      </c>
      <c r="U234" s="200">
        <v>2262</v>
      </c>
      <c r="V234" s="200" t="s">
        <v>156</v>
      </c>
      <c r="W234" s="200" t="s">
        <v>335</v>
      </c>
      <c r="X234" s="200">
        <v>9.6</v>
      </c>
      <c r="Y234" s="203">
        <v>-0.19</v>
      </c>
      <c r="Z234" s="203">
        <v>2.4</v>
      </c>
      <c r="AA234" s="203">
        <v>23.04</v>
      </c>
      <c r="AB234" s="203">
        <v>-1.76</v>
      </c>
      <c r="AC234" s="203">
        <v>0</v>
      </c>
      <c r="AD234" s="203">
        <v>0</v>
      </c>
      <c r="AE234" s="203">
        <v>21.09</v>
      </c>
      <c r="AF234" s="203">
        <v>-2.2999999999999998</v>
      </c>
      <c r="AG234" s="200" t="s">
        <v>279</v>
      </c>
      <c r="AH234" s="203">
        <v>0</v>
      </c>
      <c r="AI234" s="200" t="s">
        <v>279</v>
      </c>
      <c r="AJ234" s="203">
        <v>0</v>
      </c>
      <c r="AK234" s="200" t="s">
        <v>279</v>
      </c>
      <c r="AL234" s="203">
        <v>0</v>
      </c>
      <c r="AM234" s="200" t="s">
        <v>279</v>
      </c>
      <c r="AN234" s="203">
        <v>0</v>
      </c>
      <c r="AO234" s="200" t="s">
        <v>279</v>
      </c>
      <c r="AP234" s="203">
        <v>0</v>
      </c>
      <c r="AQ234" s="203">
        <v>23.04</v>
      </c>
      <c r="AR234" s="203">
        <v>0</v>
      </c>
      <c r="AS234" s="200" t="str">
        <f t="shared" si="3"/>
        <v>1.00000000</v>
      </c>
      <c r="AT234" s="200" t="str">
        <f>"28.8"</f>
        <v>28.8</v>
      </c>
      <c r="AU234" s="203">
        <v>0</v>
      </c>
    </row>
    <row r="235" spans="1:47" x14ac:dyDescent="0.2">
      <c r="A235" s="200" t="str">
        <f>"0496002595700"</f>
        <v>0496002595700</v>
      </c>
      <c r="B235" s="200">
        <v>7</v>
      </c>
      <c r="C235" s="200" t="s">
        <v>156</v>
      </c>
      <c r="D235" s="200" t="s">
        <v>371</v>
      </c>
      <c r="E235" s="200">
        <v>45</v>
      </c>
      <c r="F235" s="200" t="s">
        <v>243</v>
      </c>
      <c r="G235" s="200">
        <v>2262</v>
      </c>
      <c r="H235" s="200" t="s">
        <v>270</v>
      </c>
      <c r="I235" s="200">
        <v>17202</v>
      </c>
      <c r="J235" s="201">
        <v>42650</v>
      </c>
      <c r="K235" s="202">
        <v>0.48402777777777778</v>
      </c>
      <c r="L235" s="201">
        <v>42654</v>
      </c>
      <c r="M235" s="200" t="s">
        <v>271</v>
      </c>
      <c r="N235" s="200" t="s">
        <v>272</v>
      </c>
      <c r="O235" s="200" t="s">
        <v>273</v>
      </c>
      <c r="P235" s="200" t="s">
        <v>274</v>
      </c>
      <c r="Q235" s="200" t="s">
        <v>275</v>
      </c>
      <c r="R235" s="200" t="s">
        <v>276</v>
      </c>
      <c r="S235" s="200" t="s">
        <v>156</v>
      </c>
      <c r="T235" s="200" t="s">
        <v>277</v>
      </c>
      <c r="U235" s="200">
        <v>2262</v>
      </c>
      <c r="V235" s="200" t="s">
        <v>156</v>
      </c>
      <c r="W235" s="200" t="s">
        <v>280</v>
      </c>
      <c r="X235" s="200">
        <v>15.904999999999999</v>
      </c>
      <c r="Y235" s="203">
        <v>-0.32</v>
      </c>
      <c r="Z235" s="203">
        <v>2.27</v>
      </c>
      <c r="AA235" s="203">
        <v>36.090000000000003</v>
      </c>
      <c r="AB235" s="203">
        <v>-2.91</v>
      </c>
      <c r="AC235" s="203">
        <v>0</v>
      </c>
      <c r="AD235" s="203">
        <v>0</v>
      </c>
      <c r="AE235" s="203">
        <v>32.86</v>
      </c>
      <c r="AF235" s="203">
        <v>-3.82</v>
      </c>
      <c r="AG235" s="200" t="s">
        <v>279</v>
      </c>
      <c r="AH235" s="203">
        <v>0</v>
      </c>
      <c r="AI235" s="200" t="s">
        <v>279</v>
      </c>
      <c r="AJ235" s="203">
        <v>0</v>
      </c>
      <c r="AK235" s="200" t="s">
        <v>279</v>
      </c>
      <c r="AL235" s="203">
        <v>0</v>
      </c>
      <c r="AM235" s="200" t="s">
        <v>279</v>
      </c>
      <c r="AN235" s="203">
        <v>0</v>
      </c>
      <c r="AO235" s="200" t="s">
        <v>279</v>
      </c>
      <c r="AP235" s="203">
        <v>0</v>
      </c>
      <c r="AQ235" s="203">
        <v>36.090000000000003</v>
      </c>
      <c r="AR235" s="203">
        <v>0</v>
      </c>
      <c r="AS235" s="200" t="str">
        <f t="shared" si="3"/>
        <v>1.00000000</v>
      </c>
      <c r="AT235" s="200" t="str">
        <f>"30.6"</f>
        <v>30.6</v>
      </c>
      <c r="AU235" s="203">
        <v>0</v>
      </c>
    </row>
    <row r="236" spans="1:47" x14ac:dyDescent="0.2">
      <c r="A236" s="200" t="str">
        <f>"0496002595734"</f>
        <v>0496002595734</v>
      </c>
      <c r="B236" s="200">
        <v>1</v>
      </c>
      <c r="C236" s="200" t="s">
        <v>435</v>
      </c>
      <c r="D236" s="200">
        <v>81</v>
      </c>
      <c r="E236" s="200">
        <v>81</v>
      </c>
      <c r="F236" s="200" t="s">
        <v>243</v>
      </c>
      <c r="G236" s="200">
        <v>2086</v>
      </c>
      <c r="H236" s="200" t="s">
        <v>270</v>
      </c>
      <c r="I236" s="200">
        <v>64012</v>
      </c>
      <c r="J236" s="201">
        <v>42650</v>
      </c>
      <c r="K236" s="202">
        <v>0.65069444444444446</v>
      </c>
      <c r="L236" s="201">
        <v>42654</v>
      </c>
      <c r="M236" s="200" t="s">
        <v>271</v>
      </c>
      <c r="N236" s="200" t="s">
        <v>272</v>
      </c>
      <c r="O236" s="200" t="s">
        <v>273</v>
      </c>
      <c r="P236" s="200" t="s">
        <v>274</v>
      </c>
      <c r="Q236" s="200" t="s">
        <v>275</v>
      </c>
      <c r="R236" s="200" t="s">
        <v>276</v>
      </c>
      <c r="S236" s="200" t="s">
        <v>436</v>
      </c>
      <c r="T236" s="200" t="s">
        <v>435</v>
      </c>
      <c r="U236" s="200">
        <v>2086</v>
      </c>
      <c r="V236" s="200" t="s">
        <v>435</v>
      </c>
      <c r="W236" s="200" t="s">
        <v>280</v>
      </c>
      <c r="X236" s="200">
        <v>12.644</v>
      </c>
      <c r="Y236" s="203">
        <v>-0.25</v>
      </c>
      <c r="Z236" s="203">
        <v>2.27</v>
      </c>
      <c r="AA236" s="203">
        <v>28.69</v>
      </c>
      <c r="AB236" s="203">
        <v>-2.31</v>
      </c>
      <c r="AC236" s="203">
        <v>0</v>
      </c>
      <c r="AD236" s="203">
        <v>0</v>
      </c>
      <c r="AE236" s="203">
        <v>26.13</v>
      </c>
      <c r="AF236" s="203">
        <v>-3.03</v>
      </c>
      <c r="AG236" s="200" t="s">
        <v>279</v>
      </c>
      <c r="AH236" s="203">
        <v>0</v>
      </c>
      <c r="AI236" s="200" t="s">
        <v>279</v>
      </c>
      <c r="AJ236" s="203">
        <v>0</v>
      </c>
      <c r="AK236" s="200" t="s">
        <v>279</v>
      </c>
      <c r="AL236" s="203">
        <v>0</v>
      </c>
      <c r="AM236" s="200" t="s">
        <v>279</v>
      </c>
      <c r="AN236" s="203">
        <v>0</v>
      </c>
      <c r="AO236" s="200" t="s">
        <v>279</v>
      </c>
      <c r="AP236" s="203">
        <v>0</v>
      </c>
      <c r="AQ236" s="203">
        <v>28.69</v>
      </c>
      <c r="AR236" s="203">
        <v>0</v>
      </c>
      <c r="AS236" s="200" t="str">
        <f t="shared" si="3"/>
        <v>1.00000000</v>
      </c>
      <c r="AT236" s="200" t="str">
        <f>"33.8"</f>
        <v>33.8</v>
      </c>
      <c r="AU236" s="203">
        <v>0</v>
      </c>
    </row>
    <row r="237" spans="1:47" x14ac:dyDescent="0.2">
      <c r="A237" s="200" t="str">
        <f>"0496002595734"</f>
        <v>0496002595734</v>
      </c>
      <c r="B237" s="200">
        <v>3</v>
      </c>
      <c r="C237" s="200" t="s">
        <v>435</v>
      </c>
      <c r="D237" s="200">
        <v>82</v>
      </c>
      <c r="E237" s="200">
        <v>82</v>
      </c>
      <c r="F237" s="200" t="s">
        <v>243</v>
      </c>
      <c r="G237" s="200">
        <v>2086</v>
      </c>
      <c r="H237" s="200" t="s">
        <v>270</v>
      </c>
      <c r="I237" s="200">
        <v>5173</v>
      </c>
      <c r="J237" s="201">
        <v>42650</v>
      </c>
      <c r="K237" s="202">
        <v>0.61527777777777781</v>
      </c>
      <c r="L237" s="201">
        <v>42654</v>
      </c>
      <c r="M237" s="200" t="s">
        <v>271</v>
      </c>
      <c r="N237" s="200" t="s">
        <v>272</v>
      </c>
      <c r="O237" s="200" t="s">
        <v>273</v>
      </c>
      <c r="P237" s="200" t="s">
        <v>274</v>
      </c>
      <c r="Q237" s="200" t="s">
        <v>275</v>
      </c>
      <c r="R237" s="200" t="s">
        <v>276</v>
      </c>
      <c r="S237" s="200" t="s">
        <v>436</v>
      </c>
      <c r="T237" s="200" t="s">
        <v>435</v>
      </c>
      <c r="U237" s="200">
        <v>2086</v>
      </c>
      <c r="V237" s="200" t="s">
        <v>435</v>
      </c>
      <c r="W237" s="200" t="s">
        <v>280</v>
      </c>
      <c r="X237" s="200">
        <v>6.452</v>
      </c>
      <c r="Y237" s="203">
        <v>-0.13</v>
      </c>
      <c r="Z237" s="203">
        <v>2.27</v>
      </c>
      <c r="AA237" s="203">
        <v>14.64</v>
      </c>
      <c r="AB237" s="203">
        <v>-1.18</v>
      </c>
      <c r="AC237" s="203">
        <v>0</v>
      </c>
      <c r="AD237" s="203">
        <v>0</v>
      </c>
      <c r="AE237" s="203">
        <v>13.33</v>
      </c>
      <c r="AF237" s="203">
        <v>-1.55</v>
      </c>
      <c r="AG237" s="200" t="s">
        <v>279</v>
      </c>
      <c r="AH237" s="203">
        <v>0</v>
      </c>
      <c r="AI237" s="200" t="s">
        <v>279</v>
      </c>
      <c r="AJ237" s="203">
        <v>0</v>
      </c>
      <c r="AK237" s="200" t="s">
        <v>279</v>
      </c>
      <c r="AL237" s="203">
        <v>0</v>
      </c>
      <c r="AM237" s="200" t="s">
        <v>279</v>
      </c>
      <c r="AN237" s="203">
        <v>0</v>
      </c>
      <c r="AO237" s="200" t="s">
        <v>279</v>
      </c>
      <c r="AP237" s="203">
        <v>0</v>
      </c>
      <c r="AQ237" s="203">
        <v>14.64</v>
      </c>
      <c r="AR237" s="203">
        <v>0</v>
      </c>
      <c r="AS237" s="200" t="str">
        <f t="shared" si="3"/>
        <v>1.00000000</v>
      </c>
      <c r="AT237" s="200" t="str">
        <f>"17.8"</f>
        <v>17.8</v>
      </c>
      <c r="AU237" s="203">
        <v>0</v>
      </c>
    </row>
    <row r="238" spans="1:47" x14ac:dyDescent="0.2">
      <c r="A238" s="200" t="str">
        <f>"0496002595700"</f>
        <v>0496002595700</v>
      </c>
      <c r="B238" s="200">
        <v>2</v>
      </c>
      <c r="C238" s="200" t="s">
        <v>156</v>
      </c>
      <c r="D238" s="200">
        <v>42</v>
      </c>
      <c r="E238" s="200">
        <v>42</v>
      </c>
      <c r="F238" s="200" t="s">
        <v>243</v>
      </c>
      <c r="G238" s="200">
        <v>2262</v>
      </c>
      <c r="H238" s="200" t="s">
        <v>270</v>
      </c>
      <c r="I238" s="200">
        <v>31039</v>
      </c>
      <c r="J238" s="201">
        <v>42651</v>
      </c>
      <c r="K238" s="202">
        <v>0.32633101851851848</v>
      </c>
      <c r="L238" s="201">
        <v>42654</v>
      </c>
      <c r="M238" s="200" t="s">
        <v>305</v>
      </c>
      <c r="N238" s="200" t="s">
        <v>752</v>
      </c>
      <c r="O238" s="200" t="s">
        <v>753</v>
      </c>
      <c r="P238" s="200" t="s">
        <v>754</v>
      </c>
      <c r="Q238" s="200" t="s">
        <v>377</v>
      </c>
      <c r="R238" s="200" t="s">
        <v>755</v>
      </c>
      <c r="S238" s="200" t="s">
        <v>156</v>
      </c>
      <c r="T238" s="200" t="s">
        <v>277</v>
      </c>
      <c r="U238" s="200">
        <v>2262</v>
      </c>
      <c r="V238" s="200" t="s">
        <v>156</v>
      </c>
      <c r="W238" s="200" t="s">
        <v>280</v>
      </c>
      <c r="X238" s="200">
        <v>2.786</v>
      </c>
      <c r="Y238" s="203">
        <v>0</v>
      </c>
      <c r="Z238" s="203">
        <v>2.2200000000000002</v>
      </c>
      <c r="AA238" s="203">
        <v>6.18</v>
      </c>
      <c r="AB238" s="203">
        <v>-0.51</v>
      </c>
      <c r="AC238" s="203">
        <v>0</v>
      </c>
      <c r="AD238" s="203">
        <v>0</v>
      </c>
      <c r="AE238" s="203">
        <v>5.67</v>
      </c>
      <c r="AF238" s="203">
        <v>-0.67</v>
      </c>
      <c r="AG238" s="200" t="s">
        <v>279</v>
      </c>
      <c r="AH238" s="203">
        <v>0</v>
      </c>
      <c r="AI238" s="200" t="s">
        <v>279</v>
      </c>
      <c r="AJ238" s="203">
        <v>0</v>
      </c>
      <c r="AK238" s="200" t="s">
        <v>279</v>
      </c>
      <c r="AL238" s="203">
        <v>0</v>
      </c>
      <c r="AM238" s="200" t="s">
        <v>279</v>
      </c>
      <c r="AN238" s="203">
        <v>0</v>
      </c>
      <c r="AO238" s="200" t="s">
        <v>279</v>
      </c>
      <c r="AP238" s="203">
        <v>0</v>
      </c>
      <c r="AQ238" s="203">
        <v>6.18</v>
      </c>
      <c r="AR238" s="203">
        <v>0</v>
      </c>
      <c r="AS238" s="200" t="str">
        <f t="shared" si="3"/>
        <v>1.00000000</v>
      </c>
      <c r="AT238" s="200" t="str">
        <f>"47.7"</f>
        <v>47.7</v>
      </c>
      <c r="AU238" s="203">
        <v>0</v>
      </c>
    </row>
    <row r="239" spans="1:47" x14ac:dyDescent="0.2">
      <c r="A239" s="200" t="str">
        <f>"0496002595734"</f>
        <v>0496002595734</v>
      </c>
      <c r="B239" s="200">
        <v>1</v>
      </c>
      <c r="C239" s="200" t="s">
        <v>435</v>
      </c>
      <c r="D239" s="200">
        <v>81</v>
      </c>
      <c r="E239" s="200">
        <v>81</v>
      </c>
      <c r="F239" s="200" t="s">
        <v>243</v>
      </c>
      <c r="G239" s="200">
        <v>2086</v>
      </c>
      <c r="H239" s="200" t="s">
        <v>270</v>
      </c>
      <c r="I239" s="200">
        <v>24641</v>
      </c>
      <c r="J239" s="201">
        <v>42651</v>
      </c>
      <c r="K239" s="202">
        <v>0.61736111111111114</v>
      </c>
      <c r="L239" s="201">
        <v>42654</v>
      </c>
      <c r="M239" s="200" t="s">
        <v>302</v>
      </c>
      <c r="N239" s="200" t="s">
        <v>491</v>
      </c>
      <c r="O239" s="200" t="s">
        <v>492</v>
      </c>
      <c r="P239" s="200" t="s">
        <v>493</v>
      </c>
      <c r="Q239" s="200" t="s">
        <v>309</v>
      </c>
      <c r="R239" s="200">
        <v>6831</v>
      </c>
      <c r="S239" s="200" t="s">
        <v>436</v>
      </c>
      <c r="T239" s="200" t="s">
        <v>435</v>
      </c>
      <c r="U239" s="200">
        <v>2086</v>
      </c>
      <c r="V239" s="200" t="s">
        <v>435</v>
      </c>
      <c r="W239" s="200" t="s">
        <v>280</v>
      </c>
      <c r="X239" s="200">
        <v>11.414999999999999</v>
      </c>
      <c r="Y239" s="203">
        <v>0</v>
      </c>
      <c r="Z239" s="203">
        <v>2.54</v>
      </c>
      <c r="AA239" s="203">
        <v>28.98</v>
      </c>
      <c r="AB239" s="203">
        <v>-2.09</v>
      </c>
      <c r="AC239" s="203">
        <v>0</v>
      </c>
      <c r="AD239" s="203">
        <v>0</v>
      </c>
      <c r="AE239" s="203">
        <v>26.89</v>
      </c>
      <c r="AF239" s="203">
        <v>-2.85</v>
      </c>
      <c r="AG239" s="200" t="s">
        <v>279</v>
      </c>
      <c r="AH239" s="203">
        <v>0</v>
      </c>
      <c r="AI239" s="200" t="s">
        <v>279</v>
      </c>
      <c r="AJ239" s="203">
        <v>0</v>
      </c>
      <c r="AK239" s="200" t="s">
        <v>279</v>
      </c>
      <c r="AL239" s="203">
        <v>0</v>
      </c>
      <c r="AM239" s="200" t="s">
        <v>279</v>
      </c>
      <c r="AN239" s="203">
        <v>0</v>
      </c>
      <c r="AO239" s="200" t="s">
        <v>279</v>
      </c>
      <c r="AP239" s="203">
        <v>0</v>
      </c>
      <c r="AQ239" s="203">
        <v>28.98</v>
      </c>
      <c r="AR239" s="203">
        <v>0</v>
      </c>
      <c r="AS239" s="200" t="str">
        <f t="shared" si="3"/>
        <v>1.00000000</v>
      </c>
      <c r="AT239" s="200" t="str">
        <f>"33.8"</f>
        <v>33.8</v>
      </c>
      <c r="AU239" s="203">
        <v>0</v>
      </c>
    </row>
    <row r="240" spans="1:47" x14ac:dyDescent="0.2">
      <c r="A240" s="200" t="str">
        <f>"0496002595700"</f>
        <v>0496002595700</v>
      </c>
      <c r="B240" s="200">
        <v>8</v>
      </c>
      <c r="C240" s="200" t="s">
        <v>156</v>
      </c>
      <c r="D240" s="200" t="s">
        <v>414</v>
      </c>
      <c r="E240" s="200">
        <v>47</v>
      </c>
      <c r="F240" s="200" t="s">
        <v>243</v>
      </c>
      <c r="G240" s="200">
        <v>2262</v>
      </c>
      <c r="H240" s="200" t="s">
        <v>270</v>
      </c>
      <c r="I240" s="200">
        <v>1</v>
      </c>
      <c r="J240" s="201">
        <v>42652</v>
      </c>
      <c r="K240" s="202">
        <v>0.74375000000000002</v>
      </c>
      <c r="L240" s="201">
        <v>42654</v>
      </c>
      <c r="M240" s="200" t="s">
        <v>294</v>
      </c>
      <c r="N240" s="200" t="s">
        <v>379</v>
      </c>
      <c r="O240" s="200" t="s">
        <v>542</v>
      </c>
      <c r="P240" s="200" t="s">
        <v>543</v>
      </c>
      <c r="Q240" s="200" t="s">
        <v>275</v>
      </c>
      <c r="R240" s="200" t="s">
        <v>544</v>
      </c>
      <c r="S240" s="200" t="s">
        <v>156</v>
      </c>
      <c r="T240" s="200" t="s">
        <v>277</v>
      </c>
      <c r="U240" s="200">
        <v>2262</v>
      </c>
      <c r="V240" s="200" t="s">
        <v>156</v>
      </c>
      <c r="W240" s="200" t="s">
        <v>280</v>
      </c>
      <c r="X240" s="200">
        <v>18.34</v>
      </c>
      <c r="Y240" s="203">
        <v>0</v>
      </c>
      <c r="Z240" s="203">
        <v>2.1</v>
      </c>
      <c r="AA240" s="203">
        <v>38.5</v>
      </c>
      <c r="AB240" s="203">
        <v>-3.36</v>
      </c>
      <c r="AC240" s="203">
        <v>0</v>
      </c>
      <c r="AD240" s="203">
        <v>0</v>
      </c>
      <c r="AE240" s="203">
        <v>35.14</v>
      </c>
      <c r="AF240" s="203">
        <v>-4.4000000000000004</v>
      </c>
      <c r="AG240" s="200" t="s">
        <v>279</v>
      </c>
      <c r="AH240" s="203">
        <v>0</v>
      </c>
      <c r="AI240" s="200" t="s">
        <v>279</v>
      </c>
      <c r="AJ240" s="203">
        <v>0</v>
      </c>
      <c r="AK240" s="200" t="s">
        <v>279</v>
      </c>
      <c r="AL240" s="203">
        <v>0</v>
      </c>
      <c r="AM240" s="200" t="s">
        <v>279</v>
      </c>
      <c r="AN240" s="203">
        <v>0</v>
      </c>
      <c r="AO240" s="200" t="s">
        <v>279</v>
      </c>
      <c r="AP240" s="203">
        <v>0</v>
      </c>
      <c r="AQ240" s="203">
        <v>38.5</v>
      </c>
      <c r="AR240" s="203">
        <v>0</v>
      </c>
      <c r="AS240" s="200" t="str">
        <f t="shared" si="3"/>
        <v>1.00000000</v>
      </c>
      <c r="AT240" s="200" t="str">
        <f>"27.1"</f>
        <v>27.1</v>
      </c>
      <c r="AU240" s="203">
        <v>0</v>
      </c>
    </row>
    <row r="241" spans="1:47" x14ac:dyDescent="0.2">
      <c r="A241" s="200" t="str">
        <f>"0496002595734"</f>
        <v>0496002595734</v>
      </c>
      <c r="B241" s="200">
        <v>1</v>
      </c>
      <c r="C241" s="200" t="s">
        <v>435</v>
      </c>
      <c r="D241" s="200">
        <v>81</v>
      </c>
      <c r="E241" s="200">
        <v>81</v>
      </c>
      <c r="F241" s="200" t="s">
        <v>243</v>
      </c>
      <c r="G241" s="200">
        <v>2086</v>
      </c>
      <c r="H241" s="200" t="s">
        <v>270</v>
      </c>
      <c r="I241" s="200">
        <v>64435</v>
      </c>
      <c r="J241" s="201">
        <v>42652</v>
      </c>
      <c r="K241" s="202">
        <v>0.3347222222222222</v>
      </c>
      <c r="L241" s="201">
        <v>42654</v>
      </c>
      <c r="M241" s="200" t="s">
        <v>271</v>
      </c>
      <c r="N241" s="200" t="s">
        <v>272</v>
      </c>
      <c r="O241" s="200" t="s">
        <v>273</v>
      </c>
      <c r="P241" s="200" t="s">
        <v>274</v>
      </c>
      <c r="Q241" s="200" t="s">
        <v>275</v>
      </c>
      <c r="R241" s="200" t="s">
        <v>276</v>
      </c>
      <c r="S241" s="200" t="s">
        <v>436</v>
      </c>
      <c r="T241" s="200" t="s">
        <v>435</v>
      </c>
      <c r="U241" s="200">
        <v>2086</v>
      </c>
      <c r="V241" s="200" t="s">
        <v>435</v>
      </c>
      <c r="W241" s="200" t="s">
        <v>280</v>
      </c>
      <c r="X241" s="200">
        <v>8.1039999999999992</v>
      </c>
      <c r="Y241" s="203">
        <v>-0.16</v>
      </c>
      <c r="Z241" s="203">
        <v>2.27</v>
      </c>
      <c r="AA241" s="203">
        <v>18.39</v>
      </c>
      <c r="AB241" s="203">
        <v>-1.48</v>
      </c>
      <c r="AC241" s="203">
        <v>0</v>
      </c>
      <c r="AD241" s="203">
        <v>0</v>
      </c>
      <c r="AE241" s="203">
        <v>16.75</v>
      </c>
      <c r="AF241" s="203">
        <v>-1.94</v>
      </c>
      <c r="AG241" s="200" t="s">
        <v>279</v>
      </c>
      <c r="AH241" s="203">
        <v>0</v>
      </c>
      <c r="AI241" s="200" t="s">
        <v>279</v>
      </c>
      <c r="AJ241" s="203">
        <v>0</v>
      </c>
      <c r="AK241" s="200" t="s">
        <v>279</v>
      </c>
      <c r="AL241" s="203">
        <v>0</v>
      </c>
      <c r="AM241" s="200" t="s">
        <v>279</v>
      </c>
      <c r="AN241" s="203">
        <v>0</v>
      </c>
      <c r="AO241" s="200" t="s">
        <v>279</v>
      </c>
      <c r="AP241" s="203">
        <v>0</v>
      </c>
      <c r="AQ241" s="203">
        <v>18.39</v>
      </c>
      <c r="AR241" s="203">
        <v>0</v>
      </c>
      <c r="AS241" s="200" t="str">
        <f t="shared" si="3"/>
        <v>1.00000000</v>
      </c>
      <c r="AT241" s="200" t="str">
        <f>"33.8"</f>
        <v>33.8</v>
      </c>
      <c r="AU241" s="203">
        <v>0</v>
      </c>
    </row>
    <row r="242" spans="1:47" x14ac:dyDescent="0.2">
      <c r="A242" s="200" t="str">
        <f>"0496002595734"</f>
        <v>0496002595734</v>
      </c>
      <c r="B242" s="200">
        <v>1</v>
      </c>
      <c r="C242" s="200" t="s">
        <v>435</v>
      </c>
      <c r="D242" s="200">
        <v>81</v>
      </c>
      <c r="E242" s="200">
        <v>81</v>
      </c>
      <c r="F242" s="200" t="s">
        <v>243</v>
      </c>
      <c r="G242" s="200">
        <v>2086</v>
      </c>
      <c r="H242" s="200" t="s">
        <v>270</v>
      </c>
      <c r="I242" s="200">
        <v>64590</v>
      </c>
      <c r="J242" s="201">
        <v>42652</v>
      </c>
      <c r="K242" s="202">
        <v>0.46597222222222223</v>
      </c>
      <c r="L242" s="201">
        <v>42655</v>
      </c>
      <c r="M242" s="200" t="s">
        <v>325</v>
      </c>
      <c r="N242" s="200" t="s">
        <v>326</v>
      </c>
      <c r="O242" s="200" t="s">
        <v>756</v>
      </c>
      <c r="P242" s="200" t="s">
        <v>757</v>
      </c>
      <c r="Q242" s="200" t="s">
        <v>377</v>
      </c>
      <c r="R242" s="200">
        <v>5819</v>
      </c>
      <c r="S242" s="200" t="s">
        <v>436</v>
      </c>
      <c r="T242" s="200" t="s">
        <v>435</v>
      </c>
      <c r="U242" s="200">
        <v>2086</v>
      </c>
      <c r="V242" s="200" t="s">
        <v>435</v>
      </c>
      <c r="W242" s="200" t="s">
        <v>335</v>
      </c>
      <c r="X242" s="200">
        <v>10.66</v>
      </c>
      <c r="Y242" s="203">
        <v>0</v>
      </c>
      <c r="Z242" s="203">
        <v>2.2999999999999998</v>
      </c>
      <c r="AA242" s="203">
        <v>24.51</v>
      </c>
      <c r="AB242" s="203">
        <v>-1.95</v>
      </c>
      <c r="AC242" s="203">
        <v>0</v>
      </c>
      <c r="AD242" s="203">
        <v>0</v>
      </c>
      <c r="AE242" s="203">
        <v>22.56</v>
      </c>
      <c r="AF242" s="203">
        <v>-2.56</v>
      </c>
      <c r="AG242" s="200" t="s">
        <v>279</v>
      </c>
      <c r="AH242" s="203">
        <v>0</v>
      </c>
      <c r="AI242" s="200" t="s">
        <v>279</v>
      </c>
      <c r="AJ242" s="203">
        <v>0</v>
      </c>
      <c r="AK242" s="200" t="s">
        <v>279</v>
      </c>
      <c r="AL242" s="203">
        <v>0</v>
      </c>
      <c r="AM242" s="200" t="s">
        <v>279</v>
      </c>
      <c r="AN242" s="203">
        <v>0</v>
      </c>
      <c r="AO242" s="200" t="s">
        <v>279</v>
      </c>
      <c r="AP242" s="203">
        <v>0</v>
      </c>
      <c r="AQ242" s="203">
        <v>24.51</v>
      </c>
      <c r="AR242" s="203">
        <v>0</v>
      </c>
      <c r="AS242" s="200" t="str">
        <f t="shared" si="3"/>
        <v>1.00000000</v>
      </c>
      <c r="AT242" s="200" t="str">
        <f>"20.9"</f>
        <v>20.9</v>
      </c>
      <c r="AU242" s="203">
        <v>0</v>
      </c>
    </row>
    <row r="243" spans="1:47" x14ac:dyDescent="0.2">
      <c r="A243" s="200" t="str">
        <f>"0496002595734"</f>
        <v>0496002595734</v>
      </c>
      <c r="B243" s="200">
        <v>3</v>
      </c>
      <c r="C243" s="200" t="s">
        <v>435</v>
      </c>
      <c r="D243" s="200">
        <v>82</v>
      </c>
      <c r="E243" s="200">
        <v>82</v>
      </c>
      <c r="F243" s="200" t="s">
        <v>243</v>
      </c>
      <c r="G243" s="200">
        <v>2086</v>
      </c>
      <c r="H243" s="200" t="s">
        <v>270</v>
      </c>
      <c r="I243" s="200">
        <v>51915</v>
      </c>
      <c r="J243" s="201">
        <v>42652</v>
      </c>
      <c r="K243" s="202">
        <v>0.8354166666666667</v>
      </c>
      <c r="L243" s="201">
        <v>42655</v>
      </c>
      <c r="M243" s="200" t="s">
        <v>325</v>
      </c>
      <c r="N243" s="200" t="s">
        <v>326</v>
      </c>
      <c r="O243" s="200" t="s">
        <v>758</v>
      </c>
      <c r="P243" s="200" t="s">
        <v>759</v>
      </c>
      <c r="Q243" s="200" t="s">
        <v>289</v>
      </c>
      <c r="R243" s="200">
        <v>7094</v>
      </c>
      <c r="S243" s="200" t="s">
        <v>436</v>
      </c>
      <c r="T243" s="200" t="s">
        <v>435</v>
      </c>
      <c r="U243" s="200">
        <v>2086</v>
      </c>
      <c r="V243" s="200" t="s">
        <v>435</v>
      </c>
      <c r="W243" s="200" t="s">
        <v>330</v>
      </c>
      <c r="X243" s="200">
        <v>9.98</v>
      </c>
      <c r="Y243" s="203">
        <v>0</v>
      </c>
      <c r="Z243" s="203">
        <v>2.12</v>
      </c>
      <c r="AA243" s="203">
        <v>21.15</v>
      </c>
      <c r="AB243" s="203">
        <v>-1.83</v>
      </c>
      <c r="AC243" s="203">
        <v>0</v>
      </c>
      <c r="AD243" s="203">
        <v>0</v>
      </c>
      <c r="AE243" s="203">
        <v>19.32</v>
      </c>
      <c r="AF243" s="203">
        <v>-1.45</v>
      </c>
      <c r="AG243" s="200" t="s">
        <v>279</v>
      </c>
      <c r="AH243" s="203">
        <v>0</v>
      </c>
      <c r="AI243" s="200" t="s">
        <v>279</v>
      </c>
      <c r="AJ243" s="203">
        <v>0</v>
      </c>
      <c r="AK243" s="200" t="s">
        <v>279</v>
      </c>
      <c r="AL243" s="203">
        <v>0</v>
      </c>
      <c r="AM243" s="200" t="s">
        <v>279</v>
      </c>
      <c r="AN243" s="203">
        <v>0</v>
      </c>
      <c r="AO243" s="200" t="s">
        <v>279</v>
      </c>
      <c r="AP243" s="203">
        <v>0</v>
      </c>
      <c r="AQ243" s="203">
        <v>21.15</v>
      </c>
      <c r="AR243" s="203">
        <v>0</v>
      </c>
      <c r="AS243" s="200" t="str">
        <f t="shared" si="3"/>
        <v>1.00000000</v>
      </c>
      <c r="AT243" s="200" t="str">
        <f>"17.8"</f>
        <v>17.8</v>
      </c>
      <c r="AU243" s="203">
        <v>0</v>
      </c>
    </row>
    <row r="244" spans="1:47" x14ac:dyDescent="0.2">
      <c r="A244" s="200" t="str">
        <f>"0496002595700"</f>
        <v>0496002595700</v>
      </c>
      <c r="B244" s="200">
        <v>5</v>
      </c>
      <c r="C244" s="200" t="s">
        <v>156</v>
      </c>
      <c r="D244" s="200">
        <v>86</v>
      </c>
      <c r="E244" s="200">
        <v>86</v>
      </c>
      <c r="F244" s="200" t="s">
        <v>243</v>
      </c>
      <c r="G244" s="200">
        <v>2262</v>
      </c>
      <c r="H244" s="200" t="s">
        <v>270</v>
      </c>
      <c r="I244" s="200">
        <v>8021</v>
      </c>
      <c r="J244" s="201">
        <v>42653</v>
      </c>
      <c r="K244" s="202">
        <v>0.97777777777777775</v>
      </c>
      <c r="L244" s="201">
        <v>42655</v>
      </c>
      <c r="M244" s="200" t="s">
        <v>271</v>
      </c>
      <c r="N244" s="200" t="s">
        <v>272</v>
      </c>
      <c r="O244" s="200" t="s">
        <v>273</v>
      </c>
      <c r="P244" s="200" t="s">
        <v>274</v>
      </c>
      <c r="Q244" s="200" t="s">
        <v>275</v>
      </c>
      <c r="R244" s="200" t="s">
        <v>276</v>
      </c>
      <c r="S244" s="200" t="s">
        <v>156</v>
      </c>
      <c r="T244" s="200" t="s">
        <v>277</v>
      </c>
      <c r="U244" s="200">
        <v>2262</v>
      </c>
      <c r="V244" s="200" t="s">
        <v>156</v>
      </c>
      <c r="W244" s="200" t="s">
        <v>280</v>
      </c>
      <c r="X244" s="200">
        <v>11.269</v>
      </c>
      <c r="Y244" s="203">
        <v>-0.23</v>
      </c>
      <c r="Z244" s="203">
        <v>2.27</v>
      </c>
      <c r="AA244" s="203">
        <v>25.57</v>
      </c>
      <c r="AB244" s="203">
        <v>-2.06</v>
      </c>
      <c r="AC244" s="203">
        <v>0</v>
      </c>
      <c r="AD244" s="203">
        <v>0</v>
      </c>
      <c r="AE244" s="203">
        <v>23.28</v>
      </c>
      <c r="AF244" s="203">
        <v>-2.7</v>
      </c>
      <c r="AG244" s="200" t="s">
        <v>279</v>
      </c>
      <c r="AH244" s="203">
        <v>0</v>
      </c>
      <c r="AI244" s="200" t="s">
        <v>279</v>
      </c>
      <c r="AJ244" s="203">
        <v>0</v>
      </c>
      <c r="AK244" s="200" t="s">
        <v>279</v>
      </c>
      <c r="AL244" s="203">
        <v>0</v>
      </c>
      <c r="AM244" s="200" t="s">
        <v>279</v>
      </c>
      <c r="AN244" s="203">
        <v>0</v>
      </c>
      <c r="AO244" s="200" t="s">
        <v>279</v>
      </c>
      <c r="AP244" s="203">
        <v>0</v>
      </c>
      <c r="AQ244" s="203">
        <v>25.57</v>
      </c>
      <c r="AR244" s="203">
        <v>0</v>
      </c>
      <c r="AS244" s="200" t="str">
        <f t="shared" si="3"/>
        <v>1.00000000</v>
      </c>
      <c r="AT244" s="200" t="str">
        <f>"22.5"</f>
        <v>22.5</v>
      </c>
      <c r="AU244" s="203">
        <v>0</v>
      </c>
    </row>
    <row r="245" spans="1:47" x14ac:dyDescent="0.2">
      <c r="A245" s="200" t="str">
        <f>"0496002595734"</f>
        <v>0496002595734</v>
      </c>
      <c r="B245" s="200">
        <v>2</v>
      </c>
      <c r="C245" s="200" t="s">
        <v>435</v>
      </c>
      <c r="D245" s="200">
        <v>80</v>
      </c>
      <c r="E245" s="200">
        <v>80</v>
      </c>
      <c r="F245" s="200" t="s">
        <v>243</v>
      </c>
      <c r="G245" s="200">
        <v>2086</v>
      </c>
      <c r="H245" s="200" t="s">
        <v>270</v>
      </c>
      <c r="I245" s="200">
        <v>70413</v>
      </c>
      <c r="J245" s="201">
        <v>42653</v>
      </c>
      <c r="K245" s="202">
        <v>0.48958333333333331</v>
      </c>
      <c r="L245" s="201">
        <v>42655</v>
      </c>
      <c r="M245" s="200" t="s">
        <v>271</v>
      </c>
      <c r="N245" s="200" t="s">
        <v>760</v>
      </c>
      <c r="O245" s="200" t="s">
        <v>761</v>
      </c>
      <c r="P245" s="200" t="s">
        <v>376</v>
      </c>
      <c r="Q245" s="200" t="s">
        <v>377</v>
      </c>
      <c r="R245" s="200" t="s">
        <v>762</v>
      </c>
      <c r="S245" s="200" t="s">
        <v>436</v>
      </c>
      <c r="T245" s="200" t="s">
        <v>435</v>
      </c>
      <c r="U245" s="200">
        <v>2086</v>
      </c>
      <c r="V245" s="200" t="s">
        <v>435</v>
      </c>
      <c r="W245" s="200" t="s">
        <v>280</v>
      </c>
      <c r="X245" s="200">
        <v>8.2669999999999995</v>
      </c>
      <c r="Y245" s="203">
        <v>-0.17</v>
      </c>
      <c r="Z245" s="203">
        <v>2.27</v>
      </c>
      <c r="AA245" s="203">
        <v>18.760000000000002</v>
      </c>
      <c r="AB245" s="203">
        <v>-1.51</v>
      </c>
      <c r="AC245" s="203">
        <v>0</v>
      </c>
      <c r="AD245" s="203">
        <v>0</v>
      </c>
      <c r="AE245" s="203">
        <v>17.079999999999998</v>
      </c>
      <c r="AF245" s="203">
        <v>-1.98</v>
      </c>
      <c r="AG245" s="200" t="s">
        <v>279</v>
      </c>
      <c r="AH245" s="203">
        <v>0</v>
      </c>
      <c r="AI245" s="200" t="s">
        <v>279</v>
      </c>
      <c r="AJ245" s="203">
        <v>0</v>
      </c>
      <c r="AK245" s="200" t="s">
        <v>279</v>
      </c>
      <c r="AL245" s="203">
        <v>0</v>
      </c>
      <c r="AM245" s="200" t="s">
        <v>279</v>
      </c>
      <c r="AN245" s="203">
        <v>0</v>
      </c>
      <c r="AO245" s="200" t="s">
        <v>279</v>
      </c>
      <c r="AP245" s="203">
        <v>0</v>
      </c>
      <c r="AQ245" s="203">
        <v>18.760000000000002</v>
      </c>
      <c r="AR245" s="203">
        <v>0</v>
      </c>
      <c r="AS245" s="200" t="str">
        <f t="shared" si="3"/>
        <v>1.00000000</v>
      </c>
      <c r="AT245" s="200" t="str">
        <f>"38.1"</f>
        <v>38.1</v>
      </c>
      <c r="AU245" s="203">
        <v>0</v>
      </c>
    </row>
    <row r="246" spans="1:47" x14ac:dyDescent="0.2">
      <c r="A246" s="200" t="str">
        <f>"0496002595700"</f>
        <v>0496002595700</v>
      </c>
      <c r="B246" s="200">
        <v>2</v>
      </c>
      <c r="C246" s="200" t="s">
        <v>156</v>
      </c>
      <c r="D246" s="200">
        <v>42</v>
      </c>
      <c r="E246" s="200">
        <v>42</v>
      </c>
      <c r="F246" s="200" t="s">
        <v>243</v>
      </c>
      <c r="G246" s="200">
        <v>2262</v>
      </c>
      <c r="H246" s="200" t="s">
        <v>270</v>
      </c>
      <c r="I246" s="200">
        <v>31656</v>
      </c>
      <c r="J246" s="201">
        <v>42654</v>
      </c>
      <c r="K246" s="202">
        <v>0.75905092592592593</v>
      </c>
      <c r="L246" s="201">
        <v>42657</v>
      </c>
      <c r="M246" s="200" t="s">
        <v>763</v>
      </c>
      <c r="N246" s="200" t="s">
        <v>764</v>
      </c>
      <c r="O246" s="200" t="s">
        <v>765</v>
      </c>
      <c r="P246" s="200" t="s">
        <v>766</v>
      </c>
      <c r="Q246" s="200" t="s">
        <v>395</v>
      </c>
      <c r="R246" s="200">
        <v>4901</v>
      </c>
      <c r="S246" s="200" t="s">
        <v>156</v>
      </c>
      <c r="T246" s="200" t="s">
        <v>277</v>
      </c>
      <c r="U246" s="200">
        <v>2262</v>
      </c>
      <c r="V246" s="200" t="s">
        <v>156</v>
      </c>
      <c r="W246" s="200" t="s">
        <v>280</v>
      </c>
      <c r="X246" s="200">
        <v>9.3789999999999996</v>
      </c>
      <c r="Y246" s="203">
        <v>0</v>
      </c>
      <c r="Z246" s="203">
        <v>2.2400000000000002</v>
      </c>
      <c r="AA246" s="203">
        <v>21</v>
      </c>
      <c r="AB246" s="203">
        <v>-1.72</v>
      </c>
      <c r="AC246" s="203">
        <v>0</v>
      </c>
      <c r="AD246" s="203">
        <v>0</v>
      </c>
      <c r="AE246" s="203">
        <v>19.28</v>
      </c>
      <c r="AF246" s="203">
        <v>-2.81</v>
      </c>
      <c r="AG246" s="200" t="s">
        <v>279</v>
      </c>
      <c r="AH246" s="203">
        <v>0</v>
      </c>
      <c r="AI246" s="200" t="s">
        <v>279</v>
      </c>
      <c r="AJ246" s="203">
        <v>0</v>
      </c>
      <c r="AK246" s="200" t="s">
        <v>279</v>
      </c>
      <c r="AL246" s="203">
        <v>0</v>
      </c>
      <c r="AM246" s="200" t="s">
        <v>279</v>
      </c>
      <c r="AN246" s="203">
        <v>0</v>
      </c>
      <c r="AO246" s="200" t="s">
        <v>279</v>
      </c>
      <c r="AP246" s="203">
        <v>0</v>
      </c>
      <c r="AQ246" s="203">
        <v>21</v>
      </c>
      <c r="AR246" s="203">
        <v>0</v>
      </c>
      <c r="AS246" s="200" t="str">
        <f t="shared" si="3"/>
        <v>1.00000000</v>
      </c>
      <c r="AT246" s="200" t="str">
        <f>"40.9"</f>
        <v>40.9</v>
      </c>
      <c r="AU246" s="203">
        <v>0</v>
      </c>
    </row>
    <row r="247" spans="1:47" x14ac:dyDescent="0.2">
      <c r="A247" s="200" t="str">
        <f>"0496002595700"</f>
        <v>0496002595700</v>
      </c>
      <c r="B247" s="200">
        <v>7</v>
      </c>
      <c r="C247" s="200" t="s">
        <v>156</v>
      </c>
      <c r="D247" s="200" t="s">
        <v>371</v>
      </c>
      <c r="E247" s="200">
        <v>45</v>
      </c>
      <c r="F247" s="200" t="s">
        <v>243</v>
      </c>
      <c r="G247" s="200">
        <v>2262</v>
      </c>
      <c r="H247" s="200" t="s">
        <v>270</v>
      </c>
      <c r="I247" s="200">
        <v>17697</v>
      </c>
      <c r="J247" s="201">
        <v>42654</v>
      </c>
      <c r="K247" s="202">
        <v>0.35555555555555557</v>
      </c>
      <c r="L247" s="201">
        <v>42656</v>
      </c>
      <c r="M247" s="200" t="s">
        <v>271</v>
      </c>
      <c r="N247" s="200" t="s">
        <v>272</v>
      </c>
      <c r="O247" s="200" t="s">
        <v>273</v>
      </c>
      <c r="P247" s="200" t="s">
        <v>274</v>
      </c>
      <c r="Q247" s="200" t="s">
        <v>275</v>
      </c>
      <c r="R247" s="200" t="s">
        <v>276</v>
      </c>
      <c r="S247" s="200" t="s">
        <v>156</v>
      </c>
      <c r="T247" s="200" t="s">
        <v>277</v>
      </c>
      <c r="U247" s="200">
        <v>2262</v>
      </c>
      <c r="V247" s="200" t="s">
        <v>156</v>
      </c>
      <c r="W247" s="200" t="s">
        <v>280</v>
      </c>
      <c r="X247" s="200">
        <v>17.831</v>
      </c>
      <c r="Y247" s="203">
        <v>-0.36</v>
      </c>
      <c r="Z247" s="203">
        <v>2.27</v>
      </c>
      <c r="AA247" s="203">
        <v>40.46</v>
      </c>
      <c r="AB247" s="203">
        <v>-3.26</v>
      </c>
      <c r="AC247" s="203">
        <v>0</v>
      </c>
      <c r="AD247" s="203">
        <v>0</v>
      </c>
      <c r="AE247" s="203">
        <v>36.840000000000003</v>
      </c>
      <c r="AF247" s="203">
        <v>-4.28</v>
      </c>
      <c r="AG247" s="200" t="s">
        <v>279</v>
      </c>
      <c r="AH247" s="203">
        <v>0</v>
      </c>
      <c r="AI247" s="200" t="s">
        <v>279</v>
      </c>
      <c r="AJ247" s="203">
        <v>0</v>
      </c>
      <c r="AK247" s="200" t="s">
        <v>279</v>
      </c>
      <c r="AL247" s="203">
        <v>0</v>
      </c>
      <c r="AM247" s="200" t="s">
        <v>279</v>
      </c>
      <c r="AN247" s="203">
        <v>0</v>
      </c>
      <c r="AO247" s="200" t="s">
        <v>279</v>
      </c>
      <c r="AP247" s="203">
        <v>0</v>
      </c>
      <c r="AQ247" s="203">
        <v>40.46</v>
      </c>
      <c r="AR247" s="203">
        <v>0</v>
      </c>
      <c r="AS247" s="200" t="str">
        <f t="shared" si="3"/>
        <v>1.00000000</v>
      </c>
      <c r="AT247" s="200" t="str">
        <f>"27.8"</f>
        <v>27.8</v>
      </c>
      <c r="AU247" s="203">
        <v>0</v>
      </c>
    </row>
    <row r="248" spans="1:47" x14ac:dyDescent="0.2">
      <c r="A248" s="200" t="str">
        <f>"0496002595734"</f>
        <v>0496002595734</v>
      </c>
      <c r="B248" s="200">
        <v>1</v>
      </c>
      <c r="C248" s="200" t="s">
        <v>435</v>
      </c>
      <c r="D248" s="200">
        <v>81</v>
      </c>
      <c r="E248" s="200">
        <v>81</v>
      </c>
      <c r="F248" s="200" t="s">
        <v>243</v>
      </c>
      <c r="G248" s="200">
        <v>2086</v>
      </c>
      <c r="H248" s="200" t="s">
        <v>270</v>
      </c>
      <c r="I248" s="200">
        <v>65048</v>
      </c>
      <c r="J248" s="201">
        <v>42654</v>
      </c>
      <c r="K248" s="202">
        <v>0.70259259259259255</v>
      </c>
      <c r="L248" s="201">
        <v>42656</v>
      </c>
      <c r="M248" s="200" t="s">
        <v>305</v>
      </c>
      <c r="N248" s="200" t="s">
        <v>767</v>
      </c>
      <c r="O248" s="200" t="s">
        <v>768</v>
      </c>
      <c r="P248" s="200" t="s">
        <v>681</v>
      </c>
      <c r="Q248" s="200" t="s">
        <v>377</v>
      </c>
      <c r="R248" s="200">
        <v>5829</v>
      </c>
      <c r="S248" s="200" t="s">
        <v>436</v>
      </c>
      <c r="T248" s="200" t="s">
        <v>435</v>
      </c>
      <c r="U248" s="200">
        <v>2086</v>
      </c>
      <c r="V248" s="200" t="s">
        <v>435</v>
      </c>
      <c r="W248" s="200" t="s">
        <v>280</v>
      </c>
      <c r="X248" s="200">
        <v>16.449000000000002</v>
      </c>
      <c r="Y248" s="203">
        <v>0</v>
      </c>
      <c r="Z248" s="203">
        <v>2.2799999999999998</v>
      </c>
      <c r="AA248" s="203">
        <v>37.49</v>
      </c>
      <c r="AB248" s="203">
        <v>-3.01</v>
      </c>
      <c r="AC248" s="203">
        <v>0</v>
      </c>
      <c r="AD248" s="203">
        <v>0</v>
      </c>
      <c r="AE248" s="203">
        <v>34.479999999999997</v>
      </c>
      <c r="AF248" s="203">
        <v>-3.95</v>
      </c>
      <c r="AG248" s="200" t="s">
        <v>279</v>
      </c>
      <c r="AH248" s="203">
        <v>0</v>
      </c>
      <c r="AI248" s="200" t="s">
        <v>279</v>
      </c>
      <c r="AJ248" s="203">
        <v>0</v>
      </c>
      <c r="AK248" s="200" t="s">
        <v>279</v>
      </c>
      <c r="AL248" s="203">
        <v>0</v>
      </c>
      <c r="AM248" s="200" t="s">
        <v>279</v>
      </c>
      <c r="AN248" s="203">
        <v>0</v>
      </c>
      <c r="AO248" s="200" t="s">
        <v>279</v>
      </c>
      <c r="AP248" s="203">
        <v>0</v>
      </c>
      <c r="AQ248" s="203">
        <v>37.49</v>
      </c>
      <c r="AR248" s="203">
        <v>0</v>
      </c>
      <c r="AS248" s="200" t="str">
        <f t="shared" si="3"/>
        <v>1.00000000</v>
      </c>
      <c r="AT248" s="200" t="str">
        <f>"20.8"</f>
        <v>20.8</v>
      </c>
      <c r="AU248" s="203">
        <v>0</v>
      </c>
    </row>
    <row r="249" spans="1:47" x14ac:dyDescent="0.2">
      <c r="A249" s="200" t="str">
        <f>"0496002595734"</f>
        <v>0496002595734</v>
      </c>
      <c r="B249" s="200">
        <v>2</v>
      </c>
      <c r="C249" s="200" t="s">
        <v>435</v>
      </c>
      <c r="D249" s="200">
        <v>80</v>
      </c>
      <c r="E249" s="200">
        <v>80</v>
      </c>
      <c r="F249" s="200" t="s">
        <v>243</v>
      </c>
      <c r="G249" s="200">
        <v>2086</v>
      </c>
      <c r="H249" s="200" t="s">
        <v>270</v>
      </c>
      <c r="I249" s="200">
        <v>70830</v>
      </c>
      <c r="J249" s="201">
        <v>42654</v>
      </c>
      <c r="K249" s="202">
        <v>0.34791666666666665</v>
      </c>
      <c r="L249" s="201">
        <v>42656</v>
      </c>
      <c r="M249" s="200" t="s">
        <v>271</v>
      </c>
      <c r="N249" s="200" t="s">
        <v>291</v>
      </c>
      <c r="O249" s="200" t="s">
        <v>292</v>
      </c>
      <c r="P249" s="200" t="s">
        <v>293</v>
      </c>
      <c r="Q249" s="200" t="s">
        <v>275</v>
      </c>
      <c r="R249" s="200">
        <v>1507</v>
      </c>
      <c r="S249" s="200" t="s">
        <v>436</v>
      </c>
      <c r="T249" s="200" t="s">
        <v>435</v>
      </c>
      <c r="U249" s="200">
        <v>2086</v>
      </c>
      <c r="V249" s="200" t="s">
        <v>435</v>
      </c>
      <c r="W249" s="200" t="s">
        <v>280</v>
      </c>
      <c r="X249" s="200">
        <v>12.026999999999999</v>
      </c>
      <c r="Y249" s="203">
        <v>-0.36</v>
      </c>
      <c r="Z249" s="203">
        <v>2.2599999999999998</v>
      </c>
      <c r="AA249" s="203">
        <v>27.17</v>
      </c>
      <c r="AB249" s="203">
        <v>-2.2000000000000002</v>
      </c>
      <c r="AC249" s="203">
        <v>0</v>
      </c>
      <c r="AD249" s="203">
        <v>0</v>
      </c>
      <c r="AE249" s="203">
        <v>24.61</v>
      </c>
      <c r="AF249" s="203">
        <v>-2.89</v>
      </c>
      <c r="AG249" s="200" t="s">
        <v>279</v>
      </c>
      <c r="AH249" s="203">
        <v>0</v>
      </c>
      <c r="AI249" s="200" t="s">
        <v>279</v>
      </c>
      <c r="AJ249" s="203">
        <v>0</v>
      </c>
      <c r="AK249" s="200" t="s">
        <v>279</v>
      </c>
      <c r="AL249" s="203">
        <v>0</v>
      </c>
      <c r="AM249" s="200" t="s">
        <v>279</v>
      </c>
      <c r="AN249" s="203">
        <v>0</v>
      </c>
      <c r="AO249" s="200" t="s">
        <v>279</v>
      </c>
      <c r="AP249" s="203">
        <v>0</v>
      </c>
      <c r="AQ249" s="203">
        <v>27.17</v>
      </c>
      <c r="AR249" s="203">
        <v>0</v>
      </c>
      <c r="AS249" s="200" t="str">
        <f t="shared" si="3"/>
        <v>1.00000000</v>
      </c>
      <c r="AT249" s="200" t="str">
        <f>"34.7"</f>
        <v>34.7</v>
      </c>
      <c r="AU249" s="203">
        <v>0</v>
      </c>
    </row>
    <row r="250" spans="1:47" x14ac:dyDescent="0.2">
      <c r="A250" s="200" t="str">
        <f>"0496002595734"</f>
        <v>0496002595734</v>
      </c>
      <c r="B250" s="200">
        <v>2</v>
      </c>
      <c r="C250" s="200" t="s">
        <v>435</v>
      </c>
      <c r="D250" s="200">
        <v>80</v>
      </c>
      <c r="E250" s="200">
        <v>80</v>
      </c>
      <c r="F250" s="200" t="s">
        <v>243</v>
      </c>
      <c r="G250" s="200">
        <v>2086</v>
      </c>
      <c r="H250" s="200" t="s">
        <v>270</v>
      </c>
      <c r="I250" s="200">
        <v>710339</v>
      </c>
      <c r="J250" s="201">
        <v>42654</v>
      </c>
      <c r="K250" s="202">
        <v>0.91805555555555562</v>
      </c>
      <c r="L250" s="201">
        <v>42657</v>
      </c>
      <c r="M250" s="200" t="s">
        <v>271</v>
      </c>
      <c r="N250" s="200" t="s">
        <v>769</v>
      </c>
      <c r="O250" s="200" t="s">
        <v>770</v>
      </c>
      <c r="P250" s="200" t="s">
        <v>424</v>
      </c>
      <c r="Q250" s="200" t="s">
        <v>275</v>
      </c>
      <c r="R250" s="200" t="s">
        <v>771</v>
      </c>
      <c r="S250" s="200" t="s">
        <v>436</v>
      </c>
      <c r="T250" s="200" t="s">
        <v>435</v>
      </c>
      <c r="U250" s="200">
        <v>2086</v>
      </c>
      <c r="V250" s="200" t="s">
        <v>435</v>
      </c>
      <c r="W250" s="200" t="s">
        <v>335</v>
      </c>
      <c r="X250" s="200">
        <v>3.1E-2</v>
      </c>
      <c r="Y250" s="203">
        <v>0</v>
      </c>
      <c r="Z250" s="203">
        <v>2.2400000000000002</v>
      </c>
      <c r="AA250" s="203">
        <v>7.0000000000000007E-2</v>
      </c>
      <c r="AB250" s="203">
        <v>-0.01</v>
      </c>
      <c r="AC250" s="203">
        <v>0</v>
      </c>
      <c r="AD250" s="203">
        <v>0</v>
      </c>
      <c r="AE250" s="203">
        <v>0.06</v>
      </c>
      <c r="AF250" s="203">
        <v>-0.01</v>
      </c>
      <c r="AG250" s="200" t="s">
        <v>279</v>
      </c>
      <c r="AH250" s="203">
        <v>0</v>
      </c>
      <c r="AI250" s="200" t="s">
        <v>279</v>
      </c>
      <c r="AJ250" s="203">
        <v>0</v>
      </c>
      <c r="AK250" s="200" t="s">
        <v>279</v>
      </c>
      <c r="AL250" s="203">
        <v>0</v>
      </c>
      <c r="AM250" s="200" t="s">
        <v>279</v>
      </c>
      <c r="AN250" s="203">
        <v>0</v>
      </c>
      <c r="AO250" s="200" t="s">
        <v>279</v>
      </c>
      <c r="AP250" s="203">
        <v>0</v>
      </c>
      <c r="AQ250" s="203">
        <v>7.0000000000000007E-2</v>
      </c>
      <c r="AR250" s="203">
        <v>0</v>
      </c>
      <c r="AS250" s="200" t="str">
        <f t="shared" si="3"/>
        <v>1.00000000</v>
      </c>
      <c r="AT250" s="200" t="str">
        <f>"32.3"</f>
        <v>32.3</v>
      </c>
      <c r="AU250" s="203">
        <v>0</v>
      </c>
    </row>
    <row r="251" spans="1:47" x14ac:dyDescent="0.2">
      <c r="A251" s="200" t="str">
        <f>"0496002595734"</f>
        <v>0496002595734</v>
      </c>
      <c r="B251" s="200">
        <v>2</v>
      </c>
      <c r="C251" s="200" t="s">
        <v>435</v>
      </c>
      <c r="D251" s="200">
        <v>80</v>
      </c>
      <c r="E251" s="200">
        <v>80</v>
      </c>
      <c r="F251" s="200" t="s">
        <v>243</v>
      </c>
      <c r="G251" s="200">
        <v>2086</v>
      </c>
      <c r="H251" s="200" t="s">
        <v>270</v>
      </c>
      <c r="I251" s="200">
        <v>710399</v>
      </c>
      <c r="J251" s="201">
        <v>42654</v>
      </c>
      <c r="K251" s="202">
        <v>0.9194444444444444</v>
      </c>
      <c r="L251" s="201">
        <v>42657</v>
      </c>
      <c r="M251" s="200" t="s">
        <v>271</v>
      </c>
      <c r="N251" s="200" t="s">
        <v>769</v>
      </c>
      <c r="O251" s="200" t="s">
        <v>770</v>
      </c>
      <c r="P251" s="200" t="s">
        <v>424</v>
      </c>
      <c r="Q251" s="200" t="s">
        <v>275</v>
      </c>
      <c r="R251" s="200" t="s">
        <v>771</v>
      </c>
      <c r="S251" s="200" t="s">
        <v>436</v>
      </c>
      <c r="T251" s="200" t="s">
        <v>435</v>
      </c>
      <c r="U251" s="200">
        <v>2086</v>
      </c>
      <c r="V251" s="200" t="s">
        <v>435</v>
      </c>
      <c r="W251" s="200" t="s">
        <v>280</v>
      </c>
      <c r="X251" s="200">
        <v>4.4660000000000002</v>
      </c>
      <c r="Y251" s="203">
        <v>-0.09</v>
      </c>
      <c r="Z251" s="203">
        <v>2.2400000000000002</v>
      </c>
      <c r="AA251" s="203">
        <v>10</v>
      </c>
      <c r="AB251" s="203">
        <v>-0.82</v>
      </c>
      <c r="AC251" s="203">
        <v>0</v>
      </c>
      <c r="AD251" s="203">
        <v>0</v>
      </c>
      <c r="AE251" s="203">
        <v>9.09</v>
      </c>
      <c r="AF251" s="203">
        <v>-1.07</v>
      </c>
      <c r="AG251" s="200" t="s">
        <v>279</v>
      </c>
      <c r="AH251" s="203">
        <v>0</v>
      </c>
      <c r="AI251" s="200" t="s">
        <v>279</v>
      </c>
      <c r="AJ251" s="203">
        <v>0</v>
      </c>
      <c r="AK251" s="200" t="s">
        <v>279</v>
      </c>
      <c r="AL251" s="203">
        <v>0</v>
      </c>
      <c r="AM251" s="200" t="s">
        <v>279</v>
      </c>
      <c r="AN251" s="203">
        <v>0</v>
      </c>
      <c r="AO251" s="200" t="s">
        <v>279</v>
      </c>
      <c r="AP251" s="203">
        <v>0</v>
      </c>
      <c r="AQ251" s="203">
        <v>10</v>
      </c>
      <c r="AR251" s="203">
        <v>0</v>
      </c>
      <c r="AS251" s="200" t="str">
        <f t="shared" si="3"/>
        <v>1.00000000</v>
      </c>
      <c r="AT251" s="200" t="str">
        <f>"38.1"</f>
        <v>38.1</v>
      </c>
      <c r="AU251" s="203">
        <v>0</v>
      </c>
    </row>
    <row r="252" spans="1:47" x14ac:dyDescent="0.2">
      <c r="A252" s="200" t="str">
        <f>"0496002595833"</f>
        <v>0496002595833</v>
      </c>
      <c r="B252" s="200">
        <v>1</v>
      </c>
      <c r="C252" s="200" t="s">
        <v>571</v>
      </c>
      <c r="D252" s="200" t="s">
        <v>571</v>
      </c>
      <c r="E252" s="200" t="s">
        <v>572</v>
      </c>
      <c r="F252" s="200" t="s">
        <v>243</v>
      </c>
      <c r="G252" s="200">
        <v>2328</v>
      </c>
      <c r="H252" s="200" t="s">
        <v>270</v>
      </c>
      <c r="I252" s="200">
        <v>51808</v>
      </c>
      <c r="J252" s="201">
        <v>42654</v>
      </c>
      <c r="K252" s="202">
        <v>0.33498842592592593</v>
      </c>
      <c r="L252" s="201">
        <v>42656</v>
      </c>
      <c r="M252" s="200" t="s">
        <v>384</v>
      </c>
      <c r="N252" s="200" t="s">
        <v>385</v>
      </c>
      <c r="O252" s="200" t="s">
        <v>386</v>
      </c>
      <c r="P252" s="200" t="s">
        <v>343</v>
      </c>
      <c r="Q252" s="200" t="s">
        <v>275</v>
      </c>
      <c r="R252" s="200" t="s">
        <v>387</v>
      </c>
      <c r="S252" s="200" t="s">
        <v>436</v>
      </c>
      <c r="T252" s="200" t="s">
        <v>571</v>
      </c>
      <c r="U252" s="200">
        <v>2328</v>
      </c>
      <c r="V252" s="200" t="s">
        <v>571</v>
      </c>
      <c r="W252" s="200" t="s">
        <v>280</v>
      </c>
      <c r="X252" s="200">
        <v>7.5369999999999999</v>
      </c>
      <c r="Y252" s="203">
        <v>0</v>
      </c>
      <c r="Z252" s="203">
        <v>2.19</v>
      </c>
      <c r="AA252" s="203">
        <v>16.5</v>
      </c>
      <c r="AB252" s="203">
        <v>-1.38</v>
      </c>
      <c r="AC252" s="203">
        <v>0</v>
      </c>
      <c r="AD252" s="203">
        <v>0</v>
      </c>
      <c r="AE252" s="203">
        <v>15.12</v>
      </c>
      <c r="AF252" s="203">
        <v>-1.81</v>
      </c>
      <c r="AG252" s="200" t="s">
        <v>279</v>
      </c>
      <c r="AH252" s="203">
        <v>0</v>
      </c>
      <c r="AI252" s="200" t="s">
        <v>279</v>
      </c>
      <c r="AJ252" s="203">
        <v>0</v>
      </c>
      <c r="AK252" s="200" t="s">
        <v>279</v>
      </c>
      <c r="AL252" s="203">
        <v>0</v>
      </c>
      <c r="AM252" s="200" t="s">
        <v>279</v>
      </c>
      <c r="AN252" s="203">
        <v>0</v>
      </c>
      <c r="AO252" s="200" t="s">
        <v>279</v>
      </c>
      <c r="AP252" s="203">
        <v>0</v>
      </c>
      <c r="AQ252" s="203">
        <v>16.5</v>
      </c>
      <c r="AR252" s="203">
        <v>0</v>
      </c>
      <c r="AS252" s="200" t="str">
        <f t="shared" si="3"/>
        <v>1.00000000</v>
      </c>
      <c r="AT252" s="200" t="str">
        <f>"24.4"</f>
        <v>24.4</v>
      </c>
      <c r="AU252" s="203">
        <v>0</v>
      </c>
    </row>
    <row r="253" spans="1:47" x14ac:dyDescent="0.2">
      <c r="A253" s="200" t="str">
        <f>"0496002599140"</f>
        <v>0496002599140</v>
      </c>
      <c r="B253" s="200">
        <v>1</v>
      </c>
      <c r="C253" s="200" t="s">
        <v>581</v>
      </c>
      <c r="D253" s="200" t="s">
        <v>582</v>
      </c>
      <c r="E253" s="200" t="s">
        <v>582</v>
      </c>
      <c r="F253" s="200" t="s">
        <v>243</v>
      </c>
      <c r="G253" s="200">
        <v>2323</v>
      </c>
      <c r="H253" s="200" t="s">
        <v>270</v>
      </c>
      <c r="I253" s="200">
        <v>99</v>
      </c>
      <c r="J253" s="201">
        <v>42654</v>
      </c>
      <c r="K253" s="202">
        <v>0.36611111111111111</v>
      </c>
      <c r="L253" s="201">
        <v>42656</v>
      </c>
      <c r="M253" s="200" t="s">
        <v>396</v>
      </c>
      <c r="N253" s="200" t="s">
        <v>397</v>
      </c>
      <c r="O253" s="200" t="s">
        <v>398</v>
      </c>
      <c r="P253" s="200" t="s">
        <v>343</v>
      </c>
      <c r="Q253" s="200" t="s">
        <v>275</v>
      </c>
      <c r="R253" s="200">
        <v>1035</v>
      </c>
      <c r="S253" s="200" t="s">
        <v>436</v>
      </c>
      <c r="T253" s="200" t="s">
        <v>581</v>
      </c>
      <c r="U253" s="200">
        <v>2323</v>
      </c>
      <c r="V253" s="200" t="s">
        <v>581</v>
      </c>
      <c r="W253" s="200" t="s">
        <v>278</v>
      </c>
      <c r="X253" s="200">
        <v>12.503</v>
      </c>
      <c r="Y253" s="203">
        <v>0</v>
      </c>
      <c r="Z253" s="203">
        <v>2.58</v>
      </c>
      <c r="AA253" s="203">
        <v>32.25</v>
      </c>
      <c r="AB253" s="203">
        <v>-2.29</v>
      </c>
      <c r="AC253" s="203">
        <v>0</v>
      </c>
      <c r="AD253" s="203">
        <v>0</v>
      </c>
      <c r="AE253" s="203">
        <v>29.96</v>
      </c>
      <c r="AF253" s="203">
        <v>-3</v>
      </c>
      <c r="AG253" s="200" t="s">
        <v>279</v>
      </c>
      <c r="AH253" s="203">
        <v>0</v>
      </c>
      <c r="AI253" s="200" t="s">
        <v>279</v>
      </c>
      <c r="AJ253" s="203">
        <v>0</v>
      </c>
      <c r="AK253" s="200" t="s">
        <v>279</v>
      </c>
      <c r="AL253" s="203">
        <v>0</v>
      </c>
      <c r="AM253" s="200" t="s">
        <v>279</v>
      </c>
      <c r="AN253" s="203">
        <v>0</v>
      </c>
      <c r="AO253" s="200" t="s">
        <v>279</v>
      </c>
      <c r="AP253" s="203">
        <v>0</v>
      </c>
      <c r="AQ253" s="203">
        <v>32.25</v>
      </c>
      <c r="AR253" s="203">
        <v>0</v>
      </c>
      <c r="AS253" s="200" t="str">
        <f t="shared" si="3"/>
        <v>1.00000000</v>
      </c>
      <c r="AT253" s="200" t="str">
        <f>"0.0"</f>
        <v>0.0</v>
      </c>
      <c r="AU253" s="203">
        <v>0</v>
      </c>
    </row>
    <row r="254" spans="1:47" x14ac:dyDescent="0.2">
      <c r="A254" s="200" t="str">
        <f>"0496002599140"</f>
        <v>0496002599140</v>
      </c>
      <c r="B254" s="200">
        <v>1</v>
      </c>
      <c r="C254" s="200" t="s">
        <v>581</v>
      </c>
      <c r="D254" s="200" t="s">
        <v>582</v>
      </c>
      <c r="E254" s="200" t="s">
        <v>582</v>
      </c>
      <c r="F254" s="200" t="s">
        <v>243</v>
      </c>
      <c r="G254" s="200">
        <v>2323</v>
      </c>
      <c r="H254" s="200" t="s">
        <v>270</v>
      </c>
      <c r="I254" s="200">
        <v>99</v>
      </c>
      <c r="J254" s="201">
        <v>42654</v>
      </c>
      <c r="K254" s="202">
        <v>0.68319444444444455</v>
      </c>
      <c r="L254" s="201">
        <v>42656</v>
      </c>
      <c r="M254" s="200" t="s">
        <v>314</v>
      </c>
      <c r="N254" s="200" t="s">
        <v>415</v>
      </c>
      <c r="O254" s="200" t="s">
        <v>416</v>
      </c>
      <c r="P254" s="200" t="s">
        <v>417</v>
      </c>
      <c r="Q254" s="200" t="s">
        <v>275</v>
      </c>
      <c r="R254" s="200" t="s">
        <v>418</v>
      </c>
      <c r="S254" s="200" t="s">
        <v>436</v>
      </c>
      <c r="T254" s="200" t="s">
        <v>581</v>
      </c>
      <c r="U254" s="200">
        <v>2323</v>
      </c>
      <c r="V254" s="200" t="s">
        <v>581</v>
      </c>
      <c r="W254" s="200" t="s">
        <v>278</v>
      </c>
      <c r="X254" s="200">
        <v>8.3040000000000003</v>
      </c>
      <c r="Y254" s="203">
        <v>0</v>
      </c>
      <c r="Z254" s="203">
        <v>2.6</v>
      </c>
      <c r="AA254" s="203">
        <v>21.58</v>
      </c>
      <c r="AB254" s="203">
        <v>-1.52</v>
      </c>
      <c r="AC254" s="203">
        <v>0</v>
      </c>
      <c r="AD254" s="203">
        <v>0</v>
      </c>
      <c r="AE254" s="203">
        <v>20.059999999999999</v>
      </c>
      <c r="AF254" s="203">
        <v>-1.99</v>
      </c>
      <c r="AG254" s="200" t="s">
        <v>279</v>
      </c>
      <c r="AH254" s="203">
        <v>0</v>
      </c>
      <c r="AI254" s="200" t="s">
        <v>279</v>
      </c>
      <c r="AJ254" s="203">
        <v>0</v>
      </c>
      <c r="AK254" s="200" t="s">
        <v>279</v>
      </c>
      <c r="AL254" s="203">
        <v>0</v>
      </c>
      <c r="AM254" s="200" t="s">
        <v>279</v>
      </c>
      <c r="AN254" s="203">
        <v>0</v>
      </c>
      <c r="AO254" s="200" t="s">
        <v>279</v>
      </c>
      <c r="AP254" s="203">
        <v>0</v>
      </c>
      <c r="AQ254" s="203">
        <v>21.58</v>
      </c>
      <c r="AR254" s="203">
        <v>0</v>
      </c>
      <c r="AS254" s="200" t="str">
        <f t="shared" si="3"/>
        <v>1.00000000</v>
      </c>
      <c r="AT254" s="200" t="str">
        <f>"0.0"</f>
        <v>0.0</v>
      </c>
      <c r="AU254" s="203">
        <v>0</v>
      </c>
    </row>
    <row r="255" spans="1:47" x14ac:dyDescent="0.2">
      <c r="A255" s="200" t="str">
        <f>"0496002595734"</f>
        <v>0496002595734</v>
      </c>
      <c r="B255" s="200">
        <v>1</v>
      </c>
      <c r="C255" s="200" t="s">
        <v>435</v>
      </c>
      <c r="D255" s="200">
        <v>81</v>
      </c>
      <c r="E255" s="200">
        <v>81</v>
      </c>
      <c r="F255" s="200" t="s">
        <v>243</v>
      </c>
      <c r="G255" s="200">
        <v>2086</v>
      </c>
      <c r="H255" s="200" t="s">
        <v>270</v>
      </c>
      <c r="I255" s="200">
        <v>65337</v>
      </c>
      <c r="J255" s="201">
        <v>42655</v>
      </c>
      <c r="K255" s="202">
        <v>0.39374999999999999</v>
      </c>
      <c r="L255" s="201">
        <v>42657</v>
      </c>
      <c r="M255" s="200" t="s">
        <v>271</v>
      </c>
      <c r="N255" s="200" t="s">
        <v>291</v>
      </c>
      <c r="O255" s="200" t="s">
        <v>292</v>
      </c>
      <c r="P255" s="200" t="s">
        <v>293</v>
      </c>
      <c r="Q255" s="200" t="s">
        <v>275</v>
      </c>
      <c r="R255" s="200">
        <v>1507</v>
      </c>
      <c r="S255" s="200" t="s">
        <v>436</v>
      </c>
      <c r="T255" s="200" t="s">
        <v>435</v>
      </c>
      <c r="U255" s="200">
        <v>2086</v>
      </c>
      <c r="V255" s="200" t="s">
        <v>435</v>
      </c>
      <c r="W255" s="200" t="s">
        <v>280</v>
      </c>
      <c r="X255" s="200">
        <v>10.968999999999999</v>
      </c>
      <c r="Y255" s="203">
        <v>-0.33</v>
      </c>
      <c r="Z255" s="203">
        <v>2.2799999999999998</v>
      </c>
      <c r="AA255" s="203">
        <v>25</v>
      </c>
      <c r="AB255" s="203">
        <v>-2.0099999999999998</v>
      </c>
      <c r="AC255" s="203">
        <v>0</v>
      </c>
      <c r="AD255" s="203">
        <v>0</v>
      </c>
      <c r="AE255" s="203">
        <v>22.66</v>
      </c>
      <c r="AF255" s="203">
        <v>-2.63</v>
      </c>
      <c r="AG255" s="200" t="s">
        <v>279</v>
      </c>
      <c r="AH255" s="203">
        <v>0</v>
      </c>
      <c r="AI255" s="200" t="s">
        <v>279</v>
      </c>
      <c r="AJ255" s="203">
        <v>0</v>
      </c>
      <c r="AK255" s="200" t="s">
        <v>279</v>
      </c>
      <c r="AL255" s="203">
        <v>0</v>
      </c>
      <c r="AM255" s="200" t="s">
        <v>279</v>
      </c>
      <c r="AN255" s="203">
        <v>0</v>
      </c>
      <c r="AO255" s="200" t="s">
        <v>279</v>
      </c>
      <c r="AP255" s="203">
        <v>0</v>
      </c>
      <c r="AQ255" s="203">
        <v>25</v>
      </c>
      <c r="AR255" s="203">
        <v>0</v>
      </c>
      <c r="AS255" s="200" t="str">
        <f t="shared" si="3"/>
        <v>1.00000000</v>
      </c>
      <c r="AT255" s="200" t="str">
        <f>"20.9"</f>
        <v>20.9</v>
      </c>
      <c r="AU255" s="203">
        <v>0</v>
      </c>
    </row>
    <row r="256" spans="1:47" x14ac:dyDescent="0.2">
      <c r="A256" s="200" t="str">
        <f>"0496002595833"</f>
        <v>0496002595833</v>
      </c>
      <c r="B256" s="200">
        <v>1</v>
      </c>
      <c r="C256" s="200" t="s">
        <v>571</v>
      </c>
      <c r="D256" s="200" t="s">
        <v>571</v>
      </c>
      <c r="E256" s="200" t="s">
        <v>572</v>
      </c>
      <c r="F256" s="200" t="s">
        <v>243</v>
      </c>
      <c r="G256" s="200">
        <v>2328</v>
      </c>
      <c r="H256" s="200" t="s">
        <v>270</v>
      </c>
      <c r="I256" s="200">
        <v>52062</v>
      </c>
      <c r="J256" s="201">
        <v>42655</v>
      </c>
      <c r="K256" s="202">
        <v>0.73611111111111116</v>
      </c>
      <c r="L256" s="201">
        <v>42657</v>
      </c>
      <c r="M256" s="200" t="s">
        <v>271</v>
      </c>
      <c r="N256" s="200" t="s">
        <v>272</v>
      </c>
      <c r="O256" s="200" t="s">
        <v>273</v>
      </c>
      <c r="P256" s="200" t="s">
        <v>274</v>
      </c>
      <c r="Q256" s="200" t="s">
        <v>275</v>
      </c>
      <c r="R256" s="200" t="s">
        <v>276</v>
      </c>
      <c r="S256" s="200" t="s">
        <v>436</v>
      </c>
      <c r="T256" s="200" t="s">
        <v>571</v>
      </c>
      <c r="U256" s="200">
        <v>2328</v>
      </c>
      <c r="V256" s="200" t="s">
        <v>571</v>
      </c>
      <c r="W256" s="200" t="s">
        <v>280</v>
      </c>
      <c r="X256" s="200">
        <v>9.6969999999999992</v>
      </c>
      <c r="Y256" s="203">
        <v>-0.19</v>
      </c>
      <c r="Z256" s="203">
        <v>2.25</v>
      </c>
      <c r="AA256" s="203">
        <v>21.81</v>
      </c>
      <c r="AB256" s="203">
        <v>-1.77</v>
      </c>
      <c r="AC256" s="203">
        <v>0</v>
      </c>
      <c r="AD256" s="203">
        <v>0</v>
      </c>
      <c r="AE256" s="203">
        <v>19.850000000000001</v>
      </c>
      <c r="AF256" s="203">
        <v>-2.33</v>
      </c>
      <c r="AG256" s="200" t="s">
        <v>279</v>
      </c>
      <c r="AH256" s="203">
        <v>0</v>
      </c>
      <c r="AI256" s="200" t="s">
        <v>279</v>
      </c>
      <c r="AJ256" s="203">
        <v>0</v>
      </c>
      <c r="AK256" s="200" t="s">
        <v>279</v>
      </c>
      <c r="AL256" s="203">
        <v>0</v>
      </c>
      <c r="AM256" s="200" t="s">
        <v>279</v>
      </c>
      <c r="AN256" s="203">
        <v>0</v>
      </c>
      <c r="AO256" s="200" t="s">
        <v>279</v>
      </c>
      <c r="AP256" s="203">
        <v>0</v>
      </c>
      <c r="AQ256" s="203">
        <v>21.81</v>
      </c>
      <c r="AR256" s="203">
        <v>0</v>
      </c>
      <c r="AS256" s="200" t="str">
        <f t="shared" si="3"/>
        <v>1.00000000</v>
      </c>
      <c r="AT256" s="200" t="str">
        <f>"26.2"</f>
        <v>26.2</v>
      </c>
      <c r="AU256" s="203">
        <v>0</v>
      </c>
    </row>
    <row r="257" spans="1:47" x14ac:dyDescent="0.2">
      <c r="A257" s="200" t="str">
        <f>"0496002599173"</f>
        <v>0496002599173</v>
      </c>
      <c r="B257" s="200">
        <v>2</v>
      </c>
      <c r="C257" s="200" t="s">
        <v>585</v>
      </c>
      <c r="D257" s="200" t="s">
        <v>594</v>
      </c>
      <c r="E257" s="200" t="s">
        <v>594</v>
      </c>
      <c r="F257" s="200" t="s">
        <v>243</v>
      </c>
      <c r="G257" s="200">
        <v>5647</v>
      </c>
      <c r="H257" s="200" t="s">
        <v>270</v>
      </c>
      <c r="I257" s="200">
        <v>112185</v>
      </c>
      <c r="J257" s="201">
        <v>42655</v>
      </c>
      <c r="K257" s="202">
        <v>0.64930555555555558</v>
      </c>
      <c r="L257" s="201">
        <v>42657</v>
      </c>
      <c r="M257" s="200" t="s">
        <v>606</v>
      </c>
      <c r="N257" s="200" t="s">
        <v>399</v>
      </c>
      <c r="O257" s="200" t="s">
        <v>400</v>
      </c>
      <c r="P257" s="200" t="s">
        <v>274</v>
      </c>
      <c r="Q257" s="200" t="s">
        <v>275</v>
      </c>
      <c r="R257" s="200" t="s">
        <v>401</v>
      </c>
      <c r="S257" s="200" t="s">
        <v>436</v>
      </c>
      <c r="T257" s="200" t="s">
        <v>595</v>
      </c>
      <c r="U257" s="200">
        <v>5647</v>
      </c>
      <c r="V257" s="200" t="s">
        <v>585</v>
      </c>
      <c r="W257" s="200" t="s">
        <v>280</v>
      </c>
      <c r="X257" s="200">
        <v>21.466000000000001</v>
      </c>
      <c r="Y257" s="203">
        <v>0</v>
      </c>
      <c r="Z257" s="203">
        <v>2.23</v>
      </c>
      <c r="AA257" s="203">
        <v>47.85</v>
      </c>
      <c r="AB257" s="203">
        <v>-3.93</v>
      </c>
      <c r="AC257" s="203">
        <v>0</v>
      </c>
      <c r="AD257" s="203">
        <v>0</v>
      </c>
      <c r="AE257" s="203">
        <v>43.92</v>
      </c>
      <c r="AF257" s="203">
        <v>-5.15</v>
      </c>
      <c r="AG257" s="200" t="s">
        <v>279</v>
      </c>
      <c r="AH257" s="203">
        <v>0</v>
      </c>
      <c r="AI257" s="200" t="s">
        <v>279</v>
      </c>
      <c r="AJ257" s="203">
        <v>0</v>
      </c>
      <c r="AK257" s="200" t="s">
        <v>279</v>
      </c>
      <c r="AL257" s="203">
        <v>0</v>
      </c>
      <c r="AM257" s="200" t="s">
        <v>279</v>
      </c>
      <c r="AN257" s="203">
        <v>0</v>
      </c>
      <c r="AO257" s="200" t="s">
        <v>279</v>
      </c>
      <c r="AP257" s="203">
        <v>0</v>
      </c>
      <c r="AQ257" s="203">
        <v>47.85</v>
      </c>
      <c r="AR257" s="203">
        <v>0</v>
      </c>
      <c r="AS257" s="200" t="str">
        <f t="shared" si="3"/>
        <v>1.00000000</v>
      </c>
      <c r="AT257" s="200" t="str">
        <f>"12.2"</f>
        <v>12.2</v>
      </c>
      <c r="AU257" s="203">
        <v>0</v>
      </c>
    </row>
    <row r="258" spans="1:47" x14ac:dyDescent="0.2">
      <c r="A258" s="200" t="str">
        <f>"0496002595700"</f>
        <v>0496002595700</v>
      </c>
      <c r="B258" s="200">
        <v>2</v>
      </c>
      <c r="C258" s="200" t="s">
        <v>156</v>
      </c>
      <c r="D258" s="200">
        <v>42</v>
      </c>
      <c r="E258" s="200">
        <v>42</v>
      </c>
      <c r="F258" s="200" t="s">
        <v>243</v>
      </c>
      <c r="G258" s="200">
        <v>2262</v>
      </c>
      <c r="H258" s="200" t="s">
        <v>270</v>
      </c>
      <c r="I258" s="200">
        <v>32041</v>
      </c>
      <c r="J258" s="201">
        <v>42656</v>
      </c>
      <c r="K258" s="202">
        <v>0.54027777777777775</v>
      </c>
      <c r="L258" s="201">
        <v>42660</v>
      </c>
      <c r="M258" s="200" t="s">
        <v>271</v>
      </c>
      <c r="N258" s="200" t="s">
        <v>272</v>
      </c>
      <c r="O258" s="200" t="s">
        <v>273</v>
      </c>
      <c r="P258" s="200" t="s">
        <v>274</v>
      </c>
      <c r="Q258" s="200" t="s">
        <v>275</v>
      </c>
      <c r="R258" s="200" t="s">
        <v>276</v>
      </c>
      <c r="S258" s="200" t="s">
        <v>156</v>
      </c>
      <c r="T258" s="200" t="s">
        <v>277</v>
      </c>
      <c r="U258" s="200">
        <v>2262</v>
      </c>
      <c r="V258" s="200" t="s">
        <v>156</v>
      </c>
      <c r="W258" s="200" t="s">
        <v>280</v>
      </c>
      <c r="X258" s="200">
        <v>8.4920000000000009</v>
      </c>
      <c r="Y258" s="203">
        <v>-0.17</v>
      </c>
      <c r="Z258" s="203">
        <v>2.25</v>
      </c>
      <c r="AA258" s="203">
        <v>19.100000000000001</v>
      </c>
      <c r="AB258" s="203">
        <v>-1.55</v>
      </c>
      <c r="AC258" s="203">
        <v>0</v>
      </c>
      <c r="AD258" s="203">
        <v>0</v>
      </c>
      <c r="AE258" s="203">
        <v>17.38</v>
      </c>
      <c r="AF258" s="203">
        <v>-2.04</v>
      </c>
      <c r="AG258" s="200" t="s">
        <v>279</v>
      </c>
      <c r="AH258" s="203">
        <v>0</v>
      </c>
      <c r="AI258" s="200" t="s">
        <v>279</v>
      </c>
      <c r="AJ258" s="203">
        <v>0</v>
      </c>
      <c r="AK258" s="200" t="s">
        <v>279</v>
      </c>
      <c r="AL258" s="203">
        <v>0</v>
      </c>
      <c r="AM258" s="200" t="s">
        <v>279</v>
      </c>
      <c r="AN258" s="203">
        <v>0</v>
      </c>
      <c r="AO258" s="200" t="s">
        <v>279</v>
      </c>
      <c r="AP258" s="203">
        <v>0</v>
      </c>
      <c r="AQ258" s="203">
        <v>19.100000000000001</v>
      </c>
      <c r="AR258" s="203">
        <v>0</v>
      </c>
      <c r="AS258" s="200" t="str">
        <f t="shared" ref="AS258:AS321" si="4">"1.00000000"</f>
        <v>1.00000000</v>
      </c>
      <c r="AT258" s="200" t="str">
        <f>"45.3"</f>
        <v>45.3</v>
      </c>
      <c r="AU258" s="203">
        <v>0</v>
      </c>
    </row>
    <row r="259" spans="1:47" x14ac:dyDescent="0.2">
      <c r="A259" s="200" t="str">
        <f>"0496002595700"</f>
        <v>0496002595700</v>
      </c>
      <c r="B259" s="200">
        <v>5</v>
      </c>
      <c r="C259" s="200" t="s">
        <v>156</v>
      </c>
      <c r="D259" s="200">
        <v>86</v>
      </c>
      <c r="E259" s="200">
        <v>86</v>
      </c>
      <c r="F259" s="200" t="s">
        <v>243</v>
      </c>
      <c r="G259" s="200">
        <v>2262</v>
      </c>
      <c r="H259" s="200" t="s">
        <v>270</v>
      </c>
      <c r="I259" s="200">
        <v>8304</v>
      </c>
      <c r="J259" s="201">
        <v>42656</v>
      </c>
      <c r="K259" s="202">
        <v>0.9472222222222223</v>
      </c>
      <c r="L259" s="201">
        <v>42660</v>
      </c>
      <c r="M259" s="200" t="s">
        <v>606</v>
      </c>
      <c r="N259" s="200" t="s">
        <v>399</v>
      </c>
      <c r="O259" s="200" t="s">
        <v>400</v>
      </c>
      <c r="P259" s="200" t="s">
        <v>274</v>
      </c>
      <c r="Q259" s="200" t="s">
        <v>275</v>
      </c>
      <c r="R259" s="200" t="s">
        <v>401</v>
      </c>
      <c r="S259" s="200" t="s">
        <v>156</v>
      </c>
      <c r="T259" s="200" t="s">
        <v>277</v>
      </c>
      <c r="U259" s="200">
        <v>2262</v>
      </c>
      <c r="V259" s="200" t="s">
        <v>156</v>
      </c>
      <c r="W259" s="200" t="s">
        <v>280</v>
      </c>
      <c r="X259" s="200">
        <v>17.105</v>
      </c>
      <c r="Y259" s="203">
        <v>0</v>
      </c>
      <c r="Z259" s="203">
        <v>2.23</v>
      </c>
      <c r="AA259" s="203">
        <v>38.130000000000003</v>
      </c>
      <c r="AB259" s="203">
        <v>-3.13</v>
      </c>
      <c r="AC259" s="203">
        <v>0</v>
      </c>
      <c r="AD259" s="203">
        <v>0</v>
      </c>
      <c r="AE259" s="203">
        <v>35</v>
      </c>
      <c r="AF259" s="203">
        <v>-4.1100000000000003</v>
      </c>
      <c r="AG259" s="200" t="s">
        <v>279</v>
      </c>
      <c r="AH259" s="203">
        <v>0</v>
      </c>
      <c r="AI259" s="200" t="s">
        <v>279</v>
      </c>
      <c r="AJ259" s="203">
        <v>0</v>
      </c>
      <c r="AK259" s="200" t="s">
        <v>279</v>
      </c>
      <c r="AL259" s="203">
        <v>0</v>
      </c>
      <c r="AM259" s="200" t="s">
        <v>279</v>
      </c>
      <c r="AN259" s="203">
        <v>0</v>
      </c>
      <c r="AO259" s="200" t="s">
        <v>279</v>
      </c>
      <c r="AP259" s="203">
        <v>0</v>
      </c>
      <c r="AQ259" s="203">
        <v>38.130000000000003</v>
      </c>
      <c r="AR259" s="203">
        <v>0</v>
      </c>
      <c r="AS259" s="200" t="str">
        <f t="shared" si="4"/>
        <v>1.00000000</v>
      </c>
      <c r="AT259" s="200" t="str">
        <f>"16.5"</f>
        <v>16.5</v>
      </c>
      <c r="AU259" s="203">
        <v>0</v>
      </c>
    </row>
    <row r="260" spans="1:47" x14ac:dyDescent="0.2">
      <c r="A260" s="200" t="str">
        <f>"0496002595734"</f>
        <v>0496002595734</v>
      </c>
      <c r="B260" s="200">
        <v>2</v>
      </c>
      <c r="C260" s="200" t="s">
        <v>435</v>
      </c>
      <c r="D260" s="200">
        <v>80</v>
      </c>
      <c r="E260" s="200">
        <v>80</v>
      </c>
      <c r="F260" s="200" t="s">
        <v>243</v>
      </c>
      <c r="G260" s="200">
        <v>2086</v>
      </c>
      <c r="H260" s="200" t="s">
        <v>270</v>
      </c>
      <c r="I260" s="200">
        <v>71139</v>
      </c>
      <c r="J260" s="201">
        <v>42656</v>
      </c>
      <c r="K260" s="202">
        <v>0.82013888888888886</v>
      </c>
      <c r="L260" s="201">
        <v>42660</v>
      </c>
      <c r="M260" s="200" t="s">
        <v>271</v>
      </c>
      <c r="N260" s="200" t="s">
        <v>272</v>
      </c>
      <c r="O260" s="200" t="s">
        <v>273</v>
      </c>
      <c r="P260" s="200" t="s">
        <v>274</v>
      </c>
      <c r="Q260" s="200" t="s">
        <v>275</v>
      </c>
      <c r="R260" s="200" t="s">
        <v>276</v>
      </c>
      <c r="S260" s="200" t="s">
        <v>436</v>
      </c>
      <c r="T260" s="200" t="s">
        <v>435</v>
      </c>
      <c r="U260" s="200">
        <v>2086</v>
      </c>
      <c r="V260" s="200" t="s">
        <v>435</v>
      </c>
      <c r="W260" s="200" t="s">
        <v>280</v>
      </c>
      <c r="X260" s="200">
        <v>4.1109999999999998</v>
      </c>
      <c r="Y260" s="203">
        <v>-0.08</v>
      </c>
      <c r="Z260" s="203">
        <v>2.25</v>
      </c>
      <c r="AA260" s="203">
        <v>9.25</v>
      </c>
      <c r="AB260" s="203">
        <v>-0.75</v>
      </c>
      <c r="AC260" s="203">
        <v>0</v>
      </c>
      <c r="AD260" s="203">
        <v>0</v>
      </c>
      <c r="AE260" s="203">
        <v>8.42</v>
      </c>
      <c r="AF260" s="203">
        <v>-0.99</v>
      </c>
      <c r="AG260" s="200" t="s">
        <v>279</v>
      </c>
      <c r="AH260" s="203">
        <v>0</v>
      </c>
      <c r="AI260" s="200" t="s">
        <v>279</v>
      </c>
      <c r="AJ260" s="203">
        <v>0</v>
      </c>
      <c r="AK260" s="200" t="s">
        <v>279</v>
      </c>
      <c r="AL260" s="203">
        <v>0</v>
      </c>
      <c r="AM260" s="200" t="s">
        <v>279</v>
      </c>
      <c r="AN260" s="203">
        <v>0</v>
      </c>
      <c r="AO260" s="200" t="s">
        <v>279</v>
      </c>
      <c r="AP260" s="203">
        <v>0</v>
      </c>
      <c r="AQ260" s="203">
        <v>9.25</v>
      </c>
      <c r="AR260" s="203">
        <v>0</v>
      </c>
      <c r="AS260" s="200" t="str">
        <f t="shared" si="4"/>
        <v>1.00000000</v>
      </c>
      <c r="AT260" s="200" t="str">
        <f>"37.5"</f>
        <v>37.5</v>
      </c>
      <c r="AU260" s="203">
        <v>0</v>
      </c>
    </row>
    <row r="261" spans="1:47" x14ac:dyDescent="0.2">
      <c r="A261" s="200" t="str">
        <f>"0496002595809"</f>
        <v>0496002595809</v>
      </c>
      <c r="B261" s="200">
        <v>1</v>
      </c>
      <c r="C261" s="200" t="s">
        <v>570</v>
      </c>
      <c r="D261" s="200">
        <v>2003</v>
      </c>
      <c r="E261" s="200">
        <v>2003</v>
      </c>
      <c r="F261" s="200" t="s">
        <v>243</v>
      </c>
      <c r="G261" s="200">
        <v>2233</v>
      </c>
      <c r="H261" s="200" t="s">
        <v>270</v>
      </c>
      <c r="I261" s="200">
        <v>335</v>
      </c>
      <c r="J261" s="201">
        <v>42657</v>
      </c>
      <c r="K261" s="202">
        <v>0.46388888888888885</v>
      </c>
      <c r="L261" s="201">
        <v>42661</v>
      </c>
      <c r="M261" s="200" t="s">
        <v>271</v>
      </c>
      <c r="N261" s="200" t="s">
        <v>272</v>
      </c>
      <c r="O261" s="200" t="s">
        <v>273</v>
      </c>
      <c r="P261" s="200" t="s">
        <v>274</v>
      </c>
      <c r="Q261" s="200" t="s">
        <v>275</v>
      </c>
      <c r="R261" s="200" t="s">
        <v>276</v>
      </c>
      <c r="S261" s="200" t="s">
        <v>436</v>
      </c>
      <c r="T261" s="200" t="s">
        <v>570</v>
      </c>
      <c r="U261" s="200">
        <v>2233</v>
      </c>
      <c r="V261" s="200" t="s">
        <v>570</v>
      </c>
      <c r="W261" s="200" t="s">
        <v>280</v>
      </c>
      <c r="X261" s="200">
        <v>11.307</v>
      </c>
      <c r="Y261" s="203">
        <v>-0.23</v>
      </c>
      <c r="Z261" s="203">
        <v>2.25</v>
      </c>
      <c r="AA261" s="203">
        <v>25.43</v>
      </c>
      <c r="AB261" s="203">
        <v>-2.0699999999999998</v>
      </c>
      <c r="AC261" s="203">
        <v>0</v>
      </c>
      <c r="AD261" s="203">
        <v>0</v>
      </c>
      <c r="AE261" s="203">
        <v>23.13</v>
      </c>
      <c r="AF261" s="203">
        <v>-2.71</v>
      </c>
      <c r="AG261" s="200" t="s">
        <v>279</v>
      </c>
      <c r="AH261" s="203">
        <v>0</v>
      </c>
      <c r="AI261" s="200" t="s">
        <v>279</v>
      </c>
      <c r="AJ261" s="203">
        <v>0</v>
      </c>
      <c r="AK261" s="200" t="s">
        <v>279</v>
      </c>
      <c r="AL261" s="203">
        <v>0</v>
      </c>
      <c r="AM261" s="200" t="s">
        <v>279</v>
      </c>
      <c r="AN261" s="203">
        <v>0</v>
      </c>
      <c r="AO261" s="200" t="s">
        <v>279</v>
      </c>
      <c r="AP261" s="203">
        <v>0</v>
      </c>
      <c r="AQ261" s="203">
        <v>25.43</v>
      </c>
      <c r="AR261" s="203">
        <v>0</v>
      </c>
      <c r="AS261" s="200" t="str">
        <f t="shared" si="4"/>
        <v>1.00000000</v>
      </c>
      <c r="AT261" s="200" t="str">
        <f>"15.6"</f>
        <v>15.6</v>
      </c>
      <c r="AU261" s="203">
        <v>0</v>
      </c>
    </row>
    <row r="262" spans="1:47" x14ac:dyDescent="0.2">
      <c r="A262" s="200" t="str">
        <f>"0496002595734"</f>
        <v>0496002595734</v>
      </c>
      <c r="B262" s="200">
        <v>1</v>
      </c>
      <c r="C262" s="200" t="s">
        <v>435</v>
      </c>
      <c r="D262" s="200">
        <v>81</v>
      </c>
      <c r="E262" s="200">
        <v>81</v>
      </c>
      <c r="F262" s="200" t="s">
        <v>243</v>
      </c>
      <c r="G262" s="200">
        <v>2086</v>
      </c>
      <c r="H262" s="200" t="s">
        <v>270</v>
      </c>
      <c r="I262" s="200">
        <v>65479</v>
      </c>
      <c r="J262" s="201">
        <v>42658</v>
      </c>
      <c r="K262" s="202">
        <v>0.43611111111111112</v>
      </c>
      <c r="L262" s="201">
        <v>42661</v>
      </c>
      <c r="M262" s="200" t="s">
        <v>271</v>
      </c>
      <c r="N262" s="200" t="s">
        <v>272</v>
      </c>
      <c r="O262" s="200" t="s">
        <v>273</v>
      </c>
      <c r="P262" s="200" t="s">
        <v>274</v>
      </c>
      <c r="Q262" s="200" t="s">
        <v>275</v>
      </c>
      <c r="R262" s="200" t="s">
        <v>276</v>
      </c>
      <c r="S262" s="200" t="s">
        <v>436</v>
      </c>
      <c r="T262" s="200" t="s">
        <v>435</v>
      </c>
      <c r="U262" s="200">
        <v>2086</v>
      </c>
      <c r="V262" s="200" t="s">
        <v>435</v>
      </c>
      <c r="W262" s="200" t="s">
        <v>280</v>
      </c>
      <c r="X262" s="200">
        <v>11.727</v>
      </c>
      <c r="Y262" s="203">
        <v>-0.23</v>
      </c>
      <c r="Z262" s="203">
        <v>2.23</v>
      </c>
      <c r="AA262" s="203">
        <v>26.14</v>
      </c>
      <c r="AB262" s="203">
        <v>-2.15</v>
      </c>
      <c r="AC262" s="203">
        <v>0</v>
      </c>
      <c r="AD262" s="203">
        <v>0</v>
      </c>
      <c r="AE262" s="203">
        <v>23.76</v>
      </c>
      <c r="AF262" s="203">
        <v>-2.81</v>
      </c>
      <c r="AG262" s="200" t="s">
        <v>279</v>
      </c>
      <c r="AH262" s="203">
        <v>0</v>
      </c>
      <c r="AI262" s="200" t="s">
        <v>279</v>
      </c>
      <c r="AJ262" s="203">
        <v>0</v>
      </c>
      <c r="AK262" s="200" t="s">
        <v>279</v>
      </c>
      <c r="AL262" s="203">
        <v>0</v>
      </c>
      <c r="AM262" s="200" t="s">
        <v>279</v>
      </c>
      <c r="AN262" s="203">
        <v>0</v>
      </c>
      <c r="AO262" s="200" t="s">
        <v>279</v>
      </c>
      <c r="AP262" s="203">
        <v>0</v>
      </c>
      <c r="AQ262" s="203">
        <v>26.14</v>
      </c>
      <c r="AR262" s="203">
        <v>0</v>
      </c>
      <c r="AS262" s="200" t="str">
        <f t="shared" si="4"/>
        <v>1.00000000</v>
      </c>
      <c r="AT262" s="200" t="str">
        <f>"26.4"</f>
        <v>26.4</v>
      </c>
      <c r="AU262" s="203">
        <v>0</v>
      </c>
    </row>
    <row r="263" spans="1:47" x14ac:dyDescent="0.2">
      <c r="A263" s="200" t="str">
        <f>"0496002595734"</f>
        <v>0496002595734</v>
      </c>
      <c r="B263" s="200">
        <v>2</v>
      </c>
      <c r="C263" s="200" t="s">
        <v>435</v>
      </c>
      <c r="D263" s="200">
        <v>80</v>
      </c>
      <c r="E263" s="200">
        <v>80</v>
      </c>
      <c r="F263" s="200" t="s">
        <v>243</v>
      </c>
      <c r="G263" s="200">
        <v>2086</v>
      </c>
      <c r="H263" s="200" t="s">
        <v>270</v>
      </c>
      <c r="I263" s="200">
        <v>71357</v>
      </c>
      <c r="J263" s="201">
        <v>42658</v>
      </c>
      <c r="K263" s="202">
        <v>0.28680555555555554</v>
      </c>
      <c r="L263" s="201">
        <v>42661</v>
      </c>
      <c r="M263" s="200" t="s">
        <v>271</v>
      </c>
      <c r="N263" s="200" t="s">
        <v>272</v>
      </c>
      <c r="O263" s="200" t="s">
        <v>273</v>
      </c>
      <c r="P263" s="200" t="s">
        <v>274</v>
      </c>
      <c r="Q263" s="200" t="s">
        <v>275</v>
      </c>
      <c r="R263" s="200" t="s">
        <v>276</v>
      </c>
      <c r="S263" s="200" t="s">
        <v>436</v>
      </c>
      <c r="T263" s="200" t="s">
        <v>435</v>
      </c>
      <c r="U263" s="200">
        <v>2086</v>
      </c>
      <c r="V263" s="200" t="s">
        <v>435</v>
      </c>
      <c r="W263" s="200" t="s">
        <v>280</v>
      </c>
      <c r="X263" s="200">
        <v>6.202</v>
      </c>
      <c r="Y263" s="203">
        <v>-0.12</v>
      </c>
      <c r="Z263" s="203">
        <v>2.25</v>
      </c>
      <c r="AA263" s="203">
        <v>13.95</v>
      </c>
      <c r="AB263" s="203">
        <v>-1.1299999999999999</v>
      </c>
      <c r="AC263" s="203">
        <v>0</v>
      </c>
      <c r="AD263" s="203">
        <v>0</v>
      </c>
      <c r="AE263" s="203">
        <v>12.7</v>
      </c>
      <c r="AF263" s="203">
        <v>-1.49</v>
      </c>
      <c r="AG263" s="200" t="s">
        <v>279</v>
      </c>
      <c r="AH263" s="203">
        <v>0</v>
      </c>
      <c r="AI263" s="200" t="s">
        <v>279</v>
      </c>
      <c r="AJ263" s="203">
        <v>0</v>
      </c>
      <c r="AK263" s="200" t="s">
        <v>279</v>
      </c>
      <c r="AL263" s="203">
        <v>0</v>
      </c>
      <c r="AM263" s="200" t="s">
        <v>279</v>
      </c>
      <c r="AN263" s="203">
        <v>0</v>
      </c>
      <c r="AO263" s="200" t="s">
        <v>279</v>
      </c>
      <c r="AP263" s="203">
        <v>0</v>
      </c>
      <c r="AQ263" s="203">
        <v>13.95</v>
      </c>
      <c r="AR263" s="203">
        <v>0</v>
      </c>
      <c r="AS263" s="200" t="str">
        <f t="shared" si="4"/>
        <v>1.00000000</v>
      </c>
      <c r="AT263" s="200" t="str">
        <f>"35.2"</f>
        <v>35.2</v>
      </c>
      <c r="AU263" s="203">
        <v>0</v>
      </c>
    </row>
    <row r="264" spans="1:47" x14ac:dyDescent="0.2">
      <c r="A264" s="200" t="str">
        <f>"0496002599140"</f>
        <v>0496002599140</v>
      </c>
      <c r="B264" s="200">
        <v>1</v>
      </c>
      <c r="C264" s="200" t="s">
        <v>581</v>
      </c>
      <c r="D264" s="200" t="s">
        <v>582</v>
      </c>
      <c r="E264" s="200" t="s">
        <v>582</v>
      </c>
      <c r="F264" s="200" t="s">
        <v>243</v>
      </c>
      <c r="G264" s="200">
        <v>2323</v>
      </c>
      <c r="H264" s="200" t="s">
        <v>270</v>
      </c>
      <c r="I264" s="200">
        <v>99</v>
      </c>
      <c r="J264" s="201">
        <v>42658</v>
      </c>
      <c r="K264" s="202">
        <v>0.39305555555555555</v>
      </c>
      <c r="L264" s="201">
        <v>42661</v>
      </c>
      <c r="M264" s="200" t="s">
        <v>271</v>
      </c>
      <c r="N264" s="200" t="s">
        <v>272</v>
      </c>
      <c r="O264" s="200" t="s">
        <v>273</v>
      </c>
      <c r="P264" s="200" t="s">
        <v>274</v>
      </c>
      <c r="Q264" s="200" t="s">
        <v>275</v>
      </c>
      <c r="R264" s="200" t="s">
        <v>276</v>
      </c>
      <c r="S264" s="200" t="s">
        <v>436</v>
      </c>
      <c r="T264" s="200" t="s">
        <v>581</v>
      </c>
      <c r="U264" s="200">
        <v>2323</v>
      </c>
      <c r="V264" s="200" t="s">
        <v>581</v>
      </c>
      <c r="W264" s="200" t="s">
        <v>280</v>
      </c>
      <c r="X264" s="200">
        <v>17.370999999999999</v>
      </c>
      <c r="Y264" s="203">
        <v>-0.35</v>
      </c>
      <c r="Z264" s="203">
        <v>2.23</v>
      </c>
      <c r="AA264" s="203">
        <v>38.72</v>
      </c>
      <c r="AB264" s="203">
        <v>-3.18</v>
      </c>
      <c r="AC264" s="203">
        <v>0</v>
      </c>
      <c r="AD264" s="203">
        <v>0</v>
      </c>
      <c r="AE264" s="203">
        <v>35.19</v>
      </c>
      <c r="AF264" s="203">
        <v>-4.17</v>
      </c>
      <c r="AG264" s="200" t="s">
        <v>279</v>
      </c>
      <c r="AH264" s="203">
        <v>0</v>
      </c>
      <c r="AI264" s="200" t="s">
        <v>279</v>
      </c>
      <c r="AJ264" s="203">
        <v>0</v>
      </c>
      <c r="AK264" s="200" t="s">
        <v>279</v>
      </c>
      <c r="AL264" s="203">
        <v>0</v>
      </c>
      <c r="AM264" s="200" t="s">
        <v>279</v>
      </c>
      <c r="AN264" s="203">
        <v>0</v>
      </c>
      <c r="AO264" s="200" t="s">
        <v>279</v>
      </c>
      <c r="AP264" s="203">
        <v>0</v>
      </c>
      <c r="AQ264" s="203">
        <v>38.72</v>
      </c>
      <c r="AR264" s="203">
        <v>0</v>
      </c>
      <c r="AS264" s="200" t="str">
        <f t="shared" si="4"/>
        <v>1.00000000</v>
      </c>
      <c r="AT264" s="200" t="str">
        <f>"0.0"</f>
        <v>0.0</v>
      </c>
      <c r="AU264" s="203">
        <v>0</v>
      </c>
    </row>
    <row r="265" spans="1:47" x14ac:dyDescent="0.2">
      <c r="A265" s="200" t="str">
        <f>"0496002599140"</f>
        <v>0496002599140</v>
      </c>
      <c r="B265" s="200">
        <v>1</v>
      </c>
      <c r="C265" s="200" t="s">
        <v>581</v>
      </c>
      <c r="D265" s="200" t="s">
        <v>582</v>
      </c>
      <c r="E265" s="200" t="s">
        <v>582</v>
      </c>
      <c r="F265" s="200" t="s">
        <v>243</v>
      </c>
      <c r="G265" s="200">
        <v>2323</v>
      </c>
      <c r="H265" s="200" t="s">
        <v>270</v>
      </c>
      <c r="I265" s="200">
        <v>99</v>
      </c>
      <c r="J265" s="201">
        <v>42658</v>
      </c>
      <c r="K265" s="202">
        <v>0.39513888888888887</v>
      </c>
      <c r="L265" s="201">
        <v>42661</v>
      </c>
      <c r="M265" s="200" t="s">
        <v>271</v>
      </c>
      <c r="N265" s="200" t="s">
        <v>272</v>
      </c>
      <c r="O265" s="200" t="s">
        <v>273</v>
      </c>
      <c r="P265" s="200" t="s">
        <v>274</v>
      </c>
      <c r="Q265" s="200" t="s">
        <v>275</v>
      </c>
      <c r="R265" s="200" t="s">
        <v>276</v>
      </c>
      <c r="S265" s="200" t="s">
        <v>436</v>
      </c>
      <c r="T265" s="200" t="s">
        <v>581</v>
      </c>
      <c r="U265" s="200">
        <v>2323</v>
      </c>
      <c r="V265" s="200" t="s">
        <v>581</v>
      </c>
      <c r="W265" s="200" t="s">
        <v>280</v>
      </c>
      <c r="X265" s="200">
        <v>17.954000000000001</v>
      </c>
      <c r="Y265" s="203">
        <v>-0.36</v>
      </c>
      <c r="Z265" s="203">
        <v>2.23</v>
      </c>
      <c r="AA265" s="203">
        <v>40.020000000000003</v>
      </c>
      <c r="AB265" s="203">
        <v>-3.29</v>
      </c>
      <c r="AC265" s="203">
        <v>0</v>
      </c>
      <c r="AD265" s="203">
        <v>0</v>
      </c>
      <c r="AE265" s="203">
        <v>36.369999999999997</v>
      </c>
      <c r="AF265" s="203">
        <v>-4.3099999999999996</v>
      </c>
      <c r="AG265" s="200" t="s">
        <v>279</v>
      </c>
      <c r="AH265" s="203">
        <v>0</v>
      </c>
      <c r="AI265" s="200" t="s">
        <v>279</v>
      </c>
      <c r="AJ265" s="203">
        <v>0</v>
      </c>
      <c r="AK265" s="200" t="s">
        <v>279</v>
      </c>
      <c r="AL265" s="203">
        <v>0</v>
      </c>
      <c r="AM265" s="200" t="s">
        <v>279</v>
      </c>
      <c r="AN265" s="203">
        <v>0</v>
      </c>
      <c r="AO265" s="200" t="s">
        <v>279</v>
      </c>
      <c r="AP265" s="203">
        <v>0</v>
      </c>
      <c r="AQ265" s="203">
        <v>40.020000000000003</v>
      </c>
      <c r="AR265" s="203">
        <v>0</v>
      </c>
      <c r="AS265" s="200" t="str">
        <f t="shared" si="4"/>
        <v>1.00000000</v>
      </c>
      <c r="AT265" s="200" t="str">
        <f>"0.0"</f>
        <v>0.0</v>
      </c>
      <c r="AU265" s="203">
        <v>0</v>
      </c>
    </row>
    <row r="266" spans="1:47" x14ac:dyDescent="0.2">
      <c r="A266" s="200" t="str">
        <f>"0496002595700"</f>
        <v>0496002595700</v>
      </c>
      <c r="B266" s="200">
        <v>2</v>
      </c>
      <c r="C266" s="200" t="s">
        <v>156</v>
      </c>
      <c r="D266" s="200">
        <v>42</v>
      </c>
      <c r="E266" s="200">
        <v>42</v>
      </c>
      <c r="F266" s="200" t="s">
        <v>243</v>
      </c>
      <c r="G266" s="200">
        <v>2262</v>
      </c>
      <c r="H266" s="200" t="s">
        <v>270</v>
      </c>
      <c r="I266" s="200">
        <v>32431</v>
      </c>
      <c r="J266" s="201">
        <v>42659</v>
      </c>
      <c r="K266" s="202">
        <v>0.69259259259259265</v>
      </c>
      <c r="L266" s="201">
        <v>42661</v>
      </c>
      <c r="M266" s="200" t="s">
        <v>310</v>
      </c>
      <c r="N266" s="200" t="s">
        <v>772</v>
      </c>
      <c r="O266" s="200" t="s">
        <v>773</v>
      </c>
      <c r="P266" s="200" t="s">
        <v>774</v>
      </c>
      <c r="Q266" s="200" t="s">
        <v>377</v>
      </c>
      <c r="R266" s="200">
        <v>5742</v>
      </c>
      <c r="S266" s="200" t="s">
        <v>156</v>
      </c>
      <c r="T266" s="200" t="s">
        <v>277</v>
      </c>
      <c r="U266" s="200">
        <v>2262</v>
      </c>
      <c r="V266" s="200" t="s">
        <v>156</v>
      </c>
      <c r="W266" s="200" t="s">
        <v>280</v>
      </c>
      <c r="X266" s="200">
        <v>8.6989999999999998</v>
      </c>
      <c r="Y266" s="203">
        <v>0</v>
      </c>
      <c r="Z266" s="203">
        <v>2.2400000000000002</v>
      </c>
      <c r="AA266" s="203">
        <v>19.48</v>
      </c>
      <c r="AB266" s="203">
        <v>-1.59</v>
      </c>
      <c r="AC266" s="203">
        <v>0</v>
      </c>
      <c r="AD266" s="203">
        <v>0</v>
      </c>
      <c r="AE266" s="203">
        <v>17.89</v>
      </c>
      <c r="AF266" s="203">
        <v>-2.08</v>
      </c>
      <c r="AG266" s="200" t="s">
        <v>279</v>
      </c>
      <c r="AH266" s="203">
        <v>0</v>
      </c>
      <c r="AI266" s="200" t="s">
        <v>279</v>
      </c>
      <c r="AJ266" s="203">
        <v>0</v>
      </c>
      <c r="AK266" s="200" t="s">
        <v>279</v>
      </c>
      <c r="AL266" s="203">
        <v>0</v>
      </c>
      <c r="AM266" s="200" t="s">
        <v>279</v>
      </c>
      <c r="AN266" s="203">
        <v>0</v>
      </c>
      <c r="AO266" s="200" t="s">
        <v>279</v>
      </c>
      <c r="AP266" s="203">
        <v>0</v>
      </c>
      <c r="AQ266" s="203">
        <v>19.48</v>
      </c>
      <c r="AR266" s="203">
        <v>0</v>
      </c>
      <c r="AS266" s="200" t="str">
        <f t="shared" si="4"/>
        <v>1.00000000</v>
      </c>
      <c r="AT266" s="200" t="str">
        <f>"44.8"</f>
        <v>44.8</v>
      </c>
      <c r="AU266" s="203">
        <v>0</v>
      </c>
    </row>
    <row r="267" spans="1:47" x14ac:dyDescent="0.2">
      <c r="A267" s="200" t="str">
        <f>"0496002599140"</f>
        <v>0496002599140</v>
      </c>
      <c r="B267" s="200">
        <v>1</v>
      </c>
      <c r="C267" s="200" t="s">
        <v>581</v>
      </c>
      <c r="D267" s="200" t="s">
        <v>582</v>
      </c>
      <c r="E267" s="200" t="s">
        <v>582</v>
      </c>
      <c r="F267" s="200" t="s">
        <v>243</v>
      </c>
      <c r="G267" s="200">
        <v>2323</v>
      </c>
      <c r="H267" s="200" t="s">
        <v>270</v>
      </c>
      <c r="I267" s="200">
        <v>99</v>
      </c>
      <c r="J267" s="201">
        <v>42659</v>
      </c>
      <c r="K267" s="202">
        <v>0.75393518518518521</v>
      </c>
      <c r="L267" s="201">
        <v>42661</v>
      </c>
      <c r="M267" s="200" t="s">
        <v>396</v>
      </c>
      <c r="N267" s="200" t="s">
        <v>397</v>
      </c>
      <c r="O267" s="200" t="s">
        <v>398</v>
      </c>
      <c r="P267" s="200" t="s">
        <v>343</v>
      </c>
      <c r="Q267" s="200" t="s">
        <v>275</v>
      </c>
      <c r="R267" s="200">
        <v>1035</v>
      </c>
      <c r="S267" s="200" t="s">
        <v>436</v>
      </c>
      <c r="T267" s="200" t="s">
        <v>581</v>
      </c>
      <c r="U267" s="200">
        <v>2323</v>
      </c>
      <c r="V267" s="200" t="s">
        <v>581</v>
      </c>
      <c r="W267" s="200" t="s">
        <v>280</v>
      </c>
      <c r="X267" s="200">
        <v>33.594000000000001</v>
      </c>
      <c r="Y267" s="203">
        <v>0</v>
      </c>
      <c r="Z267" s="203">
        <v>2.1800000000000002</v>
      </c>
      <c r="AA267" s="203">
        <v>73.2</v>
      </c>
      <c r="AB267" s="203">
        <v>-6.15</v>
      </c>
      <c r="AC267" s="203">
        <v>0</v>
      </c>
      <c r="AD267" s="203">
        <v>0</v>
      </c>
      <c r="AE267" s="203">
        <v>67.05</v>
      </c>
      <c r="AF267" s="203">
        <v>-8.06</v>
      </c>
      <c r="AG267" s="200" t="s">
        <v>279</v>
      </c>
      <c r="AH267" s="203">
        <v>0</v>
      </c>
      <c r="AI267" s="200" t="s">
        <v>279</v>
      </c>
      <c r="AJ267" s="203">
        <v>0</v>
      </c>
      <c r="AK267" s="200" t="s">
        <v>279</v>
      </c>
      <c r="AL267" s="203">
        <v>0</v>
      </c>
      <c r="AM267" s="200" t="s">
        <v>279</v>
      </c>
      <c r="AN267" s="203">
        <v>0</v>
      </c>
      <c r="AO267" s="200" t="s">
        <v>279</v>
      </c>
      <c r="AP267" s="203">
        <v>0</v>
      </c>
      <c r="AQ267" s="203">
        <v>73.2</v>
      </c>
      <c r="AR267" s="203">
        <v>0</v>
      </c>
      <c r="AS267" s="200" t="str">
        <f t="shared" si="4"/>
        <v>1.00000000</v>
      </c>
      <c r="AT267" s="200" t="str">
        <f>"0.0"</f>
        <v>0.0</v>
      </c>
      <c r="AU267" s="203">
        <v>0</v>
      </c>
    </row>
    <row r="268" spans="1:47" x14ac:dyDescent="0.2">
      <c r="A268" s="200" t="str">
        <f>"0496002595700"</f>
        <v>0496002595700</v>
      </c>
      <c r="B268" s="200">
        <v>8</v>
      </c>
      <c r="C268" s="200" t="s">
        <v>156</v>
      </c>
      <c r="D268" s="200" t="s">
        <v>414</v>
      </c>
      <c r="E268" s="200">
        <v>47</v>
      </c>
      <c r="F268" s="200" t="s">
        <v>243</v>
      </c>
      <c r="G268" s="200">
        <v>2262</v>
      </c>
      <c r="H268" s="200" t="s">
        <v>270</v>
      </c>
      <c r="I268" s="200">
        <v>21986</v>
      </c>
      <c r="J268" s="201">
        <v>42660</v>
      </c>
      <c r="K268" s="202">
        <v>0.49305555555555558</v>
      </c>
      <c r="L268" s="201">
        <v>42662</v>
      </c>
      <c r="M268" s="200" t="s">
        <v>271</v>
      </c>
      <c r="N268" s="200" t="s">
        <v>272</v>
      </c>
      <c r="O268" s="200" t="s">
        <v>273</v>
      </c>
      <c r="P268" s="200" t="s">
        <v>274</v>
      </c>
      <c r="Q268" s="200" t="s">
        <v>275</v>
      </c>
      <c r="R268" s="200" t="s">
        <v>276</v>
      </c>
      <c r="S268" s="200" t="s">
        <v>156</v>
      </c>
      <c r="T268" s="200" t="s">
        <v>277</v>
      </c>
      <c r="U268" s="200">
        <v>2262</v>
      </c>
      <c r="V268" s="200" t="s">
        <v>156</v>
      </c>
      <c r="W268" s="200" t="s">
        <v>280</v>
      </c>
      <c r="X268" s="200">
        <v>18.47</v>
      </c>
      <c r="Y268" s="203">
        <v>-0.37</v>
      </c>
      <c r="Z268" s="203">
        <v>2.23</v>
      </c>
      <c r="AA268" s="203">
        <v>41.17</v>
      </c>
      <c r="AB268" s="203">
        <v>-3.38</v>
      </c>
      <c r="AC268" s="203">
        <v>0</v>
      </c>
      <c r="AD268" s="203">
        <v>0</v>
      </c>
      <c r="AE268" s="203">
        <v>37.42</v>
      </c>
      <c r="AF268" s="203">
        <v>-4.43</v>
      </c>
      <c r="AG268" s="200" t="s">
        <v>279</v>
      </c>
      <c r="AH268" s="203">
        <v>0</v>
      </c>
      <c r="AI268" s="200" t="s">
        <v>279</v>
      </c>
      <c r="AJ268" s="203">
        <v>0</v>
      </c>
      <c r="AK268" s="200" t="s">
        <v>279</v>
      </c>
      <c r="AL268" s="203">
        <v>0</v>
      </c>
      <c r="AM268" s="200" t="s">
        <v>279</v>
      </c>
      <c r="AN268" s="203">
        <v>0</v>
      </c>
      <c r="AO268" s="200" t="s">
        <v>279</v>
      </c>
      <c r="AP268" s="203">
        <v>0</v>
      </c>
      <c r="AQ268" s="203">
        <v>41.17</v>
      </c>
      <c r="AR268" s="203">
        <v>0</v>
      </c>
      <c r="AS268" s="200" t="str">
        <f t="shared" si="4"/>
        <v>1.00000000</v>
      </c>
      <c r="AT268" s="200" t="str">
        <f>"27.1"</f>
        <v>27.1</v>
      </c>
      <c r="AU268" s="203">
        <v>0</v>
      </c>
    </row>
    <row r="269" spans="1:47" x14ac:dyDescent="0.2">
      <c r="A269" s="200" t="str">
        <f>"0496002595734"</f>
        <v>0496002595734</v>
      </c>
      <c r="B269" s="200">
        <v>1</v>
      </c>
      <c r="C269" s="200" t="s">
        <v>435</v>
      </c>
      <c r="D269" s="200">
        <v>81</v>
      </c>
      <c r="E269" s="200">
        <v>81</v>
      </c>
      <c r="F269" s="200" t="s">
        <v>243</v>
      </c>
      <c r="G269" s="200">
        <v>2086</v>
      </c>
      <c r="H269" s="200" t="s">
        <v>270</v>
      </c>
      <c r="I269" s="200">
        <v>65682</v>
      </c>
      <c r="J269" s="201">
        <v>42660</v>
      </c>
      <c r="K269" s="202">
        <v>0.70763888888888893</v>
      </c>
      <c r="L269" s="201">
        <v>42662</v>
      </c>
      <c r="M269" s="200" t="s">
        <v>271</v>
      </c>
      <c r="N269" s="200" t="s">
        <v>272</v>
      </c>
      <c r="O269" s="200" t="s">
        <v>273</v>
      </c>
      <c r="P269" s="200" t="s">
        <v>274</v>
      </c>
      <c r="Q269" s="200" t="s">
        <v>275</v>
      </c>
      <c r="R269" s="200" t="s">
        <v>276</v>
      </c>
      <c r="S269" s="200" t="s">
        <v>436</v>
      </c>
      <c r="T269" s="200" t="s">
        <v>435</v>
      </c>
      <c r="U269" s="200">
        <v>2086</v>
      </c>
      <c r="V269" s="200" t="s">
        <v>435</v>
      </c>
      <c r="W269" s="200" t="s">
        <v>280</v>
      </c>
      <c r="X269" s="200">
        <v>11.180999999999999</v>
      </c>
      <c r="Y269" s="203">
        <v>-0.22</v>
      </c>
      <c r="Z269" s="203">
        <v>2.21</v>
      </c>
      <c r="AA269" s="203">
        <v>24.7</v>
      </c>
      <c r="AB269" s="203">
        <v>-2.0499999999999998</v>
      </c>
      <c r="AC269" s="203">
        <v>0</v>
      </c>
      <c r="AD269" s="203">
        <v>0</v>
      </c>
      <c r="AE269" s="203">
        <v>22.43</v>
      </c>
      <c r="AF269" s="203">
        <v>-2.68</v>
      </c>
      <c r="AG269" s="200" t="s">
        <v>279</v>
      </c>
      <c r="AH269" s="203">
        <v>0</v>
      </c>
      <c r="AI269" s="200" t="s">
        <v>279</v>
      </c>
      <c r="AJ269" s="203">
        <v>0</v>
      </c>
      <c r="AK269" s="200" t="s">
        <v>279</v>
      </c>
      <c r="AL269" s="203">
        <v>0</v>
      </c>
      <c r="AM269" s="200" t="s">
        <v>279</v>
      </c>
      <c r="AN269" s="203">
        <v>0</v>
      </c>
      <c r="AO269" s="200" t="s">
        <v>279</v>
      </c>
      <c r="AP269" s="203">
        <v>0</v>
      </c>
      <c r="AQ269" s="203">
        <v>24.7</v>
      </c>
      <c r="AR269" s="203">
        <v>0</v>
      </c>
      <c r="AS269" s="200" t="str">
        <f t="shared" si="4"/>
        <v>1.00000000</v>
      </c>
      <c r="AT269" s="200" t="str">
        <f>"12.1"</f>
        <v>12.1</v>
      </c>
      <c r="AU269" s="203">
        <v>0</v>
      </c>
    </row>
    <row r="270" spans="1:47" x14ac:dyDescent="0.2">
      <c r="A270" s="200" t="str">
        <f>"0496002599173"</f>
        <v>0496002599173</v>
      </c>
      <c r="B270" s="200">
        <v>1</v>
      </c>
      <c r="C270" s="200" t="s">
        <v>585</v>
      </c>
      <c r="D270" s="200" t="s">
        <v>586</v>
      </c>
      <c r="E270" s="200" t="s">
        <v>586</v>
      </c>
      <c r="F270" s="200" t="s">
        <v>243</v>
      </c>
      <c r="G270" s="200">
        <v>5314</v>
      </c>
      <c r="H270" s="200" t="s">
        <v>270</v>
      </c>
      <c r="I270" s="200">
        <v>61659</v>
      </c>
      <c r="J270" s="201">
        <v>42660</v>
      </c>
      <c r="K270" s="202">
        <v>0.64236111111111105</v>
      </c>
      <c r="L270" s="201">
        <v>42662</v>
      </c>
      <c r="M270" s="200" t="s">
        <v>606</v>
      </c>
      <c r="N270" s="200" t="s">
        <v>399</v>
      </c>
      <c r="O270" s="200" t="s">
        <v>400</v>
      </c>
      <c r="P270" s="200" t="s">
        <v>274</v>
      </c>
      <c r="Q270" s="200" t="s">
        <v>275</v>
      </c>
      <c r="R270" s="200" t="s">
        <v>401</v>
      </c>
      <c r="S270" s="200" t="s">
        <v>436</v>
      </c>
      <c r="T270" s="200" t="s">
        <v>587</v>
      </c>
      <c r="U270" s="200">
        <v>5314</v>
      </c>
      <c r="V270" s="200" t="s">
        <v>585</v>
      </c>
      <c r="W270" s="200" t="s">
        <v>280</v>
      </c>
      <c r="X270" s="200">
        <v>28.08</v>
      </c>
      <c r="Y270" s="203">
        <v>0</v>
      </c>
      <c r="Z270" s="203">
        <v>2.23</v>
      </c>
      <c r="AA270" s="203">
        <v>62.59</v>
      </c>
      <c r="AB270" s="203">
        <v>-5.14</v>
      </c>
      <c r="AC270" s="203">
        <v>0</v>
      </c>
      <c r="AD270" s="203">
        <v>0</v>
      </c>
      <c r="AE270" s="203">
        <v>57.45</v>
      </c>
      <c r="AF270" s="203">
        <v>-6.74</v>
      </c>
      <c r="AG270" s="200" t="s">
        <v>279</v>
      </c>
      <c r="AH270" s="203">
        <v>0</v>
      </c>
      <c r="AI270" s="200" t="s">
        <v>279</v>
      </c>
      <c r="AJ270" s="203">
        <v>0</v>
      </c>
      <c r="AK270" s="200" t="s">
        <v>279</v>
      </c>
      <c r="AL270" s="203">
        <v>0</v>
      </c>
      <c r="AM270" s="200" t="s">
        <v>279</v>
      </c>
      <c r="AN270" s="203">
        <v>0</v>
      </c>
      <c r="AO270" s="200" t="s">
        <v>279</v>
      </c>
      <c r="AP270" s="203">
        <v>0</v>
      </c>
      <c r="AQ270" s="203">
        <v>62.59</v>
      </c>
      <c r="AR270" s="203">
        <v>0</v>
      </c>
      <c r="AS270" s="200" t="str">
        <f t="shared" si="4"/>
        <v>1.00000000</v>
      </c>
      <c r="AT270" s="200" t="str">
        <f>"14.6"</f>
        <v>14.6</v>
      </c>
      <c r="AU270" s="203">
        <v>0</v>
      </c>
    </row>
    <row r="271" spans="1:47" x14ac:dyDescent="0.2">
      <c r="A271" s="200" t="str">
        <f>"0496002599173"</f>
        <v>0496002599173</v>
      </c>
      <c r="B271" s="200">
        <v>3</v>
      </c>
      <c r="C271" s="200" t="s">
        <v>585</v>
      </c>
      <c r="D271" s="200" t="s">
        <v>628</v>
      </c>
      <c r="E271" s="200" t="s">
        <v>628</v>
      </c>
      <c r="F271" s="200" t="s">
        <v>243</v>
      </c>
      <c r="G271" s="200">
        <v>5738</v>
      </c>
      <c r="H271" s="200" t="s">
        <v>270</v>
      </c>
      <c r="I271" s="200">
        <v>112961</v>
      </c>
      <c r="J271" s="201">
        <v>42660</v>
      </c>
      <c r="K271" s="202">
        <v>0.31944444444444448</v>
      </c>
      <c r="L271" s="201">
        <v>42662</v>
      </c>
      <c r="M271" s="200" t="s">
        <v>606</v>
      </c>
      <c r="N271" s="200" t="s">
        <v>399</v>
      </c>
      <c r="O271" s="200" t="s">
        <v>400</v>
      </c>
      <c r="P271" s="200" t="s">
        <v>274</v>
      </c>
      <c r="Q271" s="200" t="s">
        <v>275</v>
      </c>
      <c r="R271" s="200" t="s">
        <v>401</v>
      </c>
      <c r="S271" s="200" t="s">
        <v>436</v>
      </c>
      <c r="T271" s="200" t="s">
        <v>630</v>
      </c>
      <c r="U271" s="200">
        <v>5738</v>
      </c>
      <c r="V271" s="200" t="s">
        <v>585</v>
      </c>
      <c r="W271" s="200" t="s">
        <v>280</v>
      </c>
      <c r="X271" s="200">
        <v>27.114999999999998</v>
      </c>
      <c r="Y271" s="203">
        <v>0</v>
      </c>
      <c r="Z271" s="203">
        <v>2.23</v>
      </c>
      <c r="AA271" s="203">
        <v>60.44</v>
      </c>
      <c r="AB271" s="203">
        <v>-4.96</v>
      </c>
      <c r="AC271" s="203">
        <v>0</v>
      </c>
      <c r="AD271" s="203">
        <v>0</v>
      </c>
      <c r="AE271" s="203">
        <v>55.48</v>
      </c>
      <c r="AF271" s="203">
        <v>-6.51</v>
      </c>
      <c r="AG271" s="200" t="s">
        <v>279</v>
      </c>
      <c r="AH271" s="203">
        <v>0</v>
      </c>
      <c r="AI271" s="200" t="s">
        <v>279</v>
      </c>
      <c r="AJ271" s="203">
        <v>0</v>
      </c>
      <c r="AK271" s="200" t="s">
        <v>279</v>
      </c>
      <c r="AL271" s="203">
        <v>0</v>
      </c>
      <c r="AM271" s="200" t="s">
        <v>279</v>
      </c>
      <c r="AN271" s="203">
        <v>0</v>
      </c>
      <c r="AO271" s="200" t="s">
        <v>279</v>
      </c>
      <c r="AP271" s="203">
        <v>0</v>
      </c>
      <c r="AQ271" s="203">
        <v>60.44</v>
      </c>
      <c r="AR271" s="203">
        <v>0</v>
      </c>
      <c r="AS271" s="200" t="str">
        <f t="shared" si="4"/>
        <v>1.00000000</v>
      </c>
      <c r="AT271" s="200" t="str">
        <f>"13.6"</f>
        <v>13.6</v>
      </c>
      <c r="AU271" s="203">
        <v>0</v>
      </c>
    </row>
    <row r="272" spans="1:47" x14ac:dyDescent="0.2">
      <c r="A272" s="200" t="str">
        <f>"0496002595734"</f>
        <v>0496002595734</v>
      </c>
      <c r="B272" s="200">
        <v>3</v>
      </c>
      <c r="C272" s="200" t="s">
        <v>435</v>
      </c>
      <c r="D272" s="200">
        <v>82</v>
      </c>
      <c r="E272" s="200">
        <v>82</v>
      </c>
      <c r="F272" s="200" t="s">
        <v>243</v>
      </c>
      <c r="G272" s="200">
        <v>2086</v>
      </c>
      <c r="H272" s="200" t="s">
        <v>270</v>
      </c>
      <c r="I272" s="200">
        <v>52153</v>
      </c>
      <c r="J272" s="201">
        <v>42661</v>
      </c>
      <c r="K272" s="202">
        <v>0.44166666666666665</v>
      </c>
      <c r="L272" s="201">
        <v>42663</v>
      </c>
      <c r="M272" s="200" t="s">
        <v>271</v>
      </c>
      <c r="N272" s="200" t="s">
        <v>272</v>
      </c>
      <c r="O272" s="200" t="s">
        <v>273</v>
      </c>
      <c r="P272" s="200" t="s">
        <v>274</v>
      </c>
      <c r="Q272" s="200" t="s">
        <v>275</v>
      </c>
      <c r="R272" s="200" t="s">
        <v>276</v>
      </c>
      <c r="S272" s="200" t="s">
        <v>436</v>
      </c>
      <c r="T272" s="200" t="s">
        <v>435</v>
      </c>
      <c r="U272" s="200">
        <v>2086</v>
      </c>
      <c r="V272" s="200" t="s">
        <v>435</v>
      </c>
      <c r="W272" s="200" t="s">
        <v>280</v>
      </c>
      <c r="X272" s="200">
        <v>12.494</v>
      </c>
      <c r="Y272" s="203">
        <v>-0.25</v>
      </c>
      <c r="Z272" s="203">
        <v>2.21</v>
      </c>
      <c r="AA272" s="203">
        <v>27.6</v>
      </c>
      <c r="AB272" s="203">
        <v>-2.29</v>
      </c>
      <c r="AC272" s="203">
        <v>0</v>
      </c>
      <c r="AD272" s="203">
        <v>0</v>
      </c>
      <c r="AE272" s="203">
        <v>25.06</v>
      </c>
      <c r="AF272" s="203">
        <v>-3</v>
      </c>
      <c r="AG272" s="200" t="s">
        <v>279</v>
      </c>
      <c r="AH272" s="203">
        <v>0</v>
      </c>
      <c r="AI272" s="200" t="s">
        <v>279</v>
      </c>
      <c r="AJ272" s="203">
        <v>0</v>
      </c>
      <c r="AK272" s="200" t="s">
        <v>279</v>
      </c>
      <c r="AL272" s="203">
        <v>0</v>
      </c>
      <c r="AM272" s="200" t="s">
        <v>279</v>
      </c>
      <c r="AN272" s="203">
        <v>0</v>
      </c>
      <c r="AO272" s="200" t="s">
        <v>279</v>
      </c>
      <c r="AP272" s="203">
        <v>0</v>
      </c>
      <c r="AQ272" s="203">
        <v>27.6</v>
      </c>
      <c r="AR272" s="203">
        <v>0</v>
      </c>
      <c r="AS272" s="200" t="str">
        <f t="shared" si="4"/>
        <v>1.00000000</v>
      </c>
      <c r="AT272" s="200" t="str">
        <f>"19.0"</f>
        <v>19.0</v>
      </c>
      <c r="AU272" s="203">
        <v>0</v>
      </c>
    </row>
    <row r="273" spans="1:47" x14ac:dyDescent="0.2">
      <c r="A273" s="200" t="str">
        <f>"0496002595734"</f>
        <v>0496002595734</v>
      </c>
      <c r="B273" s="200">
        <v>2</v>
      </c>
      <c r="C273" s="200" t="s">
        <v>435</v>
      </c>
      <c r="D273" s="200">
        <v>80</v>
      </c>
      <c r="E273" s="200">
        <v>80</v>
      </c>
      <c r="F273" s="200" t="s">
        <v>243</v>
      </c>
      <c r="G273" s="200">
        <v>2086</v>
      </c>
      <c r="H273" s="200" t="s">
        <v>270</v>
      </c>
      <c r="I273" s="200">
        <v>27184</v>
      </c>
      <c r="J273" s="201">
        <v>42662</v>
      </c>
      <c r="K273" s="202">
        <v>0.76944444444444438</v>
      </c>
      <c r="L273" s="201">
        <v>42664</v>
      </c>
      <c r="M273" s="200" t="s">
        <v>775</v>
      </c>
      <c r="N273" s="200" t="s">
        <v>776</v>
      </c>
      <c r="O273" s="200" t="s">
        <v>777</v>
      </c>
      <c r="P273" s="200" t="s">
        <v>778</v>
      </c>
      <c r="Q273" s="200" t="s">
        <v>275</v>
      </c>
      <c r="R273" s="200">
        <v>1301</v>
      </c>
      <c r="S273" s="200" t="s">
        <v>436</v>
      </c>
      <c r="T273" s="200" t="s">
        <v>435</v>
      </c>
      <c r="U273" s="200">
        <v>2086</v>
      </c>
      <c r="V273" s="200" t="s">
        <v>435</v>
      </c>
      <c r="W273" s="200" t="s">
        <v>280</v>
      </c>
      <c r="X273" s="200">
        <v>13.766999999999999</v>
      </c>
      <c r="Y273" s="203">
        <v>0</v>
      </c>
      <c r="Z273" s="203">
        <v>2.1800000000000002</v>
      </c>
      <c r="AA273" s="203">
        <v>30</v>
      </c>
      <c r="AB273" s="203">
        <v>-2.52</v>
      </c>
      <c r="AC273" s="203">
        <v>0</v>
      </c>
      <c r="AD273" s="203">
        <v>0</v>
      </c>
      <c r="AE273" s="203">
        <v>27.48</v>
      </c>
      <c r="AF273" s="203">
        <v>-3.3</v>
      </c>
      <c r="AG273" s="200" t="s">
        <v>279</v>
      </c>
      <c r="AH273" s="203">
        <v>0</v>
      </c>
      <c r="AI273" s="200" t="s">
        <v>279</v>
      </c>
      <c r="AJ273" s="203">
        <v>0</v>
      </c>
      <c r="AK273" s="200" t="s">
        <v>279</v>
      </c>
      <c r="AL273" s="203">
        <v>0</v>
      </c>
      <c r="AM273" s="200" t="s">
        <v>279</v>
      </c>
      <c r="AN273" s="203">
        <v>0</v>
      </c>
      <c r="AO273" s="200" t="s">
        <v>279</v>
      </c>
      <c r="AP273" s="203">
        <v>0</v>
      </c>
      <c r="AQ273" s="203">
        <v>30</v>
      </c>
      <c r="AR273" s="203">
        <v>0</v>
      </c>
      <c r="AS273" s="200" t="str">
        <f t="shared" si="4"/>
        <v>1.00000000</v>
      </c>
      <c r="AT273" s="200" t="str">
        <f>"37.5"</f>
        <v>37.5</v>
      </c>
      <c r="AU273" s="203">
        <v>0</v>
      </c>
    </row>
    <row r="274" spans="1:47" x14ac:dyDescent="0.2">
      <c r="A274" s="200" t="str">
        <f>"0496002595734"</f>
        <v>0496002595734</v>
      </c>
      <c r="B274" s="200">
        <v>2</v>
      </c>
      <c r="C274" s="200" t="s">
        <v>435</v>
      </c>
      <c r="D274" s="200">
        <v>80</v>
      </c>
      <c r="E274" s="200">
        <v>80</v>
      </c>
      <c r="F274" s="200" t="s">
        <v>243</v>
      </c>
      <c r="G274" s="200">
        <v>2086</v>
      </c>
      <c r="H274" s="200" t="s">
        <v>270</v>
      </c>
      <c r="I274" s="200">
        <v>27184</v>
      </c>
      <c r="J274" s="201">
        <v>42662</v>
      </c>
      <c r="K274" s="202">
        <v>0.77361111111111114</v>
      </c>
      <c r="L274" s="201">
        <v>42664</v>
      </c>
      <c r="M274" s="200" t="s">
        <v>775</v>
      </c>
      <c r="N274" s="200" t="s">
        <v>776</v>
      </c>
      <c r="O274" s="200" t="s">
        <v>777</v>
      </c>
      <c r="P274" s="200" t="s">
        <v>778</v>
      </c>
      <c r="Q274" s="200" t="s">
        <v>275</v>
      </c>
      <c r="R274" s="200">
        <v>1301</v>
      </c>
      <c r="S274" s="200" t="s">
        <v>436</v>
      </c>
      <c r="T274" s="200" t="s">
        <v>435</v>
      </c>
      <c r="U274" s="200">
        <v>2086</v>
      </c>
      <c r="V274" s="200" t="s">
        <v>435</v>
      </c>
      <c r="W274" s="200" t="s">
        <v>280</v>
      </c>
      <c r="X274" s="200">
        <v>-1.528</v>
      </c>
      <c r="Y274" s="203">
        <v>0</v>
      </c>
      <c r="Z274" s="203">
        <v>-2.1800000000000002</v>
      </c>
      <c r="AA274" s="203">
        <v>-3.33</v>
      </c>
      <c r="AB274" s="203">
        <v>0</v>
      </c>
      <c r="AC274" s="203">
        <v>0</v>
      </c>
      <c r="AD274" s="203">
        <v>0</v>
      </c>
      <c r="AE274" s="203">
        <v>-3.33</v>
      </c>
      <c r="AF274" s="203">
        <v>0</v>
      </c>
      <c r="AG274" s="200" t="s">
        <v>279</v>
      </c>
      <c r="AH274" s="203">
        <v>0</v>
      </c>
      <c r="AI274" s="200" t="s">
        <v>279</v>
      </c>
      <c r="AJ274" s="203">
        <v>0</v>
      </c>
      <c r="AK274" s="200" t="s">
        <v>279</v>
      </c>
      <c r="AL274" s="203">
        <v>0</v>
      </c>
      <c r="AM274" s="200" t="s">
        <v>279</v>
      </c>
      <c r="AN274" s="203">
        <v>0</v>
      </c>
      <c r="AO274" s="200" t="s">
        <v>279</v>
      </c>
      <c r="AP274" s="203">
        <v>0</v>
      </c>
      <c r="AQ274" s="203">
        <v>-3.33</v>
      </c>
      <c r="AR274" s="203">
        <v>0</v>
      </c>
      <c r="AS274" s="200" t="str">
        <f t="shared" si="4"/>
        <v>1.00000000</v>
      </c>
      <c r="AT274" s="200" t="str">
        <f>"0.0"</f>
        <v>0.0</v>
      </c>
      <c r="AU274" s="203">
        <v>0</v>
      </c>
    </row>
    <row r="275" spans="1:47" x14ac:dyDescent="0.2">
      <c r="A275" s="200" t="str">
        <f>"0496002599140"</f>
        <v>0496002599140</v>
      </c>
      <c r="B275" s="200">
        <v>1</v>
      </c>
      <c r="C275" s="200" t="s">
        <v>581</v>
      </c>
      <c r="D275" s="200" t="s">
        <v>582</v>
      </c>
      <c r="E275" s="200" t="s">
        <v>582</v>
      </c>
      <c r="F275" s="200" t="s">
        <v>243</v>
      </c>
      <c r="G275" s="200">
        <v>2323</v>
      </c>
      <c r="H275" s="200" t="s">
        <v>270</v>
      </c>
      <c r="I275" s="200">
        <v>999</v>
      </c>
      <c r="J275" s="201">
        <v>42662</v>
      </c>
      <c r="K275" s="202">
        <v>0.79861111111111116</v>
      </c>
      <c r="L275" s="201">
        <v>42664</v>
      </c>
      <c r="M275" s="200" t="s">
        <v>271</v>
      </c>
      <c r="N275" s="200" t="s">
        <v>352</v>
      </c>
      <c r="O275" s="200" t="s">
        <v>353</v>
      </c>
      <c r="P275" s="200" t="s">
        <v>343</v>
      </c>
      <c r="Q275" s="200" t="s">
        <v>275</v>
      </c>
      <c r="R275" s="200">
        <v>1035</v>
      </c>
      <c r="S275" s="200" t="s">
        <v>436</v>
      </c>
      <c r="T275" s="200" t="s">
        <v>581</v>
      </c>
      <c r="U275" s="200">
        <v>2323</v>
      </c>
      <c r="V275" s="200" t="s">
        <v>581</v>
      </c>
      <c r="W275" s="200" t="s">
        <v>280</v>
      </c>
      <c r="X275" s="200">
        <v>15.253</v>
      </c>
      <c r="Y275" s="203">
        <v>-0.31</v>
      </c>
      <c r="Z275" s="203">
        <v>2.15</v>
      </c>
      <c r="AA275" s="203">
        <v>32.78</v>
      </c>
      <c r="AB275" s="203">
        <v>-2.79</v>
      </c>
      <c r="AC275" s="203">
        <v>0</v>
      </c>
      <c r="AD275" s="203">
        <v>0</v>
      </c>
      <c r="AE275" s="203">
        <v>29.68</v>
      </c>
      <c r="AF275" s="203">
        <v>-3.66</v>
      </c>
      <c r="AG275" s="200" t="s">
        <v>279</v>
      </c>
      <c r="AH275" s="203">
        <v>0</v>
      </c>
      <c r="AI275" s="200" t="s">
        <v>279</v>
      </c>
      <c r="AJ275" s="203">
        <v>0</v>
      </c>
      <c r="AK275" s="200" t="s">
        <v>279</v>
      </c>
      <c r="AL275" s="203">
        <v>0</v>
      </c>
      <c r="AM275" s="200" t="s">
        <v>279</v>
      </c>
      <c r="AN275" s="203">
        <v>0</v>
      </c>
      <c r="AO275" s="200" t="s">
        <v>279</v>
      </c>
      <c r="AP275" s="203">
        <v>0</v>
      </c>
      <c r="AQ275" s="203">
        <v>32.78</v>
      </c>
      <c r="AR275" s="203">
        <v>0</v>
      </c>
      <c r="AS275" s="200" t="str">
        <f t="shared" si="4"/>
        <v>1.00000000</v>
      </c>
      <c r="AT275" s="200" t="str">
        <f>"59.0"</f>
        <v>59.0</v>
      </c>
      <c r="AU275" s="203">
        <v>0</v>
      </c>
    </row>
    <row r="276" spans="1:47" x14ac:dyDescent="0.2">
      <c r="A276" s="200" t="str">
        <f>"0496002599140"</f>
        <v>0496002599140</v>
      </c>
      <c r="B276" s="200">
        <v>1</v>
      </c>
      <c r="C276" s="200" t="s">
        <v>581</v>
      </c>
      <c r="D276" s="200" t="s">
        <v>582</v>
      </c>
      <c r="E276" s="200" t="s">
        <v>582</v>
      </c>
      <c r="F276" s="200" t="s">
        <v>243</v>
      </c>
      <c r="G276" s="200">
        <v>2323</v>
      </c>
      <c r="H276" s="200" t="s">
        <v>270</v>
      </c>
      <c r="I276" s="200">
        <v>999</v>
      </c>
      <c r="J276" s="201">
        <v>42662</v>
      </c>
      <c r="K276" s="202">
        <v>0.7993055555555556</v>
      </c>
      <c r="L276" s="201">
        <v>42664</v>
      </c>
      <c r="M276" s="200" t="s">
        <v>271</v>
      </c>
      <c r="N276" s="200" t="s">
        <v>352</v>
      </c>
      <c r="O276" s="200" t="s">
        <v>353</v>
      </c>
      <c r="P276" s="200" t="s">
        <v>343</v>
      </c>
      <c r="Q276" s="200" t="s">
        <v>275</v>
      </c>
      <c r="R276" s="200">
        <v>1035</v>
      </c>
      <c r="S276" s="200" t="s">
        <v>436</v>
      </c>
      <c r="T276" s="200" t="s">
        <v>581</v>
      </c>
      <c r="U276" s="200">
        <v>2323</v>
      </c>
      <c r="V276" s="200" t="s">
        <v>581</v>
      </c>
      <c r="W276" s="200" t="s">
        <v>280</v>
      </c>
      <c r="X276" s="200">
        <v>21.875</v>
      </c>
      <c r="Y276" s="203">
        <v>-0.44</v>
      </c>
      <c r="Z276" s="203">
        <v>2.15</v>
      </c>
      <c r="AA276" s="203">
        <v>47.01</v>
      </c>
      <c r="AB276" s="203">
        <v>-4</v>
      </c>
      <c r="AC276" s="203">
        <v>0</v>
      </c>
      <c r="AD276" s="203">
        <v>0</v>
      </c>
      <c r="AE276" s="203">
        <v>42.57</v>
      </c>
      <c r="AF276" s="203">
        <v>-5.25</v>
      </c>
      <c r="AG276" s="200" t="s">
        <v>279</v>
      </c>
      <c r="AH276" s="203">
        <v>0</v>
      </c>
      <c r="AI276" s="200" t="s">
        <v>279</v>
      </c>
      <c r="AJ276" s="203">
        <v>0</v>
      </c>
      <c r="AK276" s="200" t="s">
        <v>279</v>
      </c>
      <c r="AL276" s="203">
        <v>0</v>
      </c>
      <c r="AM276" s="200" t="s">
        <v>279</v>
      </c>
      <c r="AN276" s="203">
        <v>0</v>
      </c>
      <c r="AO276" s="200" t="s">
        <v>279</v>
      </c>
      <c r="AP276" s="203">
        <v>0</v>
      </c>
      <c r="AQ276" s="203">
        <v>47.01</v>
      </c>
      <c r="AR276" s="203">
        <v>0</v>
      </c>
      <c r="AS276" s="200" t="str">
        <f t="shared" si="4"/>
        <v>1.00000000</v>
      </c>
      <c r="AT276" s="200" t="str">
        <f>"0.0"</f>
        <v>0.0</v>
      </c>
      <c r="AU276" s="203">
        <v>0</v>
      </c>
    </row>
    <row r="277" spans="1:47" x14ac:dyDescent="0.2">
      <c r="A277" s="200" t="str">
        <f>"0496002599140"</f>
        <v>0496002599140</v>
      </c>
      <c r="B277" s="200">
        <v>1</v>
      </c>
      <c r="C277" s="200" t="s">
        <v>581</v>
      </c>
      <c r="D277" s="200" t="s">
        <v>582</v>
      </c>
      <c r="E277" s="200" t="s">
        <v>582</v>
      </c>
      <c r="F277" s="200" t="s">
        <v>243</v>
      </c>
      <c r="G277" s="200">
        <v>2323</v>
      </c>
      <c r="H277" s="200" t="s">
        <v>270</v>
      </c>
      <c r="I277" s="200">
        <v>999</v>
      </c>
      <c r="J277" s="201">
        <v>42662</v>
      </c>
      <c r="K277" s="202">
        <v>0.80347222222222225</v>
      </c>
      <c r="L277" s="201">
        <v>42664</v>
      </c>
      <c r="M277" s="200" t="s">
        <v>271</v>
      </c>
      <c r="N277" s="200" t="s">
        <v>352</v>
      </c>
      <c r="O277" s="200" t="s">
        <v>353</v>
      </c>
      <c r="P277" s="200" t="s">
        <v>343</v>
      </c>
      <c r="Q277" s="200" t="s">
        <v>275</v>
      </c>
      <c r="R277" s="200">
        <v>1035</v>
      </c>
      <c r="S277" s="200" t="s">
        <v>436</v>
      </c>
      <c r="T277" s="200" t="s">
        <v>581</v>
      </c>
      <c r="U277" s="200">
        <v>2323</v>
      </c>
      <c r="V277" s="200" t="s">
        <v>581</v>
      </c>
      <c r="W277" s="200" t="s">
        <v>280</v>
      </c>
      <c r="X277" s="200">
        <v>25.164999999999999</v>
      </c>
      <c r="Y277" s="203">
        <v>-0.5</v>
      </c>
      <c r="Z277" s="203">
        <v>2.15</v>
      </c>
      <c r="AA277" s="203">
        <v>54.08</v>
      </c>
      <c r="AB277" s="203">
        <v>-4.6100000000000003</v>
      </c>
      <c r="AC277" s="203">
        <v>0</v>
      </c>
      <c r="AD277" s="203">
        <v>0</v>
      </c>
      <c r="AE277" s="203">
        <v>48.97</v>
      </c>
      <c r="AF277" s="203">
        <v>-6.04</v>
      </c>
      <c r="AG277" s="200" t="s">
        <v>279</v>
      </c>
      <c r="AH277" s="203">
        <v>0</v>
      </c>
      <c r="AI277" s="200" t="s">
        <v>279</v>
      </c>
      <c r="AJ277" s="203">
        <v>0</v>
      </c>
      <c r="AK277" s="200" t="s">
        <v>279</v>
      </c>
      <c r="AL277" s="203">
        <v>0</v>
      </c>
      <c r="AM277" s="200" t="s">
        <v>279</v>
      </c>
      <c r="AN277" s="203">
        <v>0</v>
      </c>
      <c r="AO277" s="200" t="s">
        <v>279</v>
      </c>
      <c r="AP277" s="203">
        <v>0</v>
      </c>
      <c r="AQ277" s="203">
        <v>54.08</v>
      </c>
      <c r="AR277" s="203">
        <v>0</v>
      </c>
      <c r="AS277" s="200" t="str">
        <f t="shared" si="4"/>
        <v>1.00000000</v>
      </c>
      <c r="AT277" s="200" t="str">
        <f>"0.0"</f>
        <v>0.0</v>
      </c>
      <c r="AU277" s="203">
        <v>0</v>
      </c>
    </row>
    <row r="278" spans="1:47" x14ac:dyDescent="0.2">
      <c r="A278" s="200" t="str">
        <f>"0496002599140"</f>
        <v>0496002599140</v>
      </c>
      <c r="B278" s="200">
        <v>1</v>
      </c>
      <c r="C278" s="200" t="s">
        <v>581</v>
      </c>
      <c r="D278" s="200" t="s">
        <v>582</v>
      </c>
      <c r="E278" s="200" t="s">
        <v>582</v>
      </c>
      <c r="F278" s="200" t="s">
        <v>243</v>
      </c>
      <c r="G278" s="200">
        <v>2323</v>
      </c>
      <c r="H278" s="200" t="s">
        <v>270</v>
      </c>
      <c r="I278" s="200">
        <v>999</v>
      </c>
      <c r="J278" s="201">
        <v>42662</v>
      </c>
      <c r="K278" s="202">
        <v>0.80347222222222225</v>
      </c>
      <c r="L278" s="201">
        <v>42664</v>
      </c>
      <c r="M278" s="200" t="s">
        <v>271</v>
      </c>
      <c r="N278" s="200" t="s">
        <v>352</v>
      </c>
      <c r="O278" s="200" t="s">
        <v>353</v>
      </c>
      <c r="P278" s="200" t="s">
        <v>343</v>
      </c>
      <c r="Q278" s="200" t="s">
        <v>275</v>
      </c>
      <c r="R278" s="200">
        <v>1035</v>
      </c>
      <c r="S278" s="200" t="s">
        <v>436</v>
      </c>
      <c r="T278" s="200" t="s">
        <v>581</v>
      </c>
      <c r="U278" s="200">
        <v>2323</v>
      </c>
      <c r="V278" s="200" t="s">
        <v>581</v>
      </c>
      <c r="W278" s="200" t="s">
        <v>280</v>
      </c>
      <c r="X278" s="200">
        <v>16.486000000000001</v>
      </c>
      <c r="Y278" s="203">
        <v>-0.33</v>
      </c>
      <c r="Z278" s="203">
        <v>2.15</v>
      </c>
      <c r="AA278" s="203">
        <v>35.43</v>
      </c>
      <c r="AB278" s="203">
        <v>-3.02</v>
      </c>
      <c r="AC278" s="203">
        <v>0</v>
      </c>
      <c r="AD278" s="203">
        <v>0</v>
      </c>
      <c r="AE278" s="203">
        <v>32.08</v>
      </c>
      <c r="AF278" s="203">
        <v>-3.96</v>
      </c>
      <c r="AG278" s="200" t="s">
        <v>279</v>
      </c>
      <c r="AH278" s="203">
        <v>0</v>
      </c>
      <c r="AI278" s="200" t="s">
        <v>279</v>
      </c>
      <c r="AJ278" s="203">
        <v>0</v>
      </c>
      <c r="AK278" s="200" t="s">
        <v>279</v>
      </c>
      <c r="AL278" s="203">
        <v>0</v>
      </c>
      <c r="AM278" s="200" t="s">
        <v>279</v>
      </c>
      <c r="AN278" s="203">
        <v>0</v>
      </c>
      <c r="AO278" s="200" t="s">
        <v>279</v>
      </c>
      <c r="AP278" s="203">
        <v>0</v>
      </c>
      <c r="AQ278" s="203">
        <v>35.43</v>
      </c>
      <c r="AR278" s="203">
        <v>0</v>
      </c>
      <c r="AS278" s="200" t="str">
        <f t="shared" si="4"/>
        <v>1.00000000</v>
      </c>
      <c r="AT278" s="200" t="str">
        <f>"0.0"</f>
        <v>0.0</v>
      </c>
      <c r="AU278" s="203">
        <v>0</v>
      </c>
    </row>
    <row r="279" spans="1:47" x14ac:dyDescent="0.2">
      <c r="A279" s="200" t="str">
        <f>"0496002599140"</f>
        <v>0496002599140</v>
      </c>
      <c r="B279" s="200">
        <v>1</v>
      </c>
      <c r="C279" s="200" t="s">
        <v>581</v>
      </c>
      <c r="D279" s="200" t="s">
        <v>582</v>
      </c>
      <c r="E279" s="200" t="s">
        <v>582</v>
      </c>
      <c r="F279" s="200" t="s">
        <v>243</v>
      </c>
      <c r="G279" s="200">
        <v>2323</v>
      </c>
      <c r="H279" s="200" t="s">
        <v>270</v>
      </c>
      <c r="I279" s="200">
        <v>999</v>
      </c>
      <c r="J279" s="201">
        <v>42662</v>
      </c>
      <c r="K279" s="202">
        <v>0.80555555555555547</v>
      </c>
      <c r="L279" s="201">
        <v>42664</v>
      </c>
      <c r="M279" s="200" t="s">
        <v>271</v>
      </c>
      <c r="N279" s="200" t="s">
        <v>352</v>
      </c>
      <c r="O279" s="200" t="s">
        <v>353</v>
      </c>
      <c r="P279" s="200" t="s">
        <v>343</v>
      </c>
      <c r="Q279" s="200" t="s">
        <v>275</v>
      </c>
      <c r="R279" s="200">
        <v>1035</v>
      </c>
      <c r="S279" s="200" t="s">
        <v>436</v>
      </c>
      <c r="T279" s="200" t="s">
        <v>581</v>
      </c>
      <c r="U279" s="200">
        <v>2323</v>
      </c>
      <c r="V279" s="200" t="s">
        <v>581</v>
      </c>
      <c r="W279" s="200" t="s">
        <v>280</v>
      </c>
      <c r="X279" s="200">
        <v>3.258</v>
      </c>
      <c r="Y279" s="203">
        <v>-7.0000000000000007E-2</v>
      </c>
      <c r="Z279" s="203">
        <v>2.15</v>
      </c>
      <c r="AA279" s="203">
        <v>7</v>
      </c>
      <c r="AB279" s="203">
        <v>-0.6</v>
      </c>
      <c r="AC279" s="203">
        <v>0</v>
      </c>
      <c r="AD279" s="203">
        <v>0</v>
      </c>
      <c r="AE279" s="203">
        <v>6.33</v>
      </c>
      <c r="AF279" s="203">
        <v>-0.78</v>
      </c>
      <c r="AG279" s="200" t="s">
        <v>279</v>
      </c>
      <c r="AH279" s="203">
        <v>0</v>
      </c>
      <c r="AI279" s="200" t="s">
        <v>279</v>
      </c>
      <c r="AJ279" s="203">
        <v>0</v>
      </c>
      <c r="AK279" s="200" t="s">
        <v>279</v>
      </c>
      <c r="AL279" s="203">
        <v>0</v>
      </c>
      <c r="AM279" s="200" t="s">
        <v>279</v>
      </c>
      <c r="AN279" s="203">
        <v>0</v>
      </c>
      <c r="AO279" s="200" t="s">
        <v>279</v>
      </c>
      <c r="AP279" s="203">
        <v>0</v>
      </c>
      <c r="AQ279" s="203">
        <v>7</v>
      </c>
      <c r="AR279" s="203">
        <v>0</v>
      </c>
      <c r="AS279" s="200" t="str">
        <f t="shared" si="4"/>
        <v>1.00000000</v>
      </c>
      <c r="AT279" s="200" t="str">
        <f>"0.0"</f>
        <v>0.0</v>
      </c>
      <c r="AU279" s="203">
        <v>0</v>
      </c>
    </row>
    <row r="280" spans="1:47" x14ac:dyDescent="0.2">
      <c r="A280" s="200" t="str">
        <f>"0496002595700"</f>
        <v>0496002595700</v>
      </c>
      <c r="B280" s="200">
        <v>7</v>
      </c>
      <c r="C280" s="200" t="s">
        <v>156</v>
      </c>
      <c r="D280" s="200" t="s">
        <v>371</v>
      </c>
      <c r="E280" s="200">
        <v>45</v>
      </c>
      <c r="F280" s="200" t="s">
        <v>243</v>
      </c>
      <c r="G280" s="200">
        <v>2262</v>
      </c>
      <c r="H280" s="200" t="s">
        <v>270</v>
      </c>
      <c r="I280" s="200">
        <v>18240</v>
      </c>
      <c r="J280" s="201">
        <v>42663</v>
      </c>
      <c r="K280" s="202">
        <v>0.91319444444444453</v>
      </c>
      <c r="L280" s="201">
        <v>42667</v>
      </c>
      <c r="M280" s="200" t="s">
        <v>271</v>
      </c>
      <c r="N280" s="200" t="s">
        <v>272</v>
      </c>
      <c r="O280" s="200" t="s">
        <v>273</v>
      </c>
      <c r="P280" s="200" t="s">
        <v>274</v>
      </c>
      <c r="Q280" s="200" t="s">
        <v>275</v>
      </c>
      <c r="R280" s="200" t="s">
        <v>276</v>
      </c>
      <c r="S280" s="200" t="s">
        <v>156</v>
      </c>
      <c r="T280" s="200" t="s">
        <v>277</v>
      </c>
      <c r="U280" s="200">
        <v>2262</v>
      </c>
      <c r="V280" s="200" t="s">
        <v>156</v>
      </c>
      <c r="W280" s="200" t="s">
        <v>280</v>
      </c>
      <c r="X280" s="200">
        <v>16.527000000000001</v>
      </c>
      <c r="Y280" s="203">
        <v>-0.33</v>
      </c>
      <c r="Z280" s="203">
        <v>2.21</v>
      </c>
      <c r="AA280" s="203">
        <v>36.51</v>
      </c>
      <c r="AB280" s="203">
        <v>-3.02</v>
      </c>
      <c r="AC280" s="203">
        <v>0</v>
      </c>
      <c r="AD280" s="203">
        <v>0</v>
      </c>
      <c r="AE280" s="203">
        <v>33.159999999999997</v>
      </c>
      <c r="AF280" s="203">
        <v>-3.97</v>
      </c>
      <c r="AG280" s="200" t="s">
        <v>279</v>
      </c>
      <c r="AH280" s="203">
        <v>0</v>
      </c>
      <c r="AI280" s="200" t="s">
        <v>279</v>
      </c>
      <c r="AJ280" s="203">
        <v>0</v>
      </c>
      <c r="AK280" s="200" t="s">
        <v>279</v>
      </c>
      <c r="AL280" s="203">
        <v>0</v>
      </c>
      <c r="AM280" s="200" t="s">
        <v>279</v>
      </c>
      <c r="AN280" s="203">
        <v>0</v>
      </c>
      <c r="AO280" s="200" t="s">
        <v>279</v>
      </c>
      <c r="AP280" s="203">
        <v>0</v>
      </c>
      <c r="AQ280" s="203">
        <v>36.51</v>
      </c>
      <c r="AR280" s="203">
        <v>0</v>
      </c>
      <c r="AS280" s="200" t="str">
        <f t="shared" si="4"/>
        <v>1.00000000</v>
      </c>
      <c r="AT280" s="200" t="str">
        <f>"32.9"</f>
        <v>32.9</v>
      </c>
      <c r="AU280" s="203">
        <v>0</v>
      </c>
    </row>
    <row r="281" spans="1:47" x14ac:dyDescent="0.2">
      <c r="A281" s="200" t="str">
        <f>"0496002595809"</f>
        <v>0496002595809</v>
      </c>
      <c r="B281" s="200">
        <v>1</v>
      </c>
      <c r="C281" s="200" t="s">
        <v>570</v>
      </c>
      <c r="D281" s="200">
        <v>2003</v>
      </c>
      <c r="E281" s="200">
        <v>2003</v>
      </c>
      <c r="F281" s="200" t="s">
        <v>243</v>
      </c>
      <c r="G281" s="200">
        <v>2233</v>
      </c>
      <c r="H281" s="200" t="s">
        <v>270</v>
      </c>
      <c r="I281" s="200">
        <v>465</v>
      </c>
      <c r="J281" s="201">
        <v>42663</v>
      </c>
      <c r="K281" s="202">
        <v>0.3354166666666667</v>
      </c>
      <c r="L281" s="201">
        <v>42667</v>
      </c>
      <c r="M281" s="200" t="s">
        <v>271</v>
      </c>
      <c r="N281" s="200" t="s">
        <v>272</v>
      </c>
      <c r="O281" s="200" t="s">
        <v>273</v>
      </c>
      <c r="P281" s="200" t="s">
        <v>274</v>
      </c>
      <c r="Q281" s="200" t="s">
        <v>275</v>
      </c>
      <c r="R281" s="200" t="s">
        <v>276</v>
      </c>
      <c r="S281" s="200" t="s">
        <v>436</v>
      </c>
      <c r="T281" s="200" t="s">
        <v>570</v>
      </c>
      <c r="U281" s="200">
        <v>2233</v>
      </c>
      <c r="V281" s="200" t="s">
        <v>570</v>
      </c>
      <c r="W281" s="200" t="s">
        <v>280</v>
      </c>
      <c r="X281" s="200">
        <v>10.045</v>
      </c>
      <c r="Y281" s="203">
        <v>-0.2</v>
      </c>
      <c r="Z281" s="203">
        <v>2.21</v>
      </c>
      <c r="AA281" s="203">
        <v>22.19</v>
      </c>
      <c r="AB281" s="203">
        <v>-1.84</v>
      </c>
      <c r="AC281" s="203">
        <v>0</v>
      </c>
      <c r="AD281" s="203">
        <v>0</v>
      </c>
      <c r="AE281" s="203">
        <v>20.149999999999999</v>
      </c>
      <c r="AF281" s="203">
        <v>-2.41</v>
      </c>
      <c r="AG281" s="200" t="s">
        <v>279</v>
      </c>
      <c r="AH281" s="203">
        <v>0</v>
      </c>
      <c r="AI281" s="200" t="s">
        <v>279</v>
      </c>
      <c r="AJ281" s="203">
        <v>0</v>
      </c>
      <c r="AK281" s="200" t="s">
        <v>279</v>
      </c>
      <c r="AL281" s="203">
        <v>0</v>
      </c>
      <c r="AM281" s="200" t="s">
        <v>279</v>
      </c>
      <c r="AN281" s="203">
        <v>0</v>
      </c>
      <c r="AO281" s="200" t="s">
        <v>279</v>
      </c>
      <c r="AP281" s="203">
        <v>0</v>
      </c>
      <c r="AQ281" s="203">
        <v>22.19</v>
      </c>
      <c r="AR281" s="203">
        <v>0</v>
      </c>
      <c r="AS281" s="200" t="str">
        <f t="shared" si="4"/>
        <v>1.00000000</v>
      </c>
      <c r="AT281" s="200" t="str">
        <f>"12.9"</f>
        <v>12.9</v>
      </c>
      <c r="AU281" s="203">
        <v>0</v>
      </c>
    </row>
    <row r="282" spans="1:47" x14ac:dyDescent="0.2">
      <c r="A282" s="200" t="str">
        <f>"0496002595809"</f>
        <v>0496002595809</v>
      </c>
      <c r="B282" s="200">
        <v>2</v>
      </c>
      <c r="C282" s="200" t="s">
        <v>570</v>
      </c>
      <c r="D282" s="200">
        <v>2014</v>
      </c>
      <c r="E282" s="200">
        <v>2014</v>
      </c>
      <c r="F282" s="200" t="s">
        <v>243</v>
      </c>
      <c r="G282" s="200">
        <v>2233</v>
      </c>
      <c r="H282" s="200" t="s">
        <v>270</v>
      </c>
      <c r="I282" s="200">
        <v>8878</v>
      </c>
      <c r="J282" s="201">
        <v>42663</v>
      </c>
      <c r="K282" s="202">
        <v>0.34791666666666665</v>
      </c>
      <c r="L282" s="201">
        <v>42667</v>
      </c>
      <c r="M282" s="200" t="s">
        <v>271</v>
      </c>
      <c r="N282" s="200" t="s">
        <v>272</v>
      </c>
      <c r="O282" s="200" t="s">
        <v>273</v>
      </c>
      <c r="P282" s="200" t="s">
        <v>274</v>
      </c>
      <c r="Q282" s="200" t="s">
        <v>275</v>
      </c>
      <c r="R282" s="200" t="s">
        <v>276</v>
      </c>
      <c r="S282" s="200" t="s">
        <v>436</v>
      </c>
      <c r="T282" s="200" t="s">
        <v>570</v>
      </c>
      <c r="U282" s="200">
        <v>2233</v>
      </c>
      <c r="V282" s="200" t="s">
        <v>570</v>
      </c>
      <c r="W282" s="200" t="s">
        <v>280</v>
      </c>
      <c r="X282" s="200">
        <v>10.656000000000001</v>
      </c>
      <c r="Y282" s="203">
        <v>-0.21</v>
      </c>
      <c r="Z282" s="203">
        <v>2.21</v>
      </c>
      <c r="AA282" s="203">
        <v>23.54</v>
      </c>
      <c r="AB282" s="203">
        <v>-1.95</v>
      </c>
      <c r="AC282" s="203">
        <v>0</v>
      </c>
      <c r="AD282" s="203">
        <v>0</v>
      </c>
      <c r="AE282" s="203">
        <v>21.38</v>
      </c>
      <c r="AF282" s="203">
        <v>-2.56</v>
      </c>
      <c r="AG282" s="200" t="s">
        <v>279</v>
      </c>
      <c r="AH282" s="203">
        <v>0</v>
      </c>
      <c r="AI282" s="200" t="s">
        <v>279</v>
      </c>
      <c r="AJ282" s="203">
        <v>0</v>
      </c>
      <c r="AK282" s="200" t="s">
        <v>279</v>
      </c>
      <c r="AL282" s="203">
        <v>0</v>
      </c>
      <c r="AM282" s="200" t="s">
        <v>279</v>
      </c>
      <c r="AN282" s="203">
        <v>0</v>
      </c>
      <c r="AO282" s="200" t="s">
        <v>279</v>
      </c>
      <c r="AP282" s="203">
        <v>0</v>
      </c>
      <c r="AQ282" s="203">
        <v>23.54</v>
      </c>
      <c r="AR282" s="203">
        <v>0</v>
      </c>
      <c r="AS282" s="200" t="str">
        <f t="shared" si="4"/>
        <v>1.00000000</v>
      </c>
      <c r="AT282" s="200" t="str">
        <f>"11.7"</f>
        <v>11.7</v>
      </c>
      <c r="AU282" s="203">
        <v>0</v>
      </c>
    </row>
    <row r="283" spans="1:47" x14ac:dyDescent="0.2">
      <c r="A283" s="200" t="str">
        <f>"0496002595734"</f>
        <v>0496002595734</v>
      </c>
      <c r="B283" s="200">
        <v>1</v>
      </c>
      <c r="C283" s="200" t="s">
        <v>435</v>
      </c>
      <c r="D283" s="200">
        <v>81</v>
      </c>
      <c r="E283" s="200">
        <v>81</v>
      </c>
      <c r="F283" s="200" t="s">
        <v>243</v>
      </c>
      <c r="G283" s="200">
        <v>2086</v>
      </c>
      <c r="H283" s="200" t="s">
        <v>270</v>
      </c>
      <c r="I283" s="200">
        <v>65878</v>
      </c>
      <c r="J283" s="201">
        <v>42664</v>
      </c>
      <c r="K283" s="202">
        <v>0.30138888888888887</v>
      </c>
      <c r="L283" s="201">
        <v>42668</v>
      </c>
      <c r="M283" s="200" t="s">
        <v>271</v>
      </c>
      <c r="N283" s="200" t="s">
        <v>272</v>
      </c>
      <c r="O283" s="200" t="s">
        <v>273</v>
      </c>
      <c r="P283" s="200" t="s">
        <v>274</v>
      </c>
      <c r="Q283" s="200" t="s">
        <v>275</v>
      </c>
      <c r="R283" s="200" t="s">
        <v>276</v>
      </c>
      <c r="S283" s="200" t="s">
        <v>436</v>
      </c>
      <c r="T283" s="200" t="s">
        <v>435</v>
      </c>
      <c r="U283" s="200">
        <v>2086</v>
      </c>
      <c r="V283" s="200" t="s">
        <v>435</v>
      </c>
      <c r="W283" s="200" t="s">
        <v>280</v>
      </c>
      <c r="X283" s="200">
        <v>10.009</v>
      </c>
      <c r="Y283" s="203">
        <v>-0.2</v>
      </c>
      <c r="Z283" s="203">
        <v>2.21</v>
      </c>
      <c r="AA283" s="203">
        <v>22.11</v>
      </c>
      <c r="AB283" s="203">
        <v>-1.83</v>
      </c>
      <c r="AC283" s="203">
        <v>0</v>
      </c>
      <c r="AD283" s="203">
        <v>0</v>
      </c>
      <c r="AE283" s="203">
        <v>20.079999999999998</v>
      </c>
      <c r="AF283" s="203">
        <v>-2.4</v>
      </c>
      <c r="AG283" s="200" t="s">
        <v>279</v>
      </c>
      <c r="AH283" s="203">
        <v>0</v>
      </c>
      <c r="AI283" s="200" t="s">
        <v>279</v>
      </c>
      <c r="AJ283" s="203">
        <v>0</v>
      </c>
      <c r="AK283" s="200" t="s">
        <v>279</v>
      </c>
      <c r="AL283" s="203">
        <v>0</v>
      </c>
      <c r="AM283" s="200" t="s">
        <v>279</v>
      </c>
      <c r="AN283" s="203">
        <v>0</v>
      </c>
      <c r="AO283" s="200" t="s">
        <v>279</v>
      </c>
      <c r="AP283" s="203">
        <v>0</v>
      </c>
      <c r="AQ283" s="203">
        <v>22.11</v>
      </c>
      <c r="AR283" s="203">
        <v>0</v>
      </c>
      <c r="AS283" s="200" t="str">
        <f t="shared" si="4"/>
        <v>1.00000000</v>
      </c>
      <c r="AT283" s="200" t="str">
        <f>"12.1"</f>
        <v>12.1</v>
      </c>
      <c r="AU283" s="203">
        <v>0</v>
      </c>
    </row>
    <row r="284" spans="1:47" x14ac:dyDescent="0.2">
      <c r="A284" s="200" t="str">
        <f>"0496002595734"</f>
        <v>0496002595734</v>
      </c>
      <c r="B284" s="200">
        <v>3</v>
      </c>
      <c r="C284" s="200" t="s">
        <v>435</v>
      </c>
      <c r="D284" s="200">
        <v>82</v>
      </c>
      <c r="E284" s="200">
        <v>82</v>
      </c>
      <c r="F284" s="200" t="s">
        <v>243</v>
      </c>
      <c r="G284" s="200">
        <v>2086</v>
      </c>
      <c r="H284" s="200" t="s">
        <v>270</v>
      </c>
      <c r="I284" s="200">
        <v>52446</v>
      </c>
      <c r="J284" s="201">
        <v>42664</v>
      </c>
      <c r="K284" s="202">
        <v>0.86111111111111116</v>
      </c>
      <c r="L284" s="201">
        <v>42668</v>
      </c>
      <c r="M284" s="200" t="s">
        <v>325</v>
      </c>
      <c r="N284" s="200" t="s">
        <v>326</v>
      </c>
      <c r="O284" s="200" t="s">
        <v>779</v>
      </c>
      <c r="P284" s="200" t="s">
        <v>780</v>
      </c>
      <c r="Q284" s="200" t="s">
        <v>275</v>
      </c>
      <c r="R284" s="200">
        <v>1453</v>
      </c>
      <c r="S284" s="200" t="s">
        <v>436</v>
      </c>
      <c r="T284" s="200" t="s">
        <v>435</v>
      </c>
      <c r="U284" s="200">
        <v>2086</v>
      </c>
      <c r="V284" s="200" t="s">
        <v>435</v>
      </c>
      <c r="W284" s="200" t="s">
        <v>280</v>
      </c>
      <c r="X284" s="200">
        <v>13.287000000000001</v>
      </c>
      <c r="Y284" s="203">
        <v>0</v>
      </c>
      <c r="Z284" s="203">
        <v>2.1</v>
      </c>
      <c r="AA284" s="203">
        <v>27.89</v>
      </c>
      <c r="AB284" s="203">
        <v>-2.4300000000000002</v>
      </c>
      <c r="AC284" s="203">
        <v>0</v>
      </c>
      <c r="AD284" s="203">
        <v>0</v>
      </c>
      <c r="AE284" s="203">
        <v>25.46</v>
      </c>
      <c r="AF284" s="203">
        <v>-3.19</v>
      </c>
      <c r="AG284" s="200" t="s">
        <v>279</v>
      </c>
      <c r="AH284" s="203">
        <v>0</v>
      </c>
      <c r="AI284" s="200" t="s">
        <v>279</v>
      </c>
      <c r="AJ284" s="203">
        <v>0</v>
      </c>
      <c r="AK284" s="200" t="s">
        <v>279</v>
      </c>
      <c r="AL284" s="203">
        <v>0</v>
      </c>
      <c r="AM284" s="200" t="s">
        <v>279</v>
      </c>
      <c r="AN284" s="203">
        <v>0</v>
      </c>
      <c r="AO284" s="200" t="s">
        <v>279</v>
      </c>
      <c r="AP284" s="203">
        <v>0</v>
      </c>
      <c r="AQ284" s="203">
        <v>27.89</v>
      </c>
      <c r="AR284" s="203">
        <v>0</v>
      </c>
      <c r="AS284" s="200" t="str">
        <f t="shared" si="4"/>
        <v>1.00000000</v>
      </c>
      <c r="AT284" s="200" t="str">
        <f>"22.0"</f>
        <v>22.0</v>
      </c>
      <c r="AU284" s="203">
        <v>0</v>
      </c>
    </row>
    <row r="285" spans="1:47" x14ac:dyDescent="0.2">
      <c r="A285" s="200" t="str">
        <f>"0496002595700"</f>
        <v>0496002595700</v>
      </c>
      <c r="B285" s="200">
        <v>2</v>
      </c>
      <c r="C285" s="200" t="s">
        <v>156</v>
      </c>
      <c r="D285" s="200">
        <v>42</v>
      </c>
      <c r="E285" s="200">
        <v>42</v>
      </c>
      <c r="F285" s="200" t="s">
        <v>243</v>
      </c>
      <c r="G285" s="200">
        <v>2262</v>
      </c>
      <c r="H285" s="200" t="s">
        <v>270</v>
      </c>
      <c r="I285" s="200">
        <v>32825</v>
      </c>
      <c r="J285" s="201">
        <v>42665</v>
      </c>
      <c r="K285" s="202">
        <v>0.35100694444444441</v>
      </c>
      <c r="L285" s="201">
        <v>42668</v>
      </c>
      <c r="M285" s="200" t="s">
        <v>396</v>
      </c>
      <c r="N285" s="200" t="s">
        <v>397</v>
      </c>
      <c r="O285" s="200" t="s">
        <v>398</v>
      </c>
      <c r="P285" s="200" t="s">
        <v>343</v>
      </c>
      <c r="Q285" s="200" t="s">
        <v>275</v>
      </c>
      <c r="R285" s="200">
        <v>1035</v>
      </c>
      <c r="S285" s="200" t="s">
        <v>156</v>
      </c>
      <c r="T285" s="200" t="s">
        <v>277</v>
      </c>
      <c r="U285" s="200">
        <v>2262</v>
      </c>
      <c r="V285" s="200" t="s">
        <v>156</v>
      </c>
      <c r="W285" s="200" t="s">
        <v>280</v>
      </c>
      <c r="X285" s="200">
        <v>8.4079999999999995</v>
      </c>
      <c r="Y285" s="203">
        <v>0</v>
      </c>
      <c r="Z285" s="203">
        <v>2.15</v>
      </c>
      <c r="AA285" s="203">
        <v>18.07</v>
      </c>
      <c r="AB285" s="203">
        <v>-1.54</v>
      </c>
      <c r="AC285" s="203">
        <v>0</v>
      </c>
      <c r="AD285" s="203">
        <v>0</v>
      </c>
      <c r="AE285" s="203">
        <v>16.53</v>
      </c>
      <c r="AF285" s="203">
        <v>-2.02</v>
      </c>
      <c r="AG285" s="200" t="s">
        <v>279</v>
      </c>
      <c r="AH285" s="203">
        <v>0</v>
      </c>
      <c r="AI285" s="200" t="s">
        <v>279</v>
      </c>
      <c r="AJ285" s="203">
        <v>0</v>
      </c>
      <c r="AK285" s="200" t="s">
        <v>279</v>
      </c>
      <c r="AL285" s="203">
        <v>0</v>
      </c>
      <c r="AM285" s="200" t="s">
        <v>279</v>
      </c>
      <c r="AN285" s="203">
        <v>0</v>
      </c>
      <c r="AO285" s="200" t="s">
        <v>279</v>
      </c>
      <c r="AP285" s="203">
        <v>0</v>
      </c>
      <c r="AQ285" s="203">
        <v>18.07</v>
      </c>
      <c r="AR285" s="203">
        <v>0</v>
      </c>
      <c r="AS285" s="200" t="str">
        <f t="shared" si="4"/>
        <v>1.00000000</v>
      </c>
      <c r="AT285" s="200" t="str">
        <f>"46.9"</f>
        <v>46.9</v>
      </c>
      <c r="AU285" s="203">
        <v>0</v>
      </c>
    </row>
    <row r="286" spans="1:47" x14ac:dyDescent="0.2">
      <c r="A286" s="200" t="str">
        <f>"0496002595700"</f>
        <v>0496002595700</v>
      </c>
      <c r="B286" s="200">
        <v>6</v>
      </c>
      <c r="C286" s="200" t="s">
        <v>156</v>
      </c>
      <c r="D286" s="200" t="s">
        <v>344</v>
      </c>
      <c r="E286" s="200" t="s">
        <v>345</v>
      </c>
      <c r="F286" s="200" t="s">
        <v>243</v>
      </c>
      <c r="G286" s="200">
        <v>2262</v>
      </c>
      <c r="H286" s="200" t="s">
        <v>270</v>
      </c>
      <c r="I286" s="200">
        <v>55889</v>
      </c>
      <c r="J286" s="201">
        <v>42665</v>
      </c>
      <c r="K286" s="202">
        <v>0.8340277777777777</v>
      </c>
      <c r="L286" s="201">
        <v>42668</v>
      </c>
      <c r="M286" s="200" t="s">
        <v>271</v>
      </c>
      <c r="N286" s="200" t="s">
        <v>272</v>
      </c>
      <c r="O286" s="200" t="s">
        <v>273</v>
      </c>
      <c r="P286" s="200" t="s">
        <v>274</v>
      </c>
      <c r="Q286" s="200" t="s">
        <v>275</v>
      </c>
      <c r="R286" s="200" t="s">
        <v>276</v>
      </c>
      <c r="S286" s="200" t="s">
        <v>156</v>
      </c>
      <c r="T286" s="200" t="s">
        <v>277</v>
      </c>
      <c r="U286" s="200">
        <v>2262</v>
      </c>
      <c r="V286" s="200" t="s">
        <v>156</v>
      </c>
      <c r="W286" s="200" t="s">
        <v>278</v>
      </c>
      <c r="X286" s="200">
        <v>5.4029999999999996</v>
      </c>
      <c r="Y286" s="203">
        <v>-0.11</v>
      </c>
      <c r="Z286" s="203">
        <v>2.63</v>
      </c>
      <c r="AA286" s="203">
        <v>14.2</v>
      </c>
      <c r="AB286" s="203">
        <v>-0.99</v>
      </c>
      <c r="AC286" s="203">
        <v>0</v>
      </c>
      <c r="AD286" s="203">
        <v>0</v>
      </c>
      <c r="AE286" s="203">
        <v>13.1</v>
      </c>
      <c r="AF286" s="203">
        <v>-1.3</v>
      </c>
      <c r="AG286" s="200" t="s">
        <v>279</v>
      </c>
      <c r="AH286" s="203">
        <v>0</v>
      </c>
      <c r="AI286" s="200" t="s">
        <v>279</v>
      </c>
      <c r="AJ286" s="203">
        <v>0</v>
      </c>
      <c r="AK286" s="200" t="s">
        <v>279</v>
      </c>
      <c r="AL286" s="203">
        <v>0</v>
      </c>
      <c r="AM286" s="200" t="s">
        <v>279</v>
      </c>
      <c r="AN286" s="203">
        <v>0</v>
      </c>
      <c r="AO286" s="200" t="s">
        <v>279</v>
      </c>
      <c r="AP286" s="203">
        <v>0</v>
      </c>
      <c r="AQ286" s="203">
        <v>14.2</v>
      </c>
      <c r="AR286" s="203">
        <v>0</v>
      </c>
      <c r="AS286" s="200" t="str">
        <f t="shared" si="4"/>
        <v>1.00000000</v>
      </c>
      <c r="AT286" s="200" t="str">
        <f>"27.6"</f>
        <v>27.6</v>
      </c>
      <c r="AU286" s="203">
        <v>0</v>
      </c>
    </row>
    <row r="287" spans="1:47" x14ac:dyDescent="0.2">
      <c r="A287" s="200" t="str">
        <f>"0496002595700"</f>
        <v>0496002595700</v>
      </c>
      <c r="B287" s="200">
        <v>8</v>
      </c>
      <c r="C287" s="200" t="s">
        <v>156</v>
      </c>
      <c r="D287" s="200" t="s">
        <v>414</v>
      </c>
      <c r="E287" s="200">
        <v>47</v>
      </c>
      <c r="F287" s="200" t="s">
        <v>243</v>
      </c>
      <c r="G287" s="200">
        <v>2262</v>
      </c>
      <c r="H287" s="200" t="s">
        <v>270</v>
      </c>
      <c r="I287" s="200">
        <v>22378</v>
      </c>
      <c r="J287" s="201">
        <v>42665</v>
      </c>
      <c r="K287" s="202">
        <v>0.33784722222222219</v>
      </c>
      <c r="L287" s="201">
        <v>42668</v>
      </c>
      <c r="M287" s="200" t="s">
        <v>781</v>
      </c>
      <c r="N287" s="200" t="s">
        <v>782</v>
      </c>
      <c r="O287" s="200" t="s">
        <v>783</v>
      </c>
      <c r="P287" s="200" t="s">
        <v>784</v>
      </c>
      <c r="Q287" s="200" t="s">
        <v>785</v>
      </c>
      <c r="R287" s="200">
        <v>20166</v>
      </c>
      <c r="S287" s="200" t="s">
        <v>156</v>
      </c>
      <c r="T287" s="200" t="s">
        <v>277</v>
      </c>
      <c r="U287" s="200">
        <v>2262</v>
      </c>
      <c r="V287" s="200" t="s">
        <v>156</v>
      </c>
      <c r="W287" s="200" t="s">
        <v>280</v>
      </c>
      <c r="X287" s="200">
        <v>19.334</v>
      </c>
      <c r="Y287" s="203">
        <v>0</v>
      </c>
      <c r="Z287" s="203">
        <v>2.3199999999999998</v>
      </c>
      <c r="AA287" s="203">
        <v>44.84</v>
      </c>
      <c r="AB287" s="203">
        <v>-3.54</v>
      </c>
      <c r="AC287" s="203">
        <v>0</v>
      </c>
      <c r="AD287" s="203">
        <v>0</v>
      </c>
      <c r="AE287" s="203">
        <v>41.3</v>
      </c>
      <c r="AF287" s="203">
        <v>-4.1900000000000004</v>
      </c>
      <c r="AG287" s="200" t="s">
        <v>279</v>
      </c>
      <c r="AH287" s="203">
        <v>0</v>
      </c>
      <c r="AI287" s="200" t="s">
        <v>279</v>
      </c>
      <c r="AJ287" s="203">
        <v>0</v>
      </c>
      <c r="AK287" s="200" t="s">
        <v>279</v>
      </c>
      <c r="AL287" s="203">
        <v>0</v>
      </c>
      <c r="AM287" s="200" t="s">
        <v>279</v>
      </c>
      <c r="AN287" s="203">
        <v>0</v>
      </c>
      <c r="AO287" s="200" t="s">
        <v>279</v>
      </c>
      <c r="AP287" s="203">
        <v>0</v>
      </c>
      <c r="AQ287" s="203">
        <v>44.84</v>
      </c>
      <c r="AR287" s="203">
        <v>0</v>
      </c>
      <c r="AS287" s="200" t="str">
        <f t="shared" si="4"/>
        <v>1.00000000</v>
      </c>
      <c r="AT287" s="200" t="str">
        <f>"26.5"</f>
        <v>26.5</v>
      </c>
      <c r="AU287" s="203">
        <v>0</v>
      </c>
    </row>
    <row r="288" spans="1:47" x14ac:dyDescent="0.2">
      <c r="A288" s="200" t="str">
        <f>"0496002595734"</f>
        <v>0496002595734</v>
      </c>
      <c r="B288" s="200">
        <v>1</v>
      </c>
      <c r="C288" s="200" t="s">
        <v>435</v>
      </c>
      <c r="D288" s="200">
        <v>81</v>
      </c>
      <c r="E288" s="200">
        <v>81</v>
      </c>
      <c r="F288" s="200" t="s">
        <v>243</v>
      </c>
      <c r="G288" s="200">
        <v>2086</v>
      </c>
      <c r="H288" s="200" t="s">
        <v>270</v>
      </c>
      <c r="I288" s="200">
        <v>66223</v>
      </c>
      <c r="J288" s="201">
        <v>42665</v>
      </c>
      <c r="K288" s="202">
        <v>0.7729166666666667</v>
      </c>
      <c r="L288" s="201">
        <v>42668</v>
      </c>
      <c r="M288" s="200" t="s">
        <v>294</v>
      </c>
      <c r="N288" s="200" t="s">
        <v>379</v>
      </c>
      <c r="O288" s="200" t="s">
        <v>786</v>
      </c>
      <c r="P288" s="200" t="s">
        <v>787</v>
      </c>
      <c r="Q288" s="200" t="s">
        <v>275</v>
      </c>
      <c r="R288" s="200">
        <v>1434</v>
      </c>
      <c r="S288" s="200" t="s">
        <v>436</v>
      </c>
      <c r="T288" s="200" t="s">
        <v>435</v>
      </c>
      <c r="U288" s="200">
        <v>2086</v>
      </c>
      <c r="V288" s="200" t="s">
        <v>435</v>
      </c>
      <c r="W288" s="200" t="s">
        <v>280</v>
      </c>
      <c r="X288" s="200">
        <v>17.149999999999999</v>
      </c>
      <c r="Y288" s="203">
        <v>0</v>
      </c>
      <c r="Z288" s="203">
        <v>2.2999999999999998</v>
      </c>
      <c r="AA288" s="203">
        <v>39.43</v>
      </c>
      <c r="AB288" s="203">
        <v>-3.14</v>
      </c>
      <c r="AC288" s="203">
        <v>0</v>
      </c>
      <c r="AD288" s="203">
        <v>0</v>
      </c>
      <c r="AE288" s="203">
        <v>36.29</v>
      </c>
      <c r="AF288" s="203">
        <v>-4.12</v>
      </c>
      <c r="AG288" s="200" t="s">
        <v>279</v>
      </c>
      <c r="AH288" s="203">
        <v>0</v>
      </c>
      <c r="AI288" s="200" t="s">
        <v>279</v>
      </c>
      <c r="AJ288" s="203">
        <v>0</v>
      </c>
      <c r="AK288" s="200" t="s">
        <v>279</v>
      </c>
      <c r="AL288" s="203">
        <v>0</v>
      </c>
      <c r="AM288" s="200" t="s">
        <v>279</v>
      </c>
      <c r="AN288" s="203">
        <v>0</v>
      </c>
      <c r="AO288" s="200" t="s">
        <v>279</v>
      </c>
      <c r="AP288" s="203">
        <v>0</v>
      </c>
      <c r="AQ288" s="203">
        <v>39.43</v>
      </c>
      <c r="AR288" s="203">
        <v>0</v>
      </c>
      <c r="AS288" s="200" t="str">
        <f t="shared" si="4"/>
        <v>1.00000000</v>
      </c>
      <c r="AT288" s="200" t="str">
        <f>"12.1"</f>
        <v>12.1</v>
      </c>
      <c r="AU288" s="203">
        <v>0</v>
      </c>
    </row>
    <row r="289" spans="1:47" x14ac:dyDescent="0.2">
      <c r="A289" s="200" t="str">
        <f>"0496002595734"</f>
        <v>0496002595734</v>
      </c>
      <c r="B289" s="200">
        <v>2</v>
      </c>
      <c r="C289" s="200" t="s">
        <v>435</v>
      </c>
      <c r="D289" s="200">
        <v>80</v>
      </c>
      <c r="E289" s="200">
        <v>80</v>
      </c>
      <c r="F289" s="200" t="s">
        <v>243</v>
      </c>
      <c r="G289" s="200">
        <v>2086</v>
      </c>
      <c r="H289" s="200" t="s">
        <v>270</v>
      </c>
      <c r="I289" s="200">
        <v>6666</v>
      </c>
      <c r="J289" s="201">
        <v>42665</v>
      </c>
      <c r="K289" s="202">
        <v>0.99513888888888891</v>
      </c>
      <c r="L289" s="201">
        <v>42668</v>
      </c>
      <c r="M289" s="200" t="s">
        <v>271</v>
      </c>
      <c r="N289" s="200" t="s">
        <v>272</v>
      </c>
      <c r="O289" s="200" t="s">
        <v>273</v>
      </c>
      <c r="P289" s="200" t="s">
        <v>274</v>
      </c>
      <c r="Q289" s="200" t="s">
        <v>275</v>
      </c>
      <c r="R289" s="200" t="s">
        <v>276</v>
      </c>
      <c r="S289" s="200" t="s">
        <v>436</v>
      </c>
      <c r="T289" s="200" t="s">
        <v>435</v>
      </c>
      <c r="U289" s="200">
        <v>2086</v>
      </c>
      <c r="V289" s="200" t="s">
        <v>435</v>
      </c>
      <c r="W289" s="200" t="s">
        <v>280</v>
      </c>
      <c r="X289" s="200">
        <v>10.502000000000001</v>
      </c>
      <c r="Y289" s="203">
        <v>-0.21</v>
      </c>
      <c r="Z289" s="203">
        <v>2.21</v>
      </c>
      <c r="AA289" s="203">
        <v>23.2</v>
      </c>
      <c r="AB289" s="203">
        <v>-1.92</v>
      </c>
      <c r="AC289" s="203">
        <v>0</v>
      </c>
      <c r="AD289" s="203">
        <v>0</v>
      </c>
      <c r="AE289" s="203">
        <v>21.07</v>
      </c>
      <c r="AF289" s="203">
        <v>-2.52</v>
      </c>
      <c r="AG289" s="200" t="s">
        <v>279</v>
      </c>
      <c r="AH289" s="203">
        <v>0</v>
      </c>
      <c r="AI289" s="200" t="s">
        <v>279</v>
      </c>
      <c r="AJ289" s="203">
        <v>0</v>
      </c>
      <c r="AK289" s="200" t="s">
        <v>279</v>
      </c>
      <c r="AL289" s="203">
        <v>0</v>
      </c>
      <c r="AM289" s="200" t="s">
        <v>279</v>
      </c>
      <c r="AN289" s="203">
        <v>0</v>
      </c>
      <c r="AO289" s="200" t="s">
        <v>279</v>
      </c>
      <c r="AP289" s="203">
        <v>0</v>
      </c>
      <c r="AQ289" s="203">
        <v>23.2</v>
      </c>
      <c r="AR289" s="203">
        <v>0</v>
      </c>
      <c r="AS289" s="200" t="str">
        <f t="shared" si="4"/>
        <v>1.00000000</v>
      </c>
      <c r="AT289" s="200" t="str">
        <f>"37.4"</f>
        <v>37.4</v>
      </c>
      <c r="AU289" s="203">
        <v>0</v>
      </c>
    </row>
    <row r="290" spans="1:47" x14ac:dyDescent="0.2">
      <c r="A290" s="200" t="str">
        <f>"0496002595734"</f>
        <v>0496002595734</v>
      </c>
      <c r="B290" s="200">
        <v>3</v>
      </c>
      <c r="C290" s="200" t="s">
        <v>435</v>
      </c>
      <c r="D290" s="200">
        <v>82</v>
      </c>
      <c r="E290" s="200">
        <v>82</v>
      </c>
      <c r="F290" s="200" t="s">
        <v>243</v>
      </c>
      <c r="G290" s="200">
        <v>2086</v>
      </c>
      <c r="H290" s="200" t="s">
        <v>270</v>
      </c>
      <c r="I290" s="200">
        <v>52601</v>
      </c>
      <c r="J290" s="201">
        <v>42666</v>
      </c>
      <c r="K290" s="202">
        <v>0.72291666666666676</v>
      </c>
      <c r="L290" s="201">
        <v>42668</v>
      </c>
      <c r="M290" s="200" t="s">
        <v>302</v>
      </c>
      <c r="N290" s="200" t="s">
        <v>788</v>
      </c>
      <c r="O290" s="200" t="s">
        <v>789</v>
      </c>
      <c r="P290" s="200" t="s">
        <v>790</v>
      </c>
      <c r="Q290" s="200" t="s">
        <v>275</v>
      </c>
      <c r="R290" s="200">
        <v>1830</v>
      </c>
      <c r="S290" s="200" t="s">
        <v>436</v>
      </c>
      <c r="T290" s="200" t="s">
        <v>435</v>
      </c>
      <c r="U290" s="200">
        <v>2086</v>
      </c>
      <c r="V290" s="200" t="s">
        <v>435</v>
      </c>
      <c r="W290" s="200" t="s">
        <v>280</v>
      </c>
      <c r="X290" s="200">
        <v>12.513999999999999</v>
      </c>
      <c r="Y290" s="203">
        <v>0</v>
      </c>
      <c r="Z290" s="203">
        <v>2.36</v>
      </c>
      <c r="AA290" s="203">
        <v>29.52</v>
      </c>
      <c r="AB290" s="203">
        <v>-2.29</v>
      </c>
      <c r="AC290" s="203">
        <v>0</v>
      </c>
      <c r="AD290" s="203">
        <v>0</v>
      </c>
      <c r="AE290" s="203">
        <v>27.23</v>
      </c>
      <c r="AF290" s="203">
        <v>-3</v>
      </c>
      <c r="AG290" s="200" t="s">
        <v>279</v>
      </c>
      <c r="AH290" s="203">
        <v>0</v>
      </c>
      <c r="AI290" s="200" t="s">
        <v>279</v>
      </c>
      <c r="AJ290" s="203">
        <v>0</v>
      </c>
      <c r="AK290" s="200" t="s">
        <v>279</v>
      </c>
      <c r="AL290" s="203">
        <v>0</v>
      </c>
      <c r="AM290" s="200" t="s">
        <v>279</v>
      </c>
      <c r="AN290" s="203">
        <v>0</v>
      </c>
      <c r="AO290" s="200" t="s">
        <v>279</v>
      </c>
      <c r="AP290" s="203">
        <v>0</v>
      </c>
      <c r="AQ290" s="203">
        <v>29.52</v>
      </c>
      <c r="AR290" s="203">
        <v>0</v>
      </c>
      <c r="AS290" s="200" t="str">
        <f t="shared" si="4"/>
        <v>1.00000000</v>
      </c>
      <c r="AT290" s="200" t="str">
        <f>"12.4"</f>
        <v>12.4</v>
      </c>
      <c r="AU290" s="203">
        <v>0</v>
      </c>
    </row>
    <row r="291" spans="1:47" x14ac:dyDescent="0.2">
      <c r="A291" s="200" t="str">
        <f>"0496002599140"</f>
        <v>0496002599140</v>
      </c>
      <c r="B291" s="200">
        <v>1</v>
      </c>
      <c r="C291" s="200" t="s">
        <v>581</v>
      </c>
      <c r="D291" s="200" t="s">
        <v>582</v>
      </c>
      <c r="E291" s="200" t="s">
        <v>582</v>
      </c>
      <c r="F291" s="200" t="s">
        <v>243</v>
      </c>
      <c r="G291" s="200">
        <v>2323</v>
      </c>
      <c r="H291" s="200" t="s">
        <v>270</v>
      </c>
      <c r="I291" s="200">
        <v>999</v>
      </c>
      <c r="J291" s="201">
        <v>42666</v>
      </c>
      <c r="K291" s="202">
        <v>0.39583333333333331</v>
      </c>
      <c r="L291" s="201">
        <v>42668</v>
      </c>
      <c r="M291" s="200" t="s">
        <v>294</v>
      </c>
      <c r="N291" s="200" t="s">
        <v>791</v>
      </c>
      <c r="O291" s="200" t="s">
        <v>792</v>
      </c>
      <c r="P291" s="200" t="s">
        <v>793</v>
      </c>
      <c r="Q291" s="200" t="s">
        <v>275</v>
      </c>
      <c r="R291" s="200">
        <v>1867</v>
      </c>
      <c r="S291" s="200" t="s">
        <v>436</v>
      </c>
      <c r="T291" s="200" t="s">
        <v>581</v>
      </c>
      <c r="U291" s="200">
        <v>2323</v>
      </c>
      <c r="V291" s="200" t="s">
        <v>581</v>
      </c>
      <c r="W291" s="200" t="s">
        <v>280</v>
      </c>
      <c r="X291" s="200">
        <v>15.79</v>
      </c>
      <c r="Y291" s="203">
        <v>0</v>
      </c>
      <c r="Z291" s="203">
        <v>2.2999999999999998</v>
      </c>
      <c r="AA291" s="203">
        <v>36.299999999999997</v>
      </c>
      <c r="AB291" s="203">
        <v>-2.89</v>
      </c>
      <c r="AC291" s="203">
        <v>0</v>
      </c>
      <c r="AD291" s="203">
        <v>0</v>
      </c>
      <c r="AE291" s="203">
        <v>33.409999999999997</v>
      </c>
      <c r="AF291" s="203">
        <v>-3.79</v>
      </c>
      <c r="AG291" s="200" t="s">
        <v>279</v>
      </c>
      <c r="AH291" s="203">
        <v>0</v>
      </c>
      <c r="AI291" s="200" t="s">
        <v>279</v>
      </c>
      <c r="AJ291" s="203">
        <v>0</v>
      </c>
      <c r="AK291" s="200" t="s">
        <v>279</v>
      </c>
      <c r="AL291" s="203">
        <v>0</v>
      </c>
      <c r="AM291" s="200" t="s">
        <v>279</v>
      </c>
      <c r="AN291" s="203">
        <v>0</v>
      </c>
      <c r="AO291" s="200" t="s">
        <v>279</v>
      </c>
      <c r="AP291" s="203">
        <v>0</v>
      </c>
      <c r="AQ291" s="203">
        <v>36.299999999999997</v>
      </c>
      <c r="AR291" s="203">
        <v>0</v>
      </c>
      <c r="AS291" s="200" t="str">
        <f t="shared" si="4"/>
        <v>1.00000000</v>
      </c>
      <c r="AT291" s="200" t="str">
        <f>"0.0"</f>
        <v>0.0</v>
      </c>
      <c r="AU291" s="203">
        <v>0</v>
      </c>
    </row>
    <row r="292" spans="1:47" x14ac:dyDescent="0.2">
      <c r="A292" s="200" t="str">
        <f>"0496002595700"</f>
        <v>0496002595700</v>
      </c>
      <c r="B292" s="200">
        <v>5</v>
      </c>
      <c r="C292" s="200" t="s">
        <v>156</v>
      </c>
      <c r="D292" s="200">
        <v>86</v>
      </c>
      <c r="E292" s="200">
        <v>86</v>
      </c>
      <c r="F292" s="200" t="s">
        <v>243</v>
      </c>
      <c r="G292" s="200">
        <v>2262</v>
      </c>
      <c r="H292" s="200" t="s">
        <v>270</v>
      </c>
      <c r="I292" s="200">
        <v>8523</v>
      </c>
      <c r="J292" s="201">
        <v>42667</v>
      </c>
      <c r="K292" s="202">
        <v>4.6527777777777779E-2</v>
      </c>
      <c r="L292" s="201">
        <v>42669</v>
      </c>
      <c r="M292" s="200" t="s">
        <v>271</v>
      </c>
      <c r="N292" s="200" t="s">
        <v>359</v>
      </c>
      <c r="O292" s="200" t="s">
        <v>360</v>
      </c>
      <c r="P292" s="200" t="s">
        <v>361</v>
      </c>
      <c r="Q292" s="200" t="s">
        <v>275</v>
      </c>
      <c r="R292" s="200">
        <v>1581</v>
      </c>
      <c r="S292" s="200" t="s">
        <v>156</v>
      </c>
      <c r="T292" s="200" t="s">
        <v>277</v>
      </c>
      <c r="U292" s="200">
        <v>2262</v>
      </c>
      <c r="V292" s="200" t="s">
        <v>156</v>
      </c>
      <c r="W292" s="200" t="s">
        <v>280</v>
      </c>
      <c r="X292" s="200">
        <v>16.972000000000001</v>
      </c>
      <c r="Y292" s="203">
        <v>-0.51</v>
      </c>
      <c r="Z292" s="203">
        <v>2.2999999999999998</v>
      </c>
      <c r="AA292" s="203">
        <v>39.020000000000003</v>
      </c>
      <c r="AB292" s="203">
        <v>-3.11</v>
      </c>
      <c r="AC292" s="203">
        <v>0</v>
      </c>
      <c r="AD292" s="203">
        <v>0</v>
      </c>
      <c r="AE292" s="203">
        <v>35.4</v>
      </c>
      <c r="AF292" s="203">
        <v>-4.07</v>
      </c>
      <c r="AG292" s="200" t="s">
        <v>279</v>
      </c>
      <c r="AH292" s="203">
        <v>0</v>
      </c>
      <c r="AI292" s="200" t="s">
        <v>279</v>
      </c>
      <c r="AJ292" s="203">
        <v>0</v>
      </c>
      <c r="AK292" s="200" t="s">
        <v>279</v>
      </c>
      <c r="AL292" s="203">
        <v>0</v>
      </c>
      <c r="AM292" s="200" t="s">
        <v>279</v>
      </c>
      <c r="AN292" s="203">
        <v>0</v>
      </c>
      <c r="AO292" s="200" t="s">
        <v>279</v>
      </c>
      <c r="AP292" s="203">
        <v>0</v>
      </c>
      <c r="AQ292" s="203">
        <v>39.020000000000003</v>
      </c>
      <c r="AR292" s="203">
        <v>0</v>
      </c>
      <c r="AS292" s="200" t="str">
        <f t="shared" si="4"/>
        <v>1.00000000</v>
      </c>
      <c r="AT292" s="200" t="str">
        <f>"12.9"</f>
        <v>12.9</v>
      </c>
      <c r="AU292" s="203">
        <v>0</v>
      </c>
    </row>
    <row r="293" spans="1:47" x14ac:dyDescent="0.2">
      <c r="A293" s="200" t="str">
        <f>"0496002595700"</f>
        <v>0496002595700</v>
      </c>
      <c r="B293" s="200">
        <v>6</v>
      </c>
      <c r="C293" s="200" t="s">
        <v>156</v>
      </c>
      <c r="D293" s="200" t="s">
        <v>344</v>
      </c>
      <c r="E293" s="200" t="s">
        <v>345</v>
      </c>
      <c r="F293" s="200" t="s">
        <v>243</v>
      </c>
      <c r="G293" s="200">
        <v>2262</v>
      </c>
      <c r="H293" s="200" t="s">
        <v>270</v>
      </c>
      <c r="I293" s="200">
        <v>56082</v>
      </c>
      <c r="J293" s="201">
        <v>42667</v>
      </c>
      <c r="K293" s="202">
        <v>0.42222222222222222</v>
      </c>
      <c r="L293" s="201">
        <v>42669</v>
      </c>
      <c r="M293" s="200" t="s">
        <v>271</v>
      </c>
      <c r="N293" s="200" t="s">
        <v>272</v>
      </c>
      <c r="O293" s="200" t="s">
        <v>273</v>
      </c>
      <c r="P293" s="200" t="s">
        <v>274</v>
      </c>
      <c r="Q293" s="200" t="s">
        <v>275</v>
      </c>
      <c r="R293" s="200" t="s">
        <v>276</v>
      </c>
      <c r="S293" s="200" t="s">
        <v>156</v>
      </c>
      <c r="T293" s="200" t="s">
        <v>277</v>
      </c>
      <c r="U293" s="200">
        <v>2262</v>
      </c>
      <c r="V293" s="200" t="s">
        <v>156</v>
      </c>
      <c r="W293" s="200" t="s">
        <v>335</v>
      </c>
      <c r="X293" s="200">
        <v>6.6079999999999997</v>
      </c>
      <c r="Y293" s="203">
        <v>-0.13</v>
      </c>
      <c r="Z293" s="203">
        <v>2.41</v>
      </c>
      <c r="AA293" s="203">
        <v>15.92</v>
      </c>
      <c r="AB293" s="203">
        <v>-1.21</v>
      </c>
      <c r="AC293" s="203">
        <v>0</v>
      </c>
      <c r="AD293" s="203">
        <v>0</v>
      </c>
      <c r="AE293" s="203">
        <v>14.58</v>
      </c>
      <c r="AF293" s="203">
        <v>-1.59</v>
      </c>
      <c r="AG293" s="200" t="s">
        <v>279</v>
      </c>
      <c r="AH293" s="203">
        <v>0</v>
      </c>
      <c r="AI293" s="200" t="s">
        <v>279</v>
      </c>
      <c r="AJ293" s="203">
        <v>0</v>
      </c>
      <c r="AK293" s="200" t="s">
        <v>279</v>
      </c>
      <c r="AL293" s="203">
        <v>0</v>
      </c>
      <c r="AM293" s="200" t="s">
        <v>279</v>
      </c>
      <c r="AN293" s="203">
        <v>0</v>
      </c>
      <c r="AO293" s="200" t="s">
        <v>279</v>
      </c>
      <c r="AP293" s="203">
        <v>0</v>
      </c>
      <c r="AQ293" s="203">
        <v>15.92</v>
      </c>
      <c r="AR293" s="203">
        <v>0</v>
      </c>
      <c r="AS293" s="200" t="str">
        <f t="shared" si="4"/>
        <v>1.00000000</v>
      </c>
      <c r="AT293" s="200" t="str">
        <f>"29.2"</f>
        <v>29.2</v>
      </c>
      <c r="AU293" s="203">
        <v>0</v>
      </c>
    </row>
    <row r="294" spans="1:47" x14ac:dyDescent="0.2">
      <c r="A294" s="200" t="str">
        <f>"0496002595700"</f>
        <v>0496002595700</v>
      </c>
      <c r="B294" s="200">
        <v>8</v>
      </c>
      <c r="C294" s="200" t="s">
        <v>156</v>
      </c>
      <c r="D294" s="200" t="s">
        <v>414</v>
      </c>
      <c r="E294" s="200">
        <v>47</v>
      </c>
      <c r="F294" s="200" t="s">
        <v>243</v>
      </c>
      <c r="G294" s="200">
        <v>2262</v>
      </c>
      <c r="H294" s="200" t="s">
        <v>270</v>
      </c>
      <c r="I294" s="200">
        <v>23200</v>
      </c>
      <c r="J294" s="201">
        <v>42667</v>
      </c>
      <c r="K294" s="202">
        <v>5.486111111111111E-2</v>
      </c>
      <c r="L294" s="201">
        <v>42668</v>
      </c>
      <c r="M294" s="200" t="s">
        <v>271</v>
      </c>
      <c r="N294" s="200" t="s">
        <v>352</v>
      </c>
      <c r="O294" s="200" t="s">
        <v>353</v>
      </c>
      <c r="P294" s="200" t="s">
        <v>343</v>
      </c>
      <c r="Q294" s="200" t="s">
        <v>275</v>
      </c>
      <c r="R294" s="200">
        <v>1035</v>
      </c>
      <c r="S294" s="200" t="s">
        <v>156</v>
      </c>
      <c r="T294" s="200" t="s">
        <v>277</v>
      </c>
      <c r="U294" s="200">
        <v>2262</v>
      </c>
      <c r="V294" s="200" t="s">
        <v>156</v>
      </c>
      <c r="W294" s="200" t="s">
        <v>280</v>
      </c>
      <c r="X294" s="200">
        <v>13.029</v>
      </c>
      <c r="Y294" s="203">
        <v>-0.26</v>
      </c>
      <c r="Z294" s="203">
        <v>2.15</v>
      </c>
      <c r="AA294" s="203">
        <v>28</v>
      </c>
      <c r="AB294" s="203">
        <v>-2.38</v>
      </c>
      <c r="AC294" s="203">
        <v>0</v>
      </c>
      <c r="AD294" s="203">
        <v>0</v>
      </c>
      <c r="AE294" s="203">
        <v>25.36</v>
      </c>
      <c r="AF294" s="203">
        <v>-3.13</v>
      </c>
      <c r="AG294" s="200" t="s">
        <v>279</v>
      </c>
      <c r="AH294" s="203">
        <v>0</v>
      </c>
      <c r="AI294" s="200" t="s">
        <v>279</v>
      </c>
      <c r="AJ294" s="203">
        <v>0</v>
      </c>
      <c r="AK294" s="200" t="s">
        <v>279</v>
      </c>
      <c r="AL294" s="203">
        <v>0</v>
      </c>
      <c r="AM294" s="200" t="s">
        <v>279</v>
      </c>
      <c r="AN294" s="203">
        <v>0</v>
      </c>
      <c r="AO294" s="200" t="s">
        <v>279</v>
      </c>
      <c r="AP294" s="203">
        <v>0</v>
      </c>
      <c r="AQ294" s="203">
        <v>28</v>
      </c>
      <c r="AR294" s="203">
        <v>0</v>
      </c>
      <c r="AS294" s="200" t="str">
        <f t="shared" si="4"/>
        <v>1.00000000</v>
      </c>
      <c r="AT294" s="200" t="str">
        <f>"26.5"</f>
        <v>26.5</v>
      </c>
      <c r="AU294" s="203">
        <v>0</v>
      </c>
    </row>
    <row r="295" spans="1:47" x14ac:dyDescent="0.2">
      <c r="A295" s="200" t="str">
        <f>"0496002595809"</f>
        <v>0496002595809</v>
      </c>
      <c r="B295" s="200">
        <v>2</v>
      </c>
      <c r="C295" s="200" t="s">
        <v>570</v>
      </c>
      <c r="D295" s="200">
        <v>2014</v>
      </c>
      <c r="E295" s="200">
        <v>2014</v>
      </c>
      <c r="F295" s="200" t="s">
        <v>243</v>
      </c>
      <c r="G295" s="200">
        <v>2233</v>
      </c>
      <c r="H295" s="200" t="s">
        <v>270</v>
      </c>
      <c r="I295" s="200">
        <v>626</v>
      </c>
      <c r="J295" s="201">
        <v>42667</v>
      </c>
      <c r="K295" s="202">
        <v>0.37638888888888888</v>
      </c>
      <c r="L295" s="201">
        <v>42669</v>
      </c>
      <c r="M295" s="200" t="s">
        <v>271</v>
      </c>
      <c r="N295" s="200" t="s">
        <v>272</v>
      </c>
      <c r="O295" s="200" t="s">
        <v>273</v>
      </c>
      <c r="P295" s="200" t="s">
        <v>274</v>
      </c>
      <c r="Q295" s="200" t="s">
        <v>275</v>
      </c>
      <c r="R295" s="200" t="s">
        <v>276</v>
      </c>
      <c r="S295" s="200" t="s">
        <v>436</v>
      </c>
      <c r="T295" s="200" t="s">
        <v>570</v>
      </c>
      <c r="U295" s="200">
        <v>2233</v>
      </c>
      <c r="V295" s="200" t="s">
        <v>570</v>
      </c>
      <c r="W295" s="200" t="s">
        <v>280</v>
      </c>
      <c r="X295" s="200">
        <v>11.071999999999999</v>
      </c>
      <c r="Y295" s="203">
        <v>-0.22</v>
      </c>
      <c r="Z295" s="203">
        <v>2.21</v>
      </c>
      <c r="AA295" s="203">
        <v>24.46</v>
      </c>
      <c r="AB295" s="203">
        <v>-2.0299999999999998</v>
      </c>
      <c r="AC295" s="203">
        <v>0</v>
      </c>
      <c r="AD295" s="203">
        <v>0</v>
      </c>
      <c r="AE295" s="203">
        <v>22.21</v>
      </c>
      <c r="AF295" s="203">
        <v>-2.66</v>
      </c>
      <c r="AG295" s="200" t="s">
        <v>279</v>
      </c>
      <c r="AH295" s="203">
        <v>0</v>
      </c>
      <c r="AI295" s="200" t="s">
        <v>279</v>
      </c>
      <c r="AJ295" s="203">
        <v>0</v>
      </c>
      <c r="AK295" s="200" t="s">
        <v>279</v>
      </c>
      <c r="AL295" s="203">
        <v>0</v>
      </c>
      <c r="AM295" s="200" t="s">
        <v>279</v>
      </c>
      <c r="AN295" s="203">
        <v>0</v>
      </c>
      <c r="AO295" s="200" t="s">
        <v>279</v>
      </c>
      <c r="AP295" s="203">
        <v>0</v>
      </c>
      <c r="AQ295" s="203">
        <v>24.46</v>
      </c>
      <c r="AR295" s="203">
        <v>0</v>
      </c>
      <c r="AS295" s="200" t="str">
        <f t="shared" si="4"/>
        <v>1.00000000</v>
      </c>
      <c r="AT295" s="200" t="str">
        <f>"14.7"</f>
        <v>14.7</v>
      </c>
      <c r="AU295" s="203">
        <v>0</v>
      </c>
    </row>
    <row r="296" spans="1:47" x14ac:dyDescent="0.2">
      <c r="A296" s="200" t="str">
        <f>"0496002595809"</f>
        <v>0496002595809</v>
      </c>
      <c r="B296" s="200">
        <v>2</v>
      </c>
      <c r="C296" s="200" t="s">
        <v>570</v>
      </c>
      <c r="D296" s="200">
        <v>2014</v>
      </c>
      <c r="E296" s="200">
        <v>2014</v>
      </c>
      <c r="F296" s="200" t="s">
        <v>243</v>
      </c>
      <c r="G296" s="200">
        <v>2233</v>
      </c>
      <c r="H296" s="200" t="s">
        <v>270</v>
      </c>
      <c r="I296" s="200">
        <v>9039</v>
      </c>
      <c r="J296" s="201">
        <v>42667</v>
      </c>
      <c r="K296" s="202">
        <v>0.39305555555555555</v>
      </c>
      <c r="L296" s="201">
        <v>42669</v>
      </c>
      <c r="M296" s="200" t="s">
        <v>271</v>
      </c>
      <c r="N296" s="200" t="s">
        <v>272</v>
      </c>
      <c r="O296" s="200" t="s">
        <v>273</v>
      </c>
      <c r="P296" s="200" t="s">
        <v>274</v>
      </c>
      <c r="Q296" s="200" t="s">
        <v>275</v>
      </c>
      <c r="R296" s="200" t="s">
        <v>276</v>
      </c>
      <c r="S296" s="200" t="s">
        <v>436</v>
      </c>
      <c r="T296" s="200" t="s">
        <v>570</v>
      </c>
      <c r="U296" s="200">
        <v>2233</v>
      </c>
      <c r="V296" s="200" t="s">
        <v>570</v>
      </c>
      <c r="W296" s="200" t="s">
        <v>280</v>
      </c>
      <c r="X296" s="200">
        <v>12.53</v>
      </c>
      <c r="Y296" s="203">
        <v>-0.25</v>
      </c>
      <c r="Z296" s="203">
        <v>2.21</v>
      </c>
      <c r="AA296" s="203">
        <v>27.68</v>
      </c>
      <c r="AB296" s="203">
        <v>-2.29</v>
      </c>
      <c r="AC296" s="203">
        <v>0</v>
      </c>
      <c r="AD296" s="203">
        <v>0</v>
      </c>
      <c r="AE296" s="203">
        <v>25.14</v>
      </c>
      <c r="AF296" s="203">
        <v>-3.01</v>
      </c>
      <c r="AG296" s="200" t="s">
        <v>279</v>
      </c>
      <c r="AH296" s="203">
        <v>0</v>
      </c>
      <c r="AI296" s="200" t="s">
        <v>279</v>
      </c>
      <c r="AJ296" s="203">
        <v>0</v>
      </c>
      <c r="AK296" s="200" t="s">
        <v>279</v>
      </c>
      <c r="AL296" s="203">
        <v>0</v>
      </c>
      <c r="AM296" s="200" t="s">
        <v>279</v>
      </c>
      <c r="AN296" s="203">
        <v>0</v>
      </c>
      <c r="AO296" s="200" t="s">
        <v>279</v>
      </c>
      <c r="AP296" s="203">
        <v>0</v>
      </c>
      <c r="AQ296" s="203">
        <v>27.68</v>
      </c>
      <c r="AR296" s="203">
        <v>0</v>
      </c>
      <c r="AS296" s="200" t="str">
        <f t="shared" si="4"/>
        <v>1.00000000</v>
      </c>
      <c r="AT296" s="200" t="str">
        <f>"14.7"</f>
        <v>14.7</v>
      </c>
      <c r="AU296" s="203">
        <v>0</v>
      </c>
    </row>
    <row r="297" spans="1:47" x14ac:dyDescent="0.2">
      <c r="A297" s="200" t="str">
        <f>"0496002595734"</f>
        <v>0496002595734</v>
      </c>
      <c r="B297" s="200">
        <v>1</v>
      </c>
      <c r="C297" s="200" t="s">
        <v>435</v>
      </c>
      <c r="D297" s="200">
        <v>81</v>
      </c>
      <c r="E297" s="200">
        <v>81</v>
      </c>
      <c r="F297" s="200" t="s">
        <v>243</v>
      </c>
      <c r="G297" s="200">
        <v>2086</v>
      </c>
      <c r="H297" s="200" t="s">
        <v>270</v>
      </c>
      <c r="I297" s="200">
        <v>66373</v>
      </c>
      <c r="J297" s="201">
        <v>42668</v>
      </c>
      <c r="K297" s="202">
        <v>0.2298611111111111</v>
      </c>
      <c r="L297" s="201">
        <v>42670</v>
      </c>
      <c r="M297" s="200" t="s">
        <v>271</v>
      </c>
      <c r="N297" s="200" t="s">
        <v>272</v>
      </c>
      <c r="O297" s="200" t="s">
        <v>273</v>
      </c>
      <c r="P297" s="200" t="s">
        <v>274</v>
      </c>
      <c r="Q297" s="200" t="s">
        <v>275</v>
      </c>
      <c r="R297" s="200" t="s">
        <v>276</v>
      </c>
      <c r="S297" s="200" t="s">
        <v>436</v>
      </c>
      <c r="T297" s="200" t="s">
        <v>435</v>
      </c>
      <c r="U297" s="200">
        <v>2086</v>
      </c>
      <c r="V297" s="200" t="s">
        <v>435</v>
      </c>
      <c r="W297" s="200" t="s">
        <v>280</v>
      </c>
      <c r="X297" s="200">
        <v>8.6560000000000006</v>
      </c>
      <c r="Y297" s="203">
        <v>-0.17</v>
      </c>
      <c r="Z297" s="203">
        <v>2.21</v>
      </c>
      <c r="AA297" s="203">
        <v>19.13</v>
      </c>
      <c r="AB297" s="203">
        <v>-1.58</v>
      </c>
      <c r="AC297" s="203">
        <v>0</v>
      </c>
      <c r="AD297" s="203">
        <v>0</v>
      </c>
      <c r="AE297" s="203">
        <v>17.38</v>
      </c>
      <c r="AF297" s="203">
        <v>-2.08</v>
      </c>
      <c r="AG297" s="200" t="s">
        <v>279</v>
      </c>
      <c r="AH297" s="203">
        <v>0</v>
      </c>
      <c r="AI297" s="200" t="s">
        <v>279</v>
      </c>
      <c r="AJ297" s="203">
        <v>0</v>
      </c>
      <c r="AK297" s="200" t="s">
        <v>279</v>
      </c>
      <c r="AL297" s="203">
        <v>0</v>
      </c>
      <c r="AM297" s="200" t="s">
        <v>279</v>
      </c>
      <c r="AN297" s="203">
        <v>0</v>
      </c>
      <c r="AO297" s="200" t="s">
        <v>279</v>
      </c>
      <c r="AP297" s="203">
        <v>0</v>
      </c>
      <c r="AQ297" s="203">
        <v>19.13</v>
      </c>
      <c r="AR297" s="203">
        <v>0</v>
      </c>
      <c r="AS297" s="200" t="str">
        <f t="shared" si="4"/>
        <v>1.00000000</v>
      </c>
      <c r="AT297" s="200" t="str">
        <f>"17.3"</f>
        <v>17.3</v>
      </c>
      <c r="AU297" s="203">
        <v>0</v>
      </c>
    </row>
    <row r="298" spans="1:47" x14ac:dyDescent="0.2">
      <c r="A298" s="200" t="str">
        <f>"0496002595734"</f>
        <v>0496002595734</v>
      </c>
      <c r="B298" s="200">
        <v>2</v>
      </c>
      <c r="C298" s="200" t="s">
        <v>435</v>
      </c>
      <c r="D298" s="200">
        <v>80</v>
      </c>
      <c r="E298" s="200">
        <v>80</v>
      </c>
      <c r="F298" s="200" t="s">
        <v>243</v>
      </c>
      <c r="G298" s="200">
        <v>2086</v>
      </c>
      <c r="H298" s="200" t="s">
        <v>270</v>
      </c>
      <c r="I298" s="200">
        <v>72485</v>
      </c>
      <c r="J298" s="201">
        <v>42668</v>
      </c>
      <c r="K298" s="202">
        <v>0.70694444444444438</v>
      </c>
      <c r="L298" s="201">
        <v>42670</v>
      </c>
      <c r="M298" s="200" t="s">
        <v>271</v>
      </c>
      <c r="N298" s="200" t="s">
        <v>352</v>
      </c>
      <c r="O298" s="200" t="s">
        <v>353</v>
      </c>
      <c r="P298" s="200" t="s">
        <v>343</v>
      </c>
      <c r="Q298" s="200" t="s">
        <v>275</v>
      </c>
      <c r="R298" s="200">
        <v>1035</v>
      </c>
      <c r="S298" s="200" t="s">
        <v>436</v>
      </c>
      <c r="T298" s="200" t="s">
        <v>435</v>
      </c>
      <c r="U298" s="200">
        <v>2086</v>
      </c>
      <c r="V298" s="200" t="s">
        <v>435</v>
      </c>
      <c r="W298" s="200" t="s">
        <v>280</v>
      </c>
      <c r="X298" s="200">
        <v>8.4670000000000005</v>
      </c>
      <c r="Y298" s="203">
        <v>-0.17</v>
      </c>
      <c r="Z298" s="203">
        <v>2.2000000000000002</v>
      </c>
      <c r="AA298" s="203">
        <v>18.62</v>
      </c>
      <c r="AB298" s="203">
        <v>-1.55</v>
      </c>
      <c r="AC298" s="203">
        <v>0</v>
      </c>
      <c r="AD298" s="203">
        <v>0</v>
      </c>
      <c r="AE298" s="203">
        <v>16.899999999999999</v>
      </c>
      <c r="AF298" s="203">
        <v>-2.0299999999999998</v>
      </c>
      <c r="AG298" s="200" t="s">
        <v>279</v>
      </c>
      <c r="AH298" s="203">
        <v>0</v>
      </c>
      <c r="AI298" s="200" t="s">
        <v>279</v>
      </c>
      <c r="AJ298" s="203">
        <v>0</v>
      </c>
      <c r="AK298" s="200" t="s">
        <v>279</v>
      </c>
      <c r="AL298" s="203">
        <v>0</v>
      </c>
      <c r="AM298" s="200" t="s">
        <v>279</v>
      </c>
      <c r="AN298" s="203">
        <v>0</v>
      </c>
      <c r="AO298" s="200" t="s">
        <v>279</v>
      </c>
      <c r="AP298" s="203">
        <v>0</v>
      </c>
      <c r="AQ298" s="203">
        <v>18.62</v>
      </c>
      <c r="AR298" s="203">
        <v>0</v>
      </c>
      <c r="AS298" s="200" t="str">
        <f t="shared" si="4"/>
        <v>1.00000000</v>
      </c>
      <c r="AT298" s="200" t="str">
        <f>"37.4"</f>
        <v>37.4</v>
      </c>
      <c r="AU298" s="203">
        <v>0</v>
      </c>
    </row>
    <row r="299" spans="1:47" x14ac:dyDescent="0.2">
      <c r="A299" s="200" t="str">
        <f>"0496002599173"</f>
        <v>0496002599173</v>
      </c>
      <c r="B299" s="200">
        <v>3</v>
      </c>
      <c r="C299" s="200" t="s">
        <v>585</v>
      </c>
      <c r="D299" s="200" t="s">
        <v>628</v>
      </c>
      <c r="E299" s="200" t="s">
        <v>628</v>
      </c>
      <c r="F299" s="200" t="s">
        <v>243</v>
      </c>
      <c r="G299" s="200">
        <v>5738</v>
      </c>
      <c r="H299" s="200" t="s">
        <v>270</v>
      </c>
      <c r="I299" s="200">
        <v>113264</v>
      </c>
      <c r="J299" s="201">
        <v>42669</v>
      </c>
      <c r="K299" s="202">
        <v>0.32569444444444445</v>
      </c>
      <c r="L299" s="201">
        <v>42671</v>
      </c>
      <c r="M299" s="200" t="s">
        <v>606</v>
      </c>
      <c r="N299" s="200" t="s">
        <v>794</v>
      </c>
      <c r="O299" s="200" t="s">
        <v>400</v>
      </c>
      <c r="P299" s="200" t="s">
        <v>274</v>
      </c>
      <c r="Q299" s="200" t="s">
        <v>275</v>
      </c>
      <c r="R299" s="200" t="s">
        <v>401</v>
      </c>
      <c r="S299" s="200" t="s">
        <v>436</v>
      </c>
      <c r="T299" s="200" t="s">
        <v>630</v>
      </c>
      <c r="U299" s="200">
        <v>5738</v>
      </c>
      <c r="V299" s="200" t="s">
        <v>585</v>
      </c>
      <c r="W299" s="200" t="s">
        <v>280</v>
      </c>
      <c r="X299" s="200">
        <v>24.449000000000002</v>
      </c>
      <c r="Y299" s="203">
        <v>0</v>
      </c>
      <c r="Z299" s="203">
        <v>2.2200000000000002</v>
      </c>
      <c r="AA299" s="203">
        <v>54.25</v>
      </c>
      <c r="AB299" s="203">
        <v>-4.47</v>
      </c>
      <c r="AC299" s="203">
        <v>0</v>
      </c>
      <c r="AD299" s="203">
        <v>0</v>
      </c>
      <c r="AE299" s="203">
        <v>49.78</v>
      </c>
      <c r="AF299" s="203">
        <v>-5.87</v>
      </c>
      <c r="AG299" s="200" t="s">
        <v>279</v>
      </c>
      <c r="AH299" s="203">
        <v>0</v>
      </c>
      <c r="AI299" s="200" t="s">
        <v>279</v>
      </c>
      <c r="AJ299" s="203">
        <v>0</v>
      </c>
      <c r="AK299" s="200" t="s">
        <v>279</v>
      </c>
      <c r="AL299" s="203">
        <v>0</v>
      </c>
      <c r="AM299" s="200" t="s">
        <v>279</v>
      </c>
      <c r="AN299" s="203">
        <v>0</v>
      </c>
      <c r="AO299" s="200" t="s">
        <v>279</v>
      </c>
      <c r="AP299" s="203">
        <v>0</v>
      </c>
      <c r="AQ299" s="203">
        <v>54.25</v>
      </c>
      <c r="AR299" s="203">
        <v>0</v>
      </c>
      <c r="AS299" s="200" t="str">
        <f t="shared" si="4"/>
        <v>1.00000000</v>
      </c>
      <c r="AT299" s="200" t="str">
        <f>"12.4"</f>
        <v>12.4</v>
      </c>
      <c r="AU299" s="203">
        <v>0</v>
      </c>
    </row>
    <row r="300" spans="1:47" x14ac:dyDescent="0.2">
      <c r="A300" s="200" t="str">
        <f>"0496002595700"</f>
        <v>0496002595700</v>
      </c>
      <c r="B300" s="200">
        <v>2</v>
      </c>
      <c r="C300" s="200" t="s">
        <v>156</v>
      </c>
      <c r="D300" s="200">
        <v>42</v>
      </c>
      <c r="E300" s="200">
        <v>42</v>
      </c>
      <c r="F300" s="200" t="s">
        <v>243</v>
      </c>
      <c r="G300" s="200">
        <v>2262</v>
      </c>
      <c r="H300" s="200" t="s">
        <v>270</v>
      </c>
      <c r="I300" s="200">
        <v>33192</v>
      </c>
      <c r="J300" s="201">
        <v>42670</v>
      </c>
      <c r="K300" s="202">
        <v>0.48055555555555557</v>
      </c>
      <c r="L300" s="201">
        <v>42674</v>
      </c>
      <c r="M300" s="200" t="s">
        <v>271</v>
      </c>
      <c r="N300" s="200" t="s">
        <v>272</v>
      </c>
      <c r="O300" s="200" t="s">
        <v>273</v>
      </c>
      <c r="P300" s="200" t="s">
        <v>274</v>
      </c>
      <c r="Q300" s="200" t="s">
        <v>275</v>
      </c>
      <c r="R300" s="200" t="s">
        <v>276</v>
      </c>
      <c r="S300" s="200" t="s">
        <v>156</v>
      </c>
      <c r="T300" s="200" t="s">
        <v>277</v>
      </c>
      <c r="U300" s="200">
        <v>2262</v>
      </c>
      <c r="V300" s="200" t="s">
        <v>156</v>
      </c>
      <c r="W300" s="200" t="s">
        <v>280</v>
      </c>
      <c r="X300" s="200">
        <v>8.7729999999999997</v>
      </c>
      <c r="Y300" s="203">
        <v>-0.18</v>
      </c>
      <c r="Z300" s="203">
        <v>2.21</v>
      </c>
      <c r="AA300" s="203">
        <v>19.38</v>
      </c>
      <c r="AB300" s="203">
        <v>-1.61</v>
      </c>
      <c r="AC300" s="203">
        <v>0</v>
      </c>
      <c r="AD300" s="203">
        <v>0</v>
      </c>
      <c r="AE300" s="203">
        <v>17.59</v>
      </c>
      <c r="AF300" s="203">
        <v>-2.11</v>
      </c>
      <c r="AG300" s="200" t="s">
        <v>279</v>
      </c>
      <c r="AH300" s="203">
        <v>0</v>
      </c>
      <c r="AI300" s="200" t="s">
        <v>279</v>
      </c>
      <c r="AJ300" s="203">
        <v>0</v>
      </c>
      <c r="AK300" s="200" t="s">
        <v>279</v>
      </c>
      <c r="AL300" s="203">
        <v>0</v>
      </c>
      <c r="AM300" s="200" t="s">
        <v>279</v>
      </c>
      <c r="AN300" s="203">
        <v>0</v>
      </c>
      <c r="AO300" s="200" t="s">
        <v>279</v>
      </c>
      <c r="AP300" s="203">
        <v>0</v>
      </c>
      <c r="AQ300" s="203">
        <v>19.38</v>
      </c>
      <c r="AR300" s="203">
        <v>0</v>
      </c>
      <c r="AS300" s="200" t="str">
        <f t="shared" si="4"/>
        <v>1.00000000</v>
      </c>
      <c r="AT300" s="200" t="str">
        <f>"41.8"</f>
        <v>41.8</v>
      </c>
      <c r="AU300" s="203">
        <v>0</v>
      </c>
    </row>
    <row r="301" spans="1:47" x14ac:dyDescent="0.2">
      <c r="A301" s="200" t="str">
        <f>"0496002599173"</f>
        <v>0496002599173</v>
      </c>
      <c r="B301" s="200">
        <v>1</v>
      </c>
      <c r="C301" s="200" t="s">
        <v>585</v>
      </c>
      <c r="D301" s="200" t="s">
        <v>586</v>
      </c>
      <c r="E301" s="200" t="s">
        <v>586</v>
      </c>
      <c r="F301" s="200" t="s">
        <v>243</v>
      </c>
      <c r="G301" s="200">
        <v>5314</v>
      </c>
      <c r="H301" s="200" t="s">
        <v>270</v>
      </c>
      <c r="I301" s="200">
        <v>62073</v>
      </c>
      <c r="J301" s="201">
        <v>42670</v>
      </c>
      <c r="K301" s="202">
        <v>0.60763888888888895</v>
      </c>
      <c r="L301" s="201">
        <v>42674</v>
      </c>
      <c r="M301" s="200" t="s">
        <v>271</v>
      </c>
      <c r="N301" s="200" t="s">
        <v>588</v>
      </c>
      <c r="O301" s="200" t="s">
        <v>589</v>
      </c>
      <c r="P301" s="200" t="s">
        <v>590</v>
      </c>
      <c r="Q301" s="200" t="s">
        <v>275</v>
      </c>
      <c r="R301" s="200">
        <v>1075</v>
      </c>
      <c r="S301" s="200" t="s">
        <v>436</v>
      </c>
      <c r="T301" s="200" t="s">
        <v>587</v>
      </c>
      <c r="U301" s="200">
        <v>5314</v>
      </c>
      <c r="V301" s="200" t="s">
        <v>585</v>
      </c>
      <c r="W301" s="200" t="s">
        <v>280</v>
      </c>
      <c r="X301" s="200">
        <v>23.408000000000001</v>
      </c>
      <c r="Y301" s="203">
        <v>-0.47</v>
      </c>
      <c r="Z301" s="203">
        <v>2.14</v>
      </c>
      <c r="AA301" s="203">
        <v>50.07</v>
      </c>
      <c r="AB301" s="203">
        <v>-4.28</v>
      </c>
      <c r="AC301" s="203">
        <v>0</v>
      </c>
      <c r="AD301" s="203">
        <v>0</v>
      </c>
      <c r="AE301" s="203">
        <v>45.32</v>
      </c>
      <c r="AF301" s="203">
        <v>-5.62</v>
      </c>
      <c r="AG301" s="200" t="s">
        <v>279</v>
      </c>
      <c r="AH301" s="203">
        <v>0</v>
      </c>
      <c r="AI301" s="200" t="s">
        <v>279</v>
      </c>
      <c r="AJ301" s="203">
        <v>0</v>
      </c>
      <c r="AK301" s="200" t="s">
        <v>279</v>
      </c>
      <c r="AL301" s="203">
        <v>0</v>
      </c>
      <c r="AM301" s="200" t="s">
        <v>279</v>
      </c>
      <c r="AN301" s="203">
        <v>0</v>
      </c>
      <c r="AO301" s="200" t="s">
        <v>279</v>
      </c>
      <c r="AP301" s="203">
        <v>0</v>
      </c>
      <c r="AQ301" s="203">
        <v>50.07</v>
      </c>
      <c r="AR301" s="203">
        <v>0</v>
      </c>
      <c r="AS301" s="200" t="str">
        <f t="shared" si="4"/>
        <v>1.00000000</v>
      </c>
      <c r="AT301" s="200" t="str">
        <f>"14.6"</f>
        <v>14.6</v>
      </c>
      <c r="AU301" s="203">
        <v>0</v>
      </c>
    </row>
    <row r="302" spans="1:47" x14ac:dyDescent="0.2">
      <c r="A302" s="200" t="str">
        <f>"0496002599173"</f>
        <v>0496002599173</v>
      </c>
      <c r="B302" s="200">
        <v>2</v>
      </c>
      <c r="C302" s="200" t="s">
        <v>585</v>
      </c>
      <c r="D302" s="200" t="s">
        <v>594</v>
      </c>
      <c r="E302" s="200" t="s">
        <v>594</v>
      </c>
      <c r="F302" s="200" t="s">
        <v>243</v>
      </c>
      <c r="G302" s="200">
        <v>5647</v>
      </c>
      <c r="H302" s="200" t="s">
        <v>270</v>
      </c>
      <c r="I302" s="200">
        <v>112516</v>
      </c>
      <c r="J302" s="201">
        <v>42670</v>
      </c>
      <c r="K302" s="202">
        <v>0.65</v>
      </c>
      <c r="L302" s="201">
        <v>42674</v>
      </c>
      <c r="M302" s="200" t="s">
        <v>271</v>
      </c>
      <c r="N302" s="200" t="s">
        <v>352</v>
      </c>
      <c r="O302" s="200" t="s">
        <v>353</v>
      </c>
      <c r="P302" s="200" t="s">
        <v>343</v>
      </c>
      <c r="Q302" s="200" t="s">
        <v>275</v>
      </c>
      <c r="R302" s="200">
        <v>1035</v>
      </c>
      <c r="S302" s="200" t="s">
        <v>436</v>
      </c>
      <c r="T302" s="200" t="s">
        <v>595</v>
      </c>
      <c r="U302" s="200">
        <v>5647</v>
      </c>
      <c r="V302" s="200" t="s">
        <v>585</v>
      </c>
      <c r="W302" s="200" t="s">
        <v>280</v>
      </c>
      <c r="X302" s="200">
        <v>25.356999999999999</v>
      </c>
      <c r="Y302" s="203">
        <v>-0.51</v>
      </c>
      <c r="Z302" s="203">
        <v>2.17</v>
      </c>
      <c r="AA302" s="203">
        <v>55</v>
      </c>
      <c r="AB302" s="203">
        <v>-4.6399999999999997</v>
      </c>
      <c r="AC302" s="203">
        <v>0</v>
      </c>
      <c r="AD302" s="203">
        <v>0</v>
      </c>
      <c r="AE302" s="203">
        <v>49.85</v>
      </c>
      <c r="AF302" s="203">
        <v>-6.09</v>
      </c>
      <c r="AG302" s="200" t="s">
        <v>279</v>
      </c>
      <c r="AH302" s="203">
        <v>0</v>
      </c>
      <c r="AI302" s="200" t="s">
        <v>279</v>
      </c>
      <c r="AJ302" s="203">
        <v>0</v>
      </c>
      <c r="AK302" s="200" t="s">
        <v>279</v>
      </c>
      <c r="AL302" s="203">
        <v>0</v>
      </c>
      <c r="AM302" s="200" t="s">
        <v>279</v>
      </c>
      <c r="AN302" s="203">
        <v>0</v>
      </c>
      <c r="AO302" s="200" t="s">
        <v>279</v>
      </c>
      <c r="AP302" s="203">
        <v>0</v>
      </c>
      <c r="AQ302" s="203">
        <v>55</v>
      </c>
      <c r="AR302" s="203">
        <v>0</v>
      </c>
      <c r="AS302" s="200" t="str">
        <f t="shared" si="4"/>
        <v>1.00000000</v>
      </c>
      <c r="AT302" s="200" t="str">
        <f>"13.0"</f>
        <v>13.0</v>
      </c>
      <c r="AU302" s="203">
        <v>0</v>
      </c>
    </row>
    <row r="303" spans="1:47" x14ac:dyDescent="0.2">
      <c r="A303" s="200" t="str">
        <f>"0496002756187"</f>
        <v>0496002756187</v>
      </c>
      <c r="B303" s="200">
        <v>1</v>
      </c>
      <c r="C303" s="200" t="s">
        <v>599</v>
      </c>
      <c r="D303" s="200">
        <v>48</v>
      </c>
      <c r="E303" s="200">
        <v>48</v>
      </c>
      <c r="F303" s="200" t="s">
        <v>243</v>
      </c>
      <c r="G303" s="200">
        <v>8317</v>
      </c>
      <c r="H303" s="200" t="s">
        <v>270</v>
      </c>
      <c r="I303" s="200">
        <v>17739</v>
      </c>
      <c r="J303" s="201">
        <v>42670</v>
      </c>
      <c r="K303" s="202">
        <v>0.69861111111111107</v>
      </c>
      <c r="L303" s="201">
        <v>42674</v>
      </c>
      <c r="M303" s="200" t="s">
        <v>271</v>
      </c>
      <c r="N303" s="200" t="s">
        <v>272</v>
      </c>
      <c r="O303" s="200" t="s">
        <v>273</v>
      </c>
      <c r="P303" s="200" t="s">
        <v>274</v>
      </c>
      <c r="Q303" s="200" t="s">
        <v>275</v>
      </c>
      <c r="R303" s="200" t="s">
        <v>276</v>
      </c>
      <c r="S303" s="200" t="s">
        <v>600</v>
      </c>
      <c r="T303" s="200" t="s">
        <v>436</v>
      </c>
      <c r="U303" s="200">
        <v>8317</v>
      </c>
      <c r="V303" s="200" t="s">
        <v>599</v>
      </c>
      <c r="W303" s="200" t="s">
        <v>280</v>
      </c>
      <c r="X303" s="200">
        <v>14.44</v>
      </c>
      <c r="Y303" s="203">
        <v>-0.28999999999999998</v>
      </c>
      <c r="Z303" s="203">
        <v>2.21</v>
      </c>
      <c r="AA303" s="203">
        <v>31.9</v>
      </c>
      <c r="AB303" s="203">
        <v>-2.64</v>
      </c>
      <c r="AC303" s="203">
        <v>0</v>
      </c>
      <c r="AD303" s="203">
        <v>0</v>
      </c>
      <c r="AE303" s="203">
        <v>28.97</v>
      </c>
      <c r="AF303" s="203">
        <v>-3.47</v>
      </c>
      <c r="AG303" s="200" t="s">
        <v>279</v>
      </c>
      <c r="AH303" s="203">
        <v>0</v>
      </c>
      <c r="AI303" s="200" t="s">
        <v>279</v>
      </c>
      <c r="AJ303" s="203">
        <v>0</v>
      </c>
      <c r="AK303" s="200" t="s">
        <v>279</v>
      </c>
      <c r="AL303" s="203">
        <v>0</v>
      </c>
      <c r="AM303" s="200" t="s">
        <v>279</v>
      </c>
      <c r="AN303" s="203">
        <v>0</v>
      </c>
      <c r="AO303" s="200" t="s">
        <v>279</v>
      </c>
      <c r="AP303" s="203">
        <v>0</v>
      </c>
      <c r="AQ303" s="203">
        <v>31.9</v>
      </c>
      <c r="AR303" s="203">
        <v>0</v>
      </c>
      <c r="AS303" s="200" t="str">
        <f t="shared" si="4"/>
        <v>1.00000000</v>
      </c>
      <c r="AT303" s="200" t="str">
        <f>"295.9"</f>
        <v>295.9</v>
      </c>
      <c r="AU303" s="203">
        <v>0</v>
      </c>
    </row>
    <row r="304" spans="1:47" x14ac:dyDescent="0.2">
      <c r="A304" s="200" t="str">
        <f>"0496002595700"</f>
        <v>0496002595700</v>
      </c>
      <c r="B304" s="200">
        <v>2</v>
      </c>
      <c r="C304" s="200" t="s">
        <v>156</v>
      </c>
      <c r="D304" s="200">
        <v>42</v>
      </c>
      <c r="E304" s="200">
        <v>42</v>
      </c>
      <c r="F304" s="200" t="s">
        <v>243</v>
      </c>
      <c r="G304" s="200">
        <v>2262</v>
      </c>
      <c r="H304" s="200" t="s">
        <v>270</v>
      </c>
      <c r="I304" s="200">
        <v>33445</v>
      </c>
      <c r="J304" s="201">
        <v>42671</v>
      </c>
      <c r="K304" s="202">
        <v>0.69236111111111109</v>
      </c>
      <c r="L304" s="201">
        <v>42675</v>
      </c>
      <c r="M304" s="200" t="s">
        <v>325</v>
      </c>
      <c r="N304" s="200" t="s">
        <v>326</v>
      </c>
      <c r="O304" s="200" t="s">
        <v>388</v>
      </c>
      <c r="P304" s="200" t="s">
        <v>389</v>
      </c>
      <c r="Q304" s="200" t="s">
        <v>275</v>
      </c>
      <c r="R304" s="200">
        <v>1364</v>
      </c>
      <c r="S304" s="200" t="s">
        <v>156</v>
      </c>
      <c r="T304" s="200" t="s">
        <v>277</v>
      </c>
      <c r="U304" s="200">
        <v>2262</v>
      </c>
      <c r="V304" s="200" t="s">
        <v>156</v>
      </c>
      <c r="W304" s="200" t="s">
        <v>280</v>
      </c>
      <c r="X304" s="200">
        <v>5.9180000000000001</v>
      </c>
      <c r="Y304" s="203">
        <v>0</v>
      </c>
      <c r="Z304" s="203">
        <v>2.2999999999999998</v>
      </c>
      <c r="AA304" s="203">
        <v>13.61</v>
      </c>
      <c r="AB304" s="203">
        <v>-1.08</v>
      </c>
      <c r="AC304" s="203">
        <v>0</v>
      </c>
      <c r="AD304" s="203">
        <v>0</v>
      </c>
      <c r="AE304" s="203">
        <v>12.53</v>
      </c>
      <c r="AF304" s="203">
        <v>-1.42</v>
      </c>
      <c r="AG304" s="200" t="s">
        <v>279</v>
      </c>
      <c r="AH304" s="203">
        <v>0</v>
      </c>
      <c r="AI304" s="200" t="s">
        <v>279</v>
      </c>
      <c r="AJ304" s="203">
        <v>0</v>
      </c>
      <c r="AK304" s="200" t="s">
        <v>279</v>
      </c>
      <c r="AL304" s="203">
        <v>0</v>
      </c>
      <c r="AM304" s="200" t="s">
        <v>279</v>
      </c>
      <c r="AN304" s="203">
        <v>0</v>
      </c>
      <c r="AO304" s="200" t="s">
        <v>279</v>
      </c>
      <c r="AP304" s="203">
        <v>0</v>
      </c>
      <c r="AQ304" s="203">
        <v>13.61</v>
      </c>
      <c r="AR304" s="203">
        <v>0</v>
      </c>
      <c r="AS304" s="200" t="str">
        <f t="shared" si="4"/>
        <v>1.00000000</v>
      </c>
      <c r="AT304" s="200" t="str">
        <f>"42.8"</f>
        <v>42.8</v>
      </c>
      <c r="AU304" s="203">
        <v>0</v>
      </c>
    </row>
    <row r="305" spans="1:47" x14ac:dyDescent="0.2">
      <c r="A305" s="200" t="str">
        <f>"0496002595734"</f>
        <v>0496002595734</v>
      </c>
      <c r="B305" s="200">
        <v>1</v>
      </c>
      <c r="C305" s="200" t="s">
        <v>435</v>
      </c>
      <c r="D305" s="200">
        <v>81</v>
      </c>
      <c r="E305" s="200">
        <v>81</v>
      </c>
      <c r="F305" s="200" t="s">
        <v>243</v>
      </c>
      <c r="G305" s="200">
        <v>2086</v>
      </c>
      <c r="H305" s="200" t="s">
        <v>270</v>
      </c>
      <c r="I305" s="200">
        <v>66692</v>
      </c>
      <c r="J305" s="201">
        <v>42671</v>
      </c>
      <c r="K305" s="202">
        <v>0.48333333333333334</v>
      </c>
      <c r="L305" s="201">
        <v>42675</v>
      </c>
      <c r="M305" s="200" t="s">
        <v>271</v>
      </c>
      <c r="N305" s="200" t="s">
        <v>272</v>
      </c>
      <c r="O305" s="200" t="s">
        <v>273</v>
      </c>
      <c r="P305" s="200" t="s">
        <v>274</v>
      </c>
      <c r="Q305" s="200" t="s">
        <v>275</v>
      </c>
      <c r="R305" s="200" t="s">
        <v>276</v>
      </c>
      <c r="S305" s="200" t="s">
        <v>436</v>
      </c>
      <c r="T305" s="200" t="s">
        <v>435</v>
      </c>
      <c r="U305" s="200">
        <v>2086</v>
      </c>
      <c r="V305" s="200" t="s">
        <v>435</v>
      </c>
      <c r="W305" s="200" t="s">
        <v>280</v>
      </c>
      <c r="X305" s="200">
        <v>17.170000000000002</v>
      </c>
      <c r="Y305" s="203">
        <v>-0.34</v>
      </c>
      <c r="Z305" s="203">
        <v>2.21</v>
      </c>
      <c r="AA305" s="203">
        <v>37.93</v>
      </c>
      <c r="AB305" s="203">
        <v>-3.14</v>
      </c>
      <c r="AC305" s="203">
        <v>0</v>
      </c>
      <c r="AD305" s="203">
        <v>0</v>
      </c>
      <c r="AE305" s="203">
        <v>34.450000000000003</v>
      </c>
      <c r="AF305" s="203">
        <v>-4.12</v>
      </c>
      <c r="AG305" s="200" t="s">
        <v>279</v>
      </c>
      <c r="AH305" s="203">
        <v>0</v>
      </c>
      <c r="AI305" s="200" t="s">
        <v>279</v>
      </c>
      <c r="AJ305" s="203">
        <v>0</v>
      </c>
      <c r="AK305" s="200" t="s">
        <v>279</v>
      </c>
      <c r="AL305" s="203">
        <v>0</v>
      </c>
      <c r="AM305" s="200" t="s">
        <v>279</v>
      </c>
      <c r="AN305" s="203">
        <v>0</v>
      </c>
      <c r="AO305" s="200" t="s">
        <v>279</v>
      </c>
      <c r="AP305" s="203">
        <v>0</v>
      </c>
      <c r="AQ305" s="203">
        <v>37.93</v>
      </c>
      <c r="AR305" s="203">
        <v>0</v>
      </c>
      <c r="AS305" s="200" t="str">
        <f t="shared" si="4"/>
        <v>1.00000000</v>
      </c>
      <c r="AT305" s="200" t="str">
        <f>"18.6"</f>
        <v>18.6</v>
      </c>
      <c r="AU305" s="203">
        <v>0</v>
      </c>
    </row>
    <row r="306" spans="1:47" x14ac:dyDescent="0.2">
      <c r="A306" s="200" t="str">
        <f>"0496002595734"</f>
        <v>0496002595734</v>
      </c>
      <c r="B306" s="200">
        <v>3</v>
      </c>
      <c r="C306" s="200" t="s">
        <v>435</v>
      </c>
      <c r="D306" s="200">
        <v>82</v>
      </c>
      <c r="E306" s="200">
        <v>82</v>
      </c>
      <c r="F306" s="200" t="s">
        <v>243</v>
      </c>
      <c r="G306" s="200">
        <v>2086</v>
      </c>
      <c r="H306" s="200" t="s">
        <v>270</v>
      </c>
      <c r="I306" s="200">
        <v>52840</v>
      </c>
      <c r="J306" s="201">
        <v>42671</v>
      </c>
      <c r="K306" s="202">
        <v>0.55277777777777781</v>
      </c>
      <c r="L306" s="201">
        <v>42675</v>
      </c>
      <c r="M306" s="200" t="s">
        <v>606</v>
      </c>
      <c r="N306" s="200" t="s">
        <v>794</v>
      </c>
      <c r="O306" s="200" t="s">
        <v>400</v>
      </c>
      <c r="P306" s="200" t="s">
        <v>274</v>
      </c>
      <c r="Q306" s="200" t="s">
        <v>275</v>
      </c>
      <c r="R306" s="200" t="s">
        <v>401</v>
      </c>
      <c r="S306" s="200" t="s">
        <v>436</v>
      </c>
      <c r="T306" s="200" t="s">
        <v>435</v>
      </c>
      <c r="U306" s="200">
        <v>2086</v>
      </c>
      <c r="V306" s="200" t="s">
        <v>435</v>
      </c>
      <c r="W306" s="200" t="s">
        <v>280</v>
      </c>
      <c r="X306" s="200">
        <v>9.0440000000000005</v>
      </c>
      <c r="Y306" s="203">
        <v>0</v>
      </c>
      <c r="Z306" s="203">
        <v>2.2200000000000002</v>
      </c>
      <c r="AA306" s="203">
        <v>20.07</v>
      </c>
      <c r="AB306" s="203">
        <v>-1.66</v>
      </c>
      <c r="AC306" s="203">
        <v>0</v>
      </c>
      <c r="AD306" s="203">
        <v>0</v>
      </c>
      <c r="AE306" s="203">
        <v>18.41</v>
      </c>
      <c r="AF306" s="203">
        <v>-2.17</v>
      </c>
      <c r="AG306" s="200" t="s">
        <v>279</v>
      </c>
      <c r="AH306" s="203">
        <v>0</v>
      </c>
      <c r="AI306" s="200" t="s">
        <v>279</v>
      </c>
      <c r="AJ306" s="203">
        <v>0</v>
      </c>
      <c r="AK306" s="200" t="s">
        <v>279</v>
      </c>
      <c r="AL306" s="203">
        <v>0</v>
      </c>
      <c r="AM306" s="200" t="s">
        <v>279</v>
      </c>
      <c r="AN306" s="203">
        <v>0</v>
      </c>
      <c r="AO306" s="200" t="s">
        <v>279</v>
      </c>
      <c r="AP306" s="203">
        <v>0</v>
      </c>
      <c r="AQ306" s="203">
        <v>20.07</v>
      </c>
      <c r="AR306" s="203">
        <v>0</v>
      </c>
      <c r="AS306" s="200" t="str">
        <f t="shared" si="4"/>
        <v>1.00000000</v>
      </c>
      <c r="AT306" s="200" t="str">
        <f>"19.6"</f>
        <v>19.6</v>
      </c>
      <c r="AU306" s="203">
        <v>0</v>
      </c>
    </row>
    <row r="307" spans="1:47" x14ac:dyDescent="0.2">
      <c r="A307" s="200" t="str">
        <f>"0496002599140"</f>
        <v>0496002599140</v>
      </c>
      <c r="B307" s="200">
        <v>1</v>
      </c>
      <c r="C307" s="200" t="s">
        <v>581</v>
      </c>
      <c r="D307" s="200" t="s">
        <v>582</v>
      </c>
      <c r="E307" s="200" t="s">
        <v>582</v>
      </c>
      <c r="F307" s="200" t="s">
        <v>243</v>
      </c>
      <c r="G307" s="200">
        <v>2323</v>
      </c>
      <c r="H307" s="200" t="s">
        <v>270</v>
      </c>
      <c r="I307" s="200">
        <v>99</v>
      </c>
      <c r="J307" s="201">
        <v>42671</v>
      </c>
      <c r="K307" s="202">
        <v>0.61805555555555558</v>
      </c>
      <c r="L307" s="201">
        <v>42675</v>
      </c>
      <c r="M307" s="200" t="s">
        <v>606</v>
      </c>
      <c r="N307" s="200" t="s">
        <v>794</v>
      </c>
      <c r="O307" s="200" t="s">
        <v>400</v>
      </c>
      <c r="P307" s="200" t="s">
        <v>274</v>
      </c>
      <c r="Q307" s="200" t="s">
        <v>275</v>
      </c>
      <c r="R307" s="200" t="s">
        <v>401</v>
      </c>
      <c r="S307" s="200" t="s">
        <v>436</v>
      </c>
      <c r="T307" s="200" t="s">
        <v>581</v>
      </c>
      <c r="U307" s="200">
        <v>2323</v>
      </c>
      <c r="V307" s="200" t="s">
        <v>581</v>
      </c>
      <c r="W307" s="200" t="s">
        <v>278</v>
      </c>
      <c r="X307" s="200">
        <v>19.809999999999999</v>
      </c>
      <c r="Y307" s="203">
        <v>0</v>
      </c>
      <c r="Z307" s="203">
        <v>2.5499999999999998</v>
      </c>
      <c r="AA307" s="203">
        <v>50.5</v>
      </c>
      <c r="AB307" s="203">
        <v>-3.63</v>
      </c>
      <c r="AC307" s="203">
        <v>0</v>
      </c>
      <c r="AD307" s="203">
        <v>0</v>
      </c>
      <c r="AE307" s="203">
        <v>46.87</v>
      </c>
      <c r="AF307" s="203">
        <v>-4.75</v>
      </c>
      <c r="AG307" s="200" t="s">
        <v>279</v>
      </c>
      <c r="AH307" s="203">
        <v>0</v>
      </c>
      <c r="AI307" s="200" t="s">
        <v>279</v>
      </c>
      <c r="AJ307" s="203">
        <v>0</v>
      </c>
      <c r="AK307" s="200" t="s">
        <v>279</v>
      </c>
      <c r="AL307" s="203">
        <v>0</v>
      </c>
      <c r="AM307" s="200" t="s">
        <v>279</v>
      </c>
      <c r="AN307" s="203">
        <v>0</v>
      </c>
      <c r="AO307" s="200" t="s">
        <v>279</v>
      </c>
      <c r="AP307" s="203">
        <v>0</v>
      </c>
      <c r="AQ307" s="203">
        <v>50.5</v>
      </c>
      <c r="AR307" s="203">
        <v>0</v>
      </c>
      <c r="AS307" s="200" t="str">
        <f t="shared" si="4"/>
        <v>1.00000000</v>
      </c>
      <c r="AT307" s="200" t="str">
        <f>"0.0"</f>
        <v>0.0</v>
      </c>
      <c r="AU307" s="203">
        <v>0</v>
      </c>
    </row>
    <row r="308" spans="1:47" x14ac:dyDescent="0.2">
      <c r="A308" s="200" t="str">
        <f>"0496002599140"</f>
        <v>0496002599140</v>
      </c>
      <c r="B308" s="200">
        <v>1</v>
      </c>
      <c r="C308" s="200" t="s">
        <v>581</v>
      </c>
      <c r="D308" s="200" t="s">
        <v>582</v>
      </c>
      <c r="E308" s="200" t="s">
        <v>582</v>
      </c>
      <c r="F308" s="200" t="s">
        <v>243</v>
      </c>
      <c r="G308" s="200">
        <v>2323</v>
      </c>
      <c r="H308" s="200" t="s">
        <v>270</v>
      </c>
      <c r="I308" s="200">
        <v>999</v>
      </c>
      <c r="J308" s="201">
        <v>42671</v>
      </c>
      <c r="K308" s="202">
        <v>0.75902777777777775</v>
      </c>
      <c r="L308" s="201">
        <v>42675</v>
      </c>
      <c r="M308" s="200" t="s">
        <v>271</v>
      </c>
      <c r="N308" s="200" t="s">
        <v>352</v>
      </c>
      <c r="O308" s="200" t="s">
        <v>353</v>
      </c>
      <c r="P308" s="200" t="s">
        <v>343</v>
      </c>
      <c r="Q308" s="200" t="s">
        <v>275</v>
      </c>
      <c r="R308" s="200">
        <v>1035</v>
      </c>
      <c r="S308" s="200" t="s">
        <v>436</v>
      </c>
      <c r="T308" s="200" t="s">
        <v>581</v>
      </c>
      <c r="U308" s="200">
        <v>2323</v>
      </c>
      <c r="V308" s="200" t="s">
        <v>581</v>
      </c>
      <c r="W308" s="200" t="s">
        <v>280</v>
      </c>
      <c r="X308" s="200">
        <v>25.277999999999999</v>
      </c>
      <c r="Y308" s="203">
        <v>-0.51</v>
      </c>
      <c r="Z308" s="203">
        <v>2.17</v>
      </c>
      <c r="AA308" s="203">
        <v>54.83</v>
      </c>
      <c r="AB308" s="203">
        <v>-4.63</v>
      </c>
      <c r="AC308" s="203">
        <v>0</v>
      </c>
      <c r="AD308" s="203">
        <v>0</v>
      </c>
      <c r="AE308" s="203">
        <v>49.69</v>
      </c>
      <c r="AF308" s="203">
        <v>-6.07</v>
      </c>
      <c r="AG308" s="200" t="s">
        <v>279</v>
      </c>
      <c r="AH308" s="203">
        <v>0</v>
      </c>
      <c r="AI308" s="200" t="s">
        <v>279</v>
      </c>
      <c r="AJ308" s="203">
        <v>0</v>
      </c>
      <c r="AK308" s="200" t="s">
        <v>279</v>
      </c>
      <c r="AL308" s="203">
        <v>0</v>
      </c>
      <c r="AM308" s="200" t="s">
        <v>279</v>
      </c>
      <c r="AN308" s="203">
        <v>0</v>
      </c>
      <c r="AO308" s="200" t="s">
        <v>279</v>
      </c>
      <c r="AP308" s="203">
        <v>0</v>
      </c>
      <c r="AQ308" s="203">
        <v>54.83</v>
      </c>
      <c r="AR308" s="203">
        <v>0</v>
      </c>
      <c r="AS308" s="200" t="str">
        <f t="shared" si="4"/>
        <v>1.00000000</v>
      </c>
      <c r="AT308" s="200" t="str">
        <f>"35.6"</f>
        <v>35.6</v>
      </c>
      <c r="AU308" s="203">
        <v>0</v>
      </c>
    </row>
    <row r="309" spans="1:47" x14ac:dyDescent="0.2">
      <c r="A309" s="200" t="str">
        <f>"0496002599140"</f>
        <v>0496002599140</v>
      </c>
      <c r="B309" s="200">
        <v>1</v>
      </c>
      <c r="C309" s="200" t="s">
        <v>581</v>
      </c>
      <c r="D309" s="200" t="s">
        <v>582</v>
      </c>
      <c r="E309" s="200" t="s">
        <v>582</v>
      </c>
      <c r="F309" s="200" t="s">
        <v>243</v>
      </c>
      <c r="G309" s="200">
        <v>2323</v>
      </c>
      <c r="H309" s="200" t="s">
        <v>270</v>
      </c>
      <c r="I309" s="200">
        <v>999</v>
      </c>
      <c r="J309" s="201">
        <v>42671</v>
      </c>
      <c r="K309" s="202">
        <v>0.7597222222222223</v>
      </c>
      <c r="L309" s="201">
        <v>42675</v>
      </c>
      <c r="M309" s="200" t="s">
        <v>271</v>
      </c>
      <c r="N309" s="200" t="s">
        <v>352</v>
      </c>
      <c r="O309" s="200" t="s">
        <v>353</v>
      </c>
      <c r="P309" s="200" t="s">
        <v>343</v>
      </c>
      <c r="Q309" s="200" t="s">
        <v>275</v>
      </c>
      <c r="R309" s="200">
        <v>1035</v>
      </c>
      <c r="S309" s="200" t="s">
        <v>436</v>
      </c>
      <c r="T309" s="200" t="s">
        <v>581</v>
      </c>
      <c r="U309" s="200">
        <v>2323</v>
      </c>
      <c r="V309" s="200" t="s">
        <v>581</v>
      </c>
      <c r="W309" s="200" t="s">
        <v>280</v>
      </c>
      <c r="X309" s="200">
        <v>22.466000000000001</v>
      </c>
      <c r="Y309" s="203">
        <v>-0.45</v>
      </c>
      <c r="Z309" s="203">
        <v>2.17</v>
      </c>
      <c r="AA309" s="203">
        <v>48.73</v>
      </c>
      <c r="AB309" s="203">
        <v>-4.1100000000000003</v>
      </c>
      <c r="AC309" s="203">
        <v>0</v>
      </c>
      <c r="AD309" s="203">
        <v>0</v>
      </c>
      <c r="AE309" s="203">
        <v>44.17</v>
      </c>
      <c r="AF309" s="203">
        <v>-5.39</v>
      </c>
      <c r="AG309" s="200" t="s">
        <v>279</v>
      </c>
      <c r="AH309" s="203">
        <v>0</v>
      </c>
      <c r="AI309" s="200" t="s">
        <v>279</v>
      </c>
      <c r="AJ309" s="203">
        <v>0</v>
      </c>
      <c r="AK309" s="200" t="s">
        <v>279</v>
      </c>
      <c r="AL309" s="203">
        <v>0</v>
      </c>
      <c r="AM309" s="200" t="s">
        <v>279</v>
      </c>
      <c r="AN309" s="203">
        <v>0</v>
      </c>
      <c r="AO309" s="200" t="s">
        <v>279</v>
      </c>
      <c r="AP309" s="203">
        <v>0</v>
      </c>
      <c r="AQ309" s="203">
        <v>48.73</v>
      </c>
      <c r="AR309" s="203">
        <v>0</v>
      </c>
      <c r="AS309" s="200" t="str">
        <f t="shared" si="4"/>
        <v>1.00000000</v>
      </c>
      <c r="AT309" s="200" t="str">
        <f>"0.0"</f>
        <v>0.0</v>
      </c>
      <c r="AU309" s="203">
        <v>0</v>
      </c>
    </row>
    <row r="310" spans="1:47" x14ac:dyDescent="0.2">
      <c r="A310" s="200" t="str">
        <f>"0496002599140"</f>
        <v>0496002599140</v>
      </c>
      <c r="B310" s="200">
        <v>1</v>
      </c>
      <c r="C310" s="200" t="s">
        <v>581</v>
      </c>
      <c r="D310" s="200" t="s">
        <v>582</v>
      </c>
      <c r="E310" s="200" t="s">
        <v>582</v>
      </c>
      <c r="F310" s="200" t="s">
        <v>243</v>
      </c>
      <c r="G310" s="200">
        <v>2323</v>
      </c>
      <c r="H310" s="200" t="s">
        <v>270</v>
      </c>
      <c r="I310" s="200">
        <v>999</v>
      </c>
      <c r="J310" s="201">
        <v>42671</v>
      </c>
      <c r="K310" s="202">
        <v>0.76041666666666663</v>
      </c>
      <c r="L310" s="201">
        <v>42675</v>
      </c>
      <c r="M310" s="200" t="s">
        <v>271</v>
      </c>
      <c r="N310" s="200" t="s">
        <v>352</v>
      </c>
      <c r="O310" s="200" t="s">
        <v>353</v>
      </c>
      <c r="P310" s="200" t="s">
        <v>343</v>
      </c>
      <c r="Q310" s="200" t="s">
        <v>275</v>
      </c>
      <c r="R310" s="200">
        <v>1035</v>
      </c>
      <c r="S310" s="200" t="s">
        <v>436</v>
      </c>
      <c r="T310" s="200" t="s">
        <v>581</v>
      </c>
      <c r="U310" s="200">
        <v>2323</v>
      </c>
      <c r="V310" s="200" t="s">
        <v>581</v>
      </c>
      <c r="W310" s="200" t="s">
        <v>280</v>
      </c>
      <c r="X310" s="200">
        <v>22.475000000000001</v>
      </c>
      <c r="Y310" s="203">
        <v>-0.45</v>
      </c>
      <c r="Z310" s="203">
        <v>2.17</v>
      </c>
      <c r="AA310" s="203">
        <v>48.75</v>
      </c>
      <c r="AB310" s="203">
        <v>-4.1100000000000003</v>
      </c>
      <c r="AC310" s="203">
        <v>0</v>
      </c>
      <c r="AD310" s="203">
        <v>0</v>
      </c>
      <c r="AE310" s="203">
        <v>44.19</v>
      </c>
      <c r="AF310" s="203">
        <v>-5.39</v>
      </c>
      <c r="AG310" s="200" t="s">
        <v>279</v>
      </c>
      <c r="AH310" s="203">
        <v>0</v>
      </c>
      <c r="AI310" s="200" t="s">
        <v>279</v>
      </c>
      <c r="AJ310" s="203">
        <v>0</v>
      </c>
      <c r="AK310" s="200" t="s">
        <v>279</v>
      </c>
      <c r="AL310" s="203">
        <v>0</v>
      </c>
      <c r="AM310" s="200" t="s">
        <v>279</v>
      </c>
      <c r="AN310" s="203">
        <v>0</v>
      </c>
      <c r="AO310" s="200" t="s">
        <v>279</v>
      </c>
      <c r="AP310" s="203">
        <v>0</v>
      </c>
      <c r="AQ310" s="203">
        <v>48.75</v>
      </c>
      <c r="AR310" s="203">
        <v>0</v>
      </c>
      <c r="AS310" s="200" t="str">
        <f t="shared" si="4"/>
        <v>1.00000000</v>
      </c>
      <c r="AT310" s="200" t="str">
        <f>"0.0"</f>
        <v>0.0</v>
      </c>
      <c r="AU310" s="203">
        <v>0</v>
      </c>
    </row>
    <row r="311" spans="1:47" x14ac:dyDescent="0.2">
      <c r="A311" s="200" t="str">
        <f>"0496002599140"</f>
        <v>0496002599140</v>
      </c>
      <c r="B311" s="200">
        <v>1</v>
      </c>
      <c r="C311" s="200" t="s">
        <v>581</v>
      </c>
      <c r="D311" s="200" t="s">
        <v>582</v>
      </c>
      <c r="E311" s="200" t="s">
        <v>582</v>
      </c>
      <c r="F311" s="200" t="s">
        <v>243</v>
      </c>
      <c r="G311" s="200">
        <v>2323</v>
      </c>
      <c r="H311" s="200" t="s">
        <v>270</v>
      </c>
      <c r="I311" s="200">
        <v>999</v>
      </c>
      <c r="J311" s="201">
        <v>42671</v>
      </c>
      <c r="K311" s="202">
        <v>0.76041666666666663</v>
      </c>
      <c r="L311" s="201">
        <v>42675</v>
      </c>
      <c r="M311" s="200" t="s">
        <v>271</v>
      </c>
      <c r="N311" s="200" t="s">
        <v>352</v>
      </c>
      <c r="O311" s="200" t="s">
        <v>353</v>
      </c>
      <c r="P311" s="200" t="s">
        <v>343</v>
      </c>
      <c r="Q311" s="200" t="s">
        <v>275</v>
      </c>
      <c r="R311" s="200">
        <v>1035</v>
      </c>
      <c r="S311" s="200" t="s">
        <v>436</v>
      </c>
      <c r="T311" s="200" t="s">
        <v>581</v>
      </c>
      <c r="U311" s="200">
        <v>2323</v>
      </c>
      <c r="V311" s="200" t="s">
        <v>581</v>
      </c>
      <c r="W311" s="200" t="s">
        <v>280</v>
      </c>
      <c r="X311" s="200">
        <v>14.023999999999999</v>
      </c>
      <c r="Y311" s="203">
        <v>-0.28000000000000003</v>
      </c>
      <c r="Z311" s="203">
        <v>2.17</v>
      </c>
      <c r="AA311" s="203">
        <v>30.42</v>
      </c>
      <c r="AB311" s="203">
        <v>-2.57</v>
      </c>
      <c r="AC311" s="203">
        <v>0</v>
      </c>
      <c r="AD311" s="203">
        <v>0</v>
      </c>
      <c r="AE311" s="203">
        <v>27.57</v>
      </c>
      <c r="AF311" s="203">
        <v>-3.37</v>
      </c>
      <c r="AG311" s="200" t="s">
        <v>279</v>
      </c>
      <c r="AH311" s="203">
        <v>0</v>
      </c>
      <c r="AI311" s="200" t="s">
        <v>279</v>
      </c>
      <c r="AJ311" s="203">
        <v>0</v>
      </c>
      <c r="AK311" s="200" t="s">
        <v>279</v>
      </c>
      <c r="AL311" s="203">
        <v>0</v>
      </c>
      <c r="AM311" s="200" t="s">
        <v>279</v>
      </c>
      <c r="AN311" s="203">
        <v>0</v>
      </c>
      <c r="AO311" s="200" t="s">
        <v>279</v>
      </c>
      <c r="AP311" s="203">
        <v>0</v>
      </c>
      <c r="AQ311" s="203">
        <v>30.42</v>
      </c>
      <c r="AR311" s="203">
        <v>0</v>
      </c>
      <c r="AS311" s="200" t="str">
        <f t="shared" si="4"/>
        <v>1.00000000</v>
      </c>
      <c r="AT311" s="200" t="str">
        <f>"0.0"</f>
        <v>0.0</v>
      </c>
      <c r="AU311" s="203">
        <v>0</v>
      </c>
    </row>
    <row r="312" spans="1:47" x14ac:dyDescent="0.2">
      <c r="A312" s="200" t="str">
        <f>"0496002756187"</f>
        <v>0496002756187</v>
      </c>
      <c r="B312" s="200">
        <v>1</v>
      </c>
      <c r="C312" s="200" t="s">
        <v>599</v>
      </c>
      <c r="D312" s="200">
        <v>48</v>
      </c>
      <c r="E312" s="200">
        <v>48</v>
      </c>
      <c r="F312" s="200" t="s">
        <v>243</v>
      </c>
      <c r="G312" s="200">
        <v>8317</v>
      </c>
      <c r="H312" s="200" t="s">
        <v>270</v>
      </c>
      <c r="I312" s="200">
        <v>14045</v>
      </c>
      <c r="J312" s="201">
        <v>42671</v>
      </c>
      <c r="K312" s="202">
        <v>0.77083333333333337</v>
      </c>
      <c r="L312" s="201">
        <v>42675</v>
      </c>
      <c r="M312" s="200" t="s">
        <v>325</v>
      </c>
      <c r="N312" s="200" t="s">
        <v>326</v>
      </c>
      <c r="O312" s="200" t="s">
        <v>795</v>
      </c>
      <c r="P312" s="200" t="s">
        <v>697</v>
      </c>
      <c r="Q312" s="200" t="s">
        <v>377</v>
      </c>
      <c r="R312" s="200">
        <v>5030</v>
      </c>
      <c r="S312" s="200" t="s">
        <v>600</v>
      </c>
      <c r="T312" s="200" t="s">
        <v>436</v>
      </c>
      <c r="U312" s="200">
        <v>8317</v>
      </c>
      <c r="V312" s="200" t="s">
        <v>599</v>
      </c>
      <c r="W312" s="200" t="s">
        <v>280</v>
      </c>
      <c r="X312" s="200">
        <v>15.749000000000001</v>
      </c>
      <c r="Y312" s="203">
        <v>0</v>
      </c>
      <c r="Z312" s="203">
        <v>2.25</v>
      </c>
      <c r="AA312" s="203">
        <v>35.42</v>
      </c>
      <c r="AB312" s="203">
        <v>-2.88</v>
      </c>
      <c r="AC312" s="203">
        <v>0</v>
      </c>
      <c r="AD312" s="203">
        <v>0</v>
      </c>
      <c r="AE312" s="203">
        <v>32.54</v>
      </c>
      <c r="AF312" s="203">
        <v>-3.77</v>
      </c>
      <c r="AG312" s="200" t="s">
        <v>279</v>
      </c>
      <c r="AH312" s="203">
        <v>0</v>
      </c>
      <c r="AI312" s="200" t="s">
        <v>279</v>
      </c>
      <c r="AJ312" s="203">
        <v>0</v>
      </c>
      <c r="AK312" s="200" t="s">
        <v>279</v>
      </c>
      <c r="AL312" s="203">
        <v>0</v>
      </c>
      <c r="AM312" s="200" t="s">
        <v>279</v>
      </c>
      <c r="AN312" s="203">
        <v>0</v>
      </c>
      <c r="AO312" s="200" t="s">
        <v>279</v>
      </c>
      <c r="AP312" s="203">
        <v>0</v>
      </c>
      <c r="AQ312" s="203">
        <v>35.42</v>
      </c>
      <c r="AR312" s="203">
        <v>0</v>
      </c>
      <c r="AS312" s="200" t="str">
        <f t="shared" si="4"/>
        <v>1.00000000</v>
      </c>
      <c r="AT312" s="200" t="str">
        <f>"0.0"</f>
        <v>0.0</v>
      </c>
      <c r="AU312" s="203">
        <v>0</v>
      </c>
    </row>
    <row r="313" spans="1:47" x14ac:dyDescent="0.2">
      <c r="A313" s="200" t="str">
        <f>"0496002595700"</f>
        <v>0496002595700</v>
      </c>
      <c r="B313" s="200">
        <v>8</v>
      </c>
      <c r="C313" s="200" t="s">
        <v>156</v>
      </c>
      <c r="D313" s="200" t="s">
        <v>414</v>
      </c>
      <c r="E313" s="200">
        <v>47</v>
      </c>
      <c r="F313" s="200" t="s">
        <v>243</v>
      </c>
      <c r="G313" s="200">
        <v>2262</v>
      </c>
      <c r="H313" s="200" t="s">
        <v>270</v>
      </c>
      <c r="I313" s="200">
        <v>23247</v>
      </c>
      <c r="J313" s="201">
        <v>42672</v>
      </c>
      <c r="K313" s="202">
        <v>0.63888888888888895</v>
      </c>
      <c r="L313" s="201">
        <v>42675</v>
      </c>
      <c r="M313" s="200" t="s">
        <v>271</v>
      </c>
      <c r="N313" s="200" t="s">
        <v>272</v>
      </c>
      <c r="O313" s="200" t="s">
        <v>273</v>
      </c>
      <c r="P313" s="200" t="s">
        <v>274</v>
      </c>
      <c r="Q313" s="200" t="s">
        <v>275</v>
      </c>
      <c r="R313" s="200" t="s">
        <v>276</v>
      </c>
      <c r="S313" s="200" t="s">
        <v>156</v>
      </c>
      <c r="T313" s="200" t="s">
        <v>277</v>
      </c>
      <c r="U313" s="200">
        <v>2262</v>
      </c>
      <c r="V313" s="200" t="s">
        <v>156</v>
      </c>
      <c r="W313" s="200" t="s">
        <v>280</v>
      </c>
      <c r="X313" s="200">
        <v>9.8179999999999996</v>
      </c>
      <c r="Y313" s="203">
        <v>-0.2</v>
      </c>
      <c r="Z313" s="203">
        <v>2.21</v>
      </c>
      <c r="AA313" s="203">
        <v>21.69</v>
      </c>
      <c r="AB313" s="203">
        <v>-1.8</v>
      </c>
      <c r="AC313" s="203">
        <v>0</v>
      </c>
      <c r="AD313" s="203">
        <v>0</v>
      </c>
      <c r="AE313" s="203">
        <v>19.690000000000001</v>
      </c>
      <c r="AF313" s="203">
        <v>-2.36</v>
      </c>
      <c r="AG313" s="200" t="s">
        <v>279</v>
      </c>
      <c r="AH313" s="203">
        <v>0</v>
      </c>
      <c r="AI313" s="200" t="s">
        <v>279</v>
      </c>
      <c r="AJ313" s="203">
        <v>0</v>
      </c>
      <c r="AK313" s="200" t="s">
        <v>279</v>
      </c>
      <c r="AL313" s="203">
        <v>0</v>
      </c>
      <c r="AM313" s="200" t="s">
        <v>279</v>
      </c>
      <c r="AN313" s="203">
        <v>0</v>
      </c>
      <c r="AO313" s="200" t="s">
        <v>279</v>
      </c>
      <c r="AP313" s="203">
        <v>0</v>
      </c>
      <c r="AQ313" s="203">
        <v>21.69</v>
      </c>
      <c r="AR313" s="203">
        <v>0</v>
      </c>
      <c r="AS313" s="200" t="str">
        <f t="shared" si="4"/>
        <v>1.00000000</v>
      </c>
      <c r="AT313" s="200" t="str">
        <f>"20.3"</f>
        <v>20.3</v>
      </c>
      <c r="AU313" s="203">
        <v>0</v>
      </c>
    </row>
    <row r="314" spans="1:47" x14ac:dyDescent="0.2">
      <c r="A314" s="200" t="str">
        <f>"0496002595833"</f>
        <v>0496002595833</v>
      </c>
      <c r="B314" s="200">
        <v>1</v>
      </c>
      <c r="C314" s="200" t="s">
        <v>571</v>
      </c>
      <c r="D314" s="200" t="s">
        <v>571</v>
      </c>
      <c r="E314" s="200" t="s">
        <v>572</v>
      </c>
      <c r="F314" s="200" t="s">
        <v>243</v>
      </c>
      <c r="G314" s="200">
        <v>2328</v>
      </c>
      <c r="H314" s="200" t="s">
        <v>270</v>
      </c>
      <c r="I314" s="200">
        <v>53100</v>
      </c>
      <c r="J314" s="201">
        <v>42672</v>
      </c>
      <c r="K314" s="202">
        <v>0.37986111111111115</v>
      </c>
      <c r="L314" s="201">
        <v>42675</v>
      </c>
      <c r="M314" s="200" t="s">
        <v>271</v>
      </c>
      <c r="N314" s="200" t="s">
        <v>272</v>
      </c>
      <c r="O314" s="200" t="s">
        <v>273</v>
      </c>
      <c r="P314" s="200" t="s">
        <v>274</v>
      </c>
      <c r="Q314" s="200" t="s">
        <v>275</v>
      </c>
      <c r="R314" s="200" t="s">
        <v>276</v>
      </c>
      <c r="S314" s="200" t="s">
        <v>436</v>
      </c>
      <c r="T314" s="200" t="s">
        <v>571</v>
      </c>
      <c r="U314" s="200">
        <v>2328</v>
      </c>
      <c r="V314" s="200" t="s">
        <v>571</v>
      </c>
      <c r="W314" s="200" t="s">
        <v>280</v>
      </c>
      <c r="X314" s="200">
        <v>7.8220000000000001</v>
      </c>
      <c r="Y314" s="203">
        <v>-0.16</v>
      </c>
      <c r="Z314" s="203">
        <v>2.21</v>
      </c>
      <c r="AA314" s="203">
        <v>17.28</v>
      </c>
      <c r="AB314" s="203">
        <v>-1.43</v>
      </c>
      <c r="AC314" s="203">
        <v>0</v>
      </c>
      <c r="AD314" s="203">
        <v>0</v>
      </c>
      <c r="AE314" s="203">
        <v>15.69</v>
      </c>
      <c r="AF314" s="203">
        <v>-1.88</v>
      </c>
      <c r="AG314" s="200" t="s">
        <v>279</v>
      </c>
      <c r="AH314" s="203">
        <v>0</v>
      </c>
      <c r="AI314" s="200" t="s">
        <v>279</v>
      </c>
      <c r="AJ314" s="203">
        <v>0</v>
      </c>
      <c r="AK314" s="200" t="s">
        <v>279</v>
      </c>
      <c r="AL314" s="203">
        <v>0</v>
      </c>
      <c r="AM314" s="200" t="s">
        <v>279</v>
      </c>
      <c r="AN314" s="203">
        <v>0</v>
      </c>
      <c r="AO314" s="200" t="s">
        <v>279</v>
      </c>
      <c r="AP314" s="203">
        <v>0</v>
      </c>
      <c r="AQ314" s="203">
        <v>17.28</v>
      </c>
      <c r="AR314" s="203">
        <v>0</v>
      </c>
      <c r="AS314" s="200" t="str">
        <f t="shared" si="4"/>
        <v>1.00000000</v>
      </c>
      <c r="AT314" s="200" t="str">
        <f>"132.7"</f>
        <v>132.7</v>
      </c>
      <c r="AU314" s="203">
        <v>0</v>
      </c>
    </row>
    <row r="315" spans="1:47" x14ac:dyDescent="0.2">
      <c r="A315" s="200" t="str">
        <f>"0496002595700"</f>
        <v>0496002595700</v>
      </c>
      <c r="B315" s="200">
        <v>2</v>
      </c>
      <c r="C315" s="200" t="s">
        <v>156</v>
      </c>
      <c r="D315" s="200">
        <v>42</v>
      </c>
      <c r="E315" s="200">
        <v>42</v>
      </c>
      <c r="F315" s="200" t="s">
        <v>243</v>
      </c>
      <c r="G315" s="200">
        <v>2262</v>
      </c>
      <c r="H315" s="200" t="s">
        <v>270</v>
      </c>
      <c r="I315" s="200">
        <v>33557</v>
      </c>
      <c r="J315" s="201">
        <v>42673</v>
      </c>
      <c r="K315" s="202">
        <v>0.68887731481481485</v>
      </c>
      <c r="L315" s="201">
        <v>42675</v>
      </c>
      <c r="M315" s="200" t="s">
        <v>319</v>
      </c>
      <c r="N315" s="200" t="s">
        <v>796</v>
      </c>
      <c r="O315" s="200" t="s">
        <v>797</v>
      </c>
      <c r="P315" s="200" t="s">
        <v>798</v>
      </c>
      <c r="Q315" s="200" t="s">
        <v>466</v>
      </c>
      <c r="R315" s="200">
        <v>3824</v>
      </c>
      <c r="S315" s="200" t="s">
        <v>156</v>
      </c>
      <c r="T315" s="200" t="s">
        <v>277</v>
      </c>
      <c r="U315" s="200">
        <v>2262</v>
      </c>
      <c r="V315" s="200" t="s">
        <v>156</v>
      </c>
      <c r="W315" s="200" t="s">
        <v>280</v>
      </c>
      <c r="X315" s="200">
        <v>2.4129999999999998</v>
      </c>
      <c r="Y315" s="203">
        <v>0</v>
      </c>
      <c r="Z315" s="203">
        <v>2.16</v>
      </c>
      <c r="AA315" s="203">
        <v>5.21</v>
      </c>
      <c r="AB315" s="203">
        <v>-0.44</v>
      </c>
      <c r="AC315" s="203">
        <v>0</v>
      </c>
      <c r="AD315" s="203">
        <v>0</v>
      </c>
      <c r="AE315" s="203">
        <v>4.7699999999999996</v>
      </c>
      <c r="AF315" s="203">
        <v>-0.54</v>
      </c>
      <c r="AG315" s="200" t="s">
        <v>279</v>
      </c>
      <c r="AH315" s="203">
        <v>0</v>
      </c>
      <c r="AI315" s="200" t="s">
        <v>279</v>
      </c>
      <c r="AJ315" s="203">
        <v>0</v>
      </c>
      <c r="AK315" s="200" t="s">
        <v>279</v>
      </c>
      <c r="AL315" s="203">
        <v>0</v>
      </c>
      <c r="AM315" s="200" t="s">
        <v>279</v>
      </c>
      <c r="AN315" s="203">
        <v>0</v>
      </c>
      <c r="AO315" s="200" t="s">
        <v>279</v>
      </c>
      <c r="AP315" s="203">
        <v>0</v>
      </c>
      <c r="AQ315" s="203">
        <v>5.21</v>
      </c>
      <c r="AR315" s="203">
        <v>0</v>
      </c>
      <c r="AS315" s="200" t="str">
        <f t="shared" si="4"/>
        <v>1.00000000</v>
      </c>
      <c r="AT315" s="200" t="str">
        <f>"46.4"</f>
        <v>46.4</v>
      </c>
      <c r="AU315" s="203">
        <v>0</v>
      </c>
    </row>
    <row r="316" spans="1:47" x14ac:dyDescent="0.2">
      <c r="A316" s="200" t="str">
        <f>"0496002595734"</f>
        <v>0496002595734</v>
      </c>
      <c r="B316" s="200">
        <v>2</v>
      </c>
      <c r="C316" s="200" t="s">
        <v>435</v>
      </c>
      <c r="D316" s="200">
        <v>80</v>
      </c>
      <c r="E316" s="200">
        <v>80</v>
      </c>
      <c r="F316" s="200" t="s">
        <v>243</v>
      </c>
      <c r="G316" s="200">
        <v>2086</v>
      </c>
      <c r="H316" s="200" t="s">
        <v>270</v>
      </c>
      <c r="I316" s="200">
        <v>72807</v>
      </c>
      <c r="J316" s="201">
        <v>42673</v>
      </c>
      <c r="K316" s="202">
        <v>0.28819444444444448</v>
      </c>
      <c r="L316" s="201">
        <v>42675</v>
      </c>
      <c r="M316" s="200" t="s">
        <v>271</v>
      </c>
      <c r="N316" s="200" t="s">
        <v>272</v>
      </c>
      <c r="O316" s="200" t="s">
        <v>273</v>
      </c>
      <c r="P316" s="200" t="s">
        <v>274</v>
      </c>
      <c r="Q316" s="200" t="s">
        <v>275</v>
      </c>
      <c r="R316" s="200" t="s">
        <v>276</v>
      </c>
      <c r="S316" s="200" t="s">
        <v>436</v>
      </c>
      <c r="T316" s="200" t="s">
        <v>435</v>
      </c>
      <c r="U316" s="200">
        <v>2086</v>
      </c>
      <c r="V316" s="200" t="s">
        <v>435</v>
      </c>
      <c r="W316" s="200" t="s">
        <v>280</v>
      </c>
      <c r="X316" s="200">
        <v>9.4339999999999993</v>
      </c>
      <c r="Y316" s="203">
        <v>-0.19</v>
      </c>
      <c r="Z316" s="203">
        <v>2.21</v>
      </c>
      <c r="AA316" s="203">
        <v>20.84</v>
      </c>
      <c r="AB316" s="203">
        <v>-1.73</v>
      </c>
      <c r="AC316" s="203">
        <v>0</v>
      </c>
      <c r="AD316" s="203">
        <v>0</v>
      </c>
      <c r="AE316" s="203">
        <v>18.920000000000002</v>
      </c>
      <c r="AF316" s="203">
        <v>-2.2599999999999998</v>
      </c>
      <c r="AG316" s="200" t="s">
        <v>279</v>
      </c>
      <c r="AH316" s="203">
        <v>0</v>
      </c>
      <c r="AI316" s="200" t="s">
        <v>279</v>
      </c>
      <c r="AJ316" s="203">
        <v>0</v>
      </c>
      <c r="AK316" s="200" t="s">
        <v>279</v>
      </c>
      <c r="AL316" s="203">
        <v>0</v>
      </c>
      <c r="AM316" s="200" t="s">
        <v>279</v>
      </c>
      <c r="AN316" s="203">
        <v>0</v>
      </c>
      <c r="AO316" s="200" t="s">
        <v>279</v>
      </c>
      <c r="AP316" s="203">
        <v>0</v>
      </c>
      <c r="AQ316" s="203">
        <v>20.84</v>
      </c>
      <c r="AR316" s="203">
        <v>0</v>
      </c>
      <c r="AS316" s="200" t="str">
        <f t="shared" si="4"/>
        <v>1.00000000</v>
      </c>
      <c r="AT316" s="200" t="str">
        <f>"34.1"</f>
        <v>34.1</v>
      </c>
      <c r="AU316" s="203">
        <v>0</v>
      </c>
    </row>
    <row r="317" spans="1:47" x14ac:dyDescent="0.2">
      <c r="A317" s="200" t="str">
        <f>"0496002595734"</f>
        <v>0496002595734</v>
      </c>
      <c r="B317" s="200">
        <v>3</v>
      </c>
      <c r="C317" s="200" t="s">
        <v>435</v>
      </c>
      <c r="D317" s="200">
        <v>82</v>
      </c>
      <c r="E317" s="200">
        <v>82</v>
      </c>
      <c r="F317" s="200" t="s">
        <v>243</v>
      </c>
      <c r="G317" s="200">
        <v>2086</v>
      </c>
      <c r="H317" s="200" t="s">
        <v>270</v>
      </c>
      <c r="I317" s="200">
        <v>53442</v>
      </c>
      <c r="J317" s="201">
        <v>42673</v>
      </c>
      <c r="K317" s="202">
        <v>0.89681712962962967</v>
      </c>
      <c r="L317" s="201">
        <v>42675</v>
      </c>
      <c r="M317" s="200" t="s">
        <v>340</v>
      </c>
      <c r="N317" s="200" t="s">
        <v>341</v>
      </c>
      <c r="O317" s="200" t="s">
        <v>342</v>
      </c>
      <c r="P317" s="200" t="s">
        <v>343</v>
      </c>
      <c r="Q317" s="200" t="s">
        <v>275</v>
      </c>
      <c r="R317" s="200">
        <v>1035</v>
      </c>
      <c r="S317" s="200" t="s">
        <v>436</v>
      </c>
      <c r="T317" s="200" t="s">
        <v>435</v>
      </c>
      <c r="U317" s="200">
        <v>2086</v>
      </c>
      <c r="V317" s="200" t="s">
        <v>435</v>
      </c>
      <c r="W317" s="200" t="s">
        <v>280</v>
      </c>
      <c r="X317" s="200">
        <v>16.547999999999998</v>
      </c>
      <c r="Y317" s="203">
        <v>0</v>
      </c>
      <c r="Z317" s="203">
        <v>2.2000000000000002</v>
      </c>
      <c r="AA317" s="203">
        <v>36.39</v>
      </c>
      <c r="AB317" s="203">
        <v>-3.03</v>
      </c>
      <c r="AC317" s="203">
        <v>0</v>
      </c>
      <c r="AD317" s="203">
        <v>0</v>
      </c>
      <c r="AE317" s="203">
        <v>33.36</v>
      </c>
      <c r="AF317" s="203">
        <v>-3.97</v>
      </c>
      <c r="AG317" s="200" t="s">
        <v>279</v>
      </c>
      <c r="AH317" s="203">
        <v>0</v>
      </c>
      <c r="AI317" s="200" t="s">
        <v>279</v>
      </c>
      <c r="AJ317" s="203">
        <v>0</v>
      </c>
      <c r="AK317" s="200" t="s">
        <v>279</v>
      </c>
      <c r="AL317" s="203">
        <v>0</v>
      </c>
      <c r="AM317" s="200" t="s">
        <v>279</v>
      </c>
      <c r="AN317" s="203">
        <v>0</v>
      </c>
      <c r="AO317" s="200" t="s">
        <v>279</v>
      </c>
      <c r="AP317" s="203">
        <v>0</v>
      </c>
      <c r="AQ317" s="203">
        <v>36.39</v>
      </c>
      <c r="AR317" s="203">
        <v>0</v>
      </c>
      <c r="AS317" s="200" t="str">
        <f t="shared" si="4"/>
        <v>1.00000000</v>
      </c>
      <c r="AT317" s="200" t="str">
        <f>"19.6"</f>
        <v>19.6</v>
      </c>
      <c r="AU317" s="203">
        <v>0</v>
      </c>
    </row>
    <row r="318" spans="1:47" x14ac:dyDescent="0.2">
      <c r="A318" s="200" t="str">
        <f>"0496002599140"</f>
        <v>0496002599140</v>
      </c>
      <c r="B318" s="200">
        <v>1</v>
      </c>
      <c r="C318" s="200" t="s">
        <v>581</v>
      </c>
      <c r="D318" s="200" t="s">
        <v>582</v>
      </c>
      <c r="E318" s="200" t="s">
        <v>582</v>
      </c>
      <c r="F318" s="200" t="s">
        <v>243</v>
      </c>
      <c r="G318" s="200">
        <v>2323</v>
      </c>
      <c r="H318" s="200" t="s">
        <v>270</v>
      </c>
      <c r="I318" s="200">
        <v>99</v>
      </c>
      <c r="J318" s="201">
        <v>42673</v>
      </c>
      <c r="K318" s="202">
        <v>0.68194444444444446</v>
      </c>
      <c r="L318" s="201">
        <v>42675</v>
      </c>
      <c r="M318" s="200" t="s">
        <v>271</v>
      </c>
      <c r="N318" s="200" t="s">
        <v>352</v>
      </c>
      <c r="O318" s="200" t="s">
        <v>353</v>
      </c>
      <c r="P318" s="200" t="s">
        <v>343</v>
      </c>
      <c r="Q318" s="200" t="s">
        <v>275</v>
      </c>
      <c r="R318" s="200">
        <v>1035</v>
      </c>
      <c r="S318" s="200" t="s">
        <v>436</v>
      </c>
      <c r="T318" s="200" t="s">
        <v>581</v>
      </c>
      <c r="U318" s="200">
        <v>2323</v>
      </c>
      <c r="V318" s="200" t="s">
        <v>581</v>
      </c>
      <c r="W318" s="200" t="s">
        <v>280</v>
      </c>
      <c r="X318" s="200">
        <v>11.726000000000001</v>
      </c>
      <c r="Y318" s="203">
        <v>-0.23</v>
      </c>
      <c r="Z318" s="203">
        <v>2.15</v>
      </c>
      <c r="AA318" s="203">
        <v>25.2</v>
      </c>
      <c r="AB318" s="203">
        <v>-2.15</v>
      </c>
      <c r="AC318" s="203">
        <v>0</v>
      </c>
      <c r="AD318" s="203">
        <v>0</v>
      </c>
      <c r="AE318" s="203">
        <v>22.82</v>
      </c>
      <c r="AF318" s="203">
        <v>-2.81</v>
      </c>
      <c r="AG318" s="200" t="s">
        <v>279</v>
      </c>
      <c r="AH318" s="203">
        <v>0</v>
      </c>
      <c r="AI318" s="200" t="s">
        <v>279</v>
      </c>
      <c r="AJ318" s="203">
        <v>0</v>
      </c>
      <c r="AK318" s="200" t="s">
        <v>279</v>
      </c>
      <c r="AL318" s="203">
        <v>0</v>
      </c>
      <c r="AM318" s="200" t="s">
        <v>279</v>
      </c>
      <c r="AN318" s="203">
        <v>0</v>
      </c>
      <c r="AO318" s="200" t="s">
        <v>279</v>
      </c>
      <c r="AP318" s="203">
        <v>0</v>
      </c>
      <c r="AQ318" s="203">
        <v>25.2</v>
      </c>
      <c r="AR318" s="203">
        <v>0</v>
      </c>
      <c r="AS318" s="200" t="str">
        <f t="shared" si="4"/>
        <v>1.00000000</v>
      </c>
      <c r="AT318" s="200" t="str">
        <f>"0.0"</f>
        <v>0.0</v>
      </c>
      <c r="AU318" s="203">
        <v>0</v>
      </c>
    </row>
    <row r="319" spans="1:47" x14ac:dyDescent="0.2">
      <c r="A319" s="200" t="str">
        <f>"0496002599140"</f>
        <v>0496002599140</v>
      </c>
      <c r="B319" s="200">
        <v>1</v>
      </c>
      <c r="C319" s="200" t="s">
        <v>581</v>
      </c>
      <c r="D319" s="200" t="s">
        <v>582</v>
      </c>
      <c r="E319" s="200" t="s">
        <v>582</v>
      </c>
      <c r="F319" s="200" t="s">
        <v>243</v>
      </c>
      <c r="G319" s="200">
        <v>2323</v>
      </c>
      <c r="H319" s="200" t="s">
        <v>270</v>
      </c>
      <c r="I319" s="200">
        <v>99</v>
      </c>
      <c r="J319" s="201">
        <v>42673</v>
      </c>
      <c r="K319" s="202">
        <v>0.68194444444444446</v>
      </c>
      <c r="L319" s="201">
        <v>42675</v>
      </c>
      <c r="M319" s="200" t="s">
        <v>271</v>
      </c>
      <c r="N319" s="200" t="s">
        <v>352</v>
      </c>
      <c r="O319" s="200" t="s">
        <v>353</v>
      </c>
      <c r="P319" s="200" t="s">
        <v>343</v>
      </c>
      <c r="Q319" s="200" t="s">
        <v>275</v>
      </c>
      <c r="R319" s="200">
        <v>1035</v>
      </c>
      <c r="S319" s="200" t="s">
        <v>436</v>
      </c>
      <c r="T319" s="200" t="s">
        <v>581</v>
      </c>
      <c r="U319" s="200">
        <v>2323</v>
      </c>
      <c r="V319" s="200" t="s">
        <v>581</v>
      </c>
      <c r="W319" s="200" t="s">
        <v>280</v>
      </c>
      <c r="X319" s="200">
        <v>12.819000000000001</v>
      </c>
      <c r="Y319" s="203">
        <v>-0.26</v>
      </c>
      <c r="Z319" s="203">
        <v>2.15</v>
      </c>
      <c r="AA319" s="203">
        <v>27.55</v>
      </c>
      <c r="AB319" s="203">
        <v>-2.35</v>
      </c>
      <c r="AC319" s="203">
        <v>0</v>
      </c>
      <c r="AD319" s="203">
        <v>0</v>
      </c>
      <c r="AE319" s="203">
        <v>24.94</v>
      </c>
      <c r="AF319" s="203">
        <v>-3.08</v>
      </c>
      <c r="AG319" s="200" t="s">
        <v>279</v>
      </c>
      <c r="AH319" s="203">
        <v>0</v>
      </c>
      <c r="AI319" s="200" t="s">
        <v>279</v>
      </c>
      <c r="AJ319" s="203">
        <v>0</v>
      </c>
      <c r="AK319" s="200" t="s">
        <v>279</v>
      </c>
      <c r="AL319" s="203">
        <v>0</v>
      </c>
      <c r="AM319" s="200" t="s">
        <v>279</v>
      </c>
      <c r="AN319" s="203">
        <v>0</v>
      </c>
      <c r="AO319" s="200" t="s">
        <v>279</v>
      </c>
      <c r="AP319" s="203">
        <v>0</v>
      </c>
      <c r="AQ319" s="203">
        <v>27.55</v>
      </c>
      <c r="AR319" s="203">
        <v>0</v>
      </c>
      <c r="AS319" s="200" t="str">
        <f t="shared" si="4"/>
        <v>1.00000000</v>
      </c>
      <c r="AT319" s="200" t="str">
        <f>"0.0"</f>
        <v>0.0</v>
      </c>
      <c r="AU319" s="203">
        <v>0</v>
      </c>
    </row>
    <row r="320" spans="1:47" x14ac:dyDescent="0.2">
      <c r="A320" s="200" t="str">
        <f>"0496002599140"</f>
        <v>0496002599140</v>
      </c>
      <c r="B320" s="200">
        <v>1</v>
      </c>
      <c r="C320" s="200" t="s">
        <v>581</v>
      </c>
      <c r="D320" s="200" t="s">
        <v>582</v>
      </c>
      <c r="E320" s="200" t="s">
        <v>582</v>
      </c>
      <c r="F320" s="200" t="s">
        <v>243</v>
      </c>
      <c r="G320" s="200">
        <v>2323</v>
      </c>
      <c r="H320" s="200" t="s">
        <v>270</v>
      </c>
      <c r="I320" s="200">
        <v>99</v>
      </c>
      <c r="J320" s="201">
        <v>42673</v>
      </c>
      <c r="K320" s="202">
        <v>0.68263888888888891</v>
      </c>
      <c r="L320" s="201">
        <v>42675</v>
      </c>
      <c r="M320" s="200" t="s">
        <v>271</v>
      </c>
      <c r="N320" s="200" t="s">
        <v>352</v>
      </c>
      <c r="O320" s="200" t="s">
        <v>353</v>
      </c>
      <c r="P320" s="200" t="s">
        <v>343</v>
      </c>
      <c r="Q320" s="200" t="s">
        <v>275</v>
      </c>
      <c r="R320" s="200">
        <v>1035</v>
      </c>
      <c r="S320" s="200" t="s">
        <v>436</v>
      </c>
      <c r="T320" s="200" t="s">
        <v>581</v>
      </c>
      <c r="U320" s="200">
        <v>2323</v>
      </c>
      <c r="V320" s="200" t="s">
        <v>581</v>
      </c>
      <c r="W320" s="200" t="s">
        <v>280</v>
      </c>
      <c r="X320" s="200">
        <v>13.103</v>
      </c>
      <c r="Y320" s="203">
        <v>-0.26</v>
      </c>
      <c r="Z320" s="203">
        <v>2.15</v>
      </c>
      <c r="AA320" s="203">
        <v>28.16</v>
      </c>
      <c r="AB320" s="203">
        <v>-2.4</v>
      </c>
      <c r="AC320" s="203">
        <v>0</v>
      </c>
      <c r="AD320" s="203">
        <v>0</v>
      </c>
      <c r="AE320" s="203">
        <v>25.5</v>
      </c>
      <c r="AF320" s="203">
        <v>-3.14</v>
      </c>
      <c r="AG320" s="200" t="s">
        <v>279</v>
      </c>
      <c r="AH320" s="203">
        <v>0</v>
      </c>
      <c r="AI320" s="200" t="s">
        <v>279</v>
      </c>
      <c r="AJ320" s="203">
        <v>0</v>
      </c>
      <c r="AK320" s="200" t="s">
        <v>279</v>
      </c>
      <c r="AL320" s="203">
        <v>0</v>
      </c>
      <c r="AM320" s="200" t="s">
        <v>279</v>
      </c>
      <c r="AN320" s="203">
        <v>0</v>
      </c>
      <c r="AO320" s="200" t="s">
        <v>279</v>
      </c>
      <c r="AP320" s="203">
        <v>0</v>
      </c>
      <c r="AQ320" s="203">
        <v>28.16</v>
      </c>
      <c r="AR320" s="203">
        <v>0</v>
      </c>
      <c r="AS320" s="200" t="str">
        <f t="shared" si="4"/>
        <v>1.00000000</v>
      </c>
      <c r="AT320" s="200" t="str">
        <f>"0.0"</f>
        <v>0.0</v>
      </c>
      <c r="AU320" s="203">
        <v>0</v>
      </c>
    </row>
    <row r="321" spans="1:47" x14ac:dyDescent="0.2">
      <c r="A321" s="200" t="str">
        <f>"0496002599140"</f>
        <v>0496002599140</v>
      </c>
      <c r="B321" s="200">
        <v>1</v>
      </c>
      <c r="C321" s="200" t="s">
        <v>581</v>
      </c>
      <c r="D321" s="200" t="s">
        <v>582</v>
      </c>
      <c r="E321" s="200" t="s">
        <v>582</v>
      </c>
      <c r="F321" s="200" t="s">
        <v>243</v>
      </c>
      <c r="G321" s="200">
        <v>2323</v>
      </c>
      <c r="H321" s="200" t="s">
        <v>270</v>
      </c>
      <c r="I321" s="200">
        <v>999</v>
      </c>
      <c r="J321" s="201">
        <v>42673</v>
      </c>
      <c r="K321" s="202">
        <v>0.70486111111111116</v>
      </c>
      <c r="L321" s="201">
        <v>42675</v>
      </c>
      <c r="M321" s="200" t="s">
        <v>271</v>
      </c>
      <c r="N321" s="200" t="s">
        <v>272</v>
      </c>
      <c r="O321" s="200" t="s">
        <v>273</v>
      </c>
      <c r="P321" s="200" t="s">
        <v>274</v>
      </c>
      <c r="Q321" s="200" t="s">
        <v>275</v>
      </c>
      <c r="R321" s="200" t="s">
        <v>276</v>
      </c>
      <c r="S321" s="200" t="s">
        <v>436</v>
      </c>
      <c r="T321" s="200" t="s">
        <v>581</v>
      </c>
      <c r="U321" s="200">
        <v>2323</v>
      </c>
      <c r="V321" s="200" t="s">
        <v>581</v>
      </c>
      <c r="W321" s="200" t="s">
        <v>280</v>
      </c>
      <c r="X321" s="200">
        <v>12.227</v>
      </c>
      <c r="Y321" s="203">
        <v>-0.24</v>
      </c>
      <c r="Z321" s="203">
        <v>2.21</v>
      </c>
      <c r="AA321" s="203">
        <v>27.01</v>
      </c>
      <c r="AB321" s="203">
        <v>-2.2400000000000002</v>
      </c>
      <c r="AC321" s="203">
        <v>0</v>
      </c>
      <c r="AD321" s="203">
        <v>0</v>
      </c>
      <c r="AE321" s="203">
        <v>24.53</v>
      </c>
      <c r="AF321" s="203">
        <v>-2.93</v>
      </c>
      <c r="AG321" s="200" t="s">
        <v>279</v>
      </c>
      <c r="AH321" s="203">
        <v>0</v>
      </c>
      <c r="AI321" s="200" t="s">
        <v>279</v>
      </c>
      <c r="AJ321" s="203">
        <v>0</v>
      </c>
      <c r="AK321" s="200" t="s">
        <v>279</v>
      </c>
      <c r="AL321" s="203">
        <v>0</v>
      </c>
      <c r="AM321" s="200" t="s">
        <v>279</v>
      </c>
      <c r="AN321" s="203">
        <v>0</v>
      </c>
      <c r="AO321" s="200" t="s">
        <v>279</v>
      </c>
      <c r="AP321" s="203">
        <v>0</v>
      </c>
      <c r="AQ321" s="203">
        <v>27.01</v>
      </c>
      <c r="AR321" s="203">
        <v>0</v>
      </c>
      <c r="AS321" s="200" t="str">
        <f t="shared" si="4"/>
        <v>1.00000000</v>
      </c>
      <c r="AT321" s="200" t="str">
        <f>"73.6"</f>
        <v>73.6</v>
      </c>
      <c r="AU321" s="203">
        <v>0</v>
      </c>
    </row>
    <row r="322" spans="1:47" x14ac:dyDescent="0.2">
      <c r="A322" s="200" t="str">
        <f>"0496002595734"</f>
        <v>0496002595734</v>
      </c>
      <c r="B322" s="200">
        <v>1</v>
      </c>
      <c r="C322" s="200" t="s">
        <v>435</v>
      </c>
      <c r="D322" s="200">
        <v>81</v>
      </c>
      <c r="E322" s="200">
        <v>81</v>
      </c>
      <c r="F322" s="200" t="s">
        <v>243</v>
      </c>
      <c r="G322" s="200">
        <v>2086</v>
      </c>
      <c r="H322" s="200" t="s">
        <v>270</v>
      </c>
      <c r="I322" s="200">
        <v>67012</v>
      </c>
      <c r="J322" s="201">
        <v>42674</v>
      </c>
      <c r="K322" s="202">
        <v>0.69166666666666676</v>
      </c>
      <c r="L322" s="201">
        <v>42676</v>
      </c>
      <c r="M322" s="200" t="s">
        <v>310</v>
      </c>
      <c r="N322" s="200" t="s">
        <v>799</v>
      </c>
      <c r="O322" s="200" t="s">
        <v>800</v>
      </c>
      <c r="P322" s="200" t="s">
        <v>801</v>
      </c>
      <c r="Q322" s="200" t="s">
        <v>329</v>
      </c>
      <c r="R322" s="200">
        <v>12029</v>
      </c>
      <c r="S322" s="200" t="s">
        <v>436</v>
      </c>
      <c r="T322" s="200" t="s">
        <v>435</v>
      </c>
      <c r="U322" s="200">
        <v>2086</v>
      </c>
      <c r="V322" s="200" t="s">
        <v>435</v>
      </c>
      <c r="W322" s="200" t="s">
        <v>280</v>
      </c>
      <c r="X322" s="200">
        <v>16.425000000000001</v>
      </c>
      <c r="Y322" s="203">
        <v>0</v>
      </c>
      <c r="Z322" s="203">
        <v>2.2999999999999998</v>
      </c>
      <c r="AA322" s="203">
        <v>37.76</v>
      </c>
      <c r="AB322" s="203">
        <v>-3.01</v>
      </c>
      <c r="AC322" s="203">
        <v>0</v>
      </c>
      <c r="AD322" s="203">
        <v>0</v>
      </c>
      <c r="AE322" s="203">
        <v>34.75</v>
      </c>
      <c r="AF322" s="203">
        <v>-6.76</v>
      </c>
      <c r="AG322" s="200" t="s">
        <v>279</v>
      </c>
      <c r="AH322" s="203">
        <v>0</v>
      </c>
      <c r="AI322" s="200" t="s">
        <v>279</v>
      </c>
      <c r="AJ322" s="203">
        <v>0</v>
      </c>
      <c r="AK322" s="200" t="s">
        <v>279</v>
      </c>
      <c r="AL322" s="203">
        <v>0</v>
      </c>
      <c r="AM322" s="200" t="s">
        <v>279</v>
      </c>
      <c r="AN322" s="203">
        <v>0</v>
      </c>
      <c r="AO322" s="200" t="s">
        <v>279</v>
      </c>
      <c r="AP322" s="203">
        <v>0</v>
      </c>
      <c r="AQ322" s="203">
        <v>37.76</v>
      </c>
      <c r="AR322" s="203">
        <v>0</v>
      </c>
      <c r="AS322" s="200" t="str">
        <f t="shared" ref="AS322:AS385" si="5">"1.00000000"</f>
        <v>1.00000000</v>
      </c>
      <c r="AT322" s="200" t="str">
        <f>"19.5"</f>
        <v>19.5</v>
      </c>
      <c r="AU322" s="203">
        <v>0</v>
      </c>
    </row>
    <row r="323" spans="1:47" x14ac:dyDescent="0.2">
      <c r="A323" s="200" t="str">
        <f>"0496002595890"</f>
        <v>0496002595890</v>
      </c>
      <c r="B323" s="200">
        <v>1</v>
      </c>
      <c r="C323" s="200" t="s">
        <v>579</v>
      </c>
      <c r="D323" s="200">
        <v>12</v>
      </c>
      <c r="F323" s="200" t="s">
        <v>243</v>
      </c>
      <c r="G323" s="200">
        <v>2834</v>
      </c>
      <c r="H323" s="200" t="s">
        <v>270</v>
      </c>
      <c r="I323" s="200">
        <v>999999</v>
      </c>
      <c r="J323" s="201">
        <v>42675</v>
      </c>
      <c r="K323" s="202">
        <v>0.59305555555555556</v>
      </c>
      <c r="L323" s="201">
        <v>42677</v>
      </c>
      <c r="M323" s="200" t="s">
        <v>271</v>
      </c>
      <c r="N323" s="200" t="s">
        <v>272</v>
      </c>
      <c r="O323" s="200" t="s">
        <v>273</v>
      </c>
      <c r="P323" s="200" t="s">
        <v>274</v>
      </c>
      <c r="Q323" s="200" t="s">
        <v>275</v>
      </c>
      <c r="R323" s="200" t="s">
        <v>276</v>
      </c>
      <c r="S323" s="200" t="s">
        <v>436</v>
      </c>
      <c r="T323" s="200" t="s">
        <v>579</v>
      </c>
      <c r="U323" s="200">
        <v>2834</v>
      </c>
      <c r="V323" s="200" t="s">
        <v>579</v>
      </c>
      <c r="W323" s="200" t="s">
        <v>280</v>
      </c>
      <c r="X323" s="200">
        <v>6.79</v>
      </c>
      <c r="Y323" s="203">
        <v>-0.14000000000000001</v>
      </c>
      <c r="Z323" s="203">
        <v>2.21</v>
      </c>
      <c r="AA323" s="203">
        <v>15</v>
      </c>
      <c r="AB323" s="203">
        <v>-1.24</v>
      </c>
      <c r="AC323" s="203">
        <v>0</v>
      </c>
      <c r="AD323" s="203">
        <v>0</v>
      </c>
      <c r="AE323" s="203">
        <v>13.62</v>
      </c>
      <c r="AF323" s="203">
        <v>-1.63</v>
      </c>
      <c r="AG323" s="200" t="s">
        <v>279</v>
      </c>
      <c r="AH323" s="203">
        <v>0</v>
      </c>
      <c r="AI323" s="200" t="s">
        <v>279</v>
      </c>
      <c r="AJ323" s="203">
        <v>0</v>
      </c>
      <c r="AK323" s="200" t="s">
        <v>279</v>
      </c>
      <c r="AL323" s="203">
        <v>0</v>
      </c>
      <c r="AM323" s="200" t="s">
        <v>279</v>
      </c>
      <c r="AN323" s="203">
        <v>0</v>
      </c>
      <c r="AO323" s="200" t="s">
        <v>279</v>
      </c>
      <c r="AP323" s="203">
        <v>0</v>
      </c>
      <c r="AQ323" s="203">
        <v>15</v>
      </c>
      <c r="AR323" s="203">
        <v>0</v>
      </c>
      <c r="AS323" s="200" t="str">
        <f t="shared" si="5"/>
        <v>1.00000000</v>
      </c>
      <c r="AT323" s="200" t="str">
        <f>"145125.0"</f>
        <v>145125.0</v>
      </c>
      <c r="AU323" s="203">
        <v>0</v>
      </c>
    </row>
    <row r="324" spans="1:47" x14ac:dyDescent="0.2">
      <c r="A324" s="200" t="str">
        <f>"0496002595700"</f>
        <v>0496002595700</v>
      </c>
      <c r="B324" s="200">
        <v>2</v>
      </c>
      <c r="C324" s="200" t="s">
        <v>156</v>
      </c>
      <c r="D324" s="200">
        <v>42</v>
      </c>
      <c r="E324" s="200">
        <v>42</v>
      </c>
      <c r="F324" s="200" t="s">
        <v>243</v>
      </c>
      <c r="G324" s="200">
        <v>2262</v>
      </c>
      <c r="H324" s="200" t="s">
        <v>270</v>
      </c>
      <c r="I324" s="200">
        <v>33904</v>
      </c>
      <c r="J324" s="201">
        <v>42676</v>
      </c>
      <c r="K324" s="202">
        <v>0.76284722222222223</v>
      </c>
      <c r="L324" s="201">
        <v>42678</v>
      </c>
      <c r="M324" s="200" t="s">
        <v>340</v>
      </c>
      <c r="N324" s="200" t="s">
        <v>341</v>
      </c>
      <c r="O324" s="200" t="s">
        <v>342</v>
      </c>
      <c r="P324" s="200" t="s">
        <v>343</v>
      </c>
      <c r="Q324" s="200" t="s">
        <v>275</v>
      </c>
      <c r="R324" s="200">
        <v>1035</v>
      </c>
      <c r="S324" s="200" t="s">
        <v>156</v>
      </c>
      <c r="T324" s="200" t="s">
        <v>277</v>
      </c>
      <c r="U324" s="200">
        <v>2262</v>
      </c>
      <c r="V324" s="200" t="s">
        <v>156</v>
      </c>
      <c r="W324" s="200" t="s">
        <v>280</v>
      </c>
      <c r="X324" s="200">
        <v>7.0309999999999997</v>
      </c>
      <c r="Y324" s="203">
        <v>0</v>
      </c>
      <c r="Z324" s="203">
        <v>2.2200000000000002</v>
      </c>
      <c r="AA324" s="203">
        <v>15.6</v>
      </c>
      <c r="AB324" s="203">
        <v>-1.29</v>
      </c>
      <c r="AC324" s="203">
        <v>0</v>
      </c>
      <c r="AD324" s="203">
        <v>0</v>
      </c>
      <c r="AE324" s="203">
        <v>14.31</v>
      </c>
      <c r="AF324" s="203">
        <v>-1.69</v>
      </c>
      <c r="AG324" s="200" t="s">
        <v>279</v>
      </c>
      <c r="AH324" s="203">
        <v>0</v>
      </c>
      <c r="AI324" s="200" t="s">
        <v>279</v>
      </c>
      <c r="AJ324" s="203">
        <v>0</v>
      </c>
      <c r="AK324" s="200" t="s">
        <v>279</v>
      </c>
      <c r="AL324" s="203">
        <v>0</v>
      </c>
      <c r="AM324" s="200" t="s">
        <v>279</v>
      </c>
      <c r="AN324" s="203">
        <v>0</v>
      </c>
      <c r="AO324" s="200" t="s">
        <v>279</v>
      </c>
      <c r="AP324" s="203">
        <v>0</v>
      </c>
      <c r="AQ324" s="203">
        <v>15.6</v>
      </c>
      <c r="AR324" s="203">
        <v>0</v>
      </c>
      <c r="AS324" s="200" t="str">
        <f t="shared" si="5"/>
        <v>1.00000000</v>
      </c>
      <c r="AT324" s="200" t="str">
        <f>"41.0"</f>
        <v>41.0</v>
      </c>
      <c r="AU324" s="203">
        <v>0</v>
      </c>
    </row>
    <row r="325" spans="1:47" x14ac:dyDescent="0.2">
      <c r="A325" s="200" t="str">
        <f>"0496002595700"</f>
        <v>0496002595700</v>
      </c>
      <c r="B325" s="200">
        <v>6</v>
      </c>
      <c r="C325" s="200" t="s">
        <v>156</v>
      </c>
      <c r="D325" s="200" t="s">
        <v>344</v>
      </c>
      <c r="E325" s="200" t="s">
        <v>345</v>
      </c>
      <c r="F325" s="200" t="s">
        <v>243</v>
      </c>
      <c r="G325" s="200">
        <v>2262</v>
      </c>
      <c r="H325" s="200" t="s">
        <v>270</v>
      </c>
      <c r="I325" s="200">
        <v>56420</v>
      </c>
      <c r="J325" s="201">
        <v>42677</v>
      </c>
      <c r="K325" s="202">
        <v>0.59444444444444444</v>
      </c>
      <c r="L325" s="201">
        <v>42681</v>
      </c>
      <c r="M325" s="200" t="s">
        <v>271</v>
      </c>
      <c r="N325" s="200" t="s">
        <v>272</v>
      </c>
      <c r="O325" s="200" t="s">
        <v>273</v>
      </c>
      <c r="P325" s="200" t="s">
        <v>274</v>
      </c>
      <c r="Q325" s="200" t="s">
        <v>275</v>
      </c>
      <c r="R325" s="200" t="s">
        <v>276</v>
      </c>
      <c r="S325" s="200" t="s">
        <v>156</v>
      </c>
      <c r="T325" s="200" t="s">
        <v>277</v>
      </c>
      <c r="U325" s="200">
        <v>2262</v>
      </c>
      <c r="V325" s="200" t="s">
        <v>156</v>
      </c>
      <c r="W325" s="200" t="s">
        <v>335</v>
      </c>
      <c r="X325" s="200">
        <v>11.105</v>
      </c>
      <c r="Y325" s="203">
        <v>-0.22</v>
      </c>
      <c r="Z325" s="203">
        <v>2.38</v>
      </c>
      <c r="AA325" s="203">
        <v>26.42</v>
      </c>
      <c r="AB325" s="203">
        <v>-2.0299999999999998</v>
      </c>
      <c r="AC325" s="203">
        <v>0</v>
      </c>
      <c r="AD325" s="203">
        <v>0</v>
      </c>
      <c r="AE325" s="203">
        <v>24.17</v>
      </c>
      <c r="AF325" s="203">
        <v>-2.67</v>
      </c>
      <c r="AG325" s="200" t="s">
        <v>279</v>
      </c>
      <c r="AH325" s="203">
        <v>0</v>
      </c>
      <c r="AI325" s="200" t="s">
        <v>279</v>
      </c>
      <c r="AJ325" s="203">
        <v>0</v>
      </c>
      <c r="AK325" s="200" t="s">
        <v>279</v>
      </c>
      <c r="AL325" s="203">
        <v>0</v>
      </c>
      <c r="AM325" s="200" t="s">
        <v>279</v>
      </c>
      <c r="AN325" s="203">
        <v>0</v>
      </c>
      <c r="AO325" s="200" t="s">
        <v>279</v>
      </c>
      <c r="AP325" s="203">
        <v>0</v>
      </c>
      <c r="AQ325" s="203">
        <v>26.42</v>
      </c>
      <c r="AR325" s="203">
        <v>0</v>
      </c>
      <c r="AS325" s="200" t="str">
        <f t="shared" si="5"/>
        <v>1.00000000</v>
      </c>
      <c r="AT325" s="200" t="str">
        <f>"30.4"</f>
        <v>30.4</v>
      </c>
      <c r="AU325" s="203">
        <v>0</v>
      </c>
    </row>
    <row r="326" spans="1:47" x14ac:dyDescent="0.2">
      <c r="A326" s="200" t="str">
        <f>"0496002595700"</f>
        <v>0496002595700</v>
      </c>
      <c r="B326" s="200">
        <v>7</v>
      </c>
      <c r="C326" s="200" t="s">
        <v>156</v>
      </c>
      <c r="D326" s="200" t="s">
        <v>371</v>
      </c>
      <c r="E326" s="200">
        <v>45</v>
      </c>
      <c r="F326" s="200" t="s">
        <v>243</v>
      </c>
      <c r="G326" s="200">
        <v>2262</v>
      </c>
      <c r="H326" s="200" t="s">
        <v>270</v>
      </c>
      <c r="I326" s="200">
        <v>360000</v>
      </c>
      <c r="J326" s="201">
        <v>42677</v>
      </c>
      <c r="K326" s="202">
        <v>0.56736111111111109</v>
      </c>
      <c r="L326" s="201">
        <v>42681</v>
      </c>
      <c r="M326" s="200" t="s">
        <v>271</v>
      </c>
      <c r="N326" s="200" t="s">
        <v>272</v>
      </c>
      <c r="O326" s="200" t="s">
        <v>273</v>
      </c>
      <c r="P326" s="200" t="s">
        <v>274</v>
      </c>
      <c r="Q326" s="200" t="s">
        <v>275</v>
      </c>
      <c r="R326" s="200" t="s">
        <v>276</v>
      </c>
      <c r="S326" s="200" t="s">
        <v>156</v>
      </c>
      <c r="T326" s="200" t="s">
        <v>277</v>
      </c>
      <c r="U326" s="200">
        <v>2262</v>
      </c>
      <c r="V326" s="200" t="s">
        <v>156</v>
      </c>
      <c r="W326" s="200" t="s">
        <v>280</v>
      </c>
      <c r="X326" s="200">
        <v>17.808</v>
      </c>
      <c r="Y326" s="203">
        <v>-0.36</v>
      </c>
      <c r="Z326" s="203">
        <v>2.2000000000000002</v>
      </c>
      <c r="AA326" s="203">
        <v>39.159999999999997</v>
      </c>
      <c r="AB326" s="203">
        <v>-3.26</v>
      </c>
      <c r="AC326" s="203">
        <v>0</v>
      </c>
      <c r="AD326" s="203">
        <v>0</v>
      </c>
      <c r="AE326" s="203">
        <v>35.54</v>
      </c>
      <c r="AF326" s="203">
        <v>-4.2699999999999996</v>
      </c>
      <c r="AG326" s="200" t="s">
        <v>279</v>
      </c>
      <c r="AH326" s="203">
        <v>0</v>
      </c>
      <c r="AI326" s="200" t="s">
        <v>279</v>
      </c>
      <c r="AJ326" s="203">
        <v>0</v>
      </c>
      <c r="AK326" s="200" t="s">
        <v>279</v>
      </c>
      <c r="AL326" s="203">
        <v>0</v>
      </c>
      <c r="AM326" s="200" t="s">
        <v>279</v>
      </c>
      <c r="AN326" s="203">
        <v>0</v>
      </c>
      <c r="AO326" s="200" t="s">
        <v>279</v>
      </c>
      <c r="AP326" s="203">
        <v>0</v>
      </c>
      <c r="AQ326" s="203">
        <v>39.159999999999997</v>
      </c>
      <c r="AR326" s="203">
        <v>0</v>
      </c>
      <c r="AS326" s="200" t="str">
        <f t="shared" si="5"/>
        <v>1.00000000</v>
      </c>
      <c r="AT326" s="200" t="str">
        <f>"19191.4"</f>
        <v>19191.4</v>
      </c>
      <c r="AU326" s="203">
        <v>0</v>
      </c>
    </row>
    <row r="327" spans="1:47" x14ac:dyDescent="0.2">
      <c r="A327" s="200" t="str">
        <f>"0496002595734"</f>
        <v>0496002595734</v>
      </c>
      <c r="B327" s="200">
        <v>2</v>
      </c>
      <c r="C327" s="200" t="s">
        <v>435</v>
      </c>
      <c r="D327" s="200">
        <v>80</v>
      </c>
      <c r="E327" s="200">
        <v>80</v>
      </c>
      <c r="F327" s="200" t="s">
        <v>243</v>
      </c>
      <c r="G327" s="200">
        <v>2086</v>
      </c>
      <c r="H327" s="200" t="s">
        <v>270</v>
      </c>
      <c r="I327" s="200">
        <v>73158</v>
      </c>
      <c r="J327" s="201">
        <v>42677</v>
      </c>
      <c r="K327" s="202">
        <v>0.48270833333333335</v>
      </c>
      <c r="L327" s="201">
        <v>42681</v>
      </c>
      <c r="M327" s="200" t="s">
        <v>384</v>
      </c>
      <c r="N327" s="200" t="s">
        <v>385</v>
      </c>
      <c r="O327" s="200" t="s">
        <v>386</v>
      </c>
      <c r="P327" s="200" t="s">
        <v>343</v>
      </c>
      <c r="Q327" s="200" t="s">
        <v>275</v>
      </c>
      <c r="R327" s="200" t="s">
        <v>387</v>
      </c>
      <c r="S327" s="200" t="s">
        <v>436</v>
      </c>
      <c r="T327" s="200" t="s">
        <v>435</v>
      </c>
      <c r="U327" s="200">
        <v>2086</v>
      </c>
      <c r="V327" s="200" t="s">
        <v>435</v>
      </c>
      <c r="W327" s="200" t="s">
        <v>280</v>
      </c>
      <c r="X327" s="200">
        <v>10.382999999999999</v>
      </c>
      <c r="Y327" s="203">
        <v>0</v>
      </c>
      <c r="Z327" s="203">
        <v>2.2000000000000002</v>
      </c>
      <c r="AA327" s="203">
        <v>22.83</v>
      </c>
      <c r="AB327" s="203">
        <v>-1.9</v>
      </c>
      <c r="AC327" s="203">
        <v>0</v>
      </c>
      <c r="AD327" s="203">
        <v>0</v>
      </c>
      <c r="AE327" s="203">
        <v>20.93</v>
      </c>
      <c r="AF327" s="203">
        <v>-2.4900000000000002</v>
      </c>
      <c r="AG327" s="200" t="s">
        <v>279</v>
      </c>
      <c r="AH327" s="203">
        <v>0</v>
      </c>
      <c r="AI327" s="200" t="s">
        <v>279</v>
      </c>
      <c r="AJ327" s="203">
        <v>0</v>
      </c>
      <c r="AK327" s="200" t="s">
        <v>279</v>
      </c>
      <c r="AL327" s="203">
        <v>0</v>
      </c>
      <c r="AM327" s="200" t="s">
        <v>279</v>
      </c>
      <c r="AN327" s="203">
        <v>0</v>
      </c>
      <c r="AO327" s="200" t="s">
        <v>279</v>
      </c>
      <c r="AP327" s="203">
        <v>0</v>
      </c>
      <c r="AQ327" s="203">
        <v>22.83</v>
      </c>
      <c r="AR327" s="203">
        <v>0</v>
      </c>
      <c r="AS327" s="200" t="str">
        <f t="shared" si="5"/>
        <v>1.00000000</v>
      </c>
      <c r="AT327" s="200" t="str">
        <f>"33.8"</f>
        <v>33.8</v>
      </c>
      <c r="AU327" s="203">
        <v>0</v>
      </c>
    </row>
    <row r="328" spans="1:47" x14ac:dyDescent="0.2">
      <c r="A328" s="200" t="str">
        <f>"0496002595734"</f>
        <v>0496002595734</v>
      </c>
      <c r="B328" s="200">
        <v>3</v>
      </c>
      <c r="C328" s="200" t="s">
        <v>435</v>
      </c>
      <c r="D328" s="200">
        <v>82</v>
      </c>
      <c r="E328" s="200">
        <v>82</v>
      </c>
      <c r="F328" s="200" t="s">
        <v>243</v>
      </c>
      <c r="G328" s="200">
        <v>2086</v>
      </c>
      <c r="H328" s="200" t="s">
        <v>270</v>
      </c>
      <c r="I328" s="200">
        <v>7875</v>
      </c>
      <c r="J328" s="201">
        <v>42677</v>
      </c>
      <c r="K328" s="202">
        <v>0.93194444444444446</v>
      </c>
      <c r="L328" s="201">
        <v>42681</v>
      </c>
      <c r="M328" s="200" t="s">
        <v>271</v>
      </c>
      <c r="N328" s="200" t="s">
        <v>272</v>
      </c>
      <c r="O328" s="200" t="s">
        <v>273</v>
      </c>
      <c r="P328" s="200" t="s">
        <v>274</v>
      </c>
      <c r="Q328" s="200" t="s">
        <v>275</v>
      </c>
      <c r="R328" s="200" t="s">
        <v>276</v>
      </c>
      <c r="S328" s="200" t="s">
        <v>436</v>
      </c>
      <c r="T328" s="200" t="s">
        <v>435</v>
      </c>
      <c r="U328" s="200">
        <v>2086</v>
      </c>
      <c r="V328" s="200" t="s">
        <v>435</v>
      </c>
      <c r="W328" s="200" t="s">
        <v>280</v>
      </c>
      <c r="X328" s="200">
        <v>15.586</v>
      </c>
      <c r="Y328" s="203">
        <v>-0.31</v>
      </c>
      <c r="Z328" s="203">
        <v>2.21</v>
      </c>
      <c r="AA328" s="203">
        <v>34.43</v>
      </c>
      <c r="AB328" s="203">
        <v>-2.85</v>
      </c>
      <c r="AC328" s="203">
        <v>0</v>
      </c>
      <c r="AD328" s="203">
        <v>0</v>
      </c>
      <c r="AE328" s="203">
        <v>31.27</v>
      </c>
      <c r="AF328" s="203">
        <v>-3.74</v>
      </c>
      <c r="AG328" s="200" t="s">
        <v>279</v>
      </c>
      <c r="AH328" s="203">
        <v>0</v>
      </c>
      <c r="AI328" s="200" t="s">
        <v>279</v>
      </c>
      <c r="AJ328" s="203">
        <v>0</v>
      </c>
      <c r="AK328" s="200" t="s">
        <v>279</v>
      </c>
      <c r="AL328" s="203">
        <v>0</v>
      </c>
      <c r="AM328" s="200" t="s">
        <v>279</v>
      </c>
      <c r="AN328" s="203">
        <v>0</v>
      </c>
      <c r="AO328" s="200" t="s">
        <v>279</v>
      </c>
      <c r="AP328" s="203">
        <v>0</v>
      </c>
      <c r="AQ328" s="203">
        <v>34.43</v>
      </c>
      <c r="AR328" s="203">
        <v>0</v>
      </c>
      <c r="AS328" s="200" t="str">
        <f t="shared" si="5"/>
        <v>1.00000000</v>
      </c>
      <c r="AT328" s="200" t="str">
        <f>"19.6"</f>
        <v>19.6</v>
      </c>
      <c r="AU328" s="203">
        <v>0</v>
      </c>
    </row>
    <row r="329" spans="1:47" x14ac:dyDescent="0.2">
      <c r="A329" s="200" t="str">
        <f>"0496002595809"</f>
        <v>0496002595809</v>
      </c>
      <c r="B329" s="200">
        <v>1</v>
      </c>
      <c r="C329" s="200" t="s">
        <v>570</v>
      </c>
      <c r="D329" s="200">
        <v>2003</v>
      </c>
      <c r="E329" s="200">
        <v>2003</v>
      </c>
      <c r="F329" s="200" t="s">
        <v>243</v>
      </c>
      <c r="G329" s="200">
        <v>2233</v>
      </c>
      <c r="H329" s="200" t="s">
        <v>270</v>
      </c>
      <c r="I329" s="200">
        <v>712</v>
      </c>
      <c r="J329" s="201">
        <v>42677</v>
      </c>
      <c r="K329" s="202">
        <v>0.40486111111111112</v>
      </c>
      <c r="L329" s="201">
        <v>42681</v>
      </c>
      <c r="M329" s="200" t="s">
        <v>271</v>
      </c>
      <c r="N329" s="200" t="s">
        <v>272</v>
      </c>
      <c r="O329" s="200" t="s">
        <v>273</v>
      </c>
      <c r="P329" s="200" t="s">
        <v>274</v>
      </c>
      <c r="Q329" s="200" t="s">
        <v>275</v>
      </c>
      <c r="R329" s="200" t="s">
        <v>276</v>
      </c>
      <c r="S329" s="200" t="s">
        <v>436</v>
      </c>
      <c r="T329" s="200" t="s">
        <v>570</v>
      </c>
      <c r="U329" s="200">
        <v>2233</v>
      </c>
      <c r="V329" s="200" t="s">
        <v>570</v>
      </c>
      <c r="W329" s="200" t="s">
        <v>280</v>
      </c>
      <c r="X329" s="200">
        <v>6.1429999999999998</v>
      </c>
      <c r="Y329" s="203">
        <v>-0.12</v>
      </c>
      <c r="Z329" s="203">
        <v>2.2000000000000002</v>
      </c>
      <c r="AA329" s="203">
        <v>13.51</v>
      </c>
      <c r="AB329" s="203">
        <v>-1.1200000000000001</v>
      </c>
      <c r="AC329" s="203">
        <v>0</v>
      </c>
      <c r="AD329" s="203">
        <v>0</v>
      </c>
      <c r="AE329" s="203">
        <v>12.27</v>
      </c>
      <c r="AF329" s="203">
        <v>-1.47</v>
      </c>
      <c r="AG329" s="200" t="s">
        <v>279</v>
      </c>
      <c r="AH329" s="203">
        <v>0</v>
      </c>
      <c r="AI329" s="200" t="s">
        <v>279</v>
      </c>
      <c r="AJ329" s="203">
        <v>0</v>
      </c>
      <c r="AK329" s="200" t="s">
        <v>279</v>
      </c>
      <c r="AL329" s="203">
        <v>0</v>
      </c>
      <c r="AM329" s="200" t="s">
        <v>279</v>
      </c>
      <c r="AN329" s="203">
        <v>0</v>
      </c>
      <c r="AO329" s="200" t="s">
        <v>279</v>
      </c>
      <c r="AP329" s="203">
        <v>0</v>
      </c>
      <c r="AQ329" s="203">
        <v>13.51</v>
      </c>
      <c r="AR329" s="203">
        <v>0</v>
      </c>
      <c r="AS329" s="200" t="str">
        <f t="shared" si="5"/>
        <v>1.00000000</v>
      </c>
      <c r="AT329" s="200" t="str">
        <f>"40.2"</f>
        <v>40.2</v>
      </c>
      <c r="AU329" s="203">
        <v>0</v>
      </c>
    </row>
    <row r="330" spans="1:47" x14ac:dyDescent="0.2">
      <c r="A330" s="200" t="str">
        <f>"0496002595809"</f>
        <v>0496002595809</v>
      </c>
      <c r="B330" s="200">
        <v>2</v>
      </c>
      <c r="C330" s="200" t="s">
        <v>570</v>
      </c>
      <c r="D330" s="200">
        <v>2014</v>
      </c>
      <c r="E330" s="200">
        <v>2014</v>
      </c>
      <c r="F330" s="200" t="s">
        <v>243</v>
      </c>
      <c r="G330" s="200">
        <v>2233</v>
      </c>
      <c r="H330" s="200" t="s">
        <v>270</v>
      </c>
      <c r="I330" s="200">
        <v>9107</v>
      </c>
      <c r="J330" s="201">
        <v>42677</v>
      </c>
      <c r="K330" s="202">
        <v>0.46249999999999997</v>
      </c>
      <c r="L330" s="201">
        <v>42681</v>
      </c>
      <c r="M330" s="200" t="s">
        <v>271</v>
      </c>
      <c r="N330" s="200" t="s">
        <v>272</v>
      </c>
      <c r="O330" s="200" t="s">
        <v>273</v>
      </c>
      <c r="P330" s="200" t="s">
        <v>274</v>
      </c>
      <c r="Q330" s="200" t="s">
        <v>275</v>
      </c>
      <c r="R330" s="200" t="s">
        <v>276</v>
      </c>
      <c r="S330" s="200" t="s">
        <v>436</v>
      </c>
      <c r="T330" s="200" t="s">
        <v>570</v>
      </c>
      <c r="U330" s="200">
        <v>2233</v>
      </c>
      <c r="V330" s="200" t="s">
        <v>570</v>
      </c>
      <c r="W330" s="200" t="s">
        <v>280</v>
      </c>
      <c r="X330" s="200">
        <v>5.6859999999999999</v>
      </c>
      <c r="Y330" s="203">
        <v>-0.11</v>
      </c>
      <c r="Z330" s="203">
        <v>2.2000000000000002</v>
      </c>
      <c r="AA330" s="203">
        <v>12.5</v>
      </c>
      <c r="AB330" s="203">
        <v>-1.04</v>
      </c>
      <c r="AC330" s="203">
        <v>0</v>
      </c>
      <c r="AD330" s="203">
        <v>0</v>
      </c>
      <c r="AE330" s="203">
        <v>11.35</v>
      </c>
      <c r="AF330" s="203">
        <v>-1.36</v>
      </c>
      <c r="AG330" s="200" t="s">
        <v>279</v>
      </c>
      <c r="AH330" s="203">
        <v>0</v>
      </c>
      <c r="AI330" s="200" t="s">
        <v>279</v>
      </c>
      <c r="AJ330" s="203">
        <v>0</v>
      </c>
      <c r="AK330" s="200" t="s">
        <v>279</v>
      </c>
      <c r="AL330" s="203">
        <v>0</v>
      </c>
      <c r="AM330" s="200" t="s">
        <v>279</v>
      </c>
      <c r="AN330" s="203">
        <v>0</v>
      </c>
      <c r="AO330" s="200" t="s">
        <v>279</v>
      </c>
      <c r="AP330" s="203">
        <v>0</v>
      </c>
      <c r="AQ330" s="203">
        <v>12.5</v>
      </c>
      <c r="AR330" s="203">
        <v>0</v>
      </c>
      <c r="AS330" s="200" t="str">
        <f t="shared" si="5"/>
        <v>1.00000000</v>
      </c>
      <c r="AT330" s="200" t="str">
        <f>"12.0"</f>
        <v>12.0</v>
      </c>
      <c r="AU330" s="203">
        <v>0</v>
      </c>
    </row>
    <row r="331" spans="1:47" x14ac:dyDescent="0.2">
      <c r="A331" s="200" t="str">
        <f>"0496002595833"</f>
        <v>0496002595833</v>
      </c>
      <c r="B331" s="200">
        <v>1</v>
      </c>
      <c r="C331" s="200" t="s">
        <v>571</v>
      </c>
      <c r="D331" s="200" t="s">
        <v>571</v>
      </c>
      <c r="E331" s="200" t="s">
        <v>572</v>
      </c>
      <c r="F331" s="200" t="s">
        <v>243</v>
      </c>
      <c r="G331" s="200">
        <v>2328</v>
      </c>
      <c r="H331" s="200" t="s">
        <v>270</v>
      </c>
      <c r="I331" s="200">
        <v>53414</v>
      </c>
      <c r="J331" s="201">
        <v>42677</v>
      </c>
      <c r="K331" s="202">
        <v>0.44097222222222227</v>
      </c>
      <c r="L331" s="201">
        <v>42681</v>
      </c>
      <c r="M331" s="200" t="s">
        <v>302</v>
      </c>
      <c r="N331" s="200" t="s">
        <v>491</v>
      </c>
      <c r="O331" s="200" t="s">
        <v>492</v>
      </c>
      <c r="P331" s="200" t="s">
        <v>493</v>
      </c>
      <c r="Q331" s="200" t="s">
        <v>309</v>
      </c>
      <c r="R331" s="200">
        <v>6831</v>
      </c>
      <c r="S331" s="200" t="s">
        <v>436</v>
      </c>
      <c r="T331" s="200" t="s">
        <v>571</v>
      </c>
      <c r="U331" s="200">
        <v>2328</v>
      </c>
      <c r="V331" s="200" t="s">
        <v>571</v>
      </c>
      <c r="W331" s="200" t="s">
        <v>280</v>
      </c>
      <c r="X331" s="200">
        <v>11.36</v>
      </c>
      <c r="Y331" s="203">
        <v>0</v>
      </c>
      <c r="Z331" s="203">
        <v>2.58</v>
      </c>
      <c r="AA331" s="203">
        <v>29.3</v>
      </c>
      <c r="AB331" s="203">
        <v>-2.08</v>
      </c>
      <c r="AC331" s="203">
        <v>0</v>
      </c>
      <c r="AD331" s="203">
        <v>0</v>
      </c>
      <c r="AE331" s="203">
        <v>27.22</v>
      </c>
      <c r="AF331" s="203">
        <v>-2.84</v>
      </c>
      <c r="AG331" s="200" t="s">
        <v>279</v>
      </c>
      <c r="AH331" s="203">
        <v>0</v>
      </c>
      <c r="AI331" s="200" t="s">
        <v>279</v>
      </c>
      <c r="AJ331" s="203">
        <v>0</v>
      </c>
      <c r="AK331" s="200" t="s">
        <v>279</v>
      </c>
      <c r="AL331" s="203">
        <v>0</v>
      </c>
      <c r="AM331" s="200" t="s">
        <v>279</v>
      </c>
      <c r="AN331" s="203">
        <v>0</v>
      </c>
      <c r="AO331" s="200" t="s">
        <v>279</v>
      </c>
      <c r="AP331" s="203">
        <v>0</v>
      </c>
      <c r="AQ331" s="203">
        <v>29.3</v>
      </c>
      <c r="AR331" s="203">
        <v>0</v>
      </c>
      <c r="AS331" s="200" t="str">
        <f t="shared" si="5"/>
        <v>1.00000000</v>
      </c>
      <c r="AT331" s="200" t="str">
        <f>"27.6"</f>
        <v>27.6</v>
      </c>
      <c r="AU331" s="203">
        <v>0</v>
      </c>
    </row>
    <row r="332" spans="1:47" x14ac:dyDescent="0.2">
      <c r="A332" s="200" t="str">
        <f>"0496002595833"</f>
        <v>0496002595833</v>
      </c>
      <c r="B332" s="200">
        <v>1</v>
      </c>
      <c r="C332" s="200" t="s">
        <v>571</v>
      </c>
      <c r="D332" s="200" t="s">
        <v>571</v>
      </c>
      <c r="E332" s="200" t="s">
        <v>572</v>
      </c>
      <c r="F332" s="200" t="s">
        <v>243</v>
      </c>
      <c r="G332" s="200">
        <v>2328</v>
      </c>
      <c r="H332" s="200" t="s">
        <v>270</v>
      </c>
      <c r="I332" s="200">
        <v>53542</v>
      </c>
      <c r="J332" s="201">
        <v>42677</v>
      </c>
      <c r="K332" s="202">
        <v>0.5314120370370371</v>
      </c>
      <c r="L332" s="201">
        <v>42681</v>
      </c>
      <c r="M332" s="200" t="s">
        <v>384</v>
      </c>
      <c r="N332" s="200" t="s">
        <v>385</v>
      </c>
      <c r="O332" s="200" t="s">
        <v>386</v>
      </c>
      <c r="P332" s="200" t="s">
        <v>343</v>
      </c>
      <c r="Q332" s="200" t="s">
        <v>275</v>
      </c>
      <c r="R332" s="200" t="s">
        <v>387</v>
      </c>
      <c r="S332" s="200" t="s">
        <v>436</v>
      </c>
      <c r="T332" s="200" t="s">
        <v>571</v>
      </c>
      <c r="U332" s="200">
        <v>2328</v>
      </c>
      <c r="V332" s="200" t="s">
        <v>571</v>
      </c>
      <c r="W332" s="200" t="s">
        <v>280</v>
      </c>
      <c r="X332" s="200">
        <v>4.4660000000000002</v>
      </c>
      <c r="Y332" s="203">
        <v>0</v>
      </c>
      <c r="Z332" s="203">
        <v>2.15</v>
      </c>
      <c r="AA332" s="203">
        <v>9.6</v>
      </c>
      <c r="AB332" s="203">
        <v>-0.82</v>
      </c>
      <c r="AC332" s="203">
        <v>0</v>
      </c>
      <c r="AD332" s="203">
        <v>0</v>
      </c>
      <c r="AE332" s="203">
        <v>8.7799999999999994</v>
      </c>
      <c r="AF332" s="203">
        <v>-1.07</v>
      </c>
      <c r="AG332" s="200" t="s">
        <v>279</v>
      </c>
      <c r="AH332" s="203">
        <v>0</v>
      </c>
      <c r="AI332" s="200" t="s">
        <v>279</v>
      </c>
      <c r="AJ332" s="203">
        <v>0</v>
      </c>
      <c r="AK332" s="200" t="s">
        <v>279</v>
      </c>
      <c r="AL332" s="203">
        <v>0</v>
      </c>
      <c r="AM332" s="200" t="s">
        <v>279</v>
      </c>
      <c r="AN332" s="203">
        <v>0</v>
      </c>
      <c r="AO332" s="200" t="s">
        <v>279</v>
      </c>
      <c r="AP332" s="203">
        <v>0</v>
      </c>
      <c r="AQ332" s="203">
        <v>9.6</v>
      </c>
      <c r="AR332" s="203">
        <v>0</v>
      </c>
      <c r="AS332" s="200" t="str">
        <f t="shared" si="5"/>
        <v>1.00000000</v>
      </c>
      <c r="AT332" s="200" t="str">
        <f>"28.7"</f>
        <v>28.7</v>
      </c>
      <c r="AU332" s="203">
        <v>0</v>
      </c>
    </row>
    <row r="333" spans="1:47" x14ac:dyDescent="0.2">
      <c r="A333" s="200" t="str">
        <f>"0496002599173"</f>
        <v>0496002599173</v>
      </c>
      <c r="B333" s="200">
        <v>3</v>
      </c>
      <c r="C333" s="200" t="s">
        <v>585</v>
      </c>
      <c r="D333" s="200" t="s">
        <v>628</v>
      </c>
      <c r="E333" s="200" t="s">
        <v>628</v>
      </c>
      <c r="F333" s="200" t="s">
        <v>243</v>
      </c>
      <c r="G333" s="200">
        <v>5738</v>
      </c>
      <c r="H333" s="200" t="s">
        <v>270</v>
      </c>
      <c r="I333" s="200">
        <v>113555</v>
      </c>
      <c r="J333" s="201">
        <v>42678</v>
      </c>
      <c r="K333" s="202">
        <v>0.31666666666666665</v>
      </c>
      <c r="L333" s="201">
        <v>42682</v>
      </c>
      <c r="M333" s="200" t="s">
        <v>606</v>
      </c>
      <c r="N333" s="200" t="s">
        <v>794</v>
      </c>
      <c r="O333" s="200" t="s">
        <v>400</v>
      </c>
      <c r="P333" s="200" t="s">
        <v>274</v>
      </c>
      <c r="Q333" s="200" t="s">
        <v>275</v>
      </c>
      <c r="R333" s="200" t="s">
        <v>401</v>
      </c>
      <c r="S333" s="200" t="s">
        <v>436</v>
      </c>
      <c r="T333" s="200" t="s">
        <v>630</v>
      </c>
      <c r="U333" s="200">
        <v>5738</v>
      </c>
      <c r="V333" s="200" t="s">
        <v>585</v>
      </c>
      <c r="W333" s="200" t="s">
        <v>280</v>
      </c>
      <c r="X333" s="200">
        <v>25.864999999999998</v>
      </c>
      <c r="Y333" s="203">
        <v>0</v>
      </c>
      <c r="Z333" s="203">
        <v>2.2200000000000002</v>
      </c>
      <c r="AA333" s="203">
        <v>57.39</v>
      </c>
      <c r="AB333" s="203">
        <v>-4.7300000000000004</v>
      </c>
      <c r="AC333" s="203">
        <v>0</v>
      </c>
      <c r="AD333" s="203">
        <v>0</v>
      </c>
      <c r="AE333" s="203">
        <v>52.66</v>
      </c>
      <c r="AF333" s="203">
        <v>-6.21</v>
      </c>
      <c r="AG333" s="200" t="s">
        <v>279</v>
      </c>
      <c r="AH333" s="203">
        <v>0</v>
      </c>
      <c r="AI333" s="200" t="s">
        <v>279</v>
      </c>
      <c r="AJ333" s="203">
        <v>0</v>
      </c>
      <c r="AK333" s="200" t="s">
        <v>279</v>
      </c>
      <c r="AL333" s="203">
        <v>0</v>
      </c>
      <c r="AM333" s="200" t="s">
        <v>279</v>
      </c>
      <c r="AN333" s="203">
        <v>0</v>
      </c>
      <c r="AO333" s="200" t="s">
        <v>279</v>
      </c>
      <c r="AP333" s="203">
        <v>0</v>
      </c>
      <c r="AQ333" s="203">
        <v>57.39</v>
      </c>
      <c r="AR333" s="203">
        <v>0</v>
      </c>
      <c r="AS333" s="200" t="str">
        <f t="shared" si="5"/>
        <v>1.00000000</v>
      </c>
      <c r="AT333" s="200" t="str">
        <f>"11.2"</f>
        <v>11.2</v>
      </c>
      <c r="AU333" s="203">
        <v>0</v>
      </c>
    </row>
    <row r="334" spans="1:47" x14ac:dyDescent="0.2">
      <c r="A334" s="200" t="str">
        <f>"0496002595700"</f>
        <v>0496002595700</v>
      </c>
      <c r="B334" s="200">
        <v>5</v>
      </c>
      <c r="C334" s="200" t="s">
        <v>156</v>
      </c>
      <c r="D334" s="200">
        <v>86</v>
      </c>
      <c r="E334" s="200">
        <v>86</v>
      </c>
      <c r="F334" s="200" t="s">
        <v>243</v>
      </c>
      <c r="G334" s="200">
        <v>2262</v>
      </c>
      <c r="H334" s="200" t="s">
        <v>270</v>
      </c>
      <c r="I334" s="200">
        <v>8813</v>
      </c>
      <c r="J334" s="201">
        <v>42679</v>
      </c>
      <c r="K334" s="202">
        <v>0.37222222222222223</v>
      </c>
      <c r="L334" s="201">
        <v>42682</v>
      </c>
      <c r="M334" s="200" t="s">
        <v>271</v>
      </c>
      <c r="N334" s="200" t="s">
        <v>272</v>
      </c>
      <c r="O334" s="200" t="s">
        <v>273</v>
      </c>
      <c r="P334" s="200" t="s">
        <v>274</v>
      </c>
      <c r="Q334" s="200" t="s">
        <v>275</v>
      </c>
      <c r="R334" s="200" t="s">
        <v>276</v>
      </c>
      <c r="S334" s="200" t="s">
        <v>156</v>
      </c>
      <c r="T334" s="200" t="s">
        <v>277</v>
      </c>
      <c r="U334" s="200">
        <v>2262</v>
      </c>
      <c r="V334" s="200" t="s">
        <v>156</v>
      </c>
      <c r="W334" s="200" t="s">
        <v>280</v>
      </c>
      <c r="X334" s="200">
        <v>18.315000000000001</v>
      </c>
      <c r="Y334" s="203">
        <v>-0.37</v>
      </c>
      <c r="Z334" s="203">
        <v>2.21</v>
      </c>
      <c r="AA334" s="203">
        <v>40.46</v>
      </c>
      <c r="AB334" s="203">
        <v>-3.35</v>
      </c>
      <c r="AC334" s="203">
        <v>0</v>
      </c>
      <c r="AD334" s="203">
        <v>0</v>
      </c>
      <c r="AE334" s="203">
        <v>36.74</v>
      </c>
      <c r="AF334" s="203">
        <v>-4.4000000000000004</v>
      </c>
      <c r="AG334" s="200" t="s">
        <v>279</v>
      </c>
      <c r="AH334" s="203">
        <v>0</v>
      </c>
      <c r="AI334" s="200" t="s">
        <v>279</v>
      </c>
      <c r="AJ334" s="203">
        <v>0</v>
      </c>
      <c r="AK334" s="200" t="s">
        <v>279</v>
      </c>
      <c r="AL334" s="203">
        <v>0</v>
      </c>
      <c r="AM334" s="200" t="s">
        <v>279</v>
      </c>
      <c r="AN334" s="203">
        <v>0</v>
      </c>
      <c r="AO334" s="200" t="s">
        <v>279</v>
      </c>
      <c r="AP334" s="203">
        <v>0</v>
      </c>
      <c r="AQ334" s="203">
        <v>40.46</v>
      </c>
      <c r="AR334" s="203">
        <v>0</v>
      </c>
      <c r="AS334" s="200" t="str">
        <f t="shared" si="5"/>
        <v>1.00000000</v>
      </c>
      <c r="AT334" s="200" t="str">
        <f>"15.8"</f>
        <v>15.8</v>
      </c>
      <c r="AU334" s="203">
        <v>0</v>
      </c>
    </row>
    <row r="335" spans="1:47" x14ac:dyDescent="0.2">
      <c r="A335" s="200" t="str">
        <f>"0496002595700"</f>
        <v>0496002595700</v>
      </c>
      <c r="B335" s="200">
        <v>7</v>
      </c>
      <c r="C335" s="200" t="s">
        <v>156</v>
      </c>
      <c r="D335" s="200" t="s">
        <v>371</v>
      </c>
      <c r="E335" s="200">
        <v>45</v>
      </c>
      <c r="F335" s="200" t="s">
        <v>243</v>
      </c>
      <c r="G335" s="200">
        <v>2262</v>
      </c>
      <c r="H335" s="200" t="s">
        <v>270</v>
      </c>
      <c r="I335" s="200">
        <v>8886</v>
      </c>
      <c r="J335" s="201">
        <v>42679</v>
      </c>
      <c r="K335" s="202">
        <v>0.31527777777777777</v>
      </c>
      <c r="L335" s="201">
        <v>42682</v>
      </c>
      <c r="M335" s="200" t="s">
        <v>271</v>
      </c>
      <c r="N335" s="200" t="s">
        <v>272</v>
      </c>
      <c r="O335" s="200" t="s">
        <v>273</v>
      </c>
      <c r="P335" s="200" t="s">
        <v>274</v>
      </c>
      <c r="Q335" s="200" t="s">
        <v>275</v>
      </c>
      <c r="R335" s="200" t="s">
        <v>276</v>
      </c>
      <c r="S335" s="200" t="s">
        <v>156</v>
      </c>
      <c r="T335" s="200" t="s">
        <v>277</v>
      </c>
      <c r="U335" s="200">
        <v>2262</v>
      </c>
      <c r="V335" s="200" t="s">
        <v>156</v>
      </c>
      <c r="W335" s="200" t="s">
        <v>280</v>
      </c>
      <c r="X335" s="200">
        <v>11.375999999999999</v>
      </c>
      <c r="Y335" s="203">
        <v>-0.23</v>
      </c>
      <c r="Z335" s="203">
        <v>2.21</v>
      </c>
      <c r="AA335" s="203">
        <v>25.13</v>
      </c>
      <c r="AB335" s="203">
        <v>-2.08</v>
      </c>
      <c r="AC335" s="203">
        <v>0</v>
      </c>
      <c r="AD335" s="203">
        <v>0</v>
      </c>
      <c r="AE335" s="203">
        <v>22.82</v>
      </c>
      <c r="AF335" s="203">
        <v>-2.73</v>
      </c>
      <c r="AG335" s="200" t="s">
        <v>279</v>
      </c>
      <c r="AH335" s="203">
        <v>0</v>
      </c>
      <c r="AI335" s="200" t="s">
        <v>279</v>
      </c>
      <c r="AJ335" s="203">
        <v>0</v>
      </c>
      <c r="AK335" s="200" t="s">
        <v>279</v>
      </c>
      <c r="AL335" s="203">
        <v>0</v>
      </c>
      <c r="AM335" s="200" t="s">
        <v>279</v>
      </c>
      <c r="AN335" s="203">
        <v>0</v>
      </c>
      <c r="AO335" s="200" t="s">
        <v>279</v>
      </c>
      <c r="AP335" s="203">
        <v>0</v>
      </c>
      <c r="AQ335" s="203">
        <v>25.13</v>
      </c>
      <c r="AR335" s="203">
        <v>0</v>
      </c>
      <c r="AS335" s="200" t="str">
        <f t="shared" si="5"/>
        <v>1.00000000</v>
      </c>
      <c r="AT335" s="200" t="str">
        <f>"0.0"</f>
        <v>0.0</v>
      </c>
      <c r="AU335" s="203">
        <v>0</v>
      </c>
    </row>
    <row r="336" spans="1:47" x14ac:dyDescent="0.2">
      <c r="A336" s="200" t="str">
        <f>"0496002595734"</f>
        <v>0496002595734</v>
      </c>
      <c r="B336" s="200">
        <v>2</v>
      </c>
      <c r="C336" s="200" t="s">
        <v>435</v>
      </c>
      <c r="D336" s="200">
        <v>80</v>
      </c>
      <c r="E336" s="200">
        <v>80</v>
      </c>
      <c r="F336" s="200" t="s">
        <v>243</v>
      </c>
      <c r="G336" s="200">
        <v>2086</v>
      </c>
      <c r="H336" s="200" t="s">
        <v>270</v>
      </c>
      <c r="I336" s="200">
        <v>73382</v>
      </c>
      <c r="J336" s="201">
        <v>42679</v>
      </c>
      <c r="K336" s="202">
        <v>0.3524768518518519</v>
      </c>
      <c r="L336" s="201">
        <v>42682</v>
      </c>
      <c r="M336" s="200" t="s">
        <v>396</v>
      </c>
      <c r="N336" s="200" t="s">
        <v>397</v>
      </c>
      <c r="O336" s="200" t="s">
        <v>398</v>
      </c>
      <c r="P336" s="200" t="s">
        <v>343</v>
      </c>
      <c r="Q336" s="200" t="s">
        <v>275</v>
      </c>
      <c r="R336" s="200">
        <v>1035</v>
      </c>
      <c r="S336" s="200" t="s">
        <v>436</v>
      </c>
      <c r="T336" s="200" t="s">
        <v>435</v>
      </c>
      <c r="U336" s="200">
        <v>2086</v>
      </c>
      <c r="V336" s="200" t="s">
        <v>435</v>
      </c>
      <c r="W336" s="200" t="s">
        <v>280</v>
      </c>
      <c r="X336" s="200">
        <v>6.33</v>
      </c>
      <c r="Y336" s="203">
        <v>0</v>
      </c>
      <c r="Z336" s="203">
        <v>2.2000000000000002</v>
      </c>
      <c r="AA336" s="203">
        <v>13.92</v>
      </c>
      <c r="AB336" s="203">
        <v>-1.1599999999999999</v>
      </c>
      <c r="AC336" s="203">
        <v>0</v>
      </c>
      <c r="AD336" s="203">
        <v>0</v>
      </c>
      <c r="AE336" s="203">
        <v>12.76</v>
      </c>
      <c r="AF336" s="203">
        <v>-1.52</v>
      </c>
      <c r="AG336" s="200" t="s">
        <v>279</v>
      </c>
      <c r="AH336" s="203">
        <v>0</v>
      </c>
      <c r="AI336" s="200" t="s">
        <v>279</v>
      </c>
      <c r="AJ336" s="203">
        <v>0</v>
      </c>
      <c r="AK336" s="200" t="s">
        <v>279</v>
      </c>
      <c r="AL336" s="203">
        <v>0</v>
      </c>
      <c r="AM336" s="200" t="s">
        <v>279</v>
      </c>
      <c r="AN336" s="203">
        <v>0</v>
      </c>
      <c r="AO336" s="200" t="s">
        <v>279</v>
      </c>
      <c r="AP336" s="203">
        <v>0</v>
      </c>
      <c r="AQ336" s="203">
        <v>13.92</v>
      </c>
      <c r="AR336" s="203">
        <v>0</v>
      </c>
      <c r="AS336" s="200" t="str">
        <f t="shared" si="5"/>
        <v>1.00000000</v>
      </c>
      <c r="AT336" s="200" t="str">
        <f>"35.4"</f>
        <v>35.4</v>
      </c>
      <c r="AU336" s="203">
        <v>0</v>
      </c>
    </row>
    <row r="337" spans="1:47" x14ac:dyDescent="0.2">
      <c r="A337" s="200" t="str">
        <f>"0496002595734"</f>
        <v>0496002595734</v>
      </c>
      <c r="B337" s="200">
        <v>2</v>
      </c>
      <c r="C337" s="200" t="s">
        <v>435</v>
      </c>
      <c r="D337" s="200">
        <v>80</v>
      </c>
      <c r="E337" s="200">
        <v>80</v>
      </c>
      <c r="F337" s="200" t="s">
        <v>243</v>
      </c>
      <c r="G337" s="200">
        <v>2086</v>
      </c>
      <c r="H337" s="200" t="s">
        <v>270</v>
      </c>
      <c r="I337" s="200">
        <v>73147</v>
      </c>
      <c r="J337" s="201">
        <v>42679</v>
      </c>
      <c r="K337" s="202">
        <v>0.85416666666666663</v>
      </c>
      <c r="L337" s="201">
        <v>42682</v>
      </c>
      <c r="M337" s="200" t="s">
        <v>606</v>
      </c>
      <c r="N337" s="200" t="s">
        <v>794</v>
      </c>
      <c r="O337" s="200" t="s">
        <v>400</v>
      </c>
      <c r="P337" s="200" t="s">
        <v>274</v>
      </c>
      <c r="Q337" s="200" t="s">
        <v>275</v>
      </c>
      <c r="R337" s="200" t="s">
        <v>401</v>
      </c>
      <c r="S337" s="200" t="s">
        <v>436</v>
      </c>
      <c r="T337" s="200" t="s">
        <v>435</v>
      </c>
      <c r="U337" s="200">
        <v>2086</v>
      </c>
      <c r="V337" s="200" t="s">
        <v>435</v>
      </c>
      <c r="W337" s="200" t="s">
        <v>280</v>
      </c>
      <c r="X337" s="200">
        <v>9.8070000000000004</v>
      </c>
      <c r="Y337" s="203">
        <v>0</v>
      </c>
      <c r="Z337" s="203">
        <v>2.2200000000000002</v>
      </c>
      <c r="AA337" s="203">
        <v>21.76</v>
      </c>
      <c r="AB337" s="203">
        <v>-1.79</v>
      </c>
      <c r="AC337" s="203">
        <v>0</v>
      </c>
      <c r="AD337" s="203">
        <v>0</v>
      </c>
      <c r="AE337" s="203">
        <v>19.97</v>
      </c>
      <c r="AF337" s="203">
        <v>-2.35</v>
      </c>
      <c r="AG337" s="200" t="s">
        <v>279</v>
      </c>
      <c r="AH337" s="203">
        <v>0</v>
      </c>
      <c r="AI337" s="200" t="s">
        <v>279</v>
      </c>
      <c r="AJ337" s="203">
        <v>0</v>
      </c>
      <c r="AK337" s="200" t="s">
        <v>279</v>
      </c>
      <c r="AL337" s="203">
        <v>0</v>
      </c>
      <c r="AM337" s="200" t="s">
        <v>279</v>
      </c>
      <c r="AN337" s="203">
        <v>0</v>
      </c>
      <c r="AO337" s="200" t="s">
        <v>279</v>
      </c>
      <c r="AP337" s="203">
        <v>0</v>
      </c>
      <c r="AQ337" s="203">
        <v>21.76</v>
      </c>
      <c r="AR337" s="203">
        <v>0</v>
      </c>
      <c r="AS337" s="200" t="str">
        <f t="shared" si="5"/>
        <v>1.00000000</v>
      </c>
      <c r="AT337" s="200" t="str">
        <f>"37.4"</f>
        <v>37.4</v>
      </c>
      <c r="AU337" s="203">
        <v>0</v>
      </c>
    </row>
    <row r="338" spans="1:47" x14ac:dyDescent="0.2">
      <c r="A338" s="200" t="str">
        <f>"0496002595700"</f>
        <v>0496002595700</v>
      </c>
      <c r="B338" s="200">
        <v>6</v>
      </c>
      <c r="C338" s="200" t="s">
        <v>156</v>
      </c>
      <c r="D338" s="200" t="s">
        <v>344</v>
      </c>
      <c r="E338" s="200" t="s">
        <v>345</v>
      </c>
      <c r="F338" s="200" t="s">
        <v>243</v>
      </c>
      <c r="G338" s="200">
        <v>2262</v>
      </c>
      <c r="H338" s="200" t="s">
        <v>270</v>
      </c>
      <c r="I338" s="200">
        <v>56838</v>
      </c>
      <c r="J338" s="201">
        <v>42680</v>
      </c>
      <c r="K338" s="202">
        <v>0.67708333333333337</v>
      </c>
      <c r="L338" s="201">
        <v>42682</v>
      </c>
      <c r="M338" s="200" t="s">
        <v>271</v>
      </c>
      <c r="N338" s="200" t="s">
        <v>802</v>
      </c>
      <c r="O338" s="200" t="s">
        <v>803</v>
      </c>
      <c r="P338" s="200" t="s">
        <v>804</v>
      </c>
      <c r="Q338" s="200" t="s">
        <v>466</v>
      </c>
      <c r="R338" s="200" t="s">
        <v>805</v>
      </c>
      <c r="S338" s="200" t="s">
        <v>156</v>
      </c>
      <c r="T338" s="200" t="s">
        <v>277</v>
      </c>
      <c r="U338" s="200">
        <v>2262</v>
      </c>
      <c r="V338" s="200" t="s">
        <v>156</v>
      </c>
      <c r="W338" s="200" t="s">
        <v>280</v>
      </c>
      <c r="X338" s="200">
        <v>13.782</v>
      </c>
      <c r="Y338" s="203">
        <v>-0.28000000000000003</v>
      </c>
      <c r="Z338" s="203">
        <v>2.2400000000000002</v>
      </c>
      <c r="AA338" s="203">
        <v>30.86</v>
      </c>
      <c r="AB338" s="203">
        <v>-2.52</v>
      </c>
      <c r="AC338" s="203">
        <v>0</v>
      </c>
      <c r="AD338" s="203">
        <v>0</v>
      </c>
      <c r="AE338" s="203">
        <v>28.06</v>
      </c>
      <c r="AF338" s="203">
        <v>-3.06</v>
      </c>
      <c r="AG338" s="200" t="s">
        <v>279</v>
      </c>
      <c r="AH338" s="203">
        <v>0</v>
      </c>
      <c r="AI338" s="200" t="s">
        <v>279</v>
      </c>
      <c r="AJ338" s="203">
        <v>0</v>
      </c>
      <c r="AK338" s="200" t="s">
        <v>279</v>
      </c>
      <c r="AL338" s="203">
        <v>0</v>
      </c>
      <c r="AM338" s="200" t="s">
        <v>279</v>
      </c>
      <c r="AN338" s="203">
        <v>0</v>
      </c>
      <c r="AO338" s="200" t="s">
        <v>279</v>
      </c>
      <c r="AP338" s="203">
        <v>0</v>
      </c>
      <c r="AQ338" s="203">
        <v>30.86</v>
      </c>
      <c r="AR338" s="203">
        <v>0</v>
      </c>
      <c r="AS338" s="200" t="str">
        <f t="shared" si="5"/>
        <v>1.00000000</v>
      </c>
      <c r="AT338" s="200" t="str">
        <f>"30.3"</f>
        <v>30.3</v>
      </c>
      <c r="AU338" s="203">
        <v>0</v>
      </c>
    </row>
    <row r="339" spans="1:47" x14ac:dyDescent="0.2">
      <c r="A339" s="200" t="str">
        <f>"0496002595734"</f>
        <v>0496002595734</v>
      </c>
      <c r="B339" s="200">
        <v>1</v>
      </c>
      <c r="C339" s="200" t="s">
        <v>435</v>
      </c>
      <c r="D339" s="200">
        <v>81</v>
      </c>
      <c r="E339" s="200">
        <v>81</v>
      </c>
      <c r="F339" s="200" t="s">
        <v>243</v>
      </c>
      <c r="G339" s="200">
        <v>2086</v>
      </c>
      <c r="H339" s="200" t="s">
        <v>270</v>
      </c>
      <c r="I339" s="200">
        <v>67330</v>
      </c>
      <c r="J339" s="201">
        <v>42680</v>
      </c>
      <c r="K339" s="202">
        <v>0.6333333333333333</v>
      </c>
      <c r="L339" s="201">
        <v>42682</v>
      </c>
      <c r="M339" s="200" t="s">
        <v>271</v>
      </c>
      <c r="N339" s="200" t="s">
        <v>272</v>
      </c>
      <c r="O339" s="200" t="s">
        <v>273</v>
      </c>
      <c r="P339" s="200" t="s">
        <v>274</v>
      </c>
      <c r="Q339" s="200" t="s">
        <v>275</v>
      </c>
      <c r="R339" s="200" t="s">
        <v>276</v>
      </c>
      <c r="S339" s="200" t="s">
        <v>436</v>
      </c>
      <c r="T339" s="200" t="s">
        <v>435</v>
      </c>
      <c r="U339" s="200">
        <v>2086</v>
      </c>
      <c r="V339" s="200" t="s">
        <v>435</v>
      </c>
      <c r="W339" s="200" t="s">
        <v>280</v>
      </c>
      <c r="X339" s="200">
        <v>15.69</v>
      </c>
      <c r="Y339" s="203">
        <v>-0.31</v>
      </c>
      <c r="Z339" s="203">
        <v>2.21</v>
      </c>
      <c r="AA339" s="203">
        <v>34.659999999999997</v>
      </c>
      <c r="AB339" s="203">
        <v>-2.87</v>
      </c>
      <c r="AC339" s="203">
        <v>0</v>
      </c>
      <c r="AD339" s="203">
        <v>0</v>
      </c>
      <c r="AE339" s="203">
        <v>31.48</v>
      </c>
      <c r="AF339" s="203">
        <v>-3.77</v>
      </c>
      <c r="AG339" s="200" t="s">
        <v>279</v>
      </c>
      <c r="AH339" s="203">
        <v>0</v>
      </c>
      <c r="AI339" s="200" t="s">
        <v>279</v>
      </c>
      <c r="AJ339" s="203">
        <v>0</v>
      </c>
      <c r="AK339" s="200" t="s">
        <v>279</v>
      </c>
      <c r="AL339" s="203">
        <v>0</v>
      </c>
      <c r="AM339" s="200" t="s">
        <v>279</v>
      </c>
      <c r="AN339" s="203">
        <v>0</v>
      </c>
      <c r="AO339" s="200" t="s">
        <v>279</v>
      </c>
      <c r="AP339" s="203">
        <v>0</v>
      </c>
      <c r="AQ339" s="203">
        <v>34.659999999999997</v>
      </c>
      <c r="AR339" s="203">
        <v>0</v>
      </c>
      <c r="AS339" s="200" t="str">
        <f t="shared" si="5"/>
        <v>1.00000000</v>
      </c>
      <c r="AT339" s="200" t="str">
        <f>"20.3"</f>
        <v>20.3</v>
      </c>
      <c r="AU339" s="203">
        <v>0</v>
      </c>
    </row>
    <row r="340" spans="1:47" x14ac:dyDescent="0.2">
      <c r="A340" s="200" t="str">
        <f>"0496002595700"</f>
        <v>0496002595700</v>
      </c>
      <c r="B340" s="200">
        <v>2</v>
      </c>
      <c r="C340" s="200" t="s">
        <v>156</v>
      </c>
      <c r="D340" s="200">
        <v>42</v>
      </c>
      <c r="E340" s="200">
        <v>42</v>
      </c>
      <c r="F340" s="200" t="s">
        <v>243</v>
      </c>
      <c r="G340" s="200">
        <v>2262</v>
      </c>
      <c r="H340" s="200" t="s">
        <v>270</v>
      </c>
      <c r="I340" s="200">
        <v>60000</v>
      </c>
      <c r="J340" s="201">
        <v>42681</v>
      </c>
      <c r="K340" s="202">
        <v>0.32361111111111113</v>
      </c>
      <c r="L340" s="201">
        <v>42683</v>
      </c>
      <c r="M340" s="200" t="s">
        <v>271</v>
      </c>
      <c r="N340" s="200" t="s">
        <v>272</v>
      </c>
      <c r="O340" s="200" t="s">
        <v>273</v>
      </c>
      <c r="P340" s="200" t="s">
        <v>274</v>
      </c>
      <c r="Q340" s="200" t="s">
        <v>275</v>
      </c>
      <c r="R340" s="200" t="s">
        <v>276</v>
      </c>
      <c r="S340" s="200" t="s">
        <v>156</v>
      </c>
      <c r="T340" s="200" t="s">
        <v>277</v>
      </c>
      <c r="U340" s="200">
        <v>2262</v>
      </c>
      <c r="V340" s="200" t="s">
        <v>156</v>
      </c>
      <c r="W340" s="200" t="s">
        <v>280</v>
      </c>
      <c r="X340" s="200">
        <v>7.3479999999999999</v>
      </c>
      <c r="Y340" s="203">
        <v>-0.15</v>
      </c>
      <c r="Z340" s="203">
        <v>2.21</v>
      </c>
      <c r="AA340" s="203">
        <v>16.239999999999998</v>
      </c>
      <c r="AB340" s="203">
        <v>-1.34</v>
      </c>
      <c r="AC340" s="203">
        <v>0</v>
      </c>
      <c r="AD340" s="203">
        <v>0</v>
      </c>
      <c r="AE340" s="203">
        <v>14.75</v>
      </c>
      <c r="AF340" s="203">
        <v>-1.76</v>
      </c>
      <c r="AG340" s="200" t="s">
        <v>279</v>
      </c>
      <c r="AH340" s="203">
        <v>0</v>
      </c>
      <c r="AI340" s="200" t="s">
        <v>279</v>
      </c>
      <c r="AJ340" s="203">
        <v>0</v>
      </c>
      <c r="AK340" s="200" t="s">
        <v>279</v>
      </c>
      <c r="AL340" s="203">
        <v>0</v>
      </c>
      <c r="AM340" s="200" t="s">
        <v>279</v>
      </c>
      <c r="AN340" s="203">
        <v>0</v>
      </c>
      <c r="AO340" s="200" t="s">
        <v>279</v>
      </c>
      <c r="AP340" s="203">
        <v>0</v>
      </c>
      <c r="AQ340" s="203">
        <v>16.239999999999998</v>
      </c>
      <c r="AR340" s="203">
        <v>0</v>
      </c>
      <c r="AS340" s="200" t="str">
        <f t="shared" si="5"/>
        <v>1.00000000</v>
      </c>
      <c r="AT340" s="200" t="str">
        <f>"49.4"</f>
        <v>49.4</v>
      </c>
      <c r="AU340" s="203">
        <v>0</v>
      </c>
    </row>
    <row r="341" spans="1:47" x14ac:dyDescent="0.2">
      <c r="A341" s="200" t="str">
        <f>"0496002595700"</f>
        <v>0496002595700</v>
      </c>
      <c r="B341" s="200">
        <v>8</v>
      </c>
      <c r="C341" s="200" t="s">
        <v>156</v>
      </c>
      <c r="D341" s="200" t="s">
        <v>414</v>
      </c>
      <c r="E341" s="200">
        <v>47</v>
      </c>
      <c r="F341" s="200" t="s">
        <v>243</v>
      </c>
      <c r="G341" s="200">
        <v>2262</v>
      </c>
      <c r="H341" s="200" t="s">
        <v>270</v>
      </c>
      <c r="I341" s="200">
        <v>23702</v>
      </c>
      <c r="J341" s="201">
        <v>42681</v>
      </c>
      <c r="K341" s="202">
        <v>0.57019675925925928</v>
      </c>
      <c r="L341" s="201">
        <v>42683</v>
      </c>
      <c r="M341" s="200" t="s">
        <v>396</v>
      </c>
      <c r="N341" s="200" t="s">
        <v>397</v>
      </c>
      <c r="O341" s="200" t="s">
        <v>398</v>
      </c>
      <c r="P341" s="200" t="s">
        <v>343</v>
      </c>
      <c r="Q341" s="200" t="s">
        <v>275</v>
      </c>
      <c r="R341" s="200">
        <v>1035</v>
      </c>
      <c r="S341" s="200" t="s">
        <v>156</v>
      </c>
      <c r="T341" s="200" t="s">
        <v>277</v>
      </c>
      <c r="U341" s="200">
        <v>2262</v>
      </c>
      <c r="V341" s="200" t="s">
        <v>156</v>
      </c>
      <c r="W341" s="200" t="s">
        <v>280</v>
      </c>
      <c r="X341" s="200">
        <v>18.385000000000002</v>
      </c>
      <c r="Y341" s="203">
        <v>0</v>
      </c>
      <c r="Z341" s="203">
        <v>2.2000000000000002</v>
      </c>
      <c r="AA341" s="203">
        <v>40.43</v>
      </c>
      <c r="AB341" s="203">
        <v>-3.36</v>
      </c>
      <c r="AC341" s="203">
        <v>0</v>
      </c>
      <c r="AD341" s="203">
        <v>0</v>
      </c>
      <c r="AE341" s="203">
        <v>37.07</v>
      </c>
      <c r="AF341" s="203">
        <v>-4.41</v>
      </c>
      <c r="AG341" s="200" t="s">
        <v>279</v>
      </c>
      <c r="AH341" s="203">
        <v>0</v>
      </c>
      <c r="AI341" s="200" t="s">
        <v>279</v>
      </c>
      <c r="AJ341" s="203">
        <v>0</v>
      </c>
      <c r="AK341" s="200" t="s">
        <v>279</v>
      </c>
      <c r="AL341" s="203">
        <v>0</v>
      </c>
      <c r="AM341" s="200" t="s">
        <v>279</v>
      </c>
      <c r="AN341" s="203">
        <v>0</v>
      </c>
      <c r="AO341" s="200" t="s">
        <v>279</v>
      </c>
      <c r="AP341" s="203">
        <v>0</v>
      </c>
      <c r="AQ341" s="203">
        <v>40.43</v>
      </c>
      <c r="AR341" s="203">
        <v>0</v>
      </c>
      <c r="AS341" s="200" t="str">
        <f t="shared" si="5"/>
        <v>1.00000000</v>
      </c>
      <c r="AT341" s="200" t="str">
        <f>"20.3"</f>
        <v>20.3</v>
      </c>
      <c r="AU341" s="203">
        <v>0</v>
      </c>
    </row>
    <row r="342" spans="1:47" x14ac:dyDescent="0.2">
      <c r="A342" s="200" t="str">
        <f>"0496002595734"</f>
        <v>0496002595734</v>
      </c>
      <c r="B342" s="200">
        <v>1</v>
      </c>
      <c r="C342" s="200" t="s">
        <v>435</v>
      </c>
      <c r="D342" s="200">
        <v>81</v>
      </c>
      <c r="E342" s="200">
        <v>81</v>
      </c>
      <c r="F342" s="200" t="s">
        <v>243</v>
      </c>
      <c r="G342" s="200">
        <v>2086</v>
      </c>
      <c r="H342" s="200" t="s">
        <v>270</v>
      </c>
      <c r="I342" s="200">
        <v>67467</v>
      </c>
      <c r="J342" s="201">
        <v>42681</v>
      </c>
      <c r="K342" s="202">
        <v>0.76041666666666663</v>
      </c>
      <c r="L342" s="201">
        <v>42683</v>
      </c>
      <c r="M342" s="200" t="s">
        <v>271</v>
      </c>
      <c r="N342" s="200" t="s">
        <v>352</v>
      </c>
      <c r="O342" s="200" t="s">
        <v>353</v>
      </c>
      <c r="P342" s="200" t="s">
        <v>343</v>
      </c>
      <c r="Q342" s="200" t="s">
        <v>275</v>
      </c>
      <c r="R342" s="200">
        <v>1035</v>
      </c>
      <c r="S342" s="200" t="s">
        <v>436</v>
      </c>
      <c r="T342" s="200" t="s">
        <v>435</v>
      </c>
      <c r="U342" s="200">
        <v>2086</v>
      </c>
      <c r="V342" s="200" t="s">
        <v>435</v>
      </c>
      <c r="W342" s="200" t="s">
        <v>280</v>
      </c>
      <c r="X342" s="200">
        <v>6.8390000000000004</v>
      </c>
      <c r="Y342" s="203">
        <v>-0.14000000000000001</v>
      </c>
      <c r="Z342" s="203">
        <v>2.2000000000000002</v>
      </c>
      <c r="AA342" s="203">
        <v>15.04</v>
      </c>
      <c r="AB342" s="203">
        <v>-1.25</v>
      </c>
      <c r="AC342" s="203">
        <v>0</v>
      </c>
      <c r="AD342" s="203">
        <v>0</v>
      </c>
      <c r="AE342" s="203">
        <v>13.65</v>
      </c>
      <c r="AF342" s="203">
        <v>-1.64</v>
      </c>
      <c r="AG342" s="200" t="s">
        <v>279</v>
      </c>
      <c r="AH342" s="203">
        <v>0</v>
      </c>
      <c r="AI342" s="200" t="s">
        <v>279</v>
      </c>
      <c r="AJ342" s="203">
        <v>0</v>
      </c>
      <c r="AK342" s="200" t="s">
        <v>279</v>
      </c>
      <c r="AL342" s="203">
        <v>0</v>
      </c>
      <c r="AM342" s="200" t="s">
        <v>279</v>
      </c>
      <c r="AN342" s="203">
        <v>0</v>
      </c>
      <c r="AO342" s="200" t="s">
        <v>279</v>
      </c>
      <c r="AP342" s="203">
        <v>0</v>
      </c>
      <c r="AQ342" s="203">
        <v>15.04</v>
      </c>
      <c r="AR342" s="203">
        <v>0</v>
      </c>
      <c r="AS342" s="200" t="str">
        <f t="shared" si="5"/>
        <v>1.00000000</v>
      </c>
      <c r="AT342" s="200" t="str">
        <f>"20.0"</f>
        <v>20.0</v>
      </c>
      <c r="AU342" s="203">
        <v>0</v>
      </c>
    </row>
    <row r="343" spans="1:47" x14ac:dyDescent="0.2">
      <c r="A343" s="200" t="str">
        <f>"0496002595734"</f>
        <v>0496002595734</v>
      </c>
      <c r="B343" s="200">
        <v>3</v>
      </c>
      <c r="C343" s="200" t="s">
        <v>435</v>
      </c>
      <c r="D343" s="200">
        <v>82</v>
      </c>
      <c r="E343" s="200">
        <v>82</v>
      </c>
      <c r="F343" s="200" t="s">
        <v>243</v>
      </c>
      <c r="G343" s="200">
        <v>2086</v>
      </c>
      <c r="H343" s="200" t="s">
        <v>270</v>
      </c>
      <c r="I343" s="200">
        <v>8008</v>
      </c>
      <c r="J343" s="201">
        <v>42681</v>
      </c>
      <c r="K343" s="202">
        <v>0.10555555555555556</v>
      </c>
      <c r="L343" s="201">
        <v>42683</v>
      </c>
      <c r="M343" s="200" t="s">
        <v>271</v>
      </c>
      <c r="N343" s="200" t="s">
        <v>437</v>
      </c>
      <c r="O343" s="200" t="s">
        <v>438</v>
      </c>
      <c r="P343" s="200" t="s">
        <v>439</v>
      </c>
      <c r="Q343" s="200" t="s">
        <v>275</v>
      </c>
      <c r="R343" s="200">
        <v>1701</v>
      </c>
      <c r="S343" s="200" t="s">
        <v>436</v>
      </c>
      <c r="T343" s="200" t="s">
        <v>435</v>
      </c>
      <c r="U343" s="200">
        <v>2086</v>
      </c>
      <c r="V343" s="200" t="s">
        <v>435</v>
      </c>
      <c r="W343" s="200" t="s">
        <v>280</v>
      </c>
      <c r="X343" s="200">
        <v>7.2569999999999997</v>
      </c>
      <c r="Y343" s="203">
        <v>-0.22</v>
      </c>
      <c r="Z343" s="203">
        <v>2.36</v>
      </c>
      <c r="AA343" s="203">
        <v>17.12</v>
      </c>
      <c r="AB343" s="203">
        <v>-1.33</v>
      </c>
      <c r="AC343" s="203">
        <v>0</v>
      </c>
      <c r="AD343" s="203">
        <v>0</v>
      </c>
      <c r="AE343" s="203">
        <v>15.57</v>
      </c>
      <c r="AF343" s="203">
        <v>-1.74</v>
      </c>
      <c r="AG343" s="200" t="s">
        <v>279</v>
      </c>
      <c r="AH343" s="203">
        <v>0</v>
      </c>
      <c r="AI343" s="200" t="s">
        <v>279</v>
      </c>
      <c r="AJ343" s="203">
        <v>0</v>
      </c>
      <c r="AK343" s="200" t="s">
        <v>279</v>
      </c>
      <c r="AL343" s="203">
        <v>0</v>
      </c>
      <c r="AM343" s="200" t="s">
        <v>279</v>
      </c>
      <c r="AN343" s="203">
        <v>0</v>
      </c>
      <c r="AO343" s="200" t="s">
        <v>279</v>
      </c>
      <c r="AP343" s="203">
        <v>0</v>
      </c>
      <c r="AQ343" s="203">
        <v>17.12</v>
      </c>
      <c r="AR343" s="203">
        <v>0</v>
      </c>
      <c r="AS343" s="200" t="str">
        <f t="shared" si="5"/>
        <v>1.00000000</v>
      </c>
      <c r="AT343" s="200" t="str">
        <f>"18.3"</f>
        <v>18.3</v>
      </c>
      <c r="AU343" s="203">
        <v>0</v>
      </c>
    </row>
    <row r="344" spans="1:47" x14ac:dyDescent="0.2">
      <c r="A344" s="200" t="str">
        <f>"0496002595809"</f>
        <v>0496002595809</v>
      </c>
      <c r="B344" s="200">
        <v>1</v>
      </c>
      <c r="C344" s="200" t="s">
        <v>570</v>
      </c>
      <c r="D344" s="200">
        <v>2003</v>
      </c>
      <c r="E344" s="200">
        <v>2003</v>
      </c>
      <c r="F344" s="200" t="s">
        <v>243</v>
      </c>
      <c r="G344" s="200">
        <v>2233</v>
      </c>
      <c r="H344" s="200" t="s">
        <v>270</v>
      </c>
      <c r="I344" s="200">
        <v>941</v>
      </c>
      <c r="J344" s="201">
        <v>42681</v>
      </c>
      <c r="K344" s="202">
        <v>0.40069444444444446</v>
      </c>
      <c r="L344" s="201">
        <v>42683</v>
      </c>
      <c r="M344" s="200" t="s">
        <v>271</v>
      </c>
      <c r="N344" s="200" t="s">
        <v>272</v>
      </c>
      <c r="O344" s="200" t="s">
        <v>273</v>
      </c>
      <c r="P344" s="200" t="s">
        <v>274</v>
      </c>
      <c r="Q344" s="200" t="s">
        <v>275</v>
      </c>
      <c r="R344" s="200" t="s">
        <v>276</v>
      </c>
      <c r="S344" s="200" t="s">
        <v>436</v>
      </c>
      <c r="T344" s="200" t="s">
        <v>570</v>
      </c>
      <c r="U344" s="200">
        <v>2233</v>
      </c>
      <c r="V344" s="200" t="s">
        <v>570</v>
      </c>
      <c r="W344" s="200" t="s">
        <v>280</v>
      </c>
      <c r="X344" s="200">
        <v>14.385999999999999</v>
      </c>
      <c r="Y344" s="203">
        <v>-0.28999999999999998</v>
      </c>
      <c r="Z344" s="203">
        <v>2.21</v>
      </c>
      <c r="AA344" s="203">
        <v>31.78</v>
      </c>
      <c r="AB344" s="203">
        <v>-2.63</v>
      </c>
      <c r="AC344" s="203">
        <v>0</v>
      </c>
      <c r="AD344" s="203">
        <v>0</v>
      </c>
      <c r="AE344" s="203">
        <v>28.86</v>
      </c>
      <c r="AF344" s="203">
        <v>-3.45</v>
      </c>
      <c r="AG344" s="200" t="s">
        <v>279</v>
      </c>
      <c r="AH344" s="203">
        <v>0</v>
      </c>
      <c r="AI344" s="200" t="s">
        <v>279</v>
      </c>
      <c r="AJ344" s="203">
        <v>0</v>
      </c>
      <c r="AK344" s="200" t="s">
        <v>279</v>
      </c>
      <c r="AL344" s="203">
        <v>0</v>
      </c>
      <c r="AM344" s="200" t="s">
        <v>279</v>
      </c>
      <c r="AN344" s="203">
        <v>0</v>
      </c>
      <c r="AO344" s="200" t="s">
        <v>279</v>
      </c>
      <c r="AP344" s="203">
        <v>0</v>
      </c>
      <c r="AQ344" s="203">
        <v>31.78</v>
      </c>
      <c r="AR344" s="203">
        <v>0</v>
      </c>
      <c r="AS344" s="200" t="str">
        <f t="shared" si="5"/>
        <v>1.00000000</v>
      </c>
      <c r="AT344" s="200" t="str">
        <f>"15.9"</f>
        <v>15.9</v>
      </c>
      <c r="AU344" s="203">
        <v>0</v>
      </c>
    </row>
    <row r="345" spans="1:47" x14ac:dyDescent="0.2">
      <c r="A345" s="200" t="str">
        <f>"0496002599173"</f>
        <v>0496002599173</v>
      </c>
      <c r="B345" s="200">
        <v>2</v>
      </c>
      <c r="C345" s="200" t="s">
        <v>585</v>
      </c>
      <c r="D345" s="200" t="s">
        <v>594</v>
      </c>
      <c r="E345" s="200" t="s">
        <v>594</v>
      </c>
      <c r="F345" s="200" t="s">
        <v>243</v>
      </c>
      <c r="G345" s="200">
        <v>5647</v>
      </c>
      <c r="H345" s="200" t="s">
        <v>270</v>
      </c>
      <c r="I345" s="200">
        <v>112726</v>
      </c>
      <c r="J345" s="201">
        <v>42681</v>
      </c>
      <c r="K345" s="202">
        <v>0.44166666666666665</v>
      </c>
      <c r="L345" s="201">
        <v>42683</v>
      </c>
      <c r="M345" s="200" t="s">
        <v>271</v>
      </c>
      <c r="N345" s="200" t="s">
        <v>352</v>
      </c>
      <c r="O345" s="200" t="s">
        <v>353</v>
      </c>
      <c r="P345" s="200" t="s">
        <v>343</v>
      </c>
      <c r="Q345" s="200" t="s">
        <v>275</v>
      </c>
      <c r="R345" s="200">
        <v>1035</v>
      </c>
      <c r="S345" s="200" t="s">
        <v>436</v>
      </c>
      <c r="T345" s="200" t="s">
        <v>595</v>
      </c>
      <c r="U345" s="200">
        <v>5647</v>
      </c>
      <c r="V345" s="200" t="s">
        <v>585</v>
      </c>
      <c r="W345" s="200" t="s">
        <v>280</v>
      </c>
      <c r="X345" s="200">
        <v>19.099</v>
      </c>
      <c r="Y345" s="203">
        <v>-0.38</v>
      </c>
      <c r="Z345" s="203">
        <v>2.2000000000000002</v>
      </c>
      <c r="AA345" s="203">
        <v>42</v>
      </c>
      <c r="AB345" s="203">
        <v>-3.5</v>
      </c>
      <c r="AC345" s="203">
        <v>0</v>
      </c>
      <c r="AD345" s="203">
        <v>0</v>
      </c>
      <c r="AE345" s="203">
        <v>38.119999999999997</v>
      </c>
      <c r="AF345" s="203">
        <v>-4.58</v>
      </c>
      <c r="AG345" s="200" t="s">
        <v>279</v>
      </c>
      <c r="AH345" s="203">
        <v>0</v>
      </c>
      <c r="AI345" s="200" t="s">
        <v>279</v>
      </c>
      <c r="AJ345" s="203">
        <v>0</v>
      </c>
      <c r="AK345" s="200" t="s">
        <v>279</v>
      </c>
      <c r="AL345" s="203">
        <v>0</v>
      </c>
      <c r="AM345" s="200" t="s">
        <v>279</v>
      </c>
      <c r="AN345" s="203">
        <v>0</v>
      </c>
      <c r="AO345" s="200" t="s">
        <v>279</v>
      </c>
      <c r="AP345" s="203">
        <v>0</v>
      </c>
      <c r="AQ345" s="203">
        <v>42</v>
      </c>
      <c r="AR345" s="203">
        <v>0</v>
      </c>
      <c r="AS345" s="200" t="str">
        <f t="shared" si="5"/>
        <v>1.00000000</v>
      </c>
      <c r="AT345" s="200" t="str">
        <f>"11.0"</f>
        <v>11.0</v>
      </c>
      <c r="AU345" s="203">
        <v>0</v>
      </c>
    </row>
    <row r="346" spans="1:47" x14ac:dyDescent="0.2">
      <c r="A346" s="200" t="str">
        <f>"0496002595700"</f>
        <v>0496002595700</v>
      </c>
      <c r="B346" s="200">
        <v>6</v>
      </c>
      <c r="C346" s="200" t="s">
        <v>156</v>
      </c>
      <c r="D346" s="200" t="s">
        <v>344</v>
      </c>
      <c r="E346" s="200" t="s">
        <v>345</v>
      </c>
      <c r="F346" s="200" t="s">
        <v>243</v>
      </c>
      <c r="G346" s="200">
        <v>2262</v>
      </c>
      <c r="H346" s="200" t="s">
        <v>270</v>
      </c>
      <c r="I346" s="200">
        <v>57143</v>
      </c>
      <c r="J346" s="201">
        <v>42682</v>
      </c>
      <c r="K346" s="202">
        <v>0.60763888888888895</v>
      </c>
      <c r="L346" s="201">
        <v>42684</v>
      </c>
      <c r="M346" s="200" t="s">
        <v>271</v>
      </c>
      <c r="N346" s="200" t="s">
        <v>802</v>
      </c>
      <c r="O346" s="200" t="s">
        <v>803</v>
      </c>
      <c r="P346" s="200" t="s">
        <v>804</v>
      </c>
      <c r="Q346" s="200" t="s">
        <v>466</v>
      </c>
      <c r="R346" s="200" t="s">
        <v>805</v>
      </c>
      <c r="S346" s="200" t="s">
        <v>156</v>
      </c>
      <c r="T346" s="200" t="s">
        <v>277</v>
      </c>
      <c r="U346" s="200">
        <v>2262</v>
      </c>
      <c r="V346" s="200" t="s">
        <v>156</v>
      </c>
      <c r="W346" s="200" t="s">
        <v>280</v>
      </c>
      <c r="X346" s="200">
        <v>10.759</v>
      </c>
      <c r="Y346" s="203">
        <v>-0.22</v>
      </c>
      <c r="Z346" s="203">
        <v>2.2000000000000002</v>
      </c>
      <c r="AA346" s="203">
        <v>23.66</v>
      </c>
      <c r="AB346" s="203">
        <v>-1.97</v>
      </c>
      <c r="AC346" s="203">
        <v>0</v>
      </c>
      <c r="AD346" s="203">
        <v>0</v>
      </c>
      <c r="AE346" s="203">
        <v>21.47</v>
      </c>
      <c r="AF346" s="203">
        <v>-2.39</v>
      </c>
      <c r="AG346" s="200" t="s">
        <v>279</v>
      </c>
      <c r="AH346" s="203">
        <v>0</v>
      </c>
      <c r="AI346" s="200" t="s">
        <v>279</v>
      </c>
      <c r="AJ346" s="203">
        <v>0</v>
      </c>
      <c r="AK346" s="200" t="s">
        <v>279</v>
      </c>
      <c r="AL346" s="203">
        <v>0</v>
      </c>
      <c r="AM346" s="200" t="s">
        <v>279</v>
      </c>
      <c r="AN346" s="203">
        <v>0</v>
      </c>
      <c r="AO346" s="200" t="s">
        <v>279</v>
      </c>
      <c r="AP346" s="203">
        <v>0</v>
      </c>
      <c r="AQ346" s="203">
        <v>23.66</v>
      </c>
      <c r="AR346" s="203">
        <v>0</v>
      </c>
      <c r="AS346" s="200" t="str">
        <f t="shared" si="5"/>
        <v>1.00000000</v>
      </c>
      <c r="AT346" s="200" t="str">
        <f>"28.4"</f>
        <v>28.4</v>
      </c>
      <c r="AU346" s="203">
        <v>0</v>
      </c>
    </row>
    <row r="347" spans="1:47" x14ac:dyDescent="0.2">
      <c r="A347" s="200" t="str">
        <f>"0496002595700"</f>
        <v>0496002595700</v>
      </c>
      <c r="B347" s="200">
        <v>5</v>
      </c>
      <c r="C347" s="200" t="s">
        <v>156</v>
      </c>
      <c r="D347" s="200">
        <v>86</v>
      </c>
      <c r="E347" s="200">
        <v>86</v>
      </c>
      <c r="F347" s="200" t="s">
        <v>243</v>
      </c>
      <c r="G347" s="200">
        <v>2262</v>
      </c>
      <c r="H347" s="200" t="s">
        <v>270</v>
      </c>
      <c r="I347" s="200">
        <v>9024</v>
      </c>
      <c r="J347" s="201">
        <v>42683</v>
      </c>
      <c r="K347" s="202">
        <v>0.2722222222222222</v>
      </c>
      <c r="L347" s="201">
        <v>42685</v>
      </c>
      <c r="M347" s="200" t="s">
        <v>302</v>
      </c>
      <c r="N347" s="200" t="s">
        <v>303</v>
      </c>
      <c r="O347" s="200" t="s">
        <v>304</v>
      </c>
      <c r="P347" s="200" t="s">
        <v>297</v>
      </c>
      <c r="Q347" s="200" t="s">
        <v>275</v>
      </c>
      <c r="R347" s="200">
        <v>2021</v>
      </c>
      <c r="S347" s="200" t="s">
        <v>156</v>
      </c>
      <c r="T347" s="200" t="s">
        <v>277</v>
      </c>
      <c r="U347" s="200">
        <v>2262</v>
      </c>
      <c r="V347" s="200" t="s">
        <v>156</v>
      </c>
      <c r="W347" s="200" t="s">
        <v>280</v>
      </c>
      <c r="X347" s="200">
        <v>15.834</v>
      </c>
      <c r="Y347" s="203">
        <v>0</v>
      </c>
      <c r="Z347" s="203">
        <v>2.1800000000000002</v>
      </c>
      <c r="AA347" s="203">
        <v>34.5</v>
      </c>
      <c r="AB347" s="203">
        <v>-2.9</v>
      </c>
      <c r="AC347" s="203">
        <v>0</v>
      </c>
      <c r="AD347" s="203">
        <v>0</v>
      </c>
      <c r="AE347" s="203">
        <v>31.6</v>
      </c>
      <c r="AF347" s="203">
        <v>-3.8</v>
      </c>
      <c r="AG347" s="200" t="s">
        <v>279</v>
      </c>
      <c r="AH347" s="203">
        <v>0</v>
      </c>
      <c r="AI347" s="200" t="s">
        <v>279</v>
      </c>
      <c r="AJ347" s="203">
        <v>0</v>
      </c>
      <c r="AK347" s="200" t="s">
        <v>279</v>
      </c>
      <c r="AL347" s="203">
        <v>0</v>
      </c>
      <c r="AM347" s="200" t="s">
        <v>279</v>
      </c>
      <c r="AN347" s="203">
        <v>0</v>
      </c>
      <c r="AO347" s="200" t="s">
        <v>279</v>
      </c>
      <c r="AP347" s="203">
        <v>0</v>
      </c>
      <c r="AQ347" s="203">
        <v>34.5</v>
      </c>
      <c r="AR347" s="203">
        <v>0</v>
      </c>
      <c r="AS347" s="200" t="str">
        <f t="shared" si="5"/>
        <v>1.00000000</v>
      </c>
      <c r="AT347" s="200" t="str">
        <f>"13.3"</f>
        <v>13.3</v>
      </c>
      <c r="AU347" s="203">
        <v>0</v>
      </c>
    </row>
    <row r="348" spans="1:47" x14ac:dyDescent="0.2">
      <c r="A348" s="200" t="str">
        <f>"0496002595700"</f>
        <v>0496002595700</v>
      </c>
      <c r="B348" s="200">
        <v>7</v>
      </c>
      <c r="C348" s="200" t="s">
        <v>156</v>
      </c>
      <c r="D348" s="200" t="s">
        <v>371</v>
      </c>
      <c r="E348" s="200">
        <v>45</v>
      </c>
      <c r="F348" s="200" t="s">
        <v>243</v>
      </c>
      <c r="G348" s="200">
        <v>2262</v>
      </c>
      <c r="H348" s="200" t="s">
        <v>270</v>
      </c>
      <c r="I348" s="200">
        <v>19368</v>
      </c>
      <c r="J348" s="201">
        <v>42683</v>
      </c>
      <c r="K348" s="202">
        <v>0.68888888888888899</v>
      </c>
      <c r="L348" s="201">
        <v>42685</v>
      </c>
      <c r="M348" s="200" t="s">
        <v>271</v>
      </c>
      <c r="N348" s="200" t="s">
        <v>352</v>
      </c>
      <c r="O348" s="200" t="s">
        <v>353</v>
      </c>
      <c r="P348" s="200" t="s">
        <v>343</v>
      </c>
      <c r="Q348" s="200" t="s">
        <v>275</v>
      </c>
      <c r="R348" s="200">
        <v>1035</v>
      </c>
      <c r="S348" s="200" t="s">
        <v>156</v>
      </c>
      <c r="T348" s="200" t="s">
        <v>277</v>
      </c>
      <c r="U348" s="200">
        <v>2262</v>
      </c>
      <c r="V348" s="200" t="s">
        <v>156</v>
      </c>
      <c r="W348" s="200" t="s">
        <v>280</v>
      </c>
      <c r="X348" s="200">
        <v>18.821999999999999</v>
      </c>
      <c r="Y348" s="203">
        <v>-0.38</v>
      </c>
      <c r="Z348" s="203">
        <v>2.15</v>
      </c>
      <c r="AA348" s="203">
        <v>40.450000000000003</v>
      </c>
      <c r="AB348" s="203">
        <v>-3.44</v>
      </c>
      <c r="AC348" s="203">
        <v>0</v>
      </c>
      <c r="AD348" s="203">
        <v>0</v>
      </c>
      <c r="AE348" s="203">
        <v>36.630000000000003</v>
      </c>
      <c r="AF348" s="203">
        <v>-4.5199999999999996</v>
      </c>
      <c r="AG348" s="200" t="s">
        <v>279</v>
      </c>
      <c r="AH348" s="203">
        <v>0</v>
      </c>
      <c r="AI348" s="200" t="s">
        <v>279</v>
      </c>
      <c r="AJ348" s="203">
        <v>0</v>
      </c>
      <c r="AK348" s="200" t="s">
        <v>279</v>
      </c>
      <c r="AL348" s="203">
        <v>0</v>
      </c>
      <c r="AM348" s="200" t="s">
        <v>279</v>
      </c>
      <c r="AN348" s="203">
        <v>0</v>
      </c>
      <c r="AO348" s="200" t="s">
        <v>279</v>
      </c>
      <c r="AP348" s="203">
        <v>0</v>
      </c>
      <c r="AQ348" s="203">
        <v>40.450000000000003</v>
      </c>
      <c r="AR348" s="203">
        <v>0</v>
      </c>
      <c r="AS348" s="200" t="str">
        <f t="shared" si="5"/>
        <v>1.00000000</v>
      </c>
      <c r="AT348" s="200" t="str">
        <f>"556.9"</f>
        <v>556.9</v>
      </c>
      <c r="AU348" s="203">
        <v>0</v>
      </c>
    </row>
    <row r="349" spans="1:47" x14ac:dyDescent="0.2">
      <c r="A349" s="200" t="str">
        <f>"0496002595700"</f>
        <v>0496002595700</v>
      </c>
      <c r="B349" s="200">
        <v>6</v>
      </c>
      <c r="C349" s="200" t="s">
        <v>156</v>
      </c>
      <c r="D349" s="200" t="s">
        <v>344</v>
      </c>
      <c r="E349" s="200" t="s">
        <v>345</v>
      </c>
      <c r="F349" s="200" t="s">
        <v>243</v>
      </c>
      <c r="G349" s="200">
        <v>2262</v>
      </c>
      <c r="H349" s="200" t="s">
        <v>270</v>
      </c>
      <c r="I349" s="200">
        <v>57414</v>
      </c>
      <c r="J349" s="201">
        <v>42685</v>
      </c>
      <c r="K349" s="202">
        <v>0.64513888888888882</v>
      </c>
      <c r="L349" s="201">
        <v>42689</v>
      </c>
      <c r="M349" s="200" t="s">
        <v>271</v>
      </c>
      <c r="N349" s="200" t="s">
        <v>272</v>
      </c>
      <c r="O349" s="200" t="s">
        <v>273</v>
      </c>
      <c r="P349" s="200" t="s">
        <v>274</v>
      </c>
      <c r="Q349" s="200" t="s">
        <v>275</v>
      </c>
      <c r="R349" s="200" t="s">
        <v>276</v>
      </c>
      <c r="S349" s="200" t="s">
        <v>156</v>
      </c>
      <c r="T349" s="200" t="s">
        <v>277</v>
      </c>
      <c r="U349" s="200">
        <v>2262</v>
      </c>
      <c r="V349" s="200" t="s">
        <v>156</v>
      </c>
      <c r="W349" s="200" t="s">
        <v>335</v>
      </c>
      <c r="X349" s="200">
        <v>9.5779999999999994</v>
      </c>
      <c r="Y349" s="203">
        <v>-0.19</v>
      </c>
      <c r="Z349" s="203">
        <v>2.4</v>
      </c>
      <c r="AA349" s="203">
        <v>22.98</v>
      </c>
      <c r="AB349" s="203">
        <v>-1.75</v>
      </c>
      <c r="AC349" s="203">
        <v>0</v>
      </c>
      <c r="AD349" s="203">
        <v>0</v>
      </c>
      <c r="AE349" s="203">
        <v>21.04</v>
      </c>
      <c r="AF349" s="203">
        <v>-2.2999999999999998</v>
      </c>
      <c r="AG349" s="200" t="s">
        <v>279</v>
      </c>
      <c r="AH349" s="203">
        <v>0</v>
      </c>
      <c r="AI349" s="200" t="s">
        <v>279</v>
      </c>
      <c r="AJ349" s="203">
        <v>0</v>
      </c>
      <c r="AK349" s="200" t="s">
        <v>279</v>
      </c>
      <c r="AL349" s="203">
        <v>0</v>
      </c>
      <c r="AM349" s="200" t="s">
        <v>279</v>
      </c>
      <c r="AN349" s="203">
        <v>0</v>
      </c>
      <c r="AO349" s="200" t="s">
        <v>279</v>
      </c>
      <c r="AP349" s="203">
        <v>0</v>
      </c>
      <c r="AQ349" s="203">
        <v>22.98</v>
      </c>
      <c r="AR349" s="203">
        <v>0</v>
      </c>
      <c r="AS349" s="200" t="str">
        <f t="shared" si="5"/>
        <v>1.00000000</v>
      </c>
      <c r="AT349" s="200" t="str">
        <f>"28.3"</f>
        <v>28.3</v>
      </c>
      <c r="AU349" s="203">
        <v>0</v>
      </c>
    </row>
    <row r="350" spans="1:47" x14ac:dyDescent="0.2">
      <c r="A350" s="200" t="str">
        <f>"0496002595734"</f>
        <v>0496002595734</v>
      </c>
      <c r="B350" s="200">
        <v>3</v>
      </c>
      <c r="C350" s="200" t="s">
        <v>435</v>
      </c>
      <c r="D350" s="200">
        <v>82</v>
      </c>
      <c r="E350" s="200">
        <v>82</v>
      </c>
      <c r="F350" s="200" t="s">
        <v>243</v>
      </c>
      <c r="G350" s="200">
        <v>2086</v>
      </c>
      <c r="H350" s="200" t="s">
        <v>270</v>
      </c>
      <c r="I350" s="200">
        <v>8269</v>
      </c>
      <c r="J350" s="201">
        <v>42685</v>
      </c>
      <c r="K350" s="202">
        <v>0.55197916666666669</v>
      </c>
      <c r="L350" s="201">
        <v>42689</v>
      </c>
      <c r="M350" s="200" t="s">
        <v>310</v>
      </c>
      <c r="N350" s="200" t="s">
        <v>561</v>
      </c>
      <c r="O350" s="200" t="s">
        <v>806</v>
      </c>
      <c r="P350" s="200" t="s">
        <v>807</v>
      </c>
      <c r="Q350" s="200" t="s">
        <v>275</v>
      </c>
      <c r="R350" s="200">
        <v>1085</v>
      </c>
      <c r="S350" s="200" t="s">
        <v>436</v>
      </c>
      <c r="T350" s="200" t="s">
        <v>435</v>
      </c>
      <c r="U350" s="200">
        <v>2086</v>
      </c>
      <c r="V350" s="200" t="s">
        <v>435</v>
      </c>
      <c r="W350" s="200" t="s">
        <v>280</v>
      </c>
      <c r="X350" s="200">
        <v>15.073</v>
      </c>
      <c r="Y350" s="203">
        <v>0</v>
      </c>
      <c r="Z350" s="203">
        <v>2.14</v>
      </c>
      <c r="AA350" s="203">
        <v>32.24</v>
      </c>
      <c r="AB350" s="203">
        <v>-2.76</v>
      </c>
      <c r="AC350" s="203">
        <v>0</v>
      </c>
      <c r="AD350" s="203">
        <v>0</v>
      </c>
      <c r="AE350" s="203">
        <v>29.48</v>
      </c>
      <c r="AF350" s="203">
        <v>-3.62</v>
      </c>
      <c r="AG350" s="200" t="s">
        <v>279</v>
      </c>
      <c r="AH350" s="203">
        <v>0</v>
      </c>
      <c r="AI350" s="200" t="s">
        <v>279</v>
      </c>
      <c r="AJ350" s="203">
        <v>0</v>
      </c>
      <c r="AK350" s="200" t="s">
        <v>279</v>
      </c>
      <c r="AL350" s="203">
        <v>0</v>
      </c>
      <c r="AM350" s="200" t="s">
        <v>279</v>
      </c>
      <c r="AN350" s="203">
        <v>0</v>
      </c>
      <c r="AO350" s="200" t="s">
        <v>279</v>
      </c>
      <c r="AP350" s="203">
        <v>0</v>
      </c>
      <c r="AQ350" s="203">
        <v>32.24</v>
      </c>
      <c r="AR350" s="203">
        <v>0</v>
      </c>
      <c r="AS350" s="200" t="str">
        <f t="shared" si="5"/>
        <v>1.00000000</v>
      </c>
      <c r="AT350" s="200" t="str">
        <f>"17.3"</f>
        <v>17.3</v>
      </c>
      <c r="AU350" s="203">
        <v>0</v>
      </c>
    </row>
    <row r="351" spans="1:47" x14ac:dyDescent="0.2">
      <c r="A351" s="200" t="str">
        <f>"0496002595734"</f>
        <v>0496002595734</v>
      </c>
      <c r="B351" s="200">
        <v>1</v>
      </c>
      <c r="C351" s="200" t="s">
        <v>435</v>
      </c>
      <c r="D351" s="200">
        <v>81</v>
      </c>
      <c r="E351" s="200">
        <v>81</v>
      </c>
      <c r="F351" s="200" t="s">
        <v>243</v>
      </c>
      <c r="G351" s="200">
        <v>2086</v>
      </c>
      <c r="H351" s="200" t="s">
        <v>270</v>
      </c>
      <c r="I351" s="200">
        <v>67693</v>
      </c>
      <c r="J351" s="201">
        <v>42686</v>
      </c>
      <c r="K351" s="202">
        <v>0.82777777777777783</v>
      </c>
      <c r="L351" s="201">
        <v>42689</v>
      </c>
      <c r="M351" s="200" t="s">
        <v>271</v>
      </c>
      <c r="N351" s="200" t="s">
        <v>437</v>
      </c>
      <c r="O351" s="200" t="s">
        <v>438</v>
      </c>
      <c r="P351" s="200" t="s">
        <v>439</v>
      </c>
      <c r="Q351" s="200" t="s">
        <v>275</v>
      </c>
      <c r="R351" s="200">
        <v>1701</v>
      </c>
      <c r="S351" s="200" t="s">
        <v>436</v>
      </c>
      <c r="T351" s="200" t="s">
        <v>435</v>
      </c>
      <c r="U351" s="200">
        <v>2086</v>
      </c>
      <c r="V351" s="200" t="s">
        <v>435</v>
      </c>
      <c r="W351" s="200" t="s">
        <v>280</v>
      </c>
      <c r="X351" s="200">
        <v>12.757999999999999</v>
      </c>
      <c r="Y351" s="203">
        <v>-0.38</v>
      </c>
      <c r="Z351" s="203">
        <v>2.35</v>
      </c>
      <c r="AA351" s="203">
        <v>29.97</v>
      </c>
      <c r="AB351" s="203">
        <v>-2.33</v>
      </c>
      <c r="AC351" s="203">
        <v>0</v>
      </c>
      <c r="AD351" s="203">
        <v>0</v>
      </c>
      <c r="AE351" s="203">
        <v>27.26</v>
      </c>
      <c r="AF351" s="203">
        <v>-3.06</v>
      </c>
      <c r="AG351" s="200" t="s">
        <v>279</v>
      </c>
      <c r="AH351" s="203">
        <v>0</v>
      </c>
      <c r="AI351" s="200" t="s">
        <v>279</v>
      </c>
      <c r="AJ351" s="203">
        <v>0</v>
      </c>
      <c r="AK351" s="200" t="s">
        <v>279</v>
      </c>
      <c r="AL351" s="203">
        <v>0</v>
      </c>
      <c r="AM351" s="200" t="s">
        <v>279</v>
      </c>
      <c r="AN351" s="203">
        <v>0</v>
      </c>
      <c r="AO351" s="200" t="s">
        <v>279</v>
      </c>
      <c r="AP351" s="203">
        <v>0</v>
      </c>
      <c r="AQ351" s="203">
        <v>29.97</v>
      </c>
      <c r="AR351" s="203">
        <v>0</v>
      </c>
      <c r="AS351" s="200" t="str">
        <f t="shared" si="5"/>
        <v>1.00000000</v>
      </c>
      <c r="AT351" s="200" t="str">
        <f>"17.7"</f>
        <v>17.7</v>
      </c>
      <c r="AU351" s="203">
        <v>0</v>
      </c>
    </row>
    <row r="352" spans="1:47" x14ac:dyDescent="0.2">
      <c r="A352" s="200" t="str">
        <f>"0496002595833"</f>
        <v>0496002595833</v>
      </c>
      <c r="B352" s="200">
        <v>1</v>
      </c>
      <c r="C352" s="200" t="s">
        <v>571</v>
      </c>
      <c r="D352" s="200" t="s">
        <v>571</v>
      </c>
      <c r="E352" s="200" t="s">
        <v>572</v>
      </c>
      <c r="F352" s="200" t="s">
        <v>243</v>
      </c>
      <c r="G352" s="200">
        <v>2328</v>
      </c>
      <c r="H352" s="200" t="s">
        <v>270</v>
      </c>
      <c r="I352" s="200">
        <v>53786</v>
      </c>
      <c r="J352" s="201">
        <v>42686</v>
      </c>
      <c r="K352" s="202">
        <v>0.9375</v>
      </c>
      <c r="L352" s="201">
        <v>42689</v>
      </c>
      <c r="M352" s="200" t="s">
        <v>302</v>
      </c>
      <c r="N352" s="200" t="s">
        <v>503</v>
      </c>
      <c r="O352" s="200" t="s">
        <v>504</v>
      </c>
      <c r="P352" s="200" t="s">
        <v>505</v>
      </c>
      <c r="Q352" s="200" t="s">
        <v>309</v>
      </c>
      <c r="R352" s="200">
        <v>6840</v>
      </c>
      <c r="S352" s="200" t="s">
        <v>436</v>
      </c>
      <c r="T352" s="200" t="s">
        <v>571</v>
      </c>
      <c r="U352" s="200">
        <v>2328</v>
      </c>
      <c r="V352" s="200" t="s">
        <v>571</v>
      </c>
      <c r="W352" s="200" t="s">
        <v>280</v>
      </c>
      <c r="X352" s="200">
        <v>11.606</v>
      </c>
      <c r="Y352" s="203">
        <v>0</v>
      </c>
      <c r="Z352" s="203">
        <v>2.5</v>
      </c>
      <c r="AA352" s="203">
        <v>29</v>
      </c>
      <c r="AB352" s="203">
        <v>-2.12</v>
      </c>
      <c r="AC352" s="203">
        <v>0</v>
      </c>
      <c r="AD352" s="203">
        <v>0</v>
      </c>
      <c r="AE352" s="203">
        <v>26.88</v>
      </c>
      <c r="AF352" s="203">
        <v>-2.9</v>
      </c>
      <c r="AG352" s="200" t="s">
        <v>279</v>
      </c>
      <c r="AH352" s="203">
        <v>0</v>
      </c>
      <c r="AI352" s="200" t="s">
        <v>279</v>
      </c>
      <c r="AJ352" s="203">
        <v>0</v>
      </c>
      <c r="AK352" s="200" t="s">
        <v>279</v>
      </c>
      <c r="AL352" s="203">
        <v>0</v>
      </c>
      <c r="AM352" s="200" t="s">
        <v>279</v>
      </c>
      <c r="AN352" s="203">
        <v>0</v>
      </c>
      <c r="AO352" s="200" t="s">
        <v>279</v>
      </c>
      <c r="AP352" s="203">
        <v>0</v>
      </c>
      <c r="AQ352" s="203">
        <v>29</v>
      </c>
      <c r="AR352" s="203">
        <v>0</v>
      </c>
      <c r="AS352" s="200" t="str">
        <f t="shared" si="5"/>
        <v>1.00000000</v>
      </c>
      <c r="AT352" s="200" t="str">
        <f>"21.0"</f>
        <v>21.0</v>
      </c>
      <c r="AU352" s="203">
        <v>0</v>
      </c>
    </row>
    <row r="353" spans="1:47" x14ac:dyDescent="0.2">
      <c r="A353" s="200" t="str">
        <f>"0496002756187"</f>
        <v>0496002756187</v>
      </c>
      <c r="B353" s="200">
        <v>1</v>
      </c>
      <c r="C353" s="200" t="s">
        <v>599</v>
      </c>
      <c r="D353" s="200">
        <v>48</v>
      </c>
      <c r="E353" s="200">
        <v>48</v>
      </c>
      <c r="F353" s="200" t="s">
        <v>243</v>
      </c>
      <c r="G353" s="200">
        <v>8317</v>
      </c>
      <c r="H353" s="200" t="s">
        <v>270</v>
      </c>
      <c r="I353" s="200">
        <v>14131</v>
      </c>
      <c r="J353" s="201">
        <v>42686</v>
      </c>
      <c r="K353" s="202">
        <v>0.36327546296296293</v>
      </c>
      <c r="L353" s="201">
        <v>42689</v>
      </c>
      <c r="M353" s="200" t="s">
        <v>340</v>
      </c>
      <c r="N353" s="200" t="s">
        <v>687</v>
      </c>
      <c r="O353" s="200" t="s">
        <v>342</v>
      </c>
      <c r="P353" s="200" t="s">
        <v>343</v>
      </c>
      <c r="Q353" s="200" t="s">
        <v>275</v>
      </c>
      <c r="R353" s="200">
        <v>1035</v>
      </c>
      <c r="S353" s="200" t="s">
        <v>600</v>
      </c>
      <c r="T353" s="200" t="s">
        <v>436</v>
      </c>
      <c r="U353" s="200">
        <v>8317</v>
      </c>
      <c r="V353" s="200" t="s">
        <v>599</v>
      </c>
      <c r="W353" s="200" t="s">
        <v>280</v>
      </c>
      <c r="X353" s="200">
        <v>15.832000000000001</v>
      </c>
      <c r="Y353" s="203">
        <v>0</v>
      </c>
      <c r="Z353" s="203">
        <v>2.15</v>
      </c>
      <c r="AA353" s="203">
        <v>34.020000000000003</v>
      </c>
      <c r="AB353" s="203">
        <v>-2.9</v>
      </c>
      <c r="AC353" s="203">
        <v>0</v>
      </c>
      <c r="AD353" s="203">
        <v>0</v>
      </c>
      <c r="AE353" s="203">
        <v>31.12</v>
      </c>
      <c r="AF353" s="203">
        <v>-3.8</v>
      </c>
      <c r="AG353" s="200" t="s">
        <v>279</v>
      </c>
      <c r="AH353" s="203">
        <v>0</v>
      </c>
      <c r="AI353" s="200" t="s">
        <v>279</v>
      </c>
      <c r="AJ353" s="203">
        <v>0</v>
      </c>
      <c r="AK353" s="200" t="s">
        <v>279</v>
      </c>
      <c r="AL353" s="203">
        <v>0</v>
      </c>
      <c r="AM353" s="200" t="s">
        <v>279</v>
      </c>
      <c r="AN353" s="203">
        <v>0</v>
      </c>
      <c r="AO353" s="200" t="s">
        <v>279</v>
      </c>
      <c r="AP353" s="203">
        <v>0</v>
      </c>
      <c r="AQ353" s="203">
        <v>34.020000000000003</v>
      </c>
      <c r="AR353" s="203">
        <v>0</v>
      </c>
      <c r="AS353" s="200" t="str">
        <f t="shared" si="5"/>
        <v>1.00000000</v>
      </c>
      <c r="AT353" s="200" t="str">
        <f>"5.4"</f>
        <v>5.4</v>
      </c>
      <c r="AU353" s="203">
        <v>0</v>
      </c>
    </row>
    <row r="354" spans="1:47" x14ac:dyDescent="0.2">
      <c r="A354" s="200" t="str">
        <f>"0496002595700"</f>
        <v>0496002595700</v>
      </c>
      <c r="B354" s="200">
        <v>1</v>
      </c>
      <c r="C354" s="200" t="s">
        <v>156</v>
      </c>
      <c r="D354" s="200" t="s">
        <v>269</v>
      </c>
      <c r="E354" s="200" t="s">
        <v>269</v>
      </c>
      <c r="F354" s="200" t="s">
        <v>243</v>
      </c>
      <c r="G354" s="200">
        <v>2262</v>
      </c>
      <c r="H354" s="200" t="s">
        <v>270</v>
      </c>
      <c r="I354" s="200">
        <v>7851</v>
      </c>
      <c r="J354" s="201">
        <v>42687</v>
      </c>
      <c r="K354" s="202">
        <v>0.81388888888888899</v>
      </c>
      <c r="L354" s="201">
        <v>42689</v>
      </c>
      <c r="M354" s="200" t="s">
        <v>271</v>
      </c>
      <c r="N354" s="200" t="s">
        <v>272</v>
      </c>
      <c r="O354" s="200" t="s">
        <v>273</v>
      </c>
      <c r="P354" s="200" t="s">
        <v>274</v>
      </c>
      <c r="Q354" s="200" t="s">
        <v>275</v>
      </c>
      <c r="R354" s="200" t="s">
        <v>276</v>
      </c>
      <c r="S354" s="200" t="s">
        <v>156</v>
      </c>
      <c r="T354" s="200" t="s">
        <v>277</v>
      </c>
      <c r="U354" s="200">
        <v>2262</v>
      </c>
      <c r="V354" s="200" t="s">
        <v>156</v>
      </c>
      <c r="W354" s="200" t="s">
        <v>278</v>
      </c>
      <c r="X354" s="200">
        <v>6.3239999999999998</v>
      </c>
      <c r="Y354" s="203">
        <v>-0.13</v>
      </c>
      <c r="Z354" s="203">
        <v>2.62</v>
      </c>
      <c r="AA354" s="203">
        <v>16.57</v>
      </c>
      <c r="AB354" s="203">
        <v>-1.1599999999999999</v>
      </c>
      <c r="AC354" s="203">
        <v>0</v>
      </c>
      <c r="AD354" s="203">
        <v>0</v>
      </c>
      <c r="AE354" s="203">
        <v>15.28</v>
      </c>
      <c r="AF354" s="203">
        <v>-1.52</v>
      </c>
      <c r="AG354" s="200" t="s">
        <v>279</v>
      </c>
      <c r="AH354" s="203">
        <v>0</v>
      </c>
      <c r="AI354" s="200" t="s">
        <v>279</v>
      </c>
      <c r="AJ354" s="203">
        <v>0</v>
      </c>
      <c r="AK354" s="200" t="s">
        <v>279</v>
      </c>
      <c r="AL354" s="203">
        <v>0</v>
      </c>
      <c r="AM354" s="200" t="s">
        <v>279</v>
      </c>
      <c r="AN354" s="203">
        <v>0</v>
      </c>
      <c r="AO354" s="200" t="s">
        <v>279</v>
      </c>
      <c r="AP354" s="203">
        <v>0</v>
      </c>
      <c r="AQ354" s="203">
        <v>16.57</v>
      </c>
      <c r="AR354" s="203">
        <v>0</v>
      </c>
      <c r="AS354" s="200" t="str">
        <f t="shared" si="5"/>
        <v>1.00000000</v>
      </c>
      <c r="AT354" s="200" t="str">
        <f>"15.3"</f>
        <v>15.3</v>
      </c>
      <c r="AU354" s="203">
        <v>0</v>
      </c>
    </row>
    <row r="355" spans="1:47" x14ac:dyDescent="0.2">
      <c r="A355" s="200" t="str">
        <f>"0496002595734"</f>
        <v>0496002595734</v>
      </c>
      <c r="B355" s="200">
        <v>1</v>
      </c>
      <c r="C355" s="200" t="s">
        <v>435</v>
      </c>
      <c r="D355" s="200">
        <v>81</v>
      </c>
      <c r="E355" s="200">
        <v>81</v>
      </c>
      <c r="F355" s="200" t="s">
        <v>243</v>
      </c>
      <c r="G355" s="200">
        <v>2086</v>
      </c>
      <c r="H355" s="200" t="s">
        <v>270</v>
      </c>
      <c r="I355" s="200">
        <v>67938</v>
      </c>
      <c r="J355" s="201">
        <v>42687</v>
      </c>
      <c r="K355" s="202">
        <v>0.95887731481481486</v>
      </c>
      <c r="L355" s="201">
        <v>42689</v>
      </c>
      <c r="M355" s="200" t="s">
        <v>314</v>
      </c>
      <c r="N355" s="200" t="s">
        <v>415</v>
      </c>
      <c r="O355" s="200" t="s">
        <v>416</v>
      </c>
      <c r="P355" s="200" t="s">
        <v>417</v>
      </c>
      <c r="Q355" s="200" t="s">
        <v>275</v>
      </c>
      <c r="R355" s="200" t="s">
        <v>418</v>
      </c>
      <c r="S355" s="200" t="s">
        <v>436</v>
      </c>
      <c r="T355" s="200" t="s">
        <v>435</v>
      </c>
      <c r="U355" s="200">
        <v>2086</v>
      </c>
      <c r="V355" s="200" t="s">
        <v>435</v>
      </c>
      <c r="W355" s="200" t="s">
        <v>280</v>
      </c>
      <c r="X355" s="200">
        <v>7.6840000000000002</v>
      </c>
      <c r="Y355" s="203">
        <v>0</v>
      </c>
      <c r="Z355" s="203">
        <v>2.15</v>
      </c>
      <c r="AA355" s="203">
        <v>16.510000000000002</v>
      </c>
      <c r="AB355" s="203">
        <v>-1.41</v>
      </c>
      <c r="AC355" s="203">
        <v>0</v>
      </c>
      <c r="AD355" s="203">
        <v>0</v>
      </c>
      <c r="AE355" s="203">
        <v>15.1</v>
      </c>
      <c r="AF355" s="203">
        <v>-1.84</v>
      </c>
      <c r="AG355" s="200" t="s">
        <v>279</v>
      </c>
      <c r="AH355" s="203">
        <v>0</v>
      </c>
      <c r="AI355" s="200" t="s">
        <v>279</v>
      </c>
      <c r="AJ355" s="203">
        <v>0</v>
      </c>
      <c r="AK355" s="200" t="s">
        <v>279</v>
      </c>
      <c r="AL355" s="203">
        <v>0</v>
      </c>
      <c r="AM355" s="200" t="s">
        <v>279</v>
      </c>
      <c r="AN355" s="203">
        <v>0</v>
      </c>
      <c r="AO355" s="200" t="s">
        <v>279</v>
      </c>
      <c r="AP355" s="203">
        <v>0</v>
      </c>
      <c r="AQ355" s="203">
        <v>16.510000000000002</v>
      </c>
      <c r="AR355" s="203">
        <v>0</v>
      </c>
      <c r="AS355" s="200" t="str">
        <f t="shared" si="5"/>
        <v>1.00000000</v>
      </c>
      <c r="AT355" s="200" t="str">
        <f>"19.6"</f>
        <v>19.6</v>
      </c>
      <c r="AU355" s="203">
        <v>0</v>
      </c>
    </row>
    <row r="356" spans="1:47" x14ac:dyDescent="0.2">
      <c r="A356" s="200" t="str">
        <f>"0496002595700"</f>
        <v>0496002595700</v>
      </c>
      <c r="B356" s="200">
        <v>6</v>
      </c>
      <c r="C356" s="200" t="s">
        <v>156</v>
      </c>
      <c r="D356" s="200" t="s">
        <v>344</v>
      </c>
      <c r="E356" s="200" t="s">
        <v>345</v>
      </c>
      <c r="F356" s="200" t="s">
        <v>243</v>
      </c>
      <c r="G356" s="200">
        <v>2262</v>
      </c>
      <c r="H356" s="200" t="s">
        <v>270</v>
      </c>
      <c r="I356" s="200">
        <v>57497</v>
      </c>
      <c r="J356" s="201">
        <v>42688</v>
      </c>
      <c r="K356" s="202">
        <v>0.44791666666666669</v>
      </c>
      <c r="L356" s="201">
        <v>42690</v>
      </c>
      <c r="M356" s="200" t="s">
        <v>606</v>
      </c>
      <c r="N356" s="200" t="s">
        <v>794</v>
      </c>
      <c r="O356" s="200" t="s">
        <v>400</v>
      </c>
      <c r="P356" s="200" t="s">
        <v>274</v>
      </c>
      <c r="Q356" s="200" t="s">
        <v>275</v>
      </c>
      <c r="R356" s="200" t="s">
        <v>401</v>
      </c>
      <c r="S356" s="200" t="s">
        <v>156</v>
      </c>
      <c r="T356" s="200" t="s">
        <v>277</v>
      </c>
      <c r="U356" s="200">
        <v>2262</v>
      </c>
      <c r="V356" s="200" t="s">
        <v>156</v>
      </c>
      <c r="W356" s="200" t="s">
        <v>335</v>
      </c>
      <c r="X356" s="200">
        <v>4.1319999999999997</v>
      </c>
      <c r="Y356" s="203">
        <v>0</v>
      </c>
      <c r="Z356" s="203">
        <v>2.31</v>
      </c>
      <c r="AA356" s="203">
        <v>9.5399999999999991</v>
      </c>
      <c r="AB356" s="203">
        <v>-0.76</v>
      </c>
      <c r="AC356" s="203">
        <v>0</v>
      </c>
      <c r="AD356" s="203">
        <v>0</v>
      </c>
      <c r="AE356" s="203">
        <v>8.7799999999999994</v>
      </c>
      <c r="AF356" s="203">
        <v>-0.99</v>
      </c>
      <c r="AG356" s="200" t="s">
        <v>279</v>
      </c>
      <c r="AH356" s="203">
        <v>0</v>
      </c>
      <c r="AI356" s="200" t="s">
        <v>279</v>
      </c>
      <c r="AJ356" s="203">
        <v>0</v>
      </c>
      <c r="AK356" s="200" t="s">
        <v>279</v>
      </c>
      <c r="AL356" s="203">
        <v>0</v>
      </c>
      <c r="AM356" s="200" t="s">
        <v>279</v>
      </c>
      <c r="AN356" s="203">
        <v>0</v>
      </c>
      <c r="AO356" s="200" t="s">
        <v>279</v>
      </c>
      <c r="AP356" s="203">
        <v>0</v>
      </c>
      <c r="AQ356" s="203">
        <v>9.5399999999999991</v>
      </c>
      <c r="AR356" s="203">
        <v>0</v>
      </c>
      <c r="AS356" s="200" t="str">
        <f t="shared" si="5"/>
        <v>1.00000000</v>
      </c>
      <c r="AT356" s="200" t="str">
        <f>"20.1"</f>
        <v>20.1</v>
      </c>
      <c r="AU356" s="203">
        <v>0</v>
      </c>
    </row>
    <row r="357" spans="1:47" x14ac:dyDescent="0.2">
      <c r="A357" s="200" t="str">
        <f>"0496002595734"</f>
        <v>0496002595734</v>
      </c>
      <c r="B357" s="200">
        <v>2</v>
      </c>
      <c r="C357" s="200" t="s">
        <v>435</v>
      </c>
      <c r="D357" s="200">
        <v>80</v>
      </c>
      <c r="E357" s="200">
        <v>80</v>
      </c>
      <c r="F357" s="200" t="s">
        <v>243</v>
      </c>
      <c r="G357" s="200">
        <v>2086</v>
      </c>
      <c r="H357" s="200" t="s">
        <v>270</v>
      </c>
      <c r="I357" s="200">
        <v>74109</v>
      </c>
      <c r="J357" s="201">
        <v>42688</v>
      </c>
      <c r="K357" s="202">
        <v>0.35833333333333334</v>
      </c>
      <c r="L357" s="201">
        <v>42690</v>
      </c>
      <c r="M357" s="200" t="s">
        <v>271</v>
      </c>
      <c r="N357" s="200" t="s">
        <v>454</v>
      </c>
      <c r="O357" s="200" t="s">
        <v>808</v>
      </c>
      <c r="P357" s="200" t="s">
        <v>364</v>
      </c>
      <c r="Q357" s="200" t="s">
        <v>275</v>
      </c>
      <c r="R357" s="200">
        <v>1104</v>
      </c>
      <c r="S357" s="200" t="s">
        <v>436</v>
      </c>
      <c r="T357" s="200" t="s">
        <v>435</v>
      </c>
      <c r="U357" s="200">
        <v>2086</v>
      </c>
      <c r="V357" s="200" t="s">
        <v>435</v>
      </c>
      <c r="W357" s="200" t="s">
        <v>280</v>
      </c>
      <c r="X357" s="200">
        <v>12.15</v>
      </c>
      <c r="Y357" s="203">
        <v>-0.24</v>
      </c>
      <c r="Z357" s="203">
        <v>2.08</v>
      </c>
      <c r="AA357" s="203">
        <v>25.26</v>
      </c>
      <c r="AB357" s="203">
        <v>-2.2200000000000002</v>
      </c>
      <c r="AC357" s="203">
        <v>0</v>
      </c>
      <c r="AD357" s="203">
        <v>0</v>
      </c>
      <c r="AE357" s="203">
        <v>22.8</v>
      </c>
      <c r="AF357" s="203">
        <v>-2.92</v>
      </c>
      <c r="AG357" s="200" t="s">
        <v>279</v>
      </c>
      <c r="AH357" s="203">
        <v>0</v>
      </c>
      <c r="AI357" s="200" t="s">
        <v>279</v>
      </c>
      <c r="AJ357" s="203">
        <v>0</v>
      </c>
      <c r="AK357" s="200" t="s">
        <v>279</v>
      </c>
      <c r="AL357" s="203">
        <v>0</v>
      </c>
      <c r="AM357" s="200" t="s">
        <v>279</v>
      </c>
      <c r="AN357" s="203">
        <v>0</v>
      </c>
      <c r="AO357" s="200" t="s">
        <v>279</v>
      </c>
      <c r="AP357" s="203">
        <v>0</v>
      </c>
      <c r="AQ357" s="203">
        <v>25.26</v>
      </c>
      <c r="AR357" s="203">
        <v>0</v>
      </c>
      <c r="AS357" s="200" t="str">
        <f t="shared" si="5"/>
        <v>1.00000000</v>
      </c>
      <c r="AT357" s="200" t="str">
        <f>"37.4"</f>
        <v>37.4</v>
      </c>
      <c r="AU357" s="203">
        <v>0</v>
      </c>
    </row>
    <row r="358" spans="1:47" x14ac:dyDescent="0.2">
      <c r="A358" s="200" t="str">
        <f>"0496002599173"</f>
        <v>0496002599173</v>
      </c>
      <c r="B358" s="200">
        <v>2</v>
      </c>
      <c r="C358" s="200" t="s">
        <v>585</v>
      </c>
      <c r="D358" s="200" t="s">
        <v>594</v>
      </c>
      <c r="E358" s="200" t="s">
        <v>594</v>
      </c>
      <c r="F358" s="200" t="s">
        <v>243</v>
      </c>
      <c r="G358" s="200">
        <v>5647</v>
      </c>
      <c r="H358" s="200" t="s">
        <v>270</v>
      </c>
      <c r="I358" s="200">
        <v>113030</v>
      </c>
      <c r="J358" s="201">
        <v>42688</v>
      </c>
      <c r="K358" s="202">
        <v>0.31875000000000003</v>
      </c>
      <c r="L358" s="201">
        <v>42690</v>
      </c>
      <c r="M358" s="200" t="s">
        <v>606</v>
      </c>
      <c r="N358" s="200" t="s">
        <v>794</v>
      </c>
      <c r="O358" s="200" t="s">
        <v>400</v>
      </c>
      <c r="P358" s="200" t="s">
        <v>274</v>
      </c>
      <c r="Q358" s="200" t="s">
        <v>275</v>
      </c>
      <c r="R358" s="200" t="s">
        <v>401</v>
      </c>
      <c r="S358" s="200" t="s">
        <v>436</v>
      </c>
      <c r="T358" s="200" t="s">
        <v>595</v>
      </c>
      <c r="U358" s="200">
        <v>5647</v>
      </c>
      <c r="V358" s="200" t="s">
        <v>585</v>
      </c>
      <c r="W358" s="200" t="s">
        <v>280</v>
      </c>
      <c r="X358" s="200">
        <v>23.850999999999999</v>
      </c>
      <c r="Y358" s="203">
        <v>0</v>
      </c>
      <c r="Z358" s="203">
        <v>2.2000000000000002</v>
      </c>
      <c r="AA358" s="203">
        <v>52.45</v>
      </c>
      <c r="AB358" s="203">
        <v>-4.3600000000000003</v>
      </c>
      <c r="AC358" s="203">
        <v>0</v>
      </c>
      <c r="AD358" s="203">
        <v>0</v>
      </c>
      <c r="AE358" s="203">
        <v>48.09</v>
      </c>
      <c r="AF358" s="203">
        <v>-5.72</v>
      </c>
      <c r="AG358" s="200" t="s">
        <v>279</v>
      </c>
      <c r="AH358" s="203">
        <v>0</v>
      </c>
      <c r="AI358" s="200" t="s">
        <v>279</v>
      </c>
      <c r="AJ358" s="203">
        <v>0</v>
      </c>
      <c r="AK358" s="200" t="s">
        <v>279</v>
      </c>
      <c r="AL358" s="203">
        <v>0</v>
      </c>
      <c r="AM358" s="200" t="s">
        <v>279</v>
      </c>
      <c r="AN358" s="203">
        <v>0</v>
      </c>
      <c r="AO358" s="200" t="s">
        <v>279</v>
      </c>
      <c r="AP358" s="203">
        <v>0</v>
      </c>
      <c r="AQ358" s="203">
        <v>52.45</v>
      </c>
      <c r="AR358" s="203">
        <v>0</v>
      </c>
      <c r="AS358" s="200" t="str">
        <f t="shared" si="5"/>
        <v>1.00000000</v>
      </c>
      <c r="AT358" s="200" t="str">
        <f>"12.8"</f>
        <v>12.8</v>
      </c>
      <c r="AU358" s="203">
        <v>0</v>
      </c>
    </row>
    <row r="359" spans="1:47" x14ac:dyDescent="0.2">
      <c r="A359" s="200" t="str">
        <f>"0496002599173"</f>
        <v>0496002599173</v>
      </c>
      <c r="B359" s="200">
        <v>3</v>
      </c>
      <c r="C359" s="200" t="s">
        <v>585</v>
      </c>
      <c r="D359" s="200" t="s">
        <v>628</v>
      </c>
      <c r="E359" s="200" t="s">
        <v>628</v>
      </c>
      <c r="F359" s="200" t="s">
        <v>243</v>
      </c>
      <c r="G359" s="200">
        <v>5738</v>
      </c>
      <c r="H359" s="200" t="s">
        <v>270</v>
      </c>
      <c r="I359" s="200">
        <v>113839</v>
      </c>
      <c r="J359" s="201">
        <v>42688</v>
      </c>
      <c r="K359" s="202">
        <v>0.52708333333333335</v>
      </c>
      <c r="L359" s="201">
        <v>42690</v>
      </c>
      <c r="M359" s="200" t="s">
        <v>271</v>
      </c>
      <c r="N359" s="200" t="s">
        <v>454</v>
      </c>
      <c r="O359" s="200" t="s">
        <v>455</v>
      </c>
      <c r="P359" s="200" t="s">
        <v>456</v>
      </c>
      <c r="Q359" s="200" t="s">
        <v>275</v>
      </c>
      <c r="R359" s="200">
        <v>1060</v>
      </c>
      <c r="S359" s="200" t="s">
        <v>436</v>
      </c>
      <c r="T359" s="200" t="s">
        <v>630</v>
      </c>
      <c r="U359" s="200">
        <v>5738</v>
      </c>
      <c r="V359" s="200" t="s">
        <v>585</v>
      </c>
      <c r="W359" s="200" t="s">
        <v>280</v>
      </c>
      <c r="X359" s="200">
        <v>26.466000000000001</v>
      </c>
      <c r="Y359" s="203">
        <v>-0.53</v>
      </c>
      <c r="Z359" s="203">
        <v>2.1800000000000002</v>
      </c>
      <c r="AA359" s="203">
        <v>57.67</v>
      </c>
      <c r="AB359" s="203">
        <v>-4.84</v>
      </c>
      <c r="AC359" s="203">
        <v>0</v>
      </c>
      <c r="AD359" s="203">
        <v>0</v>
      </c>
      <c r="AE359" s="203">
        <v>52.3</v>
      </c>
      <c r="AF359" s="203">
        <v>-6.35</v>
      </c>
      <c r="AG359" s="200" t="s">
        <v>279</v>
      </c>
      <c r="AH359" s="203">
        <v>0</v>
      </c>
      <c r="AI359" s="200" t="s">
        <v>279</v>
      </c>
      <c r="AJ359" s="203">
        <v>0</v>
      </c>
      <c r="AK359" s="200" t="s">
        <v>279</v>
      </c>
      <c r="AL359" s="203">
        <v>0</v>
      </c>
      <c r="AM359" s="200" t="s">
        <v>279</v>
      </c>
      <c r="AN359" s="203">
        <v>0</v>
      </c>
      <c r="AO359" s="200" t="s">
        <v>279</v>
      </c>
      <c r="AP359" s="203">
        <v>0</v>
      </c>
      <c r="AQ359" s="203">
        <v>57.67</v>
      </c>
      <c r="AR359" s="203">
        <v>0</v>
      </c>
      <c r="AS359" s="200" t="str">
        <f t="shared" si="5"/>
        <v>1.00000000</v>
      </c>
      <c r="AT359" s="200" t="str">
        <f>"10.7"</f>
        <v>10.7</v>
      </c>
      <c r="AU359" s="203">
        <v>0</v>
      </c>
    </row>
    <row r="360" spans="1:47" x14ac:dyDescent="0.2">
      <c r="A360" s="200" t="str">
        <f>"0496002595700"</f>
        <v>0496002595700</v>
      </c>
      <c r="B360" s="200">
        <v>6</v>
      </c>
      <c r="C360" s="200" t="s">
        <v>156</v>
      </c>
      <c r="D360" s="200" t="s">
        <v>344</v>
      </c>
      <c r="E360" s="200" t="s">
        <v>345</v>
      </c>
      <c r="F360" s="200" t="s">
        <v>243</v>
      </c>
      <c r="G360" s="200">
        <v>2262</v>
      </c>
      <c r="H360" s="200" t="s">
        <v>270</v>
      </c>
      <c r="I360" s="200">
        <v>57682</v>
      </c>
      <c r="J360" s="201">
        <v>42689</v>
      </c>
      <c r="K360" s="202">
        <v>0.31805555555555554</v>
      </c>
      <c r="L360" s="201">
        <v>42691</v>
      </c>
      <c r="M360" s="200" t="s">
        <v>271</v>
      </c>
      <c r="N360" s="200" t="s">
        <v>272</v>
      </c>
      <c r="O360" s="200" t="s">
        <v>273</v>
      </c>
      <c r="P360" s="200" t="s">
        <v>274</v>
      </c>
      <c r="Q360" s="200" t="s">
        <v>275</v>
      </c>
      <c r="R360" s="200" t="s">
        <v>276</v>
      </c>
      <c r="S360" s="200" t="s">
        <v>156</v>
      </c>
      <c r="T360" s="200" t="s">
        <v>277</v>
      </c>
      <c r="U360" s="200">
        <v>2262</v>
      </c>
      <c r="V360" s="200" t="s">
        <v>156</v>
      </c>
      <c r="W360" s="200" t="s">
        <v>335</v>
      </c>
      <c r="X360" s="200">
        <v>5.9480000000000004</v>
      </c>
      <c r="Y360" s="203">
        <v>-0.12</v>
      </c>
      <c r="Z360" s="203">
        <v>2.4</v>
      </c>
      <c r="AA360" s="203">
        <v>14.27</v>
      </c>
      <c r="AB360" s="203">
        <v>-1.0900000000000001</v>
      </c>
      <c r="AC360" s="203">
        <v>0</v>
      </c>
      <c r="AD360" s="203">
        <v>0</v>
      </c>
      <c r="AE360" s="203">
        <v>13.06</v>
      </c>
      <c r="AF360" s="203">
        <v>-1.43</v>
      </c>
      <c r="AG360" s="200" t="s">
        <v>279</v>
      </c>
      <c r="AH360" s="203">
        <v>0</v>
      </c>
      <c r="AI360" s="200" t="s">
        <v>279</v>
      </c>
      <c r="AJ360" s="203">
        <v>0</v>
      </c>
      <c r="AK360" s="200" t="s">
        <v>279</v>
      </c>
      <c r="AL360" s="203">
        <v>0</v>
      </c>
      <c r="AM360" s="200" t="s">
        <v>279</v>
      </c>
      <c r="AN360" s="203">
        <v>0</v>
      </c>
      <c r="AO360" s="200" t="s">
        <v>279</v>
      </c>
      <c r="AP360" s="203">
        <v>0</v>
      </c>
      <c r="AQ360" s="203">
        <v>14.27</v>
      </c>
      <c r="AR360" s="203">
        <v>0</v>
      </c>
      <c r="AS360" s="200" t="str">
        <f t="shared" si="5"/>
        <v>1.00000000</v>
      </c>
      <c r="AT360" s="200" t="str">
        <f>"31.1"</f>
        <v>31.1</v>
      </c>
      <c r="AU360" s="203">
        <v>0</v>
      </c>
    </row>
    <row r="361" spans="1:47" x14ac:dyDescent="0.2">
      <c r="A361" s="200" t="str">
        <f>"0496002595700"</f>
        <v>0496002595700</v>
      </c>
      <c r="B361" s="200">
        <v>7</v>
      </c>
      <c r="C361" s="200" t="s">
        <v>156</v>
      </c>
      <c r="D361" s="200" t="s">
        <v>371</v>
      </c>
      <c r="E361" s="200">
        <v>45</v>
      </c>
      <c r="F361" s="200" t="s">
        <v>243</v>
      </c>
      <c r="G361" s="200">
        <v>2262</v>
      </c>
      <c r="H361" s="200" t="s">
        <v>270</v>
      </c>
      <c r="I361" s="200">
        <v>19719</v>
      </c>
      <c r="J361" s="201">
        <v>42689</v>
      </c>
      <c r="K361" s="202">
        <v>0.56944444444444442</v>
      </c>
      <c r="L361" s="201">
        <v>42691</v>
      </c>
      <c r="M361" s="200" t="s">
        <v>271</v>
      </c>
      <c r="N361" s="200" t="s">
        <v>272</v>
      </c>
      <c r="O361" s="200" t="s">
        <v>273</v>
      </c>
      <c r="P361" s="200" t="s">
        <v>274</v>
      </c>
      <c r="Q361" s="200" t="s">
        <v>275</v>
      </c>
      <c r="R361" s="200" t="s">
        <v>276</v>
      </c>
      <c r="S361" s="200" t="s">
        <v>156</v>
      </c>
      <c r="T361" s="200" t="s">
        <v>277</v>
      </c>
      <c r="U361" s="200">
        <v>2262</v>
      </c>
      <c r="V361" s="200" t="s">
        <v>156</v>
      </c>
      <c r="W361" s="200" t="s">
        <v>280</v>
      </c>
      <c r="X361" s="200">
        <v>14.587</v>
      </c>
      <c r="Y361" s="203">
        <v>-0.28999999999999998</v>
      </c>
      <c r="Z361" s="203">
        <v>2.12</v>
      </c>
      <c r="AA361" s="203">
        <v>30.91</v>
      </c>
      <c r="AB361" s="203">
        <v>-2.67</v>
      </c>
      <c r="AC361" s="203">
        <v>0</v>
      </c>
      <c r="AD361" s="203">
        <v>0</v>
      </c>
      <c r="AE361" s="203">
        <v>27.95</v>
      </c>
      <c r="AF361" s="203">
        <v>-3.5</v>
      </c>
      <c r="AG361" s="200" t="s">
        <v>279</v>
      </c>
      <c r="AH361" s="203">
        <v>0</v>
      </c>
      <c r="AI361" s="200" t="s">
        <v>279</v>
      </c>
      <c r="AJ361" s="203">
        <v>0</v>
      </c>
      <c r="AK361" s="200" t="s">
        <v>279</v>
      </c>
      <c r="AL361" s="203">
        <v>0</v>
      </c>
      <c r="AM361" s="200" t="s">
        <v>279</v>
      </c>
      <c r="AN361" s="203">
        <v>0</v>
      </c>
      <c r="AO361" s="200" t="s">
        <v>279</v>
      </c>
      <c r="AP361" s="203">
        <v>0</v>
      </c>
      <c r="AQ361" s="203">
        <v>30.91</v>
      </c>
      <c r="AR361" s="203">
        <v>0</v>
      </c>
      <c r="AS361" s="200" t="str">
        <f t="shared" si="5"/>
        <v>1.00000000</v>
      </c>
      <c r="AT361" s="200" t="str">
        <f>"24.1"</f>
        <v>24.1</v>
      </c>
      <c r="AU361" s="203">
        <v>0</v>
      </c>
    </row>
    <row r="362" spans="1:47" x14ac:dyDescent="0.2">
      <c r="A362" s="200" t="str">
        <f>"0496002595700"</f>
        <v>0496002595700</v>
      </c>
      <c r="B362" s="200">
        <v>7</v>
      </c>
      <c r="C362" s="200" t="s">
        <v>156</v>
      </c>
      <c r="D362" s="200" t="s">
        <v>371</v>
      </c>
      <c r="E362" s="200">
        <v>45</v>
      </c>
      <c r="F362" s="200" t="s">
        <v>243</v>
      </c>
      <c r="G362" s="200">
        <v>2262</v>
      </c>
      <c r="H362" s="200" t="s">
        <v>270</v>
      </c>
      <c r="I362" s="200">
        <v>19958</v>
      </c>
      <c r="J362" s="201">
        <v>42689</v>
      </c>
      <c r="K362" s="202">
        <v>0.93125000000000002</v>
      </c>
      <c r="L362" s="201">
        <v>42691</v>
      </c>
      <c r="M362" s="200" t="s">
        <v>271</v>
      </c>
      <c r="N362" s="200" t="s">
        <v>272</v>
      </c>
      <c r="O362" s="200" t="s">
        <v>273</v>
      </c>
      <c r="P362" s="200" t="s">
        <v>274</v>
      </c>
      <c r="Q362" s="200" t="s">
        <v>275</v>
      </c>
      <c r="R362" s="200" t="s">
        <v>276</v>
      </c>
      <c r="S362" s="200" t="s">
        <v>156</v>
      </c>
      <c r="T362" s="200" t="s">
        <v>277</v>
      </c>
      <c r="U362" s="200">
        <v>2262</v>
      </c>
      <c r="V362" s="200" t="s">
        <v>156</v>
      </c>
      <c r="W362" s="200" t="s">
        <v>280</v>
      </c>
      <c r="X362" s="200">
        <v>10.141</v>
      </c>
      <c r="Y362" s="203">
        <v>-0.2</v>
      </c>
      <c r="Z362" s="203">
        <v>2.12</v>
      </c>
      <c r="AA362" s="203">
        <v>21.49</v>
      </c>
      <c r="AB362" s="203">
        <v>-1.86</v>
      </c>
      <c r="AC362" s="203">
        <v>0</v>
      </c>
      <c r="AD362" s="203">
        <v>0</v>
      </c>
      <c r="AE362" s="203">
        <v>19.43</v>
      </c>
      <c r="AF362" s="203">
        <v>-2.4300000000000002</v>
      </c>
      <c r="AG362" s="200" t="s">
        <v>279</v>
      </c>
      <c r="AH362" s="203">
        <v>0</v>
      </c>
      <c r="AI362" s="200" t="s">
        <v>279</v>
      </c>
      <c r="AJ362" s="203">
        <v>0</v>
      </c>
      <c r="AK362" s="200" t="s">
        <v>279</v>
      </c>
      <c r="AL362" s="203">
        <v>0</v>
      </c>
      <c r="AM362" s="200" t="s">
        <v>279</v>
      </c>
      <c r="AN362" s="203">
        <v>0</v>
      </c>
      <c r="AO362" s="200" t="s">
        <v>279</v>
      </c>
      <c r="AP362" s="203">
        <v>0</v>
      </c>
      <c r="AQ362" s="203">
        <v>21.49</v>
      </c>
      <c r="AR362" s="203">
        <v>0</v>
      </c>
      <c r="AS362" s="200" t="str">
        <f t="shared" si="5"/>
        <v>1.00000000</v>
      </c>
      <c r="AT362" s="200" t="str">
        <f>"23.6"</f>
        <v>23.6</v>
      </c>
      <c r="AU362" s="203">
        <v>0</v>
      </c>
    </row>
    <row r="363" spans="1:47" x14ac:dyDescent="0.2">
      <c r="A363" s="200" t="str">
        <f>"0496002595700"</f>
        <v>0496002595700</v>
      </c>
      <c r="B363" s="200">
        <v>6</v>
      </c>
      <c r="C363" s="200" t="s">
        <v>156</v>
      </c>
      <c r="D363" s="200" t="s">
        <v>344</v>
      </c>
      <c r="E363" s="200" t="s">
        <v>345</v>
      </c>
      <c r="F363" s="200" t="s">
        <v>243</v>
      </c>
      <c r="G363" s="200">
        <v>2262</v>
      </c>
      <c r="H363" s="200" t="s">
        <v>270</v>
      </c>
      <c r="I363" s="200">
        <v>57869</v>
      </c>
      <c r="J363" s="201">
        <v>42690</v>
      </c>
      <c r="K363" s="202">
        <v>0.4381944444444445</v>
      </c>
      <c r="L363" s="201">
        <v>42692</v>
      </c>
      <c r="M363" s="200" t="s">
        <v>271</v>
      </c>
      <c r="N363" s="200" t="s">
        <v>272</v>
      </c>
      <c r="O363" s="200" t="s">
        <v>273</v>
      </c>
      <c r="P363" s="200" t="s">
        <v>274</v>
      </c>
      <c r="Q363" s="200" t="s">
        <v>275</v>
      </c>
      <c r="R363" s="200" t="s">
        <v>276</v>
      </c>
      <c r="S363" s="200" t="s">
        <v>156</v>
      </c>
      <c r="T363" s="200" t="s">
        <v>277</v>
      </c>
      <c r="U363" s="200">
        <v>2262</v>
      </c>
      <c r="V363" s="200" t="s">
        <v>156</v>
      </c>
      <c r="W363" s="200" t="s">
        <v>335</v>
      </c>
      <c r="X363" s="200">
        <v>6.8929999999999998</v>
      </c>
      <c r="Y363" s="203">
        <v>-0.14000000000000001</v>
      </c>
      <c r="Z363" s="203">
        <v>2.38</v>
      </c>
      <c r="AA363" s="203">
        <v>16.399999999999999</v>
      </c>
      <c r="AB363" s="203">
        <v>-1.26</v>
      </c>
      <c r="AC363" s="203">
        <v>0</v>
      </c>
      <c r="AD363" s="203">
        <v>0</v>
      </c>
      <c r="AE363" s="203">
        <v>15</v>
      </c>
      <c r="AF363" s="203">
        <v>-1.65</v>
      </c>
      <c r="AG363" s="200" t="s">
        <v>279</v>
      </c>
      <c r="AH363" s="203">
        <v>0</v>
      </c>
      <c r="AI363" s="200" t="s">
        <v>279</v>
      </c>
      <c r="AJ363" s="203">
        <v>0</v>
      </c>
      <c r="AK363" s="200" t="s">
        <v>279</v>
      </c>
      <c r="AL363" s="203">
        <v>0</v>
      </c>
      <c r="AM363" s="200" t="s">
        <v>279</v>
      </c>
      <c r="AN363" s="203">
        <v>0</v>
      </c>
      <c r="AO363" s="200" t="s">
        <v>279</v>
      </c>
      <c r="AP363" s="203">
        <v>0</v>
      </c>
      <c r="AQ363" s="203">
        <v>16.399999999999999</v>
      </c>
      <c r="AR363" s="203">
        <v>0</v>
      </c>
      <c r="AS363" s="200" t="str">
        <f t="shared" si="5"/>
        <v>1.00000000</v>
      </c>
      <c r="AT363" s="200" t="str">
        <f>"27.1"</f>
        <v>27.1</v>
      </c>
      <c r="AU363" s="203">
        <v>0</v>
      </c>
    </row>
    <row r="364" spans="1:47" x14ac:dyDescent="0.2">
      <c r="A364" s="200" t="str">
        <f>"0496002595734"</f>
        <v>0496002595734</v>
      </c>
      <c r="B364" s="200">
        <v>1</v>
      </c>
      <c r="C364" s="200" t="s">
        <v>435</v>
      </c>
      <c r="D364" s="200">
        <v>81</v>
      </c>
      <c r="E364" s="200">
        <v>81</v>
      </c>
      <c r="F364" s="200" t="s">
        <v>243</v>
      </c>
      <c r="G364" s="200">
        <v>2086</v>
      </c>
      <c r="H364" s="200" t="s">
        <v>270</v>
      </c>
      <c r="I364" s="200">
        <v>68061</v>
      </c>
      <c r="J364" s="201">
        <v>42690</v>
      </c>
      <c r="K364" s="202">
        <v>0.41944444444444445</v>
      </c>
      <c r="L364" s="201">
        <v>42692</v>
      </c>
      <c r="M364" s="200" t="s">
        <v>271</v>
      </c>
      <c r="N364" s="200" t="s">
        <v>352</v>
      </c>
      <c r="O364" s="200" t="s">
        <v>353</v>
      </c>
      <c r="P364" s="200" t="s">
        <v>343</v>
      </c>
      <c r="Q364" s="200" t="s">
        <v>275</v>
      </c>
      <c r="R364" s="200">
        <v>1035</v>
      </c>
      <c r="S364" s="200" t="s">
        <v>436</v>
      </c>
      <c r="T364" s="200" t="s">
        <v>435</v>
      </c>
      <c r="U364" s="200">
        <v>2086</v>
      </c>
      <c r="V364" s="200" t="s">
        <v>435</v>
      </c>
      <c r="W364" s="200" t="s">
        <v>280</v>
      </c>
      <c r="X364" s="200">
        <v>11.991</v>
      </c>
      <c r="Y364" s="203">
        <v>-0.24</v>
      </c>
      <c r="Z364" s="203">
        <v>2.1</v>
      </c>
      <c r="AA364" s="203">
        <v>25.17</v>
      </c>
      <c r="AB364" s="203">
        <v>-2.19</v>
      </c>
      <c r="AC364" s="203">
        <v>0</v>
      </c>
      <c r="AD364" s="203">
        <v>0</v>
      </c>
      <c r="AE364" s="203">
        <v>22.74</v>
      </c>
      <c r="AF364" s="203">
        <v>-2.88</v>
      </c>
      <c r="AG364" s="200" t="s">
        <v>279</v>
      </c>
      <c r="AH364" s="203">
        <v>0</v>
      </c>
      <c r="AI364" s="200" t="s">
        <v>279</v>
      </c>
      <c r="AJ364" s="203">
        <v>0</v>
      </c>
      <c r="AK364" s="200" t="s">
        <v>279</v>
      </c>
      <c r="AL364" s="203">
        <v>0</v>
      </c>
      <c r="AM364" s="200" t="s">
        <v>279</v>
      </c>
      <c r="AN364" s="203">
        <v>0</v>
      </c>
      <c r="AO364" s="200" t="s">
        <v>279</v>
      </c>
      <c r="AP364" s="203">
        <v>0</v>
      </c>
      <c r="AQ364" s="203">
        <v>25.17</v>
      </c>
      <c r="AR364" s="203">
        <v>0</v>
      </c>
      <c r="AS364" s="200" t="str">
        <f t="shared" si="5"/>
        <v>1.00000000</v>
      </c>
      <c r="AT364" s="200" t="str">
        <f>"18.1"</f>
        <v>18.1</v>
      </c>
      <c r="AU364" s="203">
        <v>0</v>
      </c>
    </row>
    <row r="365" spans="1:47" x14ac:dyDescent="0.2">
      <c r="A365" s="200" t="str">
        <f>"0496002595700"</f>
        <v>0496002595700</v>
      </c>
      <c r="B365" s="200">
        <v>2</v>
      </c>
      <c r="C365" s="200" t="s">
        <v>156</v>
      </c>
      <c r="D365" s="200">
        <v>42</v>
      </c>
      <c r="E365" s="200">
        <v>42</v>
      </c>
      <c r="F365" s="200" t="s">
        <v>243</v>
      </c>
      <c r="G365" s="200">
        <v>2262</v>
      </c>
      <c r="H365" s="200" t="s">
        <v>270</v>
      </c>
      <c r="I365" s="200">
        <v>34883</v>
      </c>
      <c r="J365" s="201">
        <v>42691</v>
      </c>
      <c r="K365" s="202">
        <v>0.51874999999999993</v>
      </c>
      <c r="L365" s="201">
        <v>42695</v>
      </c>
      <c r="M365" s="200" t="s">
        <v>302</v>
      </c>
      <c r="N365" s="200" t="s">
        <v>491</v>
      </c>
      <c r="O365" s="200" t="s">
        <v>809</v>
      </c>
      <c r="P365" s="200" t="s">
        <v>493</v>
      </c>
      <c r="Q365" s="200" t="s">
        <v>309</v>
      </c>
      <c r="R365" s="200">
        <v>6831</v>
      </c>
      <c r="S365" s="200" t="s">
        <v>156</v>
      </c>
      <c r="T365" s="200" t="s">
        <v>277</v>
      </c>
      <c r="U365" s="200">
        <v>2262</v>
      </c>
      <c r="V365" s="200" t="s">
        <v>156</v>
      </c>
      <c r="W365" s="200" t="s">
        <v>280</v>
      </c>
      <c r="X365" s="200">
        <v>7.6230000000000002</v>
      </c>
      <c r="Y365" s="203">
        <v>0</v>
      </c>
      <c r="Z365" s="203">
        <v>2.54</v>
      </c>
      <c r="AA365" s="203">
        <v>19.350000000000001</v>
      </c>
      <c r="AB365" s="203">
        <v>-1.4</v>
      </c>
      <c r="AC365" s="203">
        <v>0</v>
      </c>
      <c r="AD365" s="203">
        <v>0</v>
      </c>
      <c r="AE365" s="203">
        <v>17.95</v>
      </c>
      <c r="AF365" s="203">
        <v>-1.91</v>
      </c>
      <c r="AG365" s="200" t="s">
        <v>279</v>
      </c>
      <c r="AH365" s="203">
        <v>0</v>
      </c>
      <c r="AI365" s="200" t="s">
        <v>279</v>
      </c>
      <c r="AJ365" s="203">
        <v>0</v>
      </c>
      <c r="AK365" s="200" t="s">
        <v>279</v>
      </c>
      <c r="AL365" s="203">
        <v>0</v>
      </c>
      <c r="AM365" s="200" t="s">
        <v>279</v>
      </c>
      <c r="AN365" s="203">
        <v>0</v>
      </c>
      <c r="AO365" s="200" t="s">
        <v>279</v>
      </c>
      <c r="AP365" s="203">
        <v>0</v>
      </c>
      <c r="AQ365" s="203">
        <v>19.350000000000001</v>
      </c>
      <c r="AR365" s="203">
        <v>0</v>
      </c>
      <c r="AS365" s="200" t="str">
        <f t="shared" si="5"/>
        <v>1.00000000</v>
      </c>
      <c r="AT365" s="200" t="str">
        <f>"49.3"</f>
        <v>49.3</v>
      </c>
      <c r="AU365" s="203">
        <v>0</v>
      </c>
    </row>
    <row r="366" spans="1:47" x14ac:dyDescent="0.2">
      <c r="A366" s="200" t="str">
        <f>"0496002595734"</f>
        <v>0496002595734</v>
      </c>
      <c r="B366" s="200">
        <v>1</v>
      </c>
      <c r="C366" s="200" t="s">
        <v>435</v>
      </c>
      <c r="D366" s="200">
        <v>81</v>
      </c>
      <c r="E366" s="200">
        <v>81</v>
      </c>
      <c r="F366" s="200" t="s">
        <v>243</v>
      </c>
      <c r="G366" s="200">
        <v>2086</v>
      </c>
      <c r="H366" s="200" t="s">
        <v>270</v>
      </c>
      <c r="I366" s="200">
        <v>54213</v>
      </c>
      <c r="J366" s="201">
        <v>42691</v>
      </c>
      <c r="K366" s="202">
        <v>0.56180555555555556</v>
      </c>
      <c r="L366" s="201">
        <v>42695</v>
      </c>
      <c r="M366" s="200" t="s">
        <v>285</v>
      </c>
      <c r="N366" s="200" t="s">
        <v>810</v>
      </c>
      <c r="O366" s="200" t="s">
        <v>811</v>
      </c>
      <c r="P366" s="200" t="s">
        <v>812</v>
      </c>
      <c r="Q366" s="200" t="s">
        <v>275</v>
      </c>
      <c r="R366" s="200" t="s">
        <v>813</v>
      </c>
      <c r="S366" s="200" t="s">
        <v>436</v>
      </c>
      <c r="T366" s="200" t="s">
        <v>435</v>
      </c>
      <c r="U366" s="200">
        <v>2086</v>
      </c>
      <c r="V366" s="200" t="s">
        <v>435</v>
      </c>
      <c r="W366" s="200" t="s">
        <v>280</v>
      </c>
      <c r="X366" s="200">
        <v>9.5280000000000005</v>
      </c>
      <c r="Y366" s="203">
        <v>0</v>
      </c>
      <c r="Z366" s="203">
        <v>2.31</v>
      </c>
      <c r="AA366" s="203">
        <v>22</v>
      </c>
      <c r="AB366" s="203">
        <v>-1.74</v>
      </c>
      <c r="AC366" s="203">
        <v>0</v>
      </c>
      <c r="AD366" s="203">
        <v>0</v>
      </c>
      <c r="AE366" s="203">
        <v>20.260000000000002</v>
      </c>
      <c r="AF366" s="203">
        <v>-2.29</v>
      </c>
      <c r="AG366" s="200" t="s">
        <v>279</v>
      </c>
      <c r="AH366" s="203">
        <v>0</v>
      </c>
      <c r="AI366" s="200" t="s">
        <v>279</v>
      </c>
      <c r="AJ366" s="203">
        <v>0</v>
      </c>
      <c r="AK366" s="200" t="s">
        <v>279</v>
      </c>
      <c r="AL366" s="203">
        <v>0</v>
      </c>
      <c r="AM366" s="200" t="s">
        <v>279</v>
      </c>
      <c r="AN366" s="203">
        <v>0</v>
      </c>
      <c r="AO366" s="200" t="s">
        <v>279</v>
      </c>
      <c r="AP366" s="203">
        <v>0</v>
      </c>
      <c r="AQ366" s="203">
        <v>22</v>
      </c>
      <c r="AR366" s="203">
        <v>0</v>
      </c>
      <c r="AS366" s="200" t="str">
        <f t="shared" si="5"/>
        <v>1.00000000</v>
      </c>
      <c r="AT366" s="200" t="str">
        <f>"10.3"</f>
        <v>10.3</v>
      </c>
      <c r="AU366" s="203">
        <v>0</v>
      </c>
    </row>
    <row r="367" spans="1:47" x14ac:dyDescent="0.2">
      <c r="A367" s="200" t="str">
        <f>"0496002595734"</f>
        <v>0496002595734</v>
      </c>
      <c r="B367" s="200">
        <v>3</v>
      </c>
      <c r="C367" s="200" t="s">
        <v>435</v>
      </c>
      <c r="D367" s="200">
        <v>82</v>
      </c>
      <c r="E367" s="200">
        <v>82</v>
      </c>
      <c r="F367" s="200" t="s">
        <v>243</v>
      </c>
      <c r="G367" s="200">
        <v>2086</v>
      </c>
      <c r="H367" s="200" t="s">
        <v>270</v>
      </c>
      <c r="I367" s="200">
        <v>8253</v>
      </c>
      <c r="J367" s="201">
        <v>42691</v>
      </c>
      <c r="K367" s="202">
        <v>0.64872685185185186</v>
      </c>
      <c r="L367" s="201">
        <v>42695</v>
      </c>
      <c r="M367" s="200" t="s">
        <v>396</v>
      </c>
      <c r="N367" s="200" t="s">
        <v>397</v>
      </c>
      <c r="O367" s="200" t="s">
        <v>398</v>
      </c>
      <c r="P367" s="200" t="s">
        <v>343</v>
      </c>
      <c r="Q367" s="200" t="s">
        <v>275</v>
      </c>
      <c r="R367" s="200">
        <v>1035</v>
      </c>
      <c r="S367" s="200" t="s">
        <v>436</v>
      </c>
      <c r="T367" s="200" t="s">
        <v>435</v>
      </c>
      <c r="U367" s="200">
        <v>2086</v>
      </c>
      <c r="V367" s="200" t="s">
        <v>435</v>
      </c>
      <c r="W367" s="200" t="s">
        <v>280</v>
      </c>
      <c r="X367" s="200">
        <v>15.807</v>
      </c>
      <c r="Y367" s="203">
        <v>0</v>
      </c>
      <c r="Z367" s="203">
        <v>2.1</v>
      </c>
      <c r="AA367" s="203">
        <v>33.18</v>
      </c>
      <c r="AB367" s="203">
        <v>-2.89</v>
      </c>
      <c r="AC367" s="203">
        <v>0</v>
      </c>
      <c r="AD367" s="203">
        <v>0</v>
      </c>
      <c r="AE367" s="203">
        <v>30.29</v>
      </c>
      <c r="AF367" s="203">
        <v>-3.79</v>
      </c>
      <c r="AG367" s="200" t="s">
        <v>279</v>
      </c>
      <c r="AH367" s="203">
        <v>0</v>
      </c>
      <c r="AI367" s="200" t="s">
        <v>279</v>
      </c>
      <c r="AJ367" s="203">
        <v>0</v>
      </c>
      <c r="AK367" s="200" t="s">
        <v>279</v>
      </c>
      <c r="AL367" s="203">
        <v>0</v>
      </c>
      <c r="AM367" s="200" t="s">
        <v>279</v>
      </c>
      <c r="AN367" s="203">
        <v>0</v>
      </c>
      <c r="AO367" s="200" t="s">
        <v>279</v>
      </c>
      <c r="AP367" s="203">
        <v>0</v>
      </c>
      <c r="AQ367" s="203">
        <v>33.18</v>
      </c>
      <c r="AR367" s="203">
        <v>0</v>
      </c>
      <c r="AS367" s="200" t="str">
        <f t="shared" si="5"/>
        <v>1.00000000</v>
      </c>
      <c r="AT367" s="200" t="str">
        <f>"19.6"</f>
        <v>19.6</v>
      </c>
      <c r="AU367" s="203">
        <v>0</v>
      </c>
    </row>
    <row r="368" spans="1:47" x14ac:dyDescent="0.2">
      <c r="A368" s="200" t="str">
        <f>"0496002595734"</f>
        <v>0496002595734</v>
      </c>
      <c r="B368" s="200">
        <v>3</v>
      </c>
      <c r="C368" s="200" t="s">
        <v>435</v>
      </c>
      <c r="D368" s="200">
        <v>82</v>
      </c>
      <c r="E368" s="200">
        <v>82</v>
      </c>
      <c r="F368" s="200" t="s">
        <v>243</v>
      </c>
      <c r="G368" s="200">
        <v>2086</v>
      </c>
      <c r="H368" s="200" t="s">
        <v>270</v>
      </c>
      <c r="I368" s="200">
        <v>8498</v>
      </c>
      <c r="J368" s="201">
        <v>42692</v>
      </c>
      <c r="K368" s="202">
        <v>9.5833333333333326E-2</v>
      </c>
      <c r="L368" s="201">
        <v>42696</v>
      </c>
      <c r="M368" s="200" t="s">
        <v>302</v>
      </c>
      <c r="N368" s="200" t="s">
        <v>814</v>
      </c>
      <c r="O368" s="200" t="s">
        <v>815</v>
      </c>
      <c r="P368" s="200" t="s">
        <v>469</v>
      </c>
      <c r="Q368" s="200" t="s">
        <v>309</v>
      </c>
      <c r="R368" s="200">
        <v>6473</v>
      </c>
      <c r="S368" s="200" t="s">
        <v>436</v>
      </c>
      <c r="T368" s="200" t="s">
        <v>435</v>
      </c>
      <c r="U368" s="200">
        <v>2086</v>
      </c>
      <c r="V368" s="200" t="s">
        <v>435</v>
      </c>
      <c r="W368" s="200" t="s">
        <v>280</v>
      </c>
      <c r="X368" s="200">
        <v>14.414999999999999</v>
      </c>
      <c r="Y368" s="203">
        <v>0</v>
      </c>
      <c r="Z368" s="203">
        <v>2.36</v>
      </c>
      <c r="AA368" s="203">
        <v>34</v>
      </c>
      <c r="AB368" s="203">
        <v>-2.64</v>
      </c>
      <c r="AC368" s="203">
        <v>0</v>
      </c>
      <c r="AD368" s="203">
        <v>0</v>
      </c>
      <c r="AE368" s="203">
        <v>31.36</v>
      </c>
      <c r="AF368" s="203">
        <v>-3.6</v>
      </c>
      <c r="AG368" s="200" t="s">
        <v>279</v>
      </c>
      <c r="AH368" s="203">
        <v>0</v>
      </c>
      <c r="AI368" s="200" t="s">
        <v>279</v>
      </c>
      <c r="AJ368" s="203">
        <v>0</v>
      </c>
      <c r="AK368" s="200" t="s">
        <v>279</v>
      </c>
      <c r="AL368" s="203">
        <v>0</v>
      </c>
      <c r="AM368" s="200" t="s">
        <v>279</v>
      </c>
      <c r="AN368" s="203">
        <v>0</v>
      </c>
      <c r="AO368" s="200" t="s">
        <v>279</v>
      </c>
      <c r="AP368" s="203">
        <v>0</v>
      </c>
      <c r="AQ368" s="203">
        <v>34</v>
      </c>
      <c r="AR368" s="203">
        <v>0</v>
      </c>
      <c r="AS368" s="200" t="str">
        <f t="shared" si="5"/>
        <v>1.00000000</v>
      </c>
      <c r="AT368" s="200" t="str">
        <f>"17.0"</f>
        <v>17.0</v>
      </c>
      <c r="AU368" s="203">
        <v>0</v>
      </c>
    </row>
    <row r="369" spans="1:47" x14ac:dyDescent="0.2">
      <c r="A369" s="200" t="str">
        <f>"0496002595700"</f>
        <v>0496002595700</v>
      </c>
      <c r="B369" s="200">
        <v>2</v>
      </c>
      <c r="C369" s="200" t="s">
        <v>156</v>
      </c>
      <c r="D369" s="200">
        <v>42</v>
      </c>
      <c r="E369" s="200">
        <v>42</v>
      </c>
      <c r="F369" s="200" t="s">
        <v>243</v>
      </c>
      <c r="G369" s="200">
        <v>2262</v>
      </c>
      <c r="H369" s="200" t="s">
        <v>270</v>
      </c>
      <c r="I369" s="200">
        <v>35296</v>
      </c>
      <c r="J369" s="201">
        <v>42693</v>
      </c>
      <c r="K369" s="202">
        <v>0.52222222222222225</v>
      </c>
      <c r="L369" s="201">
        <v>42696</v>
      </c>
      <c r="M369" s="200" t="s">
        <v>302</v>
      </c>
      <c r="N369" s="200" t="s">
        <v>816</v>
      </c>
      <c r="O369" s="200" t="s">
        <v>817</v>
      </c>
      <c r="P369" s="200" t="s">
        <v>818</v>
      </c>
      <c r="Q369" s="200" t="s">
        <v>412</v>
      </c>
      <c r="R369" s="200">
        <v>20794</v>
      </c>
      <c r="S369" s="200" t="s">
        <v>156</v>
      </c>
      <c r="T369" s="200" t="s">
        <v>277</v>
      </c>
      <c r="U369" s="200">
        <v>2262</v>
      </c>
      <c r="V369" s="200" t="s">
        <v>156</v>
      </c>
      <c r="W369" s="200" t="s">
        <v>280</v>
      </c>
      <c r="X369" s="200">
        <v>9.391</v>
      </c>
      <c r="Y369" s="203">
        <v>0</v>
      </c>
      <c r="Z369" s="203">
        <v>2.2200000000000002</v>
      </c>
      <c r="AA369" s="203">
        <v>20.84</v>
      </c>
      <c r="AB369" s="203">
        <v>-1.72</v>
      </c>
      <c r="AC369" s="203">
        <v>0</v>
      </c>
      <c r="AD369" s="203">
        <v>0</v>
      </c>
      <c r="AE369" s="203">
        <v>19.12</v>
      </c>
      <c r="AF369" s="203">
        <v>-3.15</v>
      </c>
      <c r="AG369" s="200" t="s">
        <v>279</v>
      </c>
      <c r="AH369" s="203">
        <v>0</v>
      </c>
      <c r="AI369" s="200" t="s">
        <v>279</v>
      </c>
      <c r="AJ369" s="203">
        <v>0</v>
      </c>
      <c r="AK369" s="200" t="s">
        <v>279</v>
      </c>
      <c r="AL369" s="203">
        <v>0</v>
      </c>
      <c r="AM369" s="200" t="s">
        <v>279</v>
      </c>
      <c r="AN369" s="203">
        <v>0</v>
      </c>
      <c r="AO369" s="200" t="s">
        <v>279</v>
      </c>
      <c r="AP369" s="203">
        <v>0</v>
      </c>
      <c r="AQ369" s="203">
        <v>20.84</v>
      </c>
      <c r="AR369" s="203">
        <v>0</v>
      </c>
      <c r="AS369" s="200" t="str">
        <f t="shared" si="5"/>
        <v>1.00000000</v>
      </c>
      <c r="AT369" s="200" t="str">
        <f>"44.0"</f>
        <v>44.0</v>
      </c>
      <c r="AU369" s="203">
        <v>0</v>
      </c>
    </row>
    <row r="370" spans="1:47" x14ac:dyDescent="0.2">
      <c r="A370" s="200" t="str">
        <f>"0496002595734"</f>
        <v>0496002595734</v>
      </c>
      <c r="B370" s="200">
        <v>1</v>
      </c>
      <c r="C370" s="200" t="s">
        <v>435</v>
      </c>
      <c r="D370" s="200">
        <v>81</v>
      </c>
      <c r="E370" s="200">
        <v>81</v>
      </c>
      <c r="F370" s="200" t="s">
        <v>243</v>
      </c>
      <c r="G370" s="200">
        <v>2086</v>
      </c>
      <c r="H370" s="200" t="s">
        <v>270</v>
      </c>
      <c r="I370" s="200">
        <v>68472</v>
      </c>
      <c r="J370" s="201">
        <v>42693</v>
      </c>
      <c r="K370" s="202">
        <v>0.4152777777777778</v>
      </c>
      <c r="L370" s="201">
        <v>42696</v>
      </c>
      <c r="M370" s="200" t="s">
        <v>294</v>
      </c>
      <c r="N370" s="200" t="s">
        <v>379</v>
      </c>
      <c r="O370" s="200" t="s">
        <v>819</v>
      </c>
      <c r="P370" s="200" t="s">
        <v>820</v>
      </c>
      <c r="Q370" s="200" t="s">
        <v>309</v>
      </c>
      <c r="R370" s="200" t="s">
        <v>821</v>
      </c>
      <c r="S370" s="200" t="s">
        <v>436</v>
      </c>
      <c r="T370" s="200" t="s">
        <v>435</v>
      </c>
      <c r="U370" s="200">
        <v>2086</v>
      </c>
      <c r="V370" s="200" t="s">
        <v>435</v>
      </c>
      <c r="W370" s="200" t="s">
        <v>280</v>
      </c>
      <c r="X370" s="200">
        <v>10.33</v>
      </c>
      <c r="Y370" s="203">
        <v>0</v>
      </c>
      <c r="Z370" s="203">
        <v>2.4300000000000002</v>
      </c>
      <c r="AA370" s="203">
        <v>25.1</v>
      </c>
      <c r="AB370" s="203">
        <v>-1.89</v>
      </c>
      <c r="AC370" s="203">
        <v>0</v>
      </c>
      <c r="AD370" s="203">
        <v>0</v>
      </c>
      <c r="AE370" s="203">
        <v>23.21</v>
      </c>
      <c r="AF370" s="203">
        <v>-2.58</v>
      </c>
      <c r="AG370" s="200" t="s">
        <v>279</v>
      </c>
      <c r="AH370" s="203">
        <v>0</v>
      </c>
      <c r="AI370" s="200" t="s">
        <v>279</v>
      </c>
      <c r="AJ370" s="203">
        <v>0</v>
      </c>
      <c r="AK370" s="200" t="s">
        <v>279</v>
      </c>
      <c r="AL370" s="203">
        <v>0</v>
      </c>
      <c r="AM370" s="200" t="s">
        <v>279</v>
      </c>
      <c r="AN370" s="203">
        <v>0</v>
      </c>
      <c r="AO370" s="200" t="s">
        <v>279</v>
      </c>
      <c r="AP370" s="203">
        <v>0</v>
      </c>
      <c r="AQ370" s="203">
        <v>25.1</v>
      </c>
      <c r="AR370" s="203">
        <v>0</v>
      </c>
      <c r="AS370" s="200" t="str">
        <f t="shared" si="5"/>
        <v>1.00000000</v>
      </c>
      <c r="AT370" s="200" t="str">
        <f>"10.3"</f>
        <v>10.3</v>
      </c>
      <c r="AU370" s="203">
        <v>0</v>
      </c>
    </row>
    <row r="371" spans="1:47" x14ac:dyDescent="0.2">
      <c r="A371" s="200" t="str">
        <f>"0496002595734"</f>
        <v>0496002595734</v>
      </c>
      <c r="B371" s="200">
        <v>3</v>
      </c>
      <c r="C371" s="200" t="s">
        <v>435</v>
      </c>
      <c r="D371" s="200">
        <v>82</v>
      </c>
      <c r="E371" s="200">
        <v>82</v>
      </c>
      <c r="F371" s="200" t="s">
        <v>243</v>
      </c>
      <c r="G371" s="200">
        <v>2086</v>
      </c>
      <c r="H371" s="200" t="s">
        <v>270</v>
      </c>
      <c r="I371" s="200">
        <v>55102</v>
      </c>
      <c r="J371" s="201">
        <v>42693</v>
      </c>
      <c r="K371" s="202">
        <v>0.3883449074074074</v>
      </c>
      <c r="L371" s="201">
        <v>42696</v>
      </c>
      <c r="M371" s="200" t="s">
        <v>319</v>
      </c>
      <c r="N371" s="200" t="s">
        <v>440</v>
      </c>
      <c r="O371" s="200" t="s">
        <v>441</v>
      </c>
      <c r="P371" s="200" t="s">
        <v>442</v>
      </c>
      <c r="Q371" s="200" t="s">
        <v>275</v>
      </c>
      <c r="R371" s="200">
        <v>1093</v>
      </c>
      <c r="S371" s="200" t="s">
        <v>436</v>
      </c>
      <c r="T371" s="200" t="s">
        <v>435</v>
      </c>
      <c r="U371" s="200">
        <v>2086</v>
      </c>
      <c r="V371" s="200" t="s">
        <v>435</v>
      </c>
      <c r="W371" s="200" t="s">
        <v>280</v>
      </c>
      <c r="X371" s="200">
        <v>11.003</v>
      </c>
      <c r="Y371" s="203">
        <v>0</v>
      </c>
      <c r="Z371" s="203">
        <v>2.13</v>
      </c>
      <c r="AA371" s="203">
        <v>23.43</v>
      </c>
      <c r="AB371" s="203">
        <v>-2.0099999999999998</v>
      </c>
      <c r="AC371" s="203">
        <v>0</v>
      </c>
      <c r="AD371" s="203">
        <v>0</v>
      </c>
      <c r="AE371" s="203">
        <v>21.42</v>
      </c>
      <c r="AF371" s="203">
        <v>-2.64</v>
      </c>
      <c r="AG371" s="200" t="s">
        <v>279</v>
      </c>
      <c r="AH371" s="203">
        <v>0</v>
      </c>
      <c r="AI371" s="200" t="s">
        <v>279</v>
      </c>
      <c r="AJ371" s="203">
        <v>0</v>
      </c>
      <c r="AK371" s="200" t="s">
        <v>279</v>
      </c>
      <c r="AL371" s="203">
        <v>0</v>
      </c>
      <c r="AM371" s="200" t="s">
        <v>279</v>
      </c>
      <c r="AN371" s="203">
        <v>0</v>
      </c>
      <c r="AO371" s="200" t="s">
        <v>279</v>
      </c>
      <c r="AP371" s="203">
        <v>0</v>
      </c>
      <c r="AQ371" s="203">
        <v>23.43</v>
      </c>
      <c r="AR371" s="203">
        <v>0</v>
      </c>
      <c r="AS371" s="200" t="str">
        <f t="shared" si="5"/>
        <v>1.00000000</v>
      </c>
      <c r="AT371" s="200" t="str">
        <f>"19.6"</f>
        <v>19.6</v>
      </c>
      <c r="AU371" s="203">
        <v>0</v>
      </c>
    </row>
    <row r="372" spans="1:47" x14ac:dyDescent="0.2">
      <c r="A372" s="200" t="str">
        <f>"0496002595734"</f>
        <v>0496002595734</v>
      </c>
      <c r="B372" s="200">
        <v>1</v>
      </c>
      <c r="C372" s="200" t="s">
        <v>435</v>
      </c>
      <c r="D372" s="200">
        <v>81</v>
      </c>
      <c r="E372" s="200">
        <v>81</v>
      </c>
      <c r="F372" s="200" t="s">
        <v>243</v>
      </c>
      <c r="G372" s="200">
        <v>2086</v>
      </c>
      <c r="H372" s="200" t="s">
        <v>270</v>
      </c>
      <c r="I372" s="200">
        <v>68740</v>
      </c>
      <c r="J372" s="201">
        <v>42694</v>
      </c>
      <c r="K372" s="202">
        <v>0.65</v>
      </c>
      <c r="L372" s="201">
        <v>42696</v>
      </c>
      <c r="M372" s="200" t="s">
        <v>271</v>
      </c>
      <c r="N372" s="200" t="s">
        <v>272</v>
      </c>
      <c r="O372" s="200" t="s">
        <v>273</v>
      </c>
      <c r="P372" s="200" t="s">
        <v>274</v>
      </c>
      <c r="Q372" s="200" t="s">
        <v>275</v>
      </c>
      <c r="R372" s="200" t="s">
        <v>276</v>
      </c>
      <c r="S372" s="200" t="s">
        <v>436</v>
      </c>
      <c r="T372" s="200" t="s">
        <v>435</v>
      </c>
      <c r="U372" s="200">
        <v>2086</v>
      </c>
      <c r="V372" s="200" t="s">
        <v>435</v>
      </c>
      <c r="W372" s="200" t="s">
        <v>280</v>
      </c>
      <c r="X372" s="200">
        <v>12.663</v>
      </c>
      <c r="Y372" s="203">
        <v>-0.25</v>
      </c>
      <c r="Z372" s="203">
        <v>2.1</v>
      </c>
      <c r="AA372" s="203">
        <v>26.58</v>
      </c>
      <c r="AB372" s="203">
        <v>-2.3199999999999998</v>
      </c>
      <c r="AC372" s="203">
        <v>0</v>
      </c>
      <c r="AD372" s="203">
        <v>0</v>
      </c>
      <c r="AE372" s="203">
        <v>24.01</v>
      </c>
      <c r="AF372" s="203">
        <v>-3.04</v>
      </c>
      <c r="AG372" s="200" t="s">
        <v>279</v>
      </c>
      <c r="AH372" s="203">
        <v>0</v>
      </c>
      <c r="AI372" s="200" t="s">
        <v>279</v>
      </c>
      <c r="AJ372" s="203">
        <v>0</v>
      </c>
      <c r="AK372" s="200" t="s">
        <v>279</v>
      </c>
      <c r="AL372" s="203">
        <v>0</v>
      </c>
      <c r="AM372" s="200" t="s">
        <v>279</v>
      </c>
      <c r="AN372" s="203">
        <v>0</v>
      </c>
      <c r="AO372" s="200" t="s">
        <v>279</v>
      </c>
      <c r="AP372" s="203">
        <v>0</v>
      </c>
      <c r="AQ372" s="203">
        <v>26.58</v>
      </c>
      <c r="AR372" s="203">
        <v>0</v>
      </c>
      <c r="AS372" s="200" t="str">
        <f t="shared" si="5"/>
        <v>1.00000000</v>
      </c>
      <c r="AT372" s="200" t="str">
        <f>"10.3"</f>
        <v>10.3</v>
      </c>
      <c r="AU372" s="203">
        <v>0</v>
      </c>
    </row>
    <row r="373" spans="1:47" x14ac:dyDescent="0.2">
      <c r="A373" s="200" t="str">
        <f>"0496002595734"</f>
        <v>0496002595734</v>
      </c>
      <c r="B373" s="200">
        <v>2</v>
      </c>
      <c r="C373" s="200" t="s">
        <v>435</v>
      </c>
      <c r="D373" s="200">
        <v>80</v>
      </c>
      <c r="E373" s="200">
        <v>80</v>
      </c>
      <c r="F373" s="200" t="s">
        <v>243</v>
      </c>
      <c r="G373" s="200">
        <v>2086</v>
      </c>
      <c r="H373" s="200" t="s">
        <v>270</v>
      </c>
      <c r="I373" s="200">
        <v>74444</v>
      </c>
      <c r="J373" s="201">
        <v>42694</v>
      </c>
      <c r="K373" s="202">
        <v>0.41597222222222219</v>
      </c>
      <c r="L373" s="201">
        <v>42696</v>
      </c>
      <c r="M373" s="200" t="s">
        <v>271</v>
      </c>
      <c r="N373" s="200" t="s">
        <v>272</v>
      </c>
      <c r="O373" s="200" t="s">
        <v>273</v>
      </c>
      <c r="P373" s="200" t="s">
        <v>274</v>
      </c>
      <c r="Q373" s="200" t="s">
        <v>275</v>
      </c>
      <c r="R373" s="200" t="s">
        <v>276</v>
      </c>
      <c r="S373" s="200" t="s">
        <v>436</v>
      </c>
      <c r="T373" s="200" t="s">
        <v>435</v>
      </c>
      <c r="U373" s="200">
        <v>2086</v>
      </c>
      <c r="V373" s="200" t="s">
        <v>435</v>
      </c>
      <c r="W373" s="200" t="s">
        <v>280</v>
      </c>
      <c r="X373" s="200">
        <v>9.609</v>
      </c>
      <c r="Y373" s="203">
        <v>-0.19</v>
      </c>
      <c r="Z373" s="203">
        <v>2.1</v>
      </c>
      <c r="AA373" s="203">
        <v>20.170000000000002</v>
      </c>
      <c r="AB373" s="203">
        <v>-1.76</v>
      </c>
      <c r="AC373" s="203">
        <v>0</v>
      </c>
      <c r="AD373" s="203">
        <v>0</v>
      </c>
      <c r="AE373" s="203">
        <v>18.22</v>
      </c>
      <c r="AF373" s="203">
        <v>-2.31</v>
      </c>
      <c r="AG373" s="200" t="s">
        <v>279</v>
      </c>
      <c r="AH373" s="203">
        <v>0</v>
      </c>
      <c r="AI373" s="200" t="s">
        <v>279</v>
      </c>
      <c r="AJ373" s="203">
        <v>0</v>
      </c>
      <c r="AK373" s="200" t="s">
        <v>279</v>
      </c>
      <c r="AL373" s="203">
        <v>0</v>
      </c>
      <c r="AM373" s="200" t="s">
        <v>279</v>
      </c>
      <c r="AN373" s="203">
        <v>0</v>
      </c>
      <c r="AO373" s="200" t="s">
        <v>279</v>
      </c>
      <c r="AP373" s="203">
        <v>0</v>
      </c>
      <c r="AQ373" s="203">
        <v>20.170000000000002</v>
      </c>
      <c r="AR373" s="203">
        <v>0</v>
      </c>
      <c r="AS373" s="200" t="str">
        <f t="shared" si="5"/>
        <v>1.00000000</v>
      </c>
      <c r="AT373" s="200" t="str">
        <f>"34.9"</f>
        <v>34.9</v>
      </c>
      <c r="AU373" s="203">
        <v>0</v>
      </c>
    </row>
    <row r="374" spans="1:47" x14ac:dyDescent="0.2">
      <c r="A374" s="200" t="str">
        <f>"0496002595700"</f>
        <v>0496002595700</v>
      </c>
      <c r="B374" s="200">
        <v>2</v>
      </c>
      <c r="C374" s="200" t="s">
        <v>156</v>
      </c>
      <c r="D374" s="200">
        <v>42</v>
      </c>
      <c r="E374" s="200">
        <v>42</v>
      </c>
      <c r="F374" s="200" t="s">
        <v>243</v>
      </c>
      <c r="G374" s="200">
        <v>2262</v>
      </c>
      <c r="H374" s="200" t="s">
        <v>270</v>
      </c>
      <c r="I374" s="200">
        <v>35641</v>
      </c>
      <c r="J374" s="201">
        <v>42695</v>
      </c>
      <c r="K374" s="202">
        <v>0.36180555555555555</v>
      </c>
      <c r="L374" s="201">
        <v>42698</v>
      </c>
      <c r="M374" s="200" t="s">
        <v>325</v>
      </c>
      <c r="N374" s="200" t="s">
        <v>326</v>
      </c>
      <c r="O374" s="200" t="s">
        <v>822</v>
      </c>
      <c r="P374" s="200" t="s">
        <v>823</v>
      </c>
      <c r="Q374" s="200" t="s">
        <v>329</v>
      </c>
      <c r="R374" s="200">
        <v>10512</v>
      </c>
      <c r="S374" s="200" t="s">
        <v>156</v>
      </c>
      <c r="T374" s="200" t="s">
        <v>277</v>
      </c>
      <c r="U374" s="200">
        <v>2262</v>
      </c>
      <c r="V374" s="200" t="s">
        <v>156</v>
      </c>
      <c r="W374" s="200" t="s">
        <v>330</v>
      </c>
      <c r="X374" s="200">
        <v>7.5650000000000004</v>
      </c>
      <c r="Y374" s="203">
        <v>0</v>
      </c>
      <c r="Z374" s="203">
        <v>2.2799999999999998</v>
      </c>
      <c r="AA374" s="203">
        <v>17.239999999999998</v>
      </c>
      <c r="AB374" s="203">
        <v>-1.38</v>
      </c>
      <c r="AC374" s="203">
        <v>0</v>
      </c>
      <c r="AD374" s="203">
        <v>0</v>
      </c>
      <c r="AE374" s="203">
        <v>15.86</v>
      </c>
      <c r="AF374" s="203">
        <v>-3.18</v>
      </c>
      <c r="AG374" s="200" t="s">
        <v>279</v>
      </c>
      <c r="AH374" s="203">
        <v>0</v>
      </c>
      <c r="AI374" s="200" t="s">
        <v>279</v>
      </c>
      <c r="AJ374" s="203">
        <v>0</v>
      </c>
      <c r="AK374" s="200" t="s">
        <v>279</v>
      </c>
      <c r="AL374" s="203">
        <v>0</v>
      </c>
      <c r="AM374" s="200" t="s">
        <v>279</v>
      </c>
      <c r="AN374" s="203">
        <v>0</v>
      </c>
      <c r="AO374" s="200" t="s">
        <v>279</v>
      </c>
      <c r="AP374" s="203">
        <v>0</v>
      </c>
      <c r="AQ374" s="203">
        <v>17.239999999999998</v>
      </c>
      <c r="AR374" s="203">
        <v>0</v>
      </c>
      <c r="AS374" s="200" t="str">
        <f t="shared" si="5"/>
        <v>1.00000000</v>
      </c>
      <c r="AT374" s="200" t="str">
        <f>"45.6"</f>
        <v>45.6</v>
      </c>
      <c r="AU374" s="203">
        <v>0</v>
      </c>
    </row>
    <row r="375" spans="1:47" x14ac:dyDescent="0.2">
      <c r="A375" s="200" t="str">
        <f>"0496002595700"</f>
        <v>0496002595700</v>
      </c>
      <c r="B375" s="200">
        <v>7</v>
      </c>
      <c r="C375" s="200" t="s">
        <v>156</v>
      </c>
      <c r="D375" s="200" t="s">
        <v>371</v>
      </c>
      <c r="E375" s="200">
        <v>45</v>
      </c>
      <c r="F375" s="200" t="s">
        <v>243</v>
      </c>
      <c r="G375" s="200">
        <v>2262</v>
      </c>
      <c r="H375" s="200" t="s">
        <v>270</v>
      </c>
      <c r="I375" s="200">
        <v>20245</v>
      </c>
      <c r="J375" s="201">
        <v>42695</v>
      </c>
      <c r="K375" s="202">
        <v>0.33680555555555558</v>
      </c>
      <c r="L375" s="201">
        <v>42697</v>
      </c>
      <c r="M375" s="200" t="s">
        <v>271</v>
      </c>
      <c r="N375" s="200" t="s">
        <v>272</v>
      </c>
      <c r="O375" s="200" t="s">
        <v>273</v>
      </c>
      <c r="P375" s="200" t="s">
        <v>274</v>
      </c>
      <c r="Q375" s="200" t="s">
        <v>275</v>
      </c>
      <c r="R375" s="200" t="s">
        <v>276</v>
      </c>
      <c r="S375" s="200" t="s">
        <v>156</v>
      </c>
      <c r="T375" s="200" t="s">
        <v>277</v>
      </c>
      <c r="U375" s="200">
        <v>2262</v>
      </c>
      <c r="V375" s="200" t="s">
        <v>156</v>
      </c>
      <c r="W375" s="200" t="s">
        <v>280</v>
      </c>
      <c r="X375" s="200">
        <v>12.215</v>
      </c>
      <c r="Y375" s="203">
        <v>-0.24</v>
      </c>
      <c r="Z375" s="203">
        <v>2.1</v>
      </c>
      <c r="AA375" s="203">
        <v>25.64</v>
      </c>
      <c r="AB375" s="203">
        <v>-2.2400000000000002</v>
      </c>
      <c r="AC375" s="203">
        <v>0</v>
      </c>
      <c r="AD375" s="203">
        <v>0</v>
      </c>
      <c r="AE375" s="203">
        <v>23.16</v>
      </c>
      <c r="AF375" s="203">
        <v>-2.93</v>
      </c>
      <c r="AG375" s="200" t="s">
        <v>279</v>
      </c>
      <c r="AH375" s="203">
        <v>0</v>
      </c>
      <c r="AI375" s="200" t="s">
        <v>279</v>
      </c>
      <c r="AJ375" s="203">
        <v>0</v>
      </c>
      <c r="AK375" s="200" t="s">
        <v>279</v>
      </c>
      <c r="AL375" s="203">
        <v>0</v>
      </c>
      <c r="AM375" s="200" t="s">
        <v>279</v>
      </c>
      <c r="AN375" s="203">
        <v>0</v>
      </c>
      <c r="AO375" s="200" t="s">
        <v>279</v>
      </c>
      <c r="AP375" s="203">
        <v>0</v>
      </c>
      <c r="AQ375" s="203">
        <v>25.64</v>
      </c>
      <c r="AR375" s="203">
        <v>0</v>
      </c>
      <c r="AS375" s="200" t="str">
        <f t="shared" si="5"/>
        <v>1.00000000</v>
      </c>
      <c r="AT375" s="200" t="str">
        <f>"23.5"</f>
        <v>23.5</v>
      </c>
      <c r="AU375" s="203">
        <v>0</v>
      </c>
    </row>
    <row r="376" spans="1:47" x14ac:dyDescent="0.2">
      <c r="A376" s="200" t="str">
        <f>"0496002595700"</f>
        <v>0496002595700</v>
      </c>
      <c r="B376" s="200">
        <v>8</v>
      </c>
      <c r="C376" s="200" t="s">
        <v>156</v>
      </c>
      <c r="D376" s="200" t="s">
        <v>414</v>
      </c>
      <c r="E376" s="200">
        <v>47</v>
      </c>
      <c r="F376" s="200" t="s">
        <v>243</v>
      </c>
      <c r="G376" s="200">
        <v>2262</v>
      </c>
      <c r="H376" s="200" t="s">
        <v>270</v>
      </c>
      <c r="I376" s="200">
        <v>24069</v>
      </c>
      <c r="J376" s="201">
        <v>42695</v>
      </c>
      <c r="K376" s="202">
        <v>0.32068287037037035</v>
      </c>
      <c r="L376" s="201">
        <v>42697</v>
      </c>
      <c r="M376" s="200" t="s">
        <v>340</v>
      </c>
      <c r="N376" s="200" t="s">
        <v>341</v>
      </c>
      <c r="O376" s="200" t="s">
        <v>382</v>
      </c>
      <c r="P376" s="200" t="s">
        <v>383</v>
      </c>
      <c r="Q376" s="200" t="s">
        <v>275</v>
      </c>
      <c r="R376" s="200">
        <v>1056</v>
      </c>
      <c r="S376" s="200" t="s">
        <v>156</v>
      </c>
      <c r="T376" s="200" t="s">
        <v>277</v>
      </c>
      <c r="U376" s="200">
        <v>2262</v>
      </c>
      <c r="V376" s="200" t="s">
        <v>156</v>
      </c>
      <c r="W376" s="200" t="s">
        <v>280</v>
      </c>
      <c r="X376" s="200">
        <v>12.01</v>
      </c>
      <c r="Y376" s="203">
        <v>0</v>
      </c>
      <c r="Z376" s="203">
        <v>2.04</v>
      </c>
      <c r="AA376" s="203">
        <v>24.49</v>
      </c>
      <c r="AB376" s="203">
        <v>-2.2000000000000002</v>
      </c>
      <c r="AC376" s="203">
        <v>0</v>
      </c>
      <c r="AD376" s="203">
        <v>0</v>
      </c>
      <c r="AE376" s="203">
        <v>22.29</v>
      </c>
      <c r="AF376" s="203">
        <v>-2.88</v>
      </c>
      <c r="AG376" s="200" t="s">
        <v>279</v>
      </c>
      <c r="AH376" s="203">
        <v>0</v>
      </c>
      <c r="AI376" s="200" t="s">
        <v>279</v>
      </c>
      <c r="AJ376" s="203">
        <v>0</v>
      </c>
      <c r="AK376" s="200" t="s">
        <v>279</v>
      </c>
      <c r="AL376" s="203">
        <v>0</v>
      </c>
      <c r="AM376" s="200" t="s">
        <v>279</v>
      </c>
      <c r="AN376" s="203">
        <v>0</v>
      </c>
      <c r="AO376" s="200" t="s">
        <v>279</v>
      </c>
      <c r="AP376" s="203">
        <v>0</v>
      </c>
      <c r="AQ376" s="203">
        <v>24.49</v>
      </c>
      <c r="AR376" s="203">
        <v>0</v>
      </c>
      <c r="AS376" s="200" t="str">
        <f t="shared" si="5"/>
        <v>1.00000000</v>
      </c>
      <c r="AT376" s="200" t="str">
        <f>"20.3"</f>
        <v>20.3</v>
      </c>
      <c r="AU376" s="203">
        <v>0</v>
      </c>
    </row>
    <row r="377" spans="1:47" x14ac:dyDescent="0.2">
      <c r="A377" s="200" t="str">
        <f>"0496002595734"</f>
        <v>0496002595734</v>
      </c>
      <c r="B377" s="200">
        <v>2</v>
      </c>
      <c r="C377" s="200" t="s">
        <v>435</v>
      </c>
      <c r="D377" s="200">
        <v>80</v>
      </c>
      <c r="E377" s="200">
        <v>80</v>
      </c>
      <c r="F377" s="200" t="s">
        <v>243</v>
      </c>
      <c r="G377" s="200">
        <v>2086</v>
      </c>
      <c r="H377" s="200" t="s">
        <v>270</v>
      </c>
      <c r="I377" s="200">
        <v>74714</v>
      </c>
      <c r="J377" s="201">
        <v>42695</v>
      </c>
      <c r="K377" s="202">
        <v>0.24791666666666667</v>
      </c>
      <c r="L377" s="201">
        <v>42697</v>
      </c>
      <c r="M377" s="200" t="s">
        <v>271</v>
      </c>
      <c r="N377" s="200" t="s">
        <v>272</v>
      </c>
      <c r="O377" s="200" t="s">
        <v>273</v>
      </c>
      <c r="P377" s="200" t="s">
        <v>274</v>
      </c>
      <c r="Q377" s="200" t="s">
        <v>275</v>
      </c>
      <c r="R377" s="200" t="s">
        <v>276</v>
      </c>
      <c r="S377" s="200" t="s">
        <v>436</v>
      </c>
      <c r="T377" s="200" t="s">
        <v>435</v>
      </c>
      <c r="U377" s="200">
        <v>2086</v>
      </c>
      <c r="V377" s="200" t="s">
        <v>435</v>
      </c>
      <c r="W377" s="200" t="s">
        <v>280</v>
      </c>
      <c r="X377" s="200">
        <v>8.2460000000000004</v>
      </c>
      <c r="Y377" s="203">
        <v>-0.16</v>
      </c>
      <c r="Z377" s="203">
        <v>2.1</v>
      </c>
      <c r="AA377" s="203">
        <v>17.309999999999999</v>
      </c>
      <c r="AB377" s="203">
        <v>-1.51</v>
      </c>
      <c r="AC377" s="203">
        <v>0</v>
      </c>
      <c r="AD377" s="203">
        <v>0</v>
      </c>
      <c r="AE377" s="203">
        <v>15.64</v>
      </c>
      <c r="AF377" s="203">
        <v>-1.98</v>
      </c>
      <c r="AG377" s="200" t="s">
        <v>279</v>
      </c>
      <c r="AH377" s="203">
        <v>0</v>
      </c>
      <c r="AI377" s="200" t="s">
        <v>279</v>
      </c>
      <c r="AJ377" s="203">
        <v>0</v>
      </c>
      <c r="AK377" s="200" t="s">
        <v>279</v>
      </c>
      <c r="AL377" s="203">
        <v>0</v>
      </c>
      <c r="AM377" s="200" t="s">
        <v>279</v>
      </c>
      <c r="AN377" s="203">
        <v>0</v>
      </c>
      <c r="AO377" s="200" t="s">
        <v>279</v>
      </c>
      <c r="AP377" s="203">
        <v>0</v>
      </c>
      <c r="AQ377" s="203">
        <v>17.309999999999999</v>
      </c>
      <c r="AR377" s="203">
        <v>0</v>
      </c>
      <c r="AS377" s="200" t="str">
        <f t="shared" si="5"/>
        <v>1.00000000</v>
      </c>
      <c r="AT377" s="200" t="str">
        <f>"32.7"</f>
        <v>32.7</v>
      </c>
      <c r="AU377" s="203">
        <v>0</v>
      </c>
    </row>
    <row r="378" spans="1:47" x14ac:dyDescent="0.2">
      <c r="A378" s="200" t="str">
        <f>"0496002595734"</f>
        <v>0496002595734</v>
      </c>
      <c r="B378" s="200">
        <v>2</v>
      </c>
      <c r="C378" s="200" t="s">
        <v>435</v>
      </c>
      <c r="D378" s="200">
        <v>80</v>
      </c>
      <c r="E378" s="200">
        <v>80</v>
      </c>
      <c r="F378" s="200" t="s">
        <v>243</v>
      </c>
      <c r="G378" s="200">
        <v>2086</v>
      </c>
      <c r="H378" s="200" t="s">
        <v>270</v>
      </c>
      <c r="I378" s="200">
        <v>74744</v>
      </c>
      <c r="J378" s="201">
        <v>42695</v>
      </c>
      <c r="K378" s="202">
        <v>0.73472222222222217</v>
      </c>
      <c r="L378" s="201">
        <v>42697</v>
      </c>
      <c r="M378" s="200" t="s">
        <v>285</v>
      </c>
      <c r="N378" s="200" t="s">
        <v>794</v>
      </c>
      <c r="O378" s="200" t="s">
        <v>400</v>
      </c>
      <c r="P378" s="200" t="s">
        <v>274</v>
      </c>
      <c r="Q378" s="200" t="s">
        <v>275</v>
      </c>
      <c r="R378" s="200" t="s">
        <v>401</v>
      </c>
      <c r="S378" s="200" t="s">
        <v>436</v>
      </c>
      <c r="T378" s="200" t="s">
        <v>435</v>
      </c>
      <c r="U378" s="200">
        <v>2086</v>
      </c>
      <c r="V378" s="200" t="s">
        <v>435</v>
      </c>
      <c r="W378" s="200" t="s">
        <v>280</v>
      </c>
      <c r="X378" s="200">
        <v>1.7829999999999999</v>
      </c>
      <c r="Y378" s="203">
        <v>0</v>
      </c>
      <c r="Z378" s="203">
        <v>2.1</v>
      </c>
      <c r="AA378" s="203">
        <v>3.74</v>
      </c>
      <c r="AB378" s="203">
        <v>-0.33</v>
      </c>
      <c r="AC378" s="203">
        <v>0</v>
      </c>
      <c r="AD378" s="203">
        <v>0</v>
      </c>
      <c r="AE378" s="203">
        <v>3.41</v>
      </c>
      <c r="AF378" s="203">
        <v>-0.43</v>
      </c>
      <c r="AG378" s="200" t="s">
        <v>279</v>
      </c>
      <c r="AH378" s="203">
        <v>0</v>
      </c>
      <c r="AI378" s="200" t="s">
        <v>279</v>
      </c>
      <c r="AJ378" s="203">
        <v>0</v>
      </c>
      <c r="AK378" s="200" t="s">
        <v>279</v>
      </c>
      <c r="AL378" s="203">
        <v>0</v>
      </c>
      <c r="AM378" s="200" t="s">
        <v>279</v>
      </c>
      <c r="AN378" s="203">
        <v>0</v>
      </c>
      <c r="AO378" s="200" t="s">
        <v>279</v>
      </c>
      <c r="AP378" s="203">
        <v>0</v>
      </c>
      <c r="AQ378" s="203">
        <v>3.74</v>
      </c>
      <c r="AR378" s="203">
        <v>0</v>
      </c>
      <c r="AS378" s="200" t="str">
        <f t="shared" si="5"/>
        <v>1.00000000</v>
      </c>
      <c r="AT378" s="200" t="str">
        <f>"37.6"</f>
        <v>37.6</v>
      </c>
      <c r="AU378" s="203">
        <v>0</v>
      </c>
    </row>
    <row r="379" spans="1:47" x14ac:dyDescent="0.2">
      <c r="A379" s="200" t="str">
        <f>"0496002595734"</f>
        <v>0496002595734</v>
      </c>
      <c r="B379" s="200">
        <v>3</v>
      </c>
      <c r="C379" s="200" t="s">
        <v>435</v>
      </c>
      <c r="D379" s="200">
        <v>82</v>
      </c>
      <c r="E379" s="200">
        <v>82</v>
      </c>
      <c r="F379" s="200" t="s">
        <v>243</v>
      </c>
      <c r="G379" s="200">
        <v>2086</v>
      </c>
      <c r="H379" s="200" t="s">
        <v>270</v>
      </c>
      <c r="I379" s="200">
        <v>55300</v>
      </c>
      <c r="J379" s="201">
        <v>42695</v>
      </c>
      <c r="K379" s="202">
        <v>0.50843749999999999</v>
      </c>
      <c r="L379" s="201">
        <v>42697</v>
      </c>
      <c r="M379" s="200" t="s">
        <v>319</v>
      </c>
      <c r="N379" s="200" t="s">
        <v>440</v>
      </c>
      <c r="O379" s="200" t="s">
        <v>441</v>
      </c>
      <c r="P379" s="200" t="s">
        <v>442</v>
      </c>
      <c r="Q379" s="200" t="s">
        <v>275</v>
      </c>
      <c r="R379" s="200">
        <v>1093</v>
      </c>
      <c r="S379" s="200" t="s">
        <v>436</v>
      </c>
      <c r="T379" s="200" t="s">
        <v>435</v>
      </c>
      <c r="U379" s="200">
        <v>2086</v>
      </c>
      <c r="V379" s="200" t="s">
        <v>435</v>
      </c>
      <c r="W379" s="200" t="s">
        <v>280</v>
      </c>
      <c r="X379" s="200">
        <v>9.9740000000000002</v>
      </c>
      <c r="Y379" s="203">
        <v>0</v>
      </c>
      <c r="Z379" s="203">
        <v>2.13</v>
      </c>
      <c r="AA379" s="203">
        <v>21.23</v>
      </c>
      <c r="AB379" s="203">
        <v>-1.83</v>
      </c>
      <c r="AC379" s="203">
        <v>0</v>
      </c>
      <c r="AD379" s="203">
        <v>0</v>
      </c>
      <c r="AE379" s="203">
        <v>19.399999999999999</v>
      </c>
      <c r="AF379" s="203">
        <v>-2.39</v>
      </c>
      <c r="AG379" s="200" t="s">
        <v>279</v>
      </c>
      <c r="AH379" s="203">
        <v>0</v>
      </c>
      <c r="AI379" s="200" t="s">
        <v>279</v>
      </c>
      <c r="AJ379" s="203">
        <v>0</v>
      </c>
      <c r="AK379" s="200" t="s">
        <v>279</v>
      </c>
      <c r="AL379" s="203">
        <v>0</v>
      </c>
      <c r="AM379" s="200" t="s">
        <v>279</v>
      </c>
      <c r="AN379" s="203">
        <v>0</v>
      </c>
      <c r="AO379" s="200" t="s">
        <v>279</v>
      </c>
      <c r="AP379" s="203">
        <v>0</v>
      </c>
      <c r="AQ379" s="203">
        <v>21.23</v>
      </c>
      <c r="AR379" s="203">
        <v>0</v>
      </c>
      <c r="AS379" s="200" t="str">
        <f t="shared" si="5"/>
        <v>1.00000000</v>
      </c>
      <c r="AT379" s="200" t="str">
        <f>"19.8"</f>
        <v>19.8</v>
      </c>
      <c r="AU379" s="203">
        <v>0</v>
      </c>
    </row>
    <row r="380" spans="1:47" x14ac:dyDescent="0.2">
      <c r="A380" s="200" t="str">
        <f>"0496002599173"</f>
        <v>0496002599173</v>
      </c>
      <c r="B380" s="200">
        <v>3</v>
      </c>
      <c r="C380" s="200" t="s">
        <v>585</v>
      </c>
      <c r="D380" s="200" t="s">
        <v>628</v>
      </c>
      <c r="E380" s="200" t="s">
        <v>628</v>
      </c>
      <c r="F380" s="200" t="s">
        <v>243</v>
      </c>
      <c r="G380" s="200">
        <v>5738</v>
      </c>
      <c r="H380" s="200" t="s">
        <v>270</v>
      </c>
      <c r="I380" s="200">
        <v>114131</v>
      </c>
      <c r="J380" s="201">
        <v>42695</v>
      </c>
      <c r="K380" s="202">
        <v>0.32708333333333334</v>
      </c>
      <c r="L380" s="201">
        <v>42697</v>
      </c>
      <c r="M380" s="200" t="s">
        <v>285</v>
      </c>
      <c r="N380" s="200" t="s">
        <v>794</v>
      </c>
      <c r="O380" s="200" t="s">
        <v>400</v>
      </c>
      <c r="P380" s="200" t="s">
        <v>274</v>
      </c>
      <c r="Q380" s="200" t="s">
        <v>275</v>
      </c>
      <c r="R380" s="200" t="s">
        <v>401</v>
      </c>
      <c r="S380" s="200" t="s">
        <v>436</v>
      </c>
      <c r="T380" s="200" t="s">
        <v>630</v>
      </c>
      <c r="U380" s="200">
        <v>5738</v>
      </c>
      <c r="V380" s="200" t="s">
        <v>585</v>
      </c>
      <c r="W380" s="200" t="s">
        <v>280</v>
      </c>
      <c r="X380" s="200">
        <v>22.265999999999998</v>
      </c>
      <c r="Y380" s="203">
        <v>0</v>
      </c>
      <c r="Z380" s="203">
        <v>2.1</v>
      </c>
      <c r="AA380" s="203">
        <v>46.74</v>
      </c>
      <c r="AB380" s="203">
        <v>-4.07</v>
      </c>
      <c r="AC380" s="203">
        <v>0</v>
      </c>
      <c r="AD380" s="203">
        <v>0</v>
      </c>
      <c r="AE380" s="203">
        <v>42.67</v>
      </c>
      <c r="AF380" s="203">
        <v>-5.34</v>
      </c>
      <c r="AG380" s="200" t="s">
        <v>279</v>
      </c>
      <c r="AH380" s="203">
        <v>0</v>
      </c>
      <c r="AI380" s="200" t="s">
        <v>279</v>
      </c>
      <c r="AJ380" s="203">
        <v>0</v>
      </c>
      <c r="AK380" s="200" t="s">
        <v>279</v>
      </c>
      <c r="AL380" s="203">
        <v>0</v>
      </c>
      <c r="AM380" s="200" t="s">
        <v>279</v>
      </c>
      <c r="AN380" s="203">
        <v>0</v>
      </c>
      <c r="AO380" s="200" t="s">
        <v>279</v>
      </c>
      <c r="AP380" s="203">
        <v>0</v>
      </c>
      <c r="AQ380" s="203">
        <v>46.74</v>
      </c>
      <c r="AR380" s="203">
        <v>0</v>
      </c>
      <c r="AS380" s="200" t="str">
        <f t="shared" si="5"/>
        <v>1.00000000</v>
      </c>
      <c r="AT380" s="200" t="str">
        <f>"13.1"</f>
        <v>13.1</v>
      </c>
      <c r="AU380" s="203">
        <v>0</v>
      </c>
    </row>
    <row r="381" spans="1:47" x14ac:dyDescent="0.2">
      <c r="A381" s="200" t="str">
        <f>"0496002599173"</f>
        <v>0496002599173</v>
      </c>
      <c r="B381" s="200">
        <v>1</v>
      </c>
      <c r="C381" s="200" t="s">
        <v>585</v>
      </c>
      <c r="D381" s="200" t="s">
        <v>586</v>
      </c>
      <c r="E381" s="200" t="s">
        <v>586</v>
      </c>
      <c r="F381" s="200" t="s">
        <v>243</v>
      </c>
      <c r="G381" s="200">
        <v>5314</v>
      </c>
      <c r="H381" s="200" t="s">
        <v>270</v>
      </c>
      <c r="I381" s="200">
        <v>62364</v>
      </c>
      <c r="J381" s="201">
        <v>42696</v>
      </c>
      <c r="K381" s="202">
        <v>0.37152777777777773</v>
      </c>
      <c r="L381" s="201">
        <v>42698</v>
      </c>
      <c r="M381" s="200" t="s">
        <v>285</v>
      </c>
      <c r="N381" s="200" t="s">
        <v>794</v>
      </c>
      <c r="O381" s="200" t="s">
        <v>400</v>
      </c>
      <c r="P381" s="200" t="s">
        <v>274</v>
      </c>
      <c r="Q381" s="200" t="s">
        <v>275</v>
      </c>
      <c r="R381" s="200" t="s">
        <v>401</v>
      </c>
      <c r="S381" s="200" t="s">
        <v>436</v>
      </c>
      <c r="T381" s="200" t="s">
        <v>587</v>
      </c>
      <c r="U381" s="200">
        <v>5314</v>
      </c>
      <c r="V381" s="200" t="s">
        <v>585</v>
      </c>
      <c r="W381" s="200" t="s">
        <v>280</v>
      </c>
      <c r="X381" s="200">
        <v>23.821000000000002</v>
      </c>
      <c r="Y381" s="203">
        <v>0</v>
      </c>
      <c r="Z381" s="203">
        <v>2.1</v>
      </c>
      <c r="AA381" s="203">
        <v>50</v>
      </c>
      <c r="AB381" s="203">
        <v>-4.3600000000000003</v>
      </c>
      <c r="AC381" s="203">
        <v>0</v>
      </c>
      <c r="AD381" s="203">
        <v>0</v>
      </c>
      <c r="AE381" s="203">
        <v>45.64</v>
      </c>
      <c r="AF381" s="203">
        <v>-5.72</v>
      </c>
      <c r="AG381" s="200" t="s">
        <v>279</v>
      </c>
      <c r="AH381" s="203">
        <v>0</v>
      </c>
      <c r="AI381" s="200" t="s">
        <v>279</v>
      </c>
      <c r="AJ381" s="203">
        <v>0</v>
      </c>
      <c r="AK381" s="200" t="s">
        <v>279</v>
      </c>
      <c r="AL381" s="203">
        <v>0</v>
      </c>
      <c r="AM381" s="200" t="s">
        <v>279</v>
      </c>
      <c r="AN381" s="203">
        <v>0</v>
      </c>
      <c r="AO381" s="200" t="s">
        <v>279</v>
      </c>
      <c r="AP381" s="203">
        <v>0</v>
      </c>
      <c r="AQ381" s="203">
        <v>50</v>
      </c>
      <c r="AR381" s="203">
        <v>0</v>
      </c>
      <c r="AS381" s="200" t="str">
        <f t="shared" si="5"/>
        <v>1.00000000</v>
      </c>
      <c r="AT381" s="200" t="str">
        <f>"12.2"</f>
        <v>12.2</v>
      </c>
      <c r="AU381" s="203">
        <v>0</v>
      </c>
    </row>
    <row r="382" spans="1:47" x14ac:dyDescent="0.2">
      <c r="A382" s="200" t="str">
        <f>"0496002599173"</f>
        <v>0496002599173</v>
      </c>
      <c r="B382" s="200">
        <v>1</v>
      </c>
      <c r="C382" s="200" t="s">
        <v>585</v>
      </c>
      <c r="D382" s="200" t="s">
        <v>586</v>
      </c>
      <c r="E382" s="200" t="s">
        <v>586</v>
      </c>
      <c r="F382" s="200" t="s">
        <v>243</v>
      </c>
      <c r="G382" s="200">
        <v>5314</v>
      </c>
      <c r="H382" s="200" t="s">
        <v>270</v>
      </c>
      <c r="I382" s="200">
        <v>62364</v>
      </c>
      <c r="J382" s="201">
        <v>42696</v>
      </c>
      <c r="K382" s="202">
        <v>0.3743055555555555</v>
      </c>
      <c r="L382" s="201">
        <v>42698</v>
      </c>
      <c r="M382" s="200" t="s">
        <v>285</v>
      </c>
      <c r="N382" s="200" t="s">
        <v>794</v>
      </c>
      <c r="O382" s="200" t="s">
        <v>400</v>
      </c>
      <c r="P382" s="200" t="s">
        <v>274</v>
      </c>
      <c r="Q382" s="200" t="s">
        <v>275</v>
      </c>
      <c r="R382" s="200" t="s">
        <v>401</v>
      </c>
      <c r="S382" s="200" t="s">
        <v>436</v>
      </c>
      <c r="T382" s="200" t="s">
        <v>587</v>
      </c>
      <c r="U382" s="200">
        <v>5314</v>
      </c>
      <c r="V382" s="200" t="s">
        <v>585</v>
      </c>
      <c r="W382" s="200" t="s">
        <v>280</v>
      </c>
      <c r="X382" s="200">
        <v>6.7389999999999999</v>
      </c>
      <c r="Y382" s="203">
        <v>0</v>
      </c>
      <c r="Z382" s="203">
        <v>2.1</v>
      </c>
      <c r="AA382" s="203">
        <v>14.15</v>
      </c>
      <c r="AB382" s="203">
        <v>-1.23</v>
      </c>
      <c r="AC382" s="203">
        <v>0</v>
      </c>
      <c r="AD382" s="203">
        <v>0</v>
      </c>
      <c r="AE382" s="203">
        <v>12.92</v>
      </c>
      <c r="AF382" s="203">
        <v>-1.62</v>
      </c>
      <c r="AG382" s="200" t="s">
        <v>279</v>
      </c>
      <c r="AH382" s="203">
        <v>0</v>
      </c>
      <c r="AI382" s="200" t="s">
        <v>279</v>
      </c>
      <c r="AJ382" s="203">
        <v>0</v>
      </c>
      <c r="AK382" s="200" t="s">
        <v>279</v>
      </c>
      <c r="AL382" s="203">
        <v>0</v>
      </c>
      <c r="AM382" s="200" t="s">
        <v>279</v>
      </c>
      <c r="AN382" s="203">
        <v>0</v>
      </c>
      <c r="AO382" s="200" t="s">
        <v>279</v>
      </c>
      <c r="AP382" s="203">
        <v>0</v>
      </c>
      <c r="AQ382" s="203">
        <v>14.15</v>
      </c>
      <c r="AR382" s="203">
        <v>0</v>
      </c>
      <c r="AS382" s="200" t="str">
        <f t="shared" si="5"/>
        <v>1.00000000</v>
      </c>
      <c r="AT382" s="200" t="str">
        <f>"14.7"</f>
        <v>14.7</v>
      </c>
      <c r="AU382" s="203">
        <v>0</v>
      </c>
    </row>
    <row r="383" spans="1:47" x14ac:dyDescent="0.2">
      <c r="A383" s="200" t="str">
        <f>"0496002599173"</f>
        <v>0496002599173</v>
      </c>
      <c r="B383" s="200">
        <v>2</v>
      </c>
      <c r="C383" s="200" t="s">
        <v>585</v>
      </c>
      <c r="D383" s="200" t="s">
        <v>594</v>
      </c>
      <c r="E383" s="200" t="s">
        <v>594</v>
      </c>
      <c r="F383" s="200" t="s">
        <v>243</v>
      </c>
      <c r="G383" s="200">
        <v>5647</v>
      </c>
      <c r="H383" s="200" t="s">
        <v>270</v>
      </c>
      <c r="I383" s="200">
        <v>113354</v>
      </c>
      <c r="J383" s="201">
        <v>42696</v>
      </c>
      <c r="K383" s="202">
        <v>0.31805555555555554</v>
      </c>
      <c r="L383" s="201">
        <v>42698</v>
      </c>
      <c r="M383" s="200" t="s">
        <v>285</v>
      </c>
      <c r="N383" s="200" t="s">
        <v>794</v>
      </c>
      <c r="O383" s="200" t="s">
        <v>400</v>
      </c>
      <c r="P383" s="200" t="s">
        <v>274</v>
      </c>
      <c r="Q383" s="200" t="s">
        <v>275</v>
      </c>
      <c r="R383" s="200" t="s">
        <v>401</v>
      </c>
      <c r="S383" s="200" t="s">
        <v>436</v>
      </c>
      <c r="T383" s="200" t="s">
        <v>595</v>
      </c>
      <c r="U383" s="200">
        <v>5647</v>
      </c>
      <c r="V383" s="200" t="s">
        <v>585</v>
      </c>
      <c r="W383" s="200" t="s">
        <v>280</v>
      </c>
      <c r="X383" s="200">
        <v>23.821000000000002</v>
      </c>
      <c r="Y383" s="203">
        <v>0</v>
      </c>
      <c r="Z383" s="203">
        <v>2.1</v>
      </c>
      <c r="AA383" s="203">
        <v>50</v>
      </c>
      <c r="AB383" s="203">
        <v>-4.3600000000000003</v>
      </c>
      <c r="AC383" s="203">
        <v>0</v>
      </c>
      <c r="AD383" s="203">
        <v>0</v>
      </c>
      <c r="AE383" s="203">
        <v>45.64</v>
      </c>
      <c r="AF383" s="203">
        <v>-5.72</v>
      </c>
      <c r="AG383" s="200" t="s">
        <v>279</v>
      </c>
      <c r="AH383" s="203">
        <v>0</v>
      </c>
      <c r="AI383" s="200" t="s">
        <v>279</v>
      </c>
      <c r="AJ383" s="203">
        <v>0</v>
      </c>
      <c r="AK383" s="200" t="s">
        <v>279</v>
      </c>
      <c r="AL383" s="203">
        <v>0</v>
      </c>
      <c r="AM383" s="200" t="s">
        <v>279</v>
      </c>
      <c r="AN383" s="203">
        <v>0</v>
      </c>
      <c r="AO383" s="200" t="s">
        <v>279</v>
      </c>
      <c r="AP383" s="203">
        <v>0</v>
      </c>
      <c r="AQ383" s="203">
        <v>50</v>
      </c>
      <c r="AR383" s="203">
        <v>0</v>
      </c>
      <c r="AS383" s="200" t="str">
        <f t="shared" si="5"/>
        <v>1.00000000</v>
      </c>
      <c r="AT383" s="200" t="str">
        <f>"13.6"</f>
        <v>13.6</v>
      </c>
      <c r="AU383" s="203">
        <v>0</v>
      </c>
    </row>
    <row r="384" spans="1:47" x14ac:dyDescent="0.2">
      <c r="A384" s="200" t="str">
        <f>"0496002595734"</f>
        <v>0496002595734</v>
      </c>
      <c r="B384" s="200">
        <v>1</v>
      </c>
      <c r="C384" s="200" t="s">
        <v>435</v>
      </c>
      <c r="D384" s="200">
        <v>81</v>
      </c>
      <c r="E384" s="200">
        <v>81</v>
      </c>
      <c r="F384" s="200" t="s">
        <v>243</v>
      </c>
      <c r="G384" s="200">
        <v>2086</v>
      </c>
      <c r="H384" s="200" t="s">
        <v>270</v>
      </c>
      <c r="I384" s="200">
        <v>68999</v>
      </c>
      <c r="J384" s="201">
        <v>42697</v>
      </c>
      <c r="K384" s="202">
        <v>0.46527777777777773</v>
      </c>
      <c r="L384" s="201">
        <v>42699</v>
      </c>
      <c r="M384" s="200" t="s">
        <v>271</v>
      </c>
      <c r="N384" s="200" t="s">
        <v>744</v>
      </c>
      <c r="O384" s="200" t="s">
        <v>745</v>
      </c>
      <c r="P384" s="200" t="s">
        <v>746</v>
      </c>
      <c r="Q384" s="200" t="s">
        <v>275</v>
      </c>
      <c r="R384" s="200" t="s">
        <v>747</v>
      </c>
      <c r="S384" s="200" t="s">
        <v>436</v>
      </c>
      <c r="T384" s="200" t="s">
        <v>435</v>
      </c>
      <c r="U384" s="200">
        <v>2086</v>
      </c>
      <c r="V384" s="200" t="s">
        <v>435</v>
      </c>
      <c r="W384" s="200" t="s">
        <v>280</v>
      </c>
      <c r="X384" s="200">
        <v>13.837999999999999</v>
      </c>
      <c r="Y384" s="203">
        <v>-0.28000000000000003</v>
      </c>
      <c r="Z384" s="203">
        <v>2.02</v>
      </c>
      <c r="AA384" s="203">
        <v>27.94</v>
      </c>
      <c r="AB384" s="203">
        <v>-2.5299999999999998</v>
      </c>
      <c r="AC384" s="203">
        <v>0</v>
      </c>
      <c r="AD384" s="203">
        <v>0</v>
      </c>
      <c r="AE384" s="203">
        <v>25.13</v>
      </c>
      <c r="AF384" s="203">
        <v>-3.32</v>
      </c>
      <c r="AG384" s="200" t="s">
        <v>279</v>
      </c>
      <c r="AH384" s="203">
        <v>0</v>
      </c>
      <c r="AI384" s="200" t="s">
        <v>279</v>
      </c>
      <c r="AJ384" s="203">
        <v>0</v>
      </c>
      <c r="AK384" s="200" t="s">
        <v>279</v>
      </c>
      <c r="AL384" s="203">
        <v>0</v>
      </c>
      <c r="AM384" s="200" t="s">
        <v>279</v>
      </c>
      <c r="AN384" s="203">
        <v>0</v>
      </c>
      <c r="AO384" s="200" t="s">
        <v>279</v>
      </c>
      <c r="AP384" s="203">
        <v>0</v>
      </c>
      <c r="AQ384" s="203">
        <v>27.94</v>
      </c>
      <c r="AR384" s="203">
        <v>0</v>
      </c>
      <c r="AS384" s="200" t="str">
        <f t="shared" si="5"/>
        <v>1.00000000</v>
      </c>
      <c r="AT384" s="200" t="str">
        <f>"18.7"</f>
        <v>18.7</v>
      </c>
      <c r="AU384" s="203">
        <v>0</v>
      </c>
    </row>
    <row r="385" spans="1:47" x14ac:dyDescent="0.2">
      <c r="A385" s="200" t="str">
        <f>"0496002595734"</f>
        <v>0496002595734</v>
      </c>
      <c r="B385" s="200">
        <v>2</v>
      </c>
      <c r="C385" s="200" t="s">
        <v>435</v>
      </c>
      <c r="D385" s="200">
        <v>80</v>
      </c>
      <c r="E385" s="200">
        <v>80</v>
      </c>
      <c r="F385" s="200" t="s">
        <v>243</v>
      </c>
      <c r="G385" s="200">
        <v>2086</v>
      </c>
      <c r="H385" s="200" t="s">
        <v>270</v>
      </c>
      <c r="I385" s="200">
        <v>75023</v>
      </c>
      <c r="J385" s="201">
        <v>42698</v>
      </c>
      <c r="K385" s="202">
        <v>0.93888888888888899</v>
      </c>
      <c r="L385" s="201">
        <v>42702</v>
      </c>
      <c r="M385" s="200" t="s">
        <v>271</v>
      </c>
      <c r="N385" s="200" t="s">
        <v>352</v>
      </c>
      <c r="O385" s="200" t="s">
        <v>353</v>
      </c>
      <c r="P385" s="200" t="s">
        <v>343</v>
      </c>
      <c r="Q385" s="200" t="s">
        <v>275</v>
      </c>
      <c r="R385" s="200">
        <v>1035</v>
      </c>
      <c r="S385" s="200" t="s">
        <v>436</v>
      </c>
      <c r="T385" s="200" t="s">
        <v>435</v>
      </c>
      <c r="U385" s="200">
        <v>2086</v>
      </c>
      <c r="V385" s="200" t="s">
        <v>435</v>
      </c>
      <c r="W385" s="200" t="s">
        <v>280</v>
      </c>
      <c r="X385" s="200">
        <v>7.8330000000000002</v>
      </c>
      <c r="Y385" s="203">
        <v>-0.16</v>
      </c>
      <c r="Z385" s="203">
        <v>2.0499999999999998</v>
      </c>
      <c r="AA385" s="203">
        <v>16.05</v>
      </c>
      <c r="AB385" s="203">
        <v>-1.43</v>
      </c>
      <c r="AC385" s="203">
        <v>0</v>
      </c>
      <c r="AD385" s="203">
        <v>0</v>
      </c>
      <c r="AE385" s="203">
        <v>14.46</v>
      </c>
      <c r="AF385" s="203">
        <v>-1.88</v>
      </c>
      <c r="AG385" s="200" t="s">
        <v>279</v>
      </c>
      <c r="AH385" s="203">
        <v>0</v>
      </c>
      <c r="AI385" s="200" t="s">
        <v>279</v>
      </c>
      <c r="AJ385" s="203">
        <v>0</v>
      </c>
      <c r="AK385" s="200" t="s">
        <v>279</v>
      </c>
      <c r="AL385" s="203">
        <v>0</v>
      </c>
      <c r="AM385" s="200" t="s">
        <v>279</v>
      </c>
      <c r="AN385" s="203">
        <v>0</v>
      </c>
      <c r="AO385" s="200" t="s">
        <v>279</v>
      </c>
      <c r="AP385" s="203">
        <v>0</v>
      </c>
      <c r="AQ385" s="203">
        <v>16.05</v>
      </c>
      <c r="AR385" s="203">
        <v>0</v>
      </c>
      <c r="AS385" s="200" t="str">
        <f t="shared" si="5"/>
        <v>1.00000000</v>
      </c>
      <c r="AT385" s="200" t="str">
        <f>"16.8"</f>
        <v>16.8</v>
      </c>
      <c r="AU385" s="203">
        <v>0</v>
      </c>
    </row>
    <row r="386" spans="1:47" x14ac:dyDescent="0.2">
      <c r="A386" s="200" t="str">
        <f>"0496002595734"</f>
        <v>0496002595734</v>
      </c>
      <c r="B386" s="200">
        <v>1</v>
      </c>
      <c r="C386" s="200" t="s">
        <v>435</v>
      </c>
      <c r="D386" s="200">
        <v>81</v>
      </c>
      <c r="E386" s="200">
        <v>81</v>
      </c>
      <c r="F386" s="200" t="s">
        <v>243</v>
      </c>
      <c r="G386" s="200">
        <v>2086</v>
      </c>
      <c r="H386" s="200" t="s">
        <v>270</v>
      </c>
      <c r="I386" s="200">
        <v>69209</v>
      </c>
      <c r="J386" s="201">
        <v>42699</v>
      </c>
      <c r="K386" s="202">
        <v>0.6645833333333333</v>
      </c>
      <c r="L386" s="201">
        <v>42703</v>
      </c>
      <c r="M386" s="200" t="s">
        <v>271</v>
      </c>
      <c r="N386" s="200" t="s">
        <v>824</v>
      </c>
      <c r="O386" s="200" t="s">
        <v>825</v>
      </c>
      <c r="P386" s="200" t="s">
        <v>826</v>
      </c>
      <c r="Q386" s="200" t="s">
        <v>275</v>
      </c>
      <c r="R386" s="200">
        <v>1775</v>
      </c>
      <c r="S386" s="200" t="s">
        <v>436</v>
      </c>
      <c r="T386" s="200" t="s">
        <v>435</v>
      </c>
      <c r="U386" s="200">
        <v>2086</v>
      </c>
      <c r="V386" s="200" t="s">
        <v>435</v>
      </c>
      <c r="W386" s="200" t="s">
        <v>280</v>
      </c>
      <c r="X386" s="200">
        <v>9.7910000000000004</v>
      </c>
      <c r="Y386" s="203">
        <v>-0.2</v>
      </c>
      <c r="Z386" s="203">
        <v>2.2999999999999998</v>
      </c>
      <c r="AA386" s="203">
        <v>22.51</v>
      </c>
      <c r="AB386" s="203">
        <v>-1.79</v>
      </c>
      <c r="AC386" s="203">
        <v>0</v>
      </c>
      <c r="AD386" s="203">
        <v>0</v>
      </c>
      <c r="AE386" s="203">
        <v>20.52</v>
      </c>
      <c r="AF386" s="203">
        <v>-2.35</v>
      </c>
      <c r="AG386" s="200" t="s">
        <v>279</v>
      </c>
      <c r="AH386" s="203">
        <v>0</v>
      </c>
      <c r="AI386" s="200" t="s">
        <v>279</v>
      </c>
      <c r="AJ386" s="203">
        <v>0</v>
      </c>
      <c r="AK386" s="200" t="s">
        <v>279</v>
      </c>
      <c r="AL386" s="203">
        <v>0</v>
      </c>
      <c r="AM386" s="200" t="s">
        <v>279</v>
      </c>
      <c r="AN386" s="203">
        <v>0</v>
      </c>
      <c r="AO386" s="200" t="s">
        <v>279</v>
      </c>
      <c r="AP386" s="203">
        <v>0</v>
      </c>
      <c r="AQ386" s="203">
        <v>22.51</v>
      </c>
      <c r="AR386" s="203">
        <v>0</v>
      </c>
      <c r="AS386" s="200" t="str">
        <f t="shared" ref="AS386:AS449" si="6">"1.00000000"</f>
        <v>1.00000000</v>
      </c>
      <c r="AT386" s="200" t="str">
        <f>"21.4"</f>
        <v>21.4</v>
      </c>
      <c r="AU386" s="203">
        <v>0</v>
      </c>
    </row>
    <row r="387" spans="1:47" x14ac:dyDescent="0.2">
      <c r="A387" s="200" t="str">
        <f>"0496002595734"</f>
        <v>0496002595734</v>
      </c>
      <c r="B387" s="200">
        <v>1</v>
      </c>
      <c r="C387" s="200" t="s">
        <v>435</v>
      </c>
      <c r="D387" s="200">
        <v>81</v>
      </c>
      <c r="E387" s="200">
        <v>81</v>
      </c>
      <c r="F387" s="200" t="s">
        <v>243</v>
      </c>
      <c r="G387" s="200">
        <v>2086</v>
      </c>
      <c r="H387" s="200" t="s">
        <v>270</v>
      </c>
      <c r="I387" s="200">
        <v>69433</v>
      </c>
      <c r="J387" s="201">
        <v>42701</v>
      </c>
      <c r="K387" s="202">
        <v>0.36805555555555558</v>
      </c>
      <c r="L387" s="201">
        <v>42703</v>
      </c>
      <c r="M387" s="200" t="s">
        <v>271</v>
      </c>
      <c r="N387" s="200" t="s">
        <v>272</v>
      </c>
      <c r="O387" s="200" t="s">
        <v>273</v>
      </c>
      <c r="P387" s="200" t="s">
        <v>274</v>
      </c>
      <c r="Q387" s="200" t="s">
        <v>275</v>
      </c>
      <c r="R387" s="200" t="s">
        <v>276</v>
      </c>
      <c r="S387" s="200" t="s">
        <v>436</v>
      </c>
      <c r="T387" s="200" t="s">
        <v>435</v>
      </c>
      <c r="U387" s="200">
        <v>2086</v>
      </c>
      <c r="V387" s="200" t="s">
        <v>435</v>
      </c>
      <c r="W387" s="200" t="s">
        <v>278</v>
      </c>
      <c r="X387" s="200">
        <v>10.896000000000001</v>
      </c>
      <c r="Y387" s="203">
        <v>-0.22</v>
      </c>
      <c r="Z387" s="203">
        <v>2.5099999999999998</v>
      </c>
      <c r="AA387" s="203">
        <v>27.34</v>
      </c>
      <c r="AB387" s="203">
        <v>-1.99</v>
      </c>
      <c r="AC387" s="203">
        <v>0</v>
      </c>
      <c r="AD387" s="203">
        <v>0</v>
      </c>
      <c r="AE387" s="203">
        <v>25.13</v>
      </c>
      <c r="AF387" s="203">
        <v>-2.62</v>
      </c>
      <c r="AG387" s="200" t="s">
        <v>279</v>
      </c>
      <c r="AH387" s="203">
        <v>0</v>
      </c>
      <c r="AI387" s="200" t="s">
        <v>279</v>
      </c>
      <c r="AJ387" s="203">
        <v>0</v>
      </c>
      <c r="AK387" s="200" t="s">
        <v>279</v>
      </c>
      <c r="AL387" s="203">
        <v>0</v>
      </c>
      <c r="AM387" s="200" t="s">
        <v>279</v>
      </c>
      <c r="AN387" s="203">
        <v>0</v>
      </c>
      <c r="AO387" s="200" t="s">
        <v>279</v>
      </c>
      <c r="AP387" s="203">
        <v>0</v>
      </c>
      <c r="AQ387" s="203">
        <v>27.34</v>
      </c>
      <c r="AR387" s="203">
        <v>0</v>
      </c>
      <c r="AS387" s="200" t="str">
        <f t="shared" si="6"/>
        <v>1.00000000</v>
      </c>
      <c r="AT387" s="200" t="str">
        <f>"20.6"</f>
        <v>20.6</v>
      </c>
      <c r="AU387" s="203">
        <v>0</v>
      </c>
    </row>
    <row r="388" spans="1:47" x14ac:dyDescent="0.2">
      <c r="A388" s="200" t="str">
        <f>"0496002595734"</f>
        <v>0496002595734</v>
      </c>
      <c r="B388" s="200">
        <v>3</v>
      </c>
      <c r="C388" s="200" t="s">
        <v>435</v>
      </c>
      <c r="D388" s="200">
        <v>82</v>
      </c>
      <c r="E388" s="200">
        <v>82</v>
      </c>
      <c r="F388" s="200" t="s">
        <v>243</v>
      </c>
      <c r="G388" s="200">
        <v>2086</v>
      </c>
      <c r="H388" s="200" t="s">
        <v>270</v>
      </c>
      <c r="I388" s="200">
        <v>55516</v>
      </c>
      <c r="J388" s="201">
        <v>42701</v>
      </c>
      <c r="K388" s="202">
        <v>0.375</v>
      </c>
      <c r="L388" s="201">
        <v>42703</v>
      </c>
      <c r="M388" s="200" t="s">
        <v>271</v>
      </c>
      <c r="N388" s="200" t="s">
        <v>272</v>
      </c>
      <c r="O388" s="200" t="s">
        <v>273</v>
      </c>
      <c r="P388" s="200" t="s">
        <v>274</v>
      </c>
      <c r="Q388" s="200" t="s">
        <v>275</v>
      </c>
      <c r="R388" s="200" t="s">
        <v>276</v>
      </c>
      <c r="S388" s="200" t="s">
        <v>436</v>
      </c>
      <c r="T388" s="200" t="s">
        <v>435</v>
      </c>
      <c r="U388" s="200">
        <v>2086</v>
      </c>
      <c r="V388" s="200" t="s">
        <v>435</v>
      </c>
      <c r="W388" s="200" t="s">
        <v>280</v>
      </c>
      <c r="X388" s="200">
        <v>12.603999999999999</v>
      </c>
      <c r="Y388" s="203">
        <v>-0.25</v>
      </c>
      <c r="Z388" s="203">
        <v>2.09</v>
      </c>
      <c r="AA388" s="203">
        <v>26.33</v>
      </c>
      <c r="AB388" s="203">
        <v>-2.31</v>
      </c>
      <c r="AC388" s="203">
        <v>0</v>
      </c>
      <c r="AD388" s="203">
        <v>0</v>
      </c>
      <c r="AE388" s="203">
        <v>23.77</v>
      </c>
      <c r="AF388" s="203">
        <v>-3.02</v>
      </c>
      <c r="AG388" s="200" t="s">
        <v>279</v>
      </c>
      <c r="AH388" s="203">
        <v>0</v>
      </c>
      <c r="AI388" s="200" t="s">
        <v>279</v>
      </c>
      <c r="AJ388" s="203">
        <v>0</v>
      </c>
      <c r="AK388" s="200" t="s">
        <v>279</v>
      </c>
      <c r="AL388" s="203">
        <v>0</v>
      </c>
      <c r="AM388" s="200" t="s">
        <v>279</v>
      </c>
      <c r="AN388" s="203">
        <v>0</v>
      </c>
      <c r="AO388" s="200" t="s">
        <v>279</v>
      </c>
      <c r="AP388" s="203">
        <v>0</v>
      </c>
      <c r="AQ388" s="203">
        <v>26.33</v>
      </c>
      <c r="AR388" s="203">
        <v>0</v>
      </c>
      <c r="AS388" s="200" t="str">
        <f t="shared" si="6"/>
        <v>1.00000000</v>
      </c>
      <c r="AT388" s="200" t="str">
        <f>"17.1"</f>
        <v>17.1</v>
      </c>
      <c r="AU388" s="203">
        <v>0</v>
      </c>
    </row>
    <row r="389" spans="1:47" x14ac:dyDescent="0.2">
      <c r="A389" s="200" t="str">
        <f>"0496002595700"</f>
        <v>0496002595700</v>
      </c>
      <c r="B389" s="200">
        <v>6</v>
      </c>
      <c r="C389" s="200" t="s">
        <v>156</v>
      </c>
      <c r="D389" s="200" t="s">
        <v>344</v>
      </c>
      <c r="E389" s="200" t="s">
        <v>345</v>
      </c>
      <c r="F389" s="200" t="s">
        <v>243</v>
      </c>
      <c r="G389" s="200">
        <v>2262</v>
      </c>
      <c r="H389" s="200" t="s">
        <v>270</v>
      </c>
      <c r="I389" s="200">
        <v>58062</v>
      </c>
      <c r="J389" s="201">
        <v>42702</v>
      </c>
      <c r="K389" s="202">
        <v>0.42222222222222222</v>
      </c>
      <c r="L389" s="201">
        <v>42704</v>
      </c>
      <c r="M389" s="200" t="s">
        <v>271</v>
      </c>
      <c r="N389" s="200" t="s">
        <v>272</v>
      </c>
      <c r="O389" s="200" t="s">
        <v>273</v>
      </c>
      <c r="P389" s="200" t="s">
        <v>274</v>
      </c>
      <c r="Q389" s="200" t="s">
        <v>275</v>
      </c>
      <c r="R389" s="200" t="s">
        <v>276</v>
      </c>
      <c r="S389" s="200" t="s">
        <v>156</v>
      </c>
      <c r="T389" s="200" t="s">
        <v>277</v>
      </c>
      <c r="U389" s="200">
        <v>2262</v>
      </c>
      <c r="V389" s="200" t="s">
        <v>156</v>
      </c>
      <c r="W389" s="200" t="s">
        <v>335</v>
      </c>
      <c r="X389" s="200">
        <v>7.16</v>
      </c>
      <c r="Y389" s="203">
        <v>-0.14000000000000001</v>
      </c>
      <c r="Z389" s="203">
        <v>2.29</v>
      </c>
      <c r="AA389" s="203">
        <v>16.39</v>
      </c>
      <c r="AB389" s="203">
        <v>-1.31</v>
      </c>
      <c r="AC389" s="203">
        <v>0</v>
      </c>
      <c r="AD389" s="203">
        <v>0</v>
      </c>
      <c r="AE389" s="203">
        <v>14.94</v>
      </c>
      <c r="AF389" s="203">
        <v>-1.72</v>
      </c>
      <c r="AG389" s="200" t="s">
        <v>279</v>
      </c>
      <c r="AH389" s="203">
        <v>0</v>
      </c>
      <c r="AI389" s="200" t="s">
        <v>279</v>
      </c>
      <c r="AJ389" s="203">
        <v>0</v>
      </c>
      <c r="AK389" s="200" t="s">
        <v>279</v>
      </c>
      <c r="AL389" s="203">
        <v>0</v>
      </c>
      <c r="AM389" s="200" t="s">
        <v>279</v>
      </c>
      <c r="AN389" s="203">
        <v>0</v>
      </c>
      <c r="AO389" s="200" t="s">
        <v>279</v>
      </c>
      <c r="AP389" s="203">
        <v>0</v>
      </c>
      <c r="AQ389" s="203">
        <v>16.39</v>
      </c>
      <c r="AR389" s="203">
        <v>0</v>
      </c>
      <c r="AS389" s="200" t="str">
        <f t="shared" si="6"/>
        <v>1.00000000</v>
      </c>
      <c r="AT389" s="200" t="str">
        <f>"27.0"</f>
        <v>27.0</v>
      </c>
      <c r="AU389" s="203">
        <v>0</v>
      </c>
    </row>
    <row r="390" spans="1:47" x14ac:dyDescent="0.2">
      <c r="A390" s="200" t="str">
        <f>"0496002595700"</f>
        <v>0496002595700</v>
      </c>
      <c r="B390" s="200">
        <v>7</v>
      </c>
      <c r="C390" s="200" t="s">
        <v>156</v>
      </c>
      <c r="D390" s="200" t="s">
        <v>371</v>
      </c>
      <c r="E390" s="200">
        <v>45</v>
      </c>
      <c r="F390" s="200" t="s">
        <v>243</v>
      </c>
      <c r="G390" s="200">
        <v>2262</v>
      </c>
      <c r="H390" s="200" t="s">
        <v>270</v>
      </c>
      <c r="I390" s="200">
        <v>1145</v>
      </c>
      <c r="J390" s="201">
        <v>42702</v>
      </c>
      <c r="K390" s="202">
        <v>0.29791666666666666</v>
      </c>
      <c r="L390" s="201">
        <v>42704</v>
      </c>
      <c r="M390" s="200" t="s">
        <v>302</v>
      </c>
      <c r="N390" s="200" t="s">
        <v>303</v>
      </c>
      <c r="O390" s="200" t="s">
        <v>304</v>
      </c>
      <c r="P390" s="200" t="s">
        <v>297</v>
      </c>
      <c r="Q390" s="200" t="s">
        <v>275</v>
      </c>
      <c r="R390" s="200">
        <v>2021</v>
      </c>
      <c r="S390" s="200" t="s">
        <v>156</v>
      </c>
      <c r="T390" s="200" t="s">
        <v>277</v>
      </c>
      <c r="U390" s="200">
        <v>2262</v>
      </c>
      <c r="V390" s="200" t="s">
        <v>156</v>
      </c>
      <c r="W390" s="200" t="s">
        <v>280</v>
      </c>
      <c r="X390" s="200">
        <v>12.627000000000001</v>
      </c>
      <c r="Y390" s="203">
        <v>0</v>
      </c>
      <c r="Z390" s="203">
        <v>2.1</v>
      </c>
      <c r="AA390" s="203">
        <v>26.5</v>
      </c>
      <c r="AB390" s="203">
        <v>-2.31</v>
      </c>
      <c r="AC390" s="203">
        <v>0</v>
      </c>
      <c r="AD390" s="203">
        <v>0</v>
      </c>
      <c r="AE390" s="203">
        <v>24.19</v>
      </c>
      <c r="AF390" s="203">
        <v>-3.03</v>
      </c>
      <c r="AG390" s="200" t="s">
        <v>279</v>
      </c>
      <c r="AH390" s="203">
        <v>0</v>
      </c>
      <c r="AI390" s="200" t="s">
        <v>279</v>
      </c>
      <c r="AJ390" s="203">
        <v>0</v>
      </c>
      <c r="AK390" s="200" t="s">
        <v>279</v>
      </c>
      <c r="AL390" s="203">
        <v>0</v>
      </c>
      <c r="AM390" s="200" t="s">
        <v>279</v>
      </c>
      <c r="AN390" s="203">
        <v>0</v>
      </c>
      <c r="AO390" s="200" t="s">
        <v>279</v>
      </c>
      <c r="AP390" s="203">
        <v>0</v>
      </c>
      <c r="AQ390" s="203">
        <v>26.5</v>
      </c>
      <c r="AR390" s="203">
        <v>0</v>
      </c>
      <c r="AS390" s="200" t="str">
        <f t="shared" si="6"/>
        <v>1.00000000</v>
      </c>
      <c r="AT390" s="200" t="str">
        <f>"0.0"</f>
        <v>0.0</v>
      </c>
      <c r="AU390" s="203">
        <v>0</v>
      </c>
    </row>
    <row r="391" spans="1:47" x14ac:dyDescent="0.2">
      <c r="A391" s="200" t="str">
        <f>"0496002595734"</f>
        <v>0496002595734</v>
      </c>
      <c r="B391" s="200">
        <v>3</v>
      </c>
      <c r="C391" s="200" t="s">
        <v>435</v>
      </c>
      <c r="D391" s="200">
        <v>82</v>
      </c>
      <c r="E391" s="200">
        <v>82</v>
      </c>
      <c r="F391" s="200" t="s">
        <v>243</v>
      </c>
      <c r="G391" s="200">
        <v>2086</v>
      </c>
      <c r="H391" s="200" t="s">
        <v>270</v>
      </c>
      <c r="I391" s="200">
        <v>55817</v>
      </c>
      <c r="J391" s="201">
        <v>42702</v>
      </c>
      <c r="K391" s="202">
        <v>0.15833333333333333</v>
      </c>
      <c r="L391" s="201">
        <v>42704</v>
      </c>
      <c r="M391" s="200" t="s">
        <v>271</v>
      </c>
      <c r="N391" s="200" t="s">
        <v>352</v>
      </c>
      <c r="O391" s="200" t="s">
        <v>353</v>
      </c>
      <c r="P391" s="200" t="s">
        <v>343</v>
      </c>
      <c r="Q391" s="200" t="s">
        <v>275</v>
      </c>
      <c r="R391" s="200">
        <v>1035</v>
      </c>
      <c r="S391" s="200" t="s">
        <v>436</v>
      </c>
      <c r="T391" s="200" t="s">
        <v>435</v>
      </c>
      <c r="U391" s="200">
        <v>2086</v>
      </c>
      <c r="V391" s="200" t="s">
        <v>435</v>
      </c>
      <c r="W391" s="200" t="s">
        <v>280</v>
      </c>
      <c r="X391" s="200">
        <v>15.085000000000001</v>
      </c>
      <c r="Y391" s="203">
        <v>-0.3</v>
      </c>
      <c r="Z391" s="203">
        <v>2.04</v>
      </c>
      <c r="AA391" s="203">
        <v>30.76</v>
      </c>
      <c r="AB391" s="203">
        <v>-2.76</v>
      </c>
      <c r="AC391" s="203">
        <v>0</v>
      </c>
      <c r="AD391" s="203">
        <v>0</v>
      </c>
      <c r="AE391" s="203">
        <v>27.7</v>
      </c>
      <c r="AF391" s="203">
        <v>-3.62</v>
      </c>
      <c r="AG391" s="200" t="s">
        <v>279</v>
      </c>
      <c r="AH391" s="203">
        <v>0</v>
      </c>
      <c r="AI391" s="200" t="s">
        <v>279</v>
      </c>
      <c r="AJ391" s="203">
        <v>0</v>
      </c>
      <c r="AK391" s="200" t="s">
        <v>279</v>
      </c>
      <c r="AL391" s="203">
        <v>0</v>
      </c>
      <c r="AM391" s="200" t="s">
        <v>279</v>
      </c>
      <c r="AN391" s="203">
        <v>0</v>
      </c>
      <c r="AO391" s="200" t="s">
        <v>279</v>
      </c>
      <c r="AP391" s="203">
        <v>0</v>
      </c>
      <c r="AQ391" s="203">
        <v>30.76</v>
      </c>
      <c r="AR391" s="203">
        <v>0</v>
      </c>
      <c r="AS391" s="200" t="str">
        <f t="shared" si="6"/>
        <v>1.00000000</v>
      </c>
      <c r="AT391" s="200" t="str">
        <f>"20.0"</f>
        <v>20.0</v>
      </c>
      <c r="AU391" s="203">
        <v>0</v>
      </c>
    </row>
    <row r="392" spans="1:47" x14ac:dyDescent="0.2">
      <c r="A392" s="200" t="str">
        <f>"0496002595734"</f>
        <v>0496002595734</v>
      </c>
      <c r="B392" s="200">
        <v>1</v>
      </c>
      <c r="C392" s="200" t="s">
        <v>435</v>
      </c>
      <c r="D392" s="200">
        <v>81</v>
      </c>
      <c r="E392" s="200">
        <v>81</v>
      </c>
      <c r="F392" s="200" t="s">
        <v>243</v>
      </c>
      <c r="G392" s="200">
        <v>2086</v>
      </c>
      <c r="H392" s="200" t="s">
        <v>270</v>
      </c>
      <c r="I392" s="200">
        <v>69696</v>
      </c>
      <c r="J392" s="201">
        <v>42703</v>
      </c>
      <c r="K392" s="202">
        <v>0.39861111111111108</v>
      </c>
      <c r="L392" s="201">
        <v>42705</v>
      </c>
      <c r="M392" s="200" t="s">
        <v>271</v>
      </c>
      <c r="N392" s="200" t="s">
        <v>272</v>
      </c>
      <c r="O392" s="200" t="s">
        <v>273</v>
      </c>
      <c r="P392" s="200" t="s">
        <v>274</v>
      </c>
      <c r="Q392" s="200" t="s">
        <v>275</v>
      </c>
      <c r="R392" s="200" t="s">
        <v>276</v>
      </c>
      <c r="S392" s="200" t="s">
        <v>436</v>
      </c>
      <c r="T392" s="200" t="s">
        <v>435</v>
      </c>
      <c r="U392" s="200">
        <v>2086</v>
      </c>
      <c r="V392" s="200" t="s">
        <v>435</v>
      </c>
      <c r="W392" s="200" t="s">
        <v>280</v>
      </c>
      <c r="X392" s="200">
        <v>11.545999999999999</v>
      </c>
      <c r="Y392" s="203">
        <v>-0.23</v>
      </c>
      <c r="Z392" s="203">
        <v>2.09</v>
      </c>
      <c r="AA392" s="203">
        <v>24.12</v>
      </c>
      <c r="AB392" s="203">
        <v>-2.11</v>
      </c>
      <c r="AC392" s="203">
        <v>0</v>
      </c>
      <c r="AD392" s="203">
        <v>0</v>
      </c>
      <c r="AE392" s="203">
        <v>21.78</v>
      </c>
      <c r="AF392" s="203">
        <v>-2.77</v>
      </c>
      <c r="AG392" s="200" t="s">
        <v>279</v>
      </c>
      <c r="AH392" s="203">
        <v>0</v>
      </c>
      <c r="AI392" s="200" t="s">
        <v>279</v>
      </c>
      <c r="AJ392" s="203">
        <v>0</v>
      </c>
      <c r="AK392" s="200" t="s">
        <v>279</v>
      </c>
      <c r="AL392" s="203">
        <v>0</v>
      </c>
      <c r="AM392" s="200" t="s">
        <v>279</v>
      </c>
      <c r="AN392" s="203">
        <v>0</v>
      </c>
      <c r="AO392" s="200" t="s">
        <v>279</v>
      </c>
      <c r="AP392" s="203">
        <v>0</v>
      </c>
      <c r="AQ392" s="203">
        <v>24.12</v>
      </c>
      <c r="AR392" s="203">
        <v>0</v>
      </c>
      <c r="AS392" s="200" t="str">
        <f t="shared" si="6"/>
        <v>1.00000000</v>
      </c>
      <c r="AT392" s="200" t="str">
        <f>"22.8"</f>
        <v>22.8</v>
      </c>
      <c r="AU392" s="203">
        <v>0</v>
      </c>
    </row>
    <row r="393" spans="1:47" x14ac:dyDescent="0.2">
      <c r="A393" s="200" t="str">
        <f>"0496002595734"</f>
        <v>0496002595734</v>
      </c>
      <c r="B393" s="200">
        <v>3</v>
      </c>
      <c r="C393" s="200" t="s">
        <v>435</v>
      </c>
      <c r="D393" s="200">
        <v>82</v>
      </c>
      <c r="E393" s="200">
        <v>82</v>
      </c>
      <c r="F393" s="200" t="s">
        <v>243</v>
      </c>
      <c r="G393" s="200">
        <v>2086</v>
      </c>
      <c r="H393" s="200" t="s">
        <v>270</v>
      </c>
      <c r="I393" s="200">
        <v>56027</v>
      </c>
      <c r="J393" s="201">
        <v>42703</v>
      </c>
      <c r="K393" s="202">
        <v>0.47152777777777777</v>
      </c>
      <c r="L393" s="201">
        <v>42705</v>
      </c>
      <c r="M393" s="200" t="s">
        <v>271</v>
      </c>
      <c r="N393" s="200" t="s">
        <v>272</v>
      </c>
      <c r="O393" s="200" t="s">
        <v>273</v>
      </c>
      <c r="P393" s="200" t="s">
        <v>274</v>
      </c>
      <c r="Q393" s="200" t="s">
        <v>275</v>
      </c>
      <c r="R393" s="200" t="s">
        <v>276</v>
      </c>
      <c r="S393" s="200" t="s">
        <v>436</v>
      </c>
      <c r="T393" s="200" t="s">
        <v>435</v>
      </c>
      <c r="U393" s="200">
        <v>2086</v>
      </c>
      <c r="V393" s="200" t="s">
        <v>435</v>
      </c>
      <c r="W393" s="200" t="s">
        <v>280</v>
      </c>
      <c r="X393" s="200">
        <v>12.422000000000001</v>
      </c>
      <c r="Y393" s="203">
        <v>-0.25</v>
      </c>
      <c r="Z393" s="203">
        <v>2.09</v>
      </c>
      <c r="AA393" s="203">
        <v>25.95</v>
      </c>
      <c r="AB393" s="203">
        <v>-2.27</v>
      </c>
      <c r="AC393" s="203">
        <v>0</v>
      </c>
      <c r="AD393" s="203">
        <v>0</v>
      </c>
      <c r="AE393" s="203">
        <v>23.43</v>
      </c>
      <c r="AF393" s="203">
        <v>-2.98</v>
      </c>
      <c r="AG393" s="200" t="s">
        <v>279</v>
      </c>
      <c r="AH393" s="203">
        <v>0</v>
      </c>
      <c r="AI393" s="200" t="s">
        <v>279</v>
      </c>
      <c r="AJ393" s="203">
        <v>0</v>
      </c>
      <c r="AK393" s="200" t="s">
        <v>279</v>
      </c>
      <c r="AL393" s="203">
        <v>0</v>
      </c>
      <c r="AM393" s="200" t="s">
        <v>279</v>
      </c>
      <c r="AN393" s="203">
        <v>0</v>
      </c>
      <c r="AO393" s="200" t="s">
        <v>279</v>
      </c>
      <c r="AP393" s="203">
        <v>0</v>
      </c>
      <c r="AQ393" s="203">
        <v>25.95</v>
      </c>
      <c r="AR393" s="203">
        <v>0</v>
      </c>
      <c r="AS393" s="200" t="str">
        <f t="shared" si="6"/>
        <v>1.00000000</v>
      </c>
      <c r="AT393" s="200" t="str">
        <f>"16.9"</f>
        <v>16.9</v>
      </c>
      <c r="AU393" s="203">
        <v>0</v>
      </c>
    </row>
    <row r="394" spans="1:47" x14ac:dyDescent="0.2">
      <c r="A394" s="200" t="str">
        <f>"0496002595734"</f>
        <v>0496002595734</v>
      </c>
      <c r="B394" s="200">
        <v>2</v>
      </c>
      <c r="C394" s="200" t="s">
        <v>435</v>
      </c>
      <c r="D394" s="200">
        <v>80</v>
      </c>
      <c r="E394" s="200">
        <v>80</v>
      </c>
      <c r="F394" s="200" t="s">
        <v>243</v>
      </c>
      <c r="G394" s="200">
        <v>2086</v>
      </c>
      <c r="H394" s="200" t="s">
        <v>270</v>
      </c>
      <c r="I394" s="200">
        <v>75366</v>
      </c>
      <c r="J394" s="201">
        <v>42704</v>
      </c>
      <c r="K394" s="202">
        <v>0.30138888888888887</v>
      </c>
      <c r="L394" s="201">
        <v>42706</v>
      </c>
      <c r="M394" s="200" t="s">
        <v>285</v>
      </c>
      <c r="N394" s="200" t="s">
        <v>794</v>
      </c>
      <c r="O394" s="200" t="s">
        <v>400</v>
      </c>
      <c r="P394" s="200" t="s">
        <v>274</v>
      </c>
      <c r="Q394" s="200" t="s">
        <v>275</v>
      </c>
      <c r="R394" s="200" t="s">
        <v>401</v>
      </c>
      <c r="S394" s="200" t="s">
        <v>436</v>
      </c>
      <c r="T394" s="200" t="s">
        <v>435</v>
      </c>
      <c r="U394" s="200">
        <v>2086</v>
      </c>
      <c r="V394" s="200" t="s">
        <v>435</v>
      </c>
      <c r="W394" s="200" t="s">
        <v>280</v>
      </c>
      <c r="X394" s="200">
        <v>10.651</v>
      </c>
      <c r="Y394" s="203">
        <v>0</v>
      </c>
      <c r="Z394" s="203">
        <v>2.14</v>
      </c>
      <c r="AA394" s="203">
        <v>22.78</v>
      </c>
      <c r="AB394" s="203">
        <v>-1.95</v>
      </c>
      <c r="AC394" s="203">
        <v>0</v>
      </c>
      <c r="AD394" s="203">
        <v>0</v>
      </c>
      <c r="AE394" s="203">
        <v>20.83</v>
      </c>
      <c r="AF394" s="203">
        <v>-2.56</v>
      </c>
      <c r="AG394" s="200" t="s">
        <v>279</v>
      </c>
      <c r="AH394" s="203">
        <v>0</v>
      </c>
      <c r="AI394" s="200" t="s">
        <v>279</v>
      </c>
      <c r="AJ394" s="203">
        <v>0</v>
      </c>
      <c r="AK394" s="200" t="s">
        <v>279</v>
      </c>
      <c r="AL394" s="203">
        <v>0</v>
      </c>
      <c r="AM394" s="200" t="s">
        <v>279</v>
      </c>
      <c r="AN394" s="203">
        <v>0</v>
      </c>
      <c r="AO394" s="200" t="s">
        <v>279</v>
      </c>
      <c r="AP394" s="203">
        <v>0</v>
      </c>
      <c r="AQ394" s="203">
        <v>22.78</v>
      </c>
      <c r="AR394" s="203">
        <v>0</v>
      </c>
      <c r="AS394" s="200" t="str">
        <f t="shared" si="6"/>
        <v>1.00000000</v>
      </c>
      <c r="AT394" s="200" t="str">
        <f>"32.2"</f>
        <v>32.2</v>
      </c>
      <c r="AU394" s="203">
        <v>0</v>
      </c>
    </row>
    <row r="395" spans="1:47" x14ac:dyDescent="0.2">
      <c r="A395" s="200" t="str">
        <f>"0496002595734"</f>
        <v>0496002595734</v>
      </c>
      <c r="B395" s="200">
        <v>2</v>
      </c>
      <c r="C395" s="200" t="s">
        <v>435</v>
      </c>
      <c r="D395" s="200">
        <v>80</v>
      </c>
      <c r="E395" s="200">
        <v>80</v>
      </c>
      <c r="F395" s="200" t="s">
        <v>243</v>
      </c>
      <c r="G395" s="200">
        <v>2086</v>
      </c>
      <c r="H395" s="200" t="s">
        <v>270</v>
      </c>
      <c r="I395" s="200">
        <v>75555</v>
      </c>
      <c r="J395" s="201">
        <v>42705</v>
      </c>
      <c r="K395" s="202">
        <v>0.95000000000000007</v>
      </c>
      <c r="L395" s="201">
        <v>42709</v>
      </c>
      <c r="M395" s="200" t="s">
        <v>271</v>
      </c>
      <c r="N395" s="200" t="s">
        <v>437</v>
      </c>
      <c r="O395" s="200" t="s">
        <v>438</v>
      </c>
      <c r="P395" s="200" t="s">
        <v>439</v>
      </c>
      <c r="Q395" s="200" t="s">
        <v>275</v>
      </c>
      <c r="R395" s="200">
        <v>1701</v>
      </c>
      <c r="S395" s="200" t="s">
        <v>436</v>
      </c>
      <c r="T395" s="200" t="s">
        <v>435</v>
      </c>
      <c r="U395" s="200">
        <v>2086</v>
      </c>
      <c r="V395" s="200" t="s">
        <v>435</v>
      </c>
      <c r="W395" s="200" t="s">
        <v>280</v>
      </c>
      <c r="X395" s="200">
        <v>5.6539999999999999</v>
      </c>
      <c r="Y395" s="203">
        <v>-0.17</v>
      </c>
      <c r="Z395" s="203">
        <v>2.2999999999999998</v>
      </c>
      <c r="AA395" s="203">
        <v>13</v>
      </c>
      <c r="AB395" s="203">
        <v>-1.03</v>
      </c>
      <c r="AC395" s="203">
        <v>0</v>
      </c>
      <c r="AD395" s="203">
        <v>0</v>
      </c>
      <c r="AE395" s="203">
        <v>11.8</v>
      </c>
      <c r="AF395" s="203">
        <v>-1.36</v>
      </c>
      <c r="AG395" s="200" t="s">
        <v>279</v>
      </c>
      <c r="AH395" s="203">
        <v>0</v>
      </c>
      <c r="AI395" s="200" t="s">
        <v>279</v>
      </c>
      <c r="AJ395" s="203">
        <v>0</v>
      </c>
      <c r="AK395" s="200" t="s">
        <v>279</v>
      </c>
      <c r="AL395" s="203">
        <v>0</v>
      </c>
      <c r="AM395" s="200" t="s">
        <v>279</v>
      </c>
      <c r="AN395" s="203">
        <v>0</v>
      </c>
      <c r="AO395" s="200" t="s">
        <v>279</v>
      </c>
      <c r="AP395" s="203">
        <v>0</v>
      </c>
      <c r="AQ395" s="203">
        <v>13</v>
      </c>
      <c r="AR395" s="203">
        <v>0</v>
      </c>
      <c r="AS395" s="200" t="str">
        <f t="shared" si="6"/>
        <v>1.00000000</v>
      </c>
      <c r="AT395" s="200" t="str">
        <f>"33.4"</f>
        <v>33.4</v>
      </c>
      <c r="AU395" s="203">
        <v>0</v>
      </c>
    </row>
    <row r="396" spans="1:47" x14ac:dyDescent="0.2">
      <c r="A396" s="200" t="str">
        <f>"0496002595700"</f>
        <v>0496002595700</v>
      </c>
      <c r="B396" s="200">
        <v>5</v>
      </c>
      <c r="C396" s="200" t="s">
        <v>156</v>
      </c>
      <c r="D396" s="200">
        <v>86</v>
      </c>
      <c r="E396" s="200">
        <v>86</v>
      </c>
      <c r="F396" s="200" t="s">
        <v>243</v>
      </c>
      <c r="G396" s="200">
        <v>2262</v>
      </c>
      <c r="H396" s="200" t="s">
        <v>270</v>
      </c>
      <c r="I396" s="200">
        <v>9456</v>
      </c>
      <c r="J396" s="201">
        <v>42707</v>
      </c>
      <c r="K396" s="202">
        <v>0.67986111111111114</v>
      </c>
      <c r="L396" s="201">
        <v>42710</v>
      </c>
      <c r="M396" s="200" t="s">
        <v>271</v>
      </c>
      <c r="N396" s="200" t="s">
        <v>272</v>
      </c>
      <c r="O396" s="200" t="s">
        <v>273</v>
      </c>
      <c r="P396" s="200" t="s">
        <v>274</v>
      </c>
      <c r="Q396" s="200" t="s">
        <v>275</v>
      </c>
      <c r="R396" s="200" t="s">
        <v>276</v>
      </c>
      <c r="S396" s="200" t="s">
        <v>156</v>
      </c>
      <c r="T396" s="200" t="s">
        <v>277</v>
      </c>
      <c r="U396" s="200">
        <v>2262</v>
      </c>
      <c r="V396" s="200" t="s">
        <v>156</v>
      </c>
      <c r="W396" s="200" t="s">
        <v>280</v>
      </c>
      <c r="X396" s="200">
        <v>18.919</v>
      </c>
      <c r="Y396" s="203">
        <v>-0.38</v>
      </c>
      <c r="Z396" s="203">
        <v>2.13</v>
      </c>
      <c r="AA396" s="203">
        <v>40.28</v>
      </c>
      <c r="AB396" s="203">
        <v>-3.46</v>
      </c>
      <c r="AC396" s="203">
        <v>0</v>
      </c>
      <c r="AD396" s="203">
        <v>0</v>
      </c>
      <c r="AE396" s="203">
        <v>36.44</v>
      </c>
      <c r="AF396" s="203">
        <v>-4.54</v>
      </c>
      <c r="AG396" s="200" t="s">
        <v>279</v>
      </c>
      <c r="AH396" s="203">
        <v>0</v>
      </c>
      <c r="AI396" s="200" t="s">
        <v>279</v>
      </c>
      <c r="AJ396" s="203">
        <v>0</v>
      </c>
      <c r="AK396" s="200" t="s">
        <v>279</v>
      </c>
      <c r="AL396" s="203">
        <v>0</v>
      </c>
      <c r="AM396" s="200" t="s">
        <v>279</v>
      </c>
      <c r="AN396" s="203">
        <v>0</v>
      </c>
      <c r="AO396" s="200" t="s">
        <v>279</v>
      </c>
      <c r="AP396" s="203">
        <v>0</v>
      </c>
      <c r="AQ396" s="203">
        <v>40.28</v>
      </c>
      <c r="AR396" s="203">
        <v>0</v>
      </c>
      <c r="AS396" s="200" t="str">
        <f t="shared" si="6"/>
        <v>1.00000000</v>
      </c>
      <c r="AT396" s="200" t="str">
        <f>"22.8"</f>
        <v>22.8</v>
      </c>
      <c r="AU396" s="203">
        <v>0</v>
      </c>
    </row>
    <row r="397" spans="1:47" x14ac:dyDescent="0.2">
      <c r="A397" s="200" t="str">
        <f>"0496002595700"</f>
        <v>0496002595700</v>
      </c>
      <c r="B397" s="200">
        <v>8</v>
      </c>
      <c r="C397" s="200" t="s">
        <v>156</v>
      </c>
      <c r="D397" s="200" t="s">
        <v>414</v>
      </c>
      <c r="E397" s="200">
        <v>47</v>
      </c>
      <c r="F397" s="200" t="s">
        <v>243</v>
      </c>
      <c r="G397" s="200">
        <v>2262</v>
      </c>
      <c r="H397" s="200" t="s">
        <v>270</v>
      </c>
      <c r="I397" s="200">
        <v>24217</v>
      </c>
      <c r="J397" s="201">
        <v>42707</v>
      </c>
      <c r="K397" s="202">
        <v>0.31736111111111115</v>
      </c>
      <c r="L397" s="201">
        <v>42710</v>
      </c>
      <c r="M397" s="200" t="s">
        <v>271</v>
      </c>
      <c r="N397" s="200" t="s">
        <v>272</v>
      </c>
      <c r="O397" s="200" t="s">
        <v>273</v>
      </c>
      <c r="P397" s="200" t="s">
        <v>274</v>
      </c>
      <c r="Q397" s="200" t="s">
        <v>275</v>
      </c>
      <c r="R397" s="200" t="s">
        <v>276</v>
      </c>
      <c r="S397" s="200" t="s">
        <v>156</v>
      </c>
      <c r="T397" s="200" t="s">
        <v>277</v>
      </c>
      <c r="U397" s="200">
        <v>2262</v>
      </c>
      <c r="V397" s="200" t="s">
        <v>156</v>
      </c>
      <c r="W397" s="200" t="s">
        <v>280</v>
      </c>
      <c r="X397" s="200">
        <v>9.5730000000000004</v>
      </c>
      <c r="Y397" s="203">
        <v>-0.19</v>
      </c>
      <c r="Z397" s="203">
        <v>2.09</v>
      </c>
      <c r="AA397" s="203">
        <v>20</v>
      </c>
      <c r="AB397" s="203">
        <v>-1.75</v>
      </c>
      <c r="AC397" s="203">
        <v>0</v>
      </c>
      <c r="AD397" s="203">
        <v>0</v>
      </c>
      <c r="AE397" s="203">
        <v>18.059999999999999</v>
      </c>
      <c r="AF397" s="203">
        <v>-2.2999999999999998</v>
      </c>
      <c r="AG397" s="200" t="s">
        <v>279</v>
      </c>
      <c r="AH397" s="203">
        <v>0</v>
      </c>
      <c r="AI397" s="200" t="s">
        <v>279</v>
      </c>
      <c r="AJ397" s="203">
        <v>0</v>
      </c>
      <c r="AK397" s="200" t="s">
        <v>279</v>
      </c>
      <c r="AL397" s="203">
        <v>0</v>
      </c>
      <c r="AM397" s="200" t="s">
        <v>279</v>
      </c>
      <c r="AN397" s="203">
        <v>0</v>
      </c>
      <c r="AO397" s="200" t="s">
        <v>279</v>
      </c>
      <c r="AP397" s="203">
        <v>0</v>
      </c>
      <c r="AQ397" s="203">
        <v>20</v>
      </c>
      <c r="AR397" s="203">
        <v>0</v>
      </c>
      <c r="AS397" s="200" t="str">
        <f t="shared" si="6"/>
        <v>1.00000000</v>
      </c>
      <c r="AT397" s="200" t="str">
        <f>"20.3"</f>
        <v>20.3</v>
      </c>
      <c r="AU397" s="203">
        <v>0</v>
      </c>
    </row>
    <row r="398" spans="1:47" x14ac:dyDescent="0.2">
      <c r="A398" s="200" t="str">
        <f>"0496002595734"</f>
        <v>0496002595734</v>
      </c>
      <c r="B398" s="200">
        <v>1</v>
      </c>
      <c r="C398" s="200" t="s">
        <v>435</v>
      </c>
      <c r="D398" s="200">
        <v>81</v>
      </c>
      <c r="E398" s="200">
        <v>81</v>
      </c>
      <c r="F398" s="200" t="s">
        <v>243</v>
      </c>
      <c r="G398" s="200">
        <v>2086</v>
      </c>
      <c r="H398" s="200" t="s">
        <v>270</v>
      </c>
      <c r="I398" s="200">
        <v>70119</v>
      </c>
      <c r="J398" s="201">
        <v>42707</v>
      </c>
      <c r="K398" s="202">
        <v>0.25625000000000003</v>
      </c>
      <c r="L398" s="201">
        <v>42710</v>
      </c>
      <c r="M398" s="200" t="s">
        <v>271</v>
      </c>
      <c r="N398" s="200" t="s">
        <v>272</v>
      </c>
      <c r="O398" s="200" t="s">
        <v>273</v>
      </c>
      <c r="P398" s="200" t="s">
        <v>274</v>
      </c>
      <c r="Q398" s="200" t="s">
        <v>275</v>
      </c>
      <c r="R398" s="200" t="s">
        <v>276</v>
      </c>
      <c r="S398" s="200" t="s">
        <v>436</v>
      </c>
      <c r="T398" s="200" t="s">
        <v>435</v>
      </c>
      <c r="U398" s="200">
        <v>2086</v>
      </c>
      <c r="V398" s="200" t="s">
        <v>435</v>
      </c>
      <c r="W398" s="200" t="s">
        <v>280</v>
      </c>
      <c r="X398" s="200">
        <v>13.365</v>
      </c>
      <c r="Y398" s="203">
        <v>-0.27</v>
      </c>
      <c r="Z398" s="203">
        <v>2.09</v>
      </c>
      <c r="AA398" s="203">
        <v>27.92</v>
      </c>
      <c r="AB398" s="203">
        <v>-2.4500000000000002</v>
      </c>
      <c r="AC398" s="203">
        <v>0</v>
      </c>
      <c r="AD398" s="203">
        <v>0</v>
      </c>
      <c r="AE398" s="203">
        <v>25.2</v>
      </c>
      <c r="AF398" s="203">
        <v>-3.21</v>
      </c>
      <c r="AG398" s="200" t="s">
        <v>279</v>
      </c>
      <c r="AH398" s="203">
        <v>0</v>
      </c>
      <c r="AI398" s="200" t="s">
        <v>279</v>
      </c>
      <c r="AJ398" s="203">
        <v>0</v>
      </c>
      <c r="AK398" s="200" t="s">
        <v>279</v>
      </c>
      <c r="AL398" s="203">
        <v>0</v>
      </c>
      <c r="AM398" s="200" t="s">
        <v>279</v>
      </c>
      <c r="AN398" s="203">
        <v>0</v>
      </c>
      <c r="AO398" s="200" t="s">
        <v>279</v>
      </c>
      <c r="AP398" s="203">
        <v>0</v>
      </c>
      <c r="AQ398" s="203">
        <v>27.92</v>
      </c>
      <c r="AR398" s="203">
        <v>0</v>
      </c>
      <c r="AS398" s="200" t="str">
        <f t="shared" si="6"/>
        <v>1.00000000</v>
      </c>
      <c r="AT398" s="200" t="str">
        <f>"19.8"</f>
        <v>19.8</v>
      </c>
      <c r="AU398" s="203">
        <v>0</v>
      </c>
    </row>
    <row r="399" spans="1:47" x14ac:dyDescent="0.2">
      <c r="A399" s="200" t="str">
        <f>"0496002595734"</f>
        <v>0496002595734</v>
      </c>
      <c r="B399" s="200">
        <v>1</v>
      </c>
      <c r="C399" s="200" t="s">
        <v>435</v>
      </c>
      <c r="D399" s="200">
        <v>81</v>
      </c>
      <c r="E399" s="200">
        <v>81</v>
      </c>
      <c r="F399" s="200" t="s">
        <v>243</v>
      </c>
      <c r="G399" s="200">
        <v>2086</v>
      </c>
      <c r="H399" s="200" t="s">
        <v>270</v>
      </c>
      <c r="I399" s="200">
        <v>70327</v>
      </c>
      <c r="J399" s="201">
        <v>42707</v>
      </c>
      <c r="K399" s="202">
        <v>0.91666666666666663</v>
      </c>
      <c r="L399" s="201">
        <v>42710</v>
      </c>
      <c r="M399" s="200" t="s">
        <v>271</v>
      </c>
      <c r="N399" s="200" t="s">
        <v>272</v>
      </c>
      <c r="O399" s="200" t="s">
        <v>273</v>
      </c>
      <c r="P399" s="200" t="s">
        <v>274</v>
      </c>
      <c r="Q399" s="200" t="s">
        <v>275</v>
      </c>
      <c r="R399" s="200" t="s">
        <v>276</v>
      </c>
      <c r="S399" s="200" t="s">
        <v>436</v>
      </c>
      <c r="T399" s="200" t="s">
        <v>435</v>
      </c>
      <c r="U399" s="200">
        <v>2086</v>
      </c>
      <c r="V399" s="200" t="s">
        <v>435</v>
      </c>
      <c r="W399" s="200" t="s">
        <v>280</v>
      </c>
      <c r="X399" s="200">
        <v>9.7509999999999994</v>
      </c>
      <c r="Y399" s="203">
        <v>-0.2</v>
      </c>
      <c r="Z399" s="203">
        <v>2.13</v>
      </c>
      <c r="AA399" s="203">
        <v>20.76</v>
      </c>
      <c r="AB399" s="203">
        <v>-1.78</v>
      </c>
      <c r="AC399" s="203">
        <v>0</v>
      </c>
      <c r="AD399" s="203">
        <v>0</v>
      </c>
      <c r="AE399" s="203">
        <v>18.78</v>
      </c>
      <c r="AF399" s="203">
        <v>-2.34</v>
      </c>
      <c r="AG399" s="200" t="s">
        <v>279</v>
      </c>
      <c r="AH399" s="203">
        <v>0</v>
      </c>
      <c r="AI399" s="200" t="s">
        <v>279</v>
      </c>
      <c r="AJ399" s="203">
        <v>0</v>
      </c>
      <c r="AK399" s="200" t="s">
        <v>279</v>
      </c>
      <c r="AL399" s="203">
        <v>0</v>
      </c>
      <c r="AM399" s="200" t="s">
        <v>279</v>
      </c>
      <c r="AN399" s="203">
        <v>0</v>
      </c>
      <c r="AO399" s="200" t="s">
        <v>279</v>
      </c>
      <c r="AP399" s="203">
        <v>0</v>
      </c>
      <c r="AQ399" s="203">
        <v>20.76</v>
      </c>
      <c r="AR399" s="203">
        <v>0</v>
      </c>
      <c r="AS399" s="200" t="str">
        <f t="shared" si="6"/>
        <v>1.00000000</v>
      </c>
      <c r="AT399" s="200" t="str">
        <f>"21.3"</f>
        <v>21.3</v>
      </c>
      <c r="AU399" s="203">
        <v>0</v>
      </c>
    </row>
    <row r="400" spans="1:47" x14ac:dyDescent="0.2">
      <c r="A400" s="200" t="str">
        <f>"0496002595734"</f>
        <v>0496002595734</v>
      </c>
      <c r="B400" s="200">
        <v>3</v>
      </c>
      <c r="C400" s="200" t="s">
        <v>435</v>
      </c>
      <c r="D400" s="200">
        <v>82</v>
      </c>
      <c r="E400" s="200">
        <v>82</v>
      </c>
      <c r="F400" s="200" t="s">
        <v>243</v>
      </c>
      <c r="G400" s="200">
        <v>2086</v>
      </c>
      <c r="H400" s="200" t="s">
        <v>270</v>
      </c>
      <c r="I400" s="200">
        <v>56825</v>
      </c>
      <c r="J400" s="201">
        <v>42707</v>
      </c>
      <c r="K400" s="202">
        <v>0.36180555555555555</v>
      </c>
      <c r="L400" s="201">
        <v>42710</v>
      </c>
      <c r="M400" s="200" t="s">
        <v>271</v>
      </c>
      <c r="N400" s="200" t="s">
        <v>827</v>
      </c>
      <c r="O400" s="200" t="s">
        <v>828</v>
      </c>
      <c r="P400" s="200" t="s">
        <v>476</v>
      </c>
      <c r="Q400" s="200" t="s">
        <v>329</v>
      </c>
      <c r="R400" s="200">
        <v>10458</v>
      </c>
      <c r="S400" s="200" t="s">
        <v>436</v>
      </c>
      <c r="T400" s="200" t="s">
        <v>435</v>
      </c>
      <c r="U400" s="200">
        <v>2086</v>
      </c>
      <c r="V400" s="200" t="s">
        <v>435</v>
      </c>
      <c r="W400" s="200" t="s">
        <v>280</v>
      </c>
      <c r="X400" s="200">
        <v>12.717000000000001</v>
      </c>
      <c r="Y400" s="203">
        <v>-0.25</v>
      </c>
      <c r="Z400" s="203">
        <v>2.36</v>
      </c>
      <c r="AA400" s="203">
        <v>30</v>
      </c>
      <c r="AB400" s="203">
        <v>-2.33</v>
      </c>
      <c r="AC400" s="203">
        <v>0</v>
      </c>
      <c r="AD400" s="203">
        <v>0</v>
      </c>
      <c r="AE400" s="203">
        <v>27.42</v>
      </c>
      <c r="AF400" s="203">
        <v>-5.5</v>
      </c>
      <c r="AG400" s="200" t="s">
        <v>279</v>
      </c>
      <c r="AH400" s="203">
        <v>0</v>
      </c>
      <c r="AI400" s="200" t="s">
        <v>279</v>
      </c>
      <c r="AJ400" s="203">
        <v>0</v>
      </c>
      <c r="AK400" s="200" t="s">
        <v>279</v>
      </c>
      <c r="AL400" s="203">
        <v>0</v>
      </c>
      <c r="AM400" s="200" t="s">
        <v>279</v>
      </c>
      <c r="AN400" s="203">
        <v>0</v>
      </c>
      <c r="AO400" s="200" t="s">
        <v>279</v>
      </c>
      <c r="AP400" s="203">
        <v>0</v>
      </c>
      <c r="AQ400" s="203">
        <v>30</v>
      </c>
      <c r="AR400" s="203">
        <v>0</v>
      </c>
      <c r="AS400" s="200" t="str">
        <f t="shared" si="6"/>
        <v>1.00000000</v>
      </c>
      <c r="AT400" s="200" t="str">
        <f>"19.6"</f>
        <v>19.6</v>
      </c>
      <c r="AU400" s="203">
        <v>0</v>
      </c>
    </row>
    <row r="401" spans="1:47" x14ac:dyDescent="0.2">
      <c r="A401" s="200" t="str">
        <f>"0496002595700"</f>
        <v>0496002595700</v>
      </c>
      <c r="B401" s="200">
        <v>7</v>
      </c>
      <c r="C401" s="200" t="s">
        <v>156</v>
      </c>
      <c r="D401" s="200" t="s">
        <v>371</v>
      </c>
      <c r="E401" s="200">
        <v>45</v>
      </c>
      <c r="F401" s="200" t="s">
        <v>243</v>
      </c>
      <c r="G401" s="200">
        <v>2262</v>
      </c>
      <c r="H401" s="200" t="s">
        <v>270</v>
      </c>
      <c r="I401" s="200">
        <v>20878</v>
      </c>
      <c r="J401" s="201">
        <v>42708</v>
      </c>
      <c r="K401" s="202">
        <v>0.3520833333333333</v>
      </c>
      <c r="L401" s="201">
        <v>42710</v>
      </c>
      <c r="M401" s="200" t="s">
        <v>302</v>
      </c>
      <c r="N401" s="200" t="s">
        <v>829</v>
      </c>
      <c r="O401" s="200" t="s">
        <v>830</v>
      </c>
      <c r="P401" s="200" t="s">
        <v>831</v>
      </c>
      <c r="Q401" s="200" t="s">
        <v>275</v>
      </c>
      <c r="R401" s="200">
        <v>2128</v>
      </c>
      <c r="S401" s="200" t="s">
        <v>156</v>
      </c>
      <c r="T401" s="200" t="s">
        <v>277</v>
      </c>
      <c r="U401" s="200">
        <v>2262</v>
      </c>
      <c r="V401" s="200" t="s">
        <v>156</v>
      </c>
      <c r="W401" s="200" t="s">
        <v>280</v>
      </c>
      <c r="X401" s="200">
        <v>18.457999999999998</v>
      </c>
      <c r="Y401" s="203">
        <v>0</v>
      </c>
      <c r="Z401" s="203">
        <v>2.36</v>
      </c>
      <c r="AA401" s="203">
        <v>43.54</v>
      </c>
      <c r="AB401" s="203">
        <v>-3.38</v>
      </c>
      <c r="AC401" s="203">
        <v>0</v>
      </c>
      <c r="AD401" s="203">
        <v>0</v>
      </c>
      <c r="AE401" s="203">
        <v>40.159999999999997</v>
      </c>
      <c r="AF401" s="203">
        <v>-4.43</v>
      </c>
      <c r="AG401" s="200" t="s">
        <v>279</v>
      </c>
      <c r="AH401" s="203">
        <v>0</v>
      </c>
      <c r="AI401" s="200" t="s">
        <v>279</v>
      </c>
      <c r="AJ401" s="203">
        <v>0</v>
      </c>
      <c r="AK401" s="200" t="s">
        <v>279</v>
      </c>
      <c r="AL401" s="203">
        <v>0</v>
      </c>
      <c r="AM401" s="200" t="s">
        <v>279</v>
      </c>
      <c r="AN401" s="203">
        <v>0</v>
      </c>
      <c r="AO401" s="200" t="s">
        <v>279</v>
      </c>
      <c r="AP401" s="203">
        <v>0</v>
      </c>
      <c r="AQ401" s="203">
        <v>43.54</v>
      </c>
      <c r="AR401" s="203">
        <v>0</v>
      </c>
      <c r="AS401" s="200" t="str">
        <f t="shared" si="6"/>
        <v>1.00000000</v>
      </c>
      <c r="AT401" s="200" t="str">
        <f>"1069.1"</f>
        <v>1069.1</v>
      </c>
      <c r="AU401" s="203">
        <v>0</v>
      </c>
    </row>
    <row r="402" spans="1:47" x14ac:dyDescent="0.2">
      <c r="A402" s="200" t="str">
        <f>"0496002595734"</f>
        <v>0496002595734</v>
      </c>
      <c r="B402" s="200">
        <v>2</v>
      </c>
      <c r="C402" s="200" t="s">
        <v>435</v>
      </c>
      <c r="D402" s="200">
        <v>80</v>
      </c>
      <c r="E402" s="200">
        <v>80</v>
      </c>
      <c r="F402" s="200" t="s">
        <v>243</v>
      </c>
      <c r="G402" s="200">
        <v>2086</v>
      </c>
      <c r="H402" s="200" t="s">
        <v>270</v>
      </c>
      <c r="I402" s="200">
        <v>47931</v>
      </c>
      <c r="J402" s="201">
        <v>42708</v>
      </c>
      <c r="K402" s="202">
        <v>0.80347222222222225</v>
      </c>
      <c r="L402" s="201">
        <v>42710</v>
      </c>
      <c r="M402" s="200" t="s">
        <v>832</v>
      </c>
      <c r="N402" s="200" t="s">
        <v>833</v>
      </c>
      <c r="O402" s="200" t="s">
        <v>834</v>
      </c>
      <c r="P402" s="200" t="s">
        <v>835</v>
      </c>
      <c r="Q402" s="200" t="s">
        <v>309</v>
      </c>
      <c r="R402" s="200" t="s">
        <v>836</v>
      </c>
      <c r="S402" s="200" t="s">
        <v>436</v>
      </c>
      <c r="T402" s="200" t="s">
        <v>435</v>
      </c>
      <c r="U402" s="200">
        <v>2086</v>
      </c>
      <c r="V402" s="200" t="s">
        <v>435</v>
      </c>
      <c r="W402" s="200" t="s">
        <v>280</v>
      </c>
      <c r="X402" s="200">
        <v>11.073</v>
      </c>
      <c r="Y402" s="203">
        <v>0</v>
      </c>
      <c r="Z402" s="203">
        <v>2.46</v>
      </c>
      <c r="AA402" s="203">
        <v>27.23</v>
      </c>
      <c r="AB402" s="203">
        <v>-2.0299999999999998</v>
      </c>
      <c r="AC402" s="203">
        <v>0</v>
      </c>
      <c r="AD402" s="203">
        <v>0</v>
      </c>
      <c r="AE402" s="203">
        <v>25.2</v>
      </c>
      <c r="AF402" s="203">
        <v>-2.77</v>
      </c>
      <c r="AG402" s="200" t="s">
        <v>279</v>
      </c>
      <c r="AH402" s="203">
        <v>0</v>
      </c>
      <c r="AI402" s="200" t="s">
        <v>279</v>
      </c>
      <c r="AJ402" s="203">
        <v>0</v>
      </c>
      <c r="AK402" s="200" t="s">
        <v>279</v>
      </c>
      <c r="AL402" s="203">
        <v>0</v>
      </c>
      <c r="AM402" s="200" t="s">
        <v>279</v>
      </c>
      <c r="AN402" s="203">
        <v>0</v>
      </c>
      <c r="AO402" s="200" t="s">
        <v>279</v>
      </c>
      <c r="AP402" s="203">
        <v>0</v>
      </c>
      <c r="AQ402" s="203">
        <v>27.23</v>
      </c>
      <c r="AR402" s="203">
        <v>0</v>
      </c>
      <c r="AS402" s="200" t="str">
        <f t="shared" si="6"/>
        <v>1.00000000</v>
      </c>
      <c r="AT402" s="200" t="str">
        <f>"35.6"</f>
        <v>35.6</v>
      </c>
      <c r="AU402" s="203">
        <v>0</v>
      </c>
    </row>
    <row r="403" spans="1:47" x14ac:dyDescent="0.2">
      <c r="A403" s="200" t="str">
        <f>"0496002595734"</f>
        <v>0496002595734</v>
      </c>
      <c r="B403" s="200">
        <v>3</v>
      </c>
      <c r="C403" s="200" t="s">
        <v>435</v>
      </c>
      <c r="D403" s="200">
        <v>82</v>
      </c>
      <c r="E403" s="200">
        <v>82</v>
      </c>
      <c r="F403" s="200" t="s">
        <v>243</v>
      </c>
      <c r="G403" s="200">
        <v>2086</v>
      </c>
      <c r="H403" s="200" t="s">
        <v>270</v>
      </c>
      <c r="I403" s="200">
        <v>56529</v>
      </c>
      <c r="J403" s="201">
        <v>42709</v>
      </c>
      <c r="K403" s="202">
        <v>0.93194444444444446</v>
      </c>
      <c r="L403" s="201">
        <v>42711</v>
      </c>
      <c r="M403" s="200" t="s">
        <v>285</v>
      </c>
      <c r="N403" s="200" t="s">
        <v>794</v>
      </c>
      <c r="O403" s="200" t="s">
        <v>400</v>
      </c>
      <c r="P403" s="200" t="s">
        <v>274</v>
      </c>
      <c r="Q403" s="200" t="s">
        <v>275</v>
      </c>
      <c r="R403" s="200" t="s">
        <v>401</v>
      </c>
      <c r="S403" s="200" t="s">
        <v>436</v>
      </c>
      <c r="T403" s="200" t="s">
        <v>435</v>
      </c>
      <c r="U403" s="200">
        <v>2086</v>
      </c>
      <c r="V403" s="200" t="s">
        <v>435</v>
      </c>
      <c r="W403" s="200" t="s">
        <v>280</v>
      </c>
      <c r="X403" s="200">
        <v>4.5369999999999999</v>
      </c>
      <c r="Y403" s="203">
        <v>0</v>
      </c>
      <c r="Z403" s="203">
        <v>2.2200000000000002</v>
      </c>
      <c r="AA403" s="203">
        <v>10.07</v>
      </c>
      <c r="AB403" s="203">
        <v>-0.83</v>
      </c>
      <c r="AC403" s="203">
        <v>0</v>
      </c>
      <c r="AD403" s="203">
        <v>0</v>
      </c>
      <c r="AE403" s="203">
        <v>9.24</v>
      </c>
      <c r="AF403" s="203">
        <v>-1.0900000000000001</v>
      </c>
      <c r="AG403" s="200" t="s">
        <v>279</v>
      </c>
      <c r="AH403" s="203">
        <v>0</v>
      </c>
      <c r="AI403" s="200" t="s">
        <v>279</v>
      </c>
      <c r="AJ403" s="203">
        <v>0</v>
      </c>
      <c r="AK403" s="200" t="s">
        <v>279</v>
      </c>
      <c r="AL403" s="203">
        <v>0</v>
      </c>
      <c r="AM403" s="200" t="s">
        <v>279</v>
      </c>
      <c r="AN403" s="203">
        <v>0</v>
      </c>
      <c r="AO403" s="200" t="s">
        <v>279</v>
      </c>
      <c r="AP403" s="203">
        <v>0</v>
      </c>
      <c r="AQ403" s="203">
        <v>10.07</v>
      </c>
      <c r="AR403" s="203">
        <v>0</v>
      </c>
      <c r="AS403" s="200" t="str">
        <f t="shared" si="6"/>
        <v>1.00000000</v>
      </c>
      <c r="AT403" s="200" t="str">
        <f>"19.6"</f>
        <v>19.6</v>
      </c>
      <c r="AU403" s="203">
        <v>0</v>
      </c>
    </row>
    <row r="404" spans="1:47" x14ac:dyDescent="0.2">
      <c r="A404" s="200" t="str">
        <f>"0496002599173"</f>
        <v>0496002599173</v>
      </c>
      <c r="B404" s="200">
        <v>3</v>
      </c>
      <c r="C404" s="200" t="s">
        <v>585</v>
      </c>
      <c r="D404" s="200" t="s">
        <v>628</v>
      </c>
      <c r="E404" s="200" t="s">
        <v>628</v>
      </c>
      <c r="F404" s="200" t="s">
        <v>243</v>
      </c>
      <c r="G404" s="200">
        <v>5738</v>
      </c>
      <c r="H404" s="200" t="s">
        <v>270</v>
      </c>
      <c r="I404" s="200">
        <v>114354</v>
      </c>
      <c r="J404" s="201">
        <v>42709</v>
      </c>
      <c r="K404" s="202">
        <v>0.3263888888888889</v>
      </c>
      <c r="L404" s="201">
        <v>42711</v>
      </c>
      <c r="M404" s="200" t="s">
        <v>285</v>
      </c>
      <c r="N404" s="200" t="s">
        <v>794</v>
      </c>
      <c r="O404" s="200" t="s">
        <v>400</v>
      </c>
      <c r="P404" s="200" t="s">
        <v>274</v>
      </c>
      <c r="Q404" s="200" t="s">
        <v>275</v>
      </c>
      <c r="R404" s="200" t="s">
        <v>401</v>
      </c>
      <c r="S404" s="200" t="s">
        <v>436</v>
      </c>
      <c r="T404" s="200" t="s">
        <v>630</v>
      </c>
      <c r="U404" s="200">
        <v>5738</v>
      </c>
      <c r="V404" s="200" t="s">
        <v>585</v>
      </c>
      <c r="W404" s="200" t="s">
        <v>280</v>
      </c>
      <c r="X404" s="200">
        <v>22.036000000000001</v>
      </c>
      <c r="Y404" s="203">
        <v>0</v>
      </c>
      <c r="Z404" s="203">
        <v>2.2200000000000002</v>
      </c>
      <c r="AA404" s="203">
        <v>48.9</v>
      </c>
      <c r="AB404" s="203">
        <v>-4.03</v>
      </c>
      <c r="AC404" s="203">
        <v>0</v>
      </c>
      <c r="AD404" s="203">
        <v>0</v>
      </c>
      <c r="AE404" s="203">
        <v>44.87</v>
      </c>
      <c r="AF404" s="203">
        <v>-5.29</v>
      </c>
      <c r="AG404" s="200" t="s">
        <v>279</v>
      </c>
      <c r="AH404" s="203">
        <v>0</v>
      </c>
      <c r="AI404" s="200" t="s">
        <v>279</v>
      </c>
      <c r="AJ404" s="203">
        <v>0</v>
      </c>
      <c r="AK404" s="200" t="s">
        <v>279</v>
      </c>
      <c r="AL404" s="203">
        <v>0</v>
      </c>
      <c r="AM404" s="200" t="s">
        <v>279</v>
      </c>
      <c r="AN404" s="203">
        <v>0</v>
      </c>
      <c r="AO404" s="200" t="s">
        <v>279</v>
      </c>
      <c r="AP404" s="203">
        <v>0</v>
      </c>
      <c r="AQ404" s="203">
        <v>48.9</v>
      </c>
      <c r="AR404" s="203">
        <v>0</v>
      </c>
      <c r="AS404" s="200" t="str">
        <f t="shared" si="6"/>
        <v>1.00000000</v>
      </c>
      <c r="AT404" s="200" t="str">
        <f>"10.1"</f>
        <v>10.1</v>
      </c>
      <c r="AU404" s="203">
        <v>0</v>
      </c>
    </row>
    <row r="405" spans="1:47" x14ac:dyDescent="0.2">
      <c r="A405" s="200" t="str">
        <f>"0496002595700"</f>
        <v>0496002595700</v>
      </c>
      <c r="B405" s="200">
        <v>2</v>
      </c>
      <c r="C405" s="200" t="s">
        <v>156</v>
      </c>
      <c r="D405" s="200">
        <v>42</v>
      </c>
      <c r="E405" s="200">
        <v>42</v>
      </c>
      <c r="F405" s="200" t="s">
        <v>243</v>
      </c>
      <c r="G405" s="200">
        <v>2262</v>
      </c>
      <c r="H405" s="200" t="s">
        <v>270</v>
      </c>
      <c r="I405" s="200">
        <v>3267</v>
      </c>
      <c r="J405" s="201">
        <v>42710</v>
      </c>
      <c r="K405" s="202">
        <v>0.71319444444444446</v>
      </c>
      <c r="L405" s="201">
        <v>42712</v>
      </c>
      <c r="M405" s="200" t="s">
        <v>271</v>
      </c>
      <c r="N405" s="200" t="s">
        <v>272</v>
      </c>
      <c r="O405" s="200" t="s">
        <v>273</v>
      </c>
      <c r="P405" s="200" t="s">
        <v>274</v>
      </c>
      <c r="Q405" s="200" t="s">
        <v>275</v>
      </c>
      <c r="R405" s="200" t="s">
        <v>276</v>
      </c>
      <c r="S405" s="200" t="s">
        <v>156</v>
      </c>
      <c r="T405" s="200" t="s">
        <v>277</v>
      </c>
      <c r="U405" s="200">
        <v>2262</v>
      </c>
      <c r="V405" s="200" t="s">
        <v>156</v>
      </c>
      <c r="W405" s="200" t="s">
        <v>280</v>
      </c>
      <c r="X405" s="200">
        <v>7.91</v>
      </c>
      <c r="Y405" s="203">
        <v>-0.16</v>
      </c>
      <c r="Z405" s="203">
        <v>2.14</v>
      </c>
      <c r="AA405" s="203">
        <v>16.920000000000002</v>
      </c>
      <c r="AB405" s="203">
        <v>-1.45</v>
      </c>
      <c r="AC405" s="203">
        <v>0</v>
      </c>
      <c r="AD405" s="203">
        <v>0</v>
      </c>
      <c r="AE405" s="203">
        <v>15.31</v>
      </c>
      <c r="AF405" s="203">
        <v>-1.9</v>
      </c>
      <c r="AG405" s="200" t="s">
        <v>279</v>
      </c>
      <c r="AH405" s="203">
        <v>0</v>
      </c>
      <c r="AI405" s="200" t="s">
        <v>279</v>
      </c>
      <c r="AJ405" s="203">
        <v>0</v>
      </c>
      <c r="AK405" s="200" t="s">
        <v>279</v>
      </c>
      <c r="AL405" s="203">
        <v>0</v>
      </c>
      <c r="AM405" s="200" t="s">
        <v>279</v>
      </c>
      <c r="AN405" s="203">
        <v>0</v>
      </c>
      <c r="AO405" s="200" t="s">
        <v>279</v>
      </c>
      <c r="AP405" s="203">
        <v>0</v>
      </c>
      <c r="AQ405" s="203">
        <v>16.920000000000002</v>
      </c>
      <c r="AR405" s="203">
        <v>0</v>
      </c>
      <c r="AS405" s="200" t="str">
        <f t="shared" si="6"/>
        <v>1.00000000</v>
      </c>
      <c r="AT405" s="200" t="str">
        <f>"49.3"</f>
        <v>49.3</v>
      </c>
      <c r="AU405" s="203">
        <v>0</v>
      </c>
    </row>
    <row r="406" spans="1:47" x14ac:dyDescent="0.2">
      <c r="A406" s="200" t="str">
        <f>"0496002595734"</f>
        <v>0496002595734</v>
      </c>
      <c r="B406" s="200">
        <v>1</v>
      </c>
      <c r="C406" s="200" t="s">
        <v>435</v>
      </c>
      <c r="D406" s="200">
        <v>81</v>
      </c>
      <c r="E406" s="200">
        <v>81</v>
      </c>
      <c r="F406" s="200" t="s">
        <v>243</v>
      </c>
      <c r="G406" s="200">
        <v>2086</v>
      </c>
      <c r="H406" s="200" t="s">
        <v>270</v>
      </c>
      <c r="I406" s="200">
        <v>70609</v>
      </c>
      <c r="J406" s="201">
        <v>42710</v>
      </c>
      <c r="K406" s="202">
        <v>0.66858796296296286</v>
      </c>
      <c r="L406" s="201">
        <v>42712</v>
      </c>
      <c r="M406" s="200" t="s">
        <v>319</v>
      </c>
      <c r="N406" s="200" t="s">
        <v>440</v>
      </c>
      <c r="O406" s="200" t="s">
        <v>441</v>
      </c>
      <c r="P406" s="200" t="s">
        <v>442</v>
      </c>
      <c r="Q406" s="200" t="s">
        <v>275</v>
      </c>
      <c r="R406" s="200">
        <v>1093</v>
      </c>
      <c r="S406" s="200" t="s">
        <v>436</v>
      </c>
      <c r="T406" s="200" t="s">
        <v>435</v>
      </c>
      <c r="U406" s="200">
        <v>2086</v>
      </c>
      <c r="V406" s="200" t="s">
        <v>435</v>
      </c>
      <c r="W406" s="200" t="s">
        <v>280</v>
      </c>
      <c r="X406" s="200">
        <v>15.379</v>
      </c>
      <c r="Y406" s="203">
        <v>0</v>
      </c>
      <c r="Z406" s="203">
        <v>2.2200000000000002</v>
      </c>
      <c r="AA406" s="203">
        <v>34.130000000000003</v>
      </c>
      <c r="AB406" s="203">
        <v>-2.81</v>
      </c>
      <c r="AC406" s="203">
        <v>0</v>
      </c>
      <c r="AD406" s="203">
        <v>0</v>
      </c>
      <c r="AE406" s="203">
        <v>31.32</v>
      </c>
      <c r="AF406" s="203">
        <v>-3.69</v>
      </c>
      <c r="AG406" s="200" t="s">
        <v>279</v>
      </c>
      <c r="AH406" s="203">
        <v>0</v>
      </c>
      <c r="AI406" s="200" t="s">
        <v>279</v>
      </c>
      <c r="AJ406" s="203">
        <v>0</v>
      </c>
      <c r="AK406" s="200" t="s">
        <v>279</v>
      </c>
      <c r="AL406" s="203">
        <v>0</v>
      </c>
      <c r="AM406" s="200" t="s">
        <v>279</v>
      </c>
      <c r="AN406" s="203">
        <v>0</v>
      </c>
      <c r="AO406" s="200" t="s">
        <v>279</v>
      </c>
      <c r="AP406" s="203">
        <v>0</v>
      </c>
      <c r="AQ406" s="203">
        <v>34.130000000000003</v>
      </c>
      <c r="AR406" s="203">
        <v>0</v>
      </c>
      <c r="AS406" s="200" t="str">
        <f t="shared" si="6"/>
        <v>1.00000000</v>
      </c>
      <c r="AT406" s="200" t="str">
        <f>"18.3"</f>
        <v>18.3</v>
      </c>
      <c r="AU406" s="203">
        <v>0</v>
      </c>
    </row>
    <row r="407" spans="1:47" x14ac:dyDescent="0.2">
      <c r="A407" s="200" t="str">
        <f>"0496002595734"</f>
        <v>0496002595734</v>
      </c>
      <c r="B407" s="200">
        <v>2</v>
      </c>
      <c r="C407" s="200" t="s">
        <v>435</v>
      </c>
      <c r="D407" s="200">
        <v>80</v>
      </c>
      <c r="E407" s="200">
        <v>80</v>
      </c>
      <c r="F407" s="200" t="s">
        <v>243</v>
      </c>
      <c r="G407" s="200">
        <v>2086</v>
      </c>
      <c r="H407" s="200" t="s">
        <v>270</v>
      </c>
      <c r="I407" s="200">
        <v>76192</v>
      </c>
      <c r="J407" s="201">
        <v>42711</v>
      </c>
      <c r="K407" s="202">
        <v>0.7090277777777777</v>
      </c>
      <c r="L407" s="201">
        <v>42713</v>
      </c>
      <c r="M407" s="200" t="s">
        <v>302</v>
      </c>
      <c r="N407" s="200" t="s">
        <v>501</v>
      </c>
      <c r="O407" s="200" t="s">
        <v>502</v>
      </c>
      <c r="P407" s="200" t="s">
        <v>274</v>
      </c>
      <c r="Q407" s="200" t="s">
        <v>275</v>
      </c>
      <c r="R407" s="200">
        <v>1002</v>
      </c>
      <c r="S407" s="200" t="s">
        <v>436</v>
      </c>
      <c r="T407" s="200" t="s">
        <v>435</v>
      </c>
      <c r="U407" s="200">
        <v>2086</v>
      </c>
      <c r="V407" s="200" t="s">
        <v>435</v>
      </c>
      <c r="W407" s="200" t="s">
        <v>280</v>
      </c>
      <c r="X407" s="200">
        <v>7.6870000000000003</v>
      </c>
      <c r="Y407" s="203">
        <v>0</v>
      </c>
      <c r="Z407" s="203">
        <v>2.2599999999999998</v>
      </c>
      <c r="AA407" s="203">
        <v>17.36</v>
      </c>
      <c r="AB407" s="203">
        <v>-1.41</v>
      </c>
      <c r="AC407" s="203">
        <v>0</v>
      </c>
      <c r="AD407" s="203">
        <v>0</v>
      </c>
      <c r="AE407" s="203">
        <v>15.95</v>
      </c>
      <c r="AF407" s="203">
        <v>-1.84</v>
      </c>
      <c r="AG407" s="200" t="s">
        <v>279</v>
      </c>
      <c r="AH407" s="203">
        <v>0</v>
      </c>
      <c r="AI407" s="200" t="s">
        <v>279</v>
      </c>
      <c r="AJ407" s="203">
        <v>0</v>
      </c>
      <c r="AK407" s="200" t="s">
        <v>279</v>
      </c>
      <c r="AL407" s="203">
        <v>0</v>
      </c>
      <c r="AM407" s="200" t="s">
        <v>279</v>
      </c>
      <c r="AN407" s="203">
        <v>0</v>
      </c>
      <c r="AO407" s="200" t="s">
        <v>279</v>
      </c>
      <c r="AP407" s="203">
        <v>0</v>
      </c>
      <c r="AQ407" s="203">
        <v>17.36</v>
      </c>
      <c r="AR407" s="203">
        <v>0</v>
      </c>
      <c r="AS407" s="200" t="str">
        <f t="shared" si="6"/>
        <v>1.00000000</v>
      </c>
      <c r="AT407" s="200" t="str">
        <f>"31.6"</f>
        <v>31.6</v>
      </c>
      <c r="AU407" s="203">
        <v>0</v>
      </c>
    </row>
    <row r="408" spans="1:47" x14ac:dyDescent="0.2">
      <c r="A408" s="200" t="str">
        <f>"0496002595734"</f>
        <v>0496002595734</v>
      </c>
      <c r="B408" s="200">
        <v>3</v>
      </c>
      <c r="C408" s="200" t="s">
        <v>435</v>
      </c>
      <c r="D408" s="200">
        <v>82</v>
      </c>
      <c r="E408" s="200">
        <v>82</v>
      </c>
      <c r="F408" s="200" t="s">
        <v>243</v>
      </c>
      <c r="G408" s="200">
        <v>2086</v>
      </c>
      <c r="H408" s="200" t="s">
        <v>270</v>
      </c>
      <c r="I408" s="200">
        <v>56542</v>
      </c>
      <c r="J408" s="201">
        <v>42711</v>
      </c>
      <c r="K408" s="202">
        <v>0.4291666666666667</v>
      </c>
      <c r="L408" s="201">
        <v>42713</v>
      </c>
      <c r="M408" s="200" t="s">
        <v>271</v>
      </c>
      <c r="N408" s="200" t="s">
        <v>272</v>
      </c>
      <c r="O408" s="200" t="s">
        <v>273</v>
      </c>
      <c r="P408" s="200" t="s">
        <v>274</v>
      </c>
      <c r="Q408" s="200" t="s">
        <v>275</v>
      </c>
      <c r="R408" s="200" t="s">
        <v>276</v>
      </c>
      <c r="S408" s="200" t="s">
        <v>436</v>
      </c>
      <c r="T408" s="200" t="s">
        <v>435</v>
      </c>
      <c r="U408" s="200">
        <v>2086</v>
      </c>
      <c r="V408" s="200" t="s">
        <v>435</v>
      </c>
      <c r="W408" s="200" t="s">
        <v>280</v>
      </c>
      <c r="X408" s="200">
        <v>11.157</v>
      </c>
      <c r="Y408" s="203">
        <v>-0.22</v>
      </c>
      <c r="Z408" s="203">
        <v>2.16</v>
      </c>
      <c r="AA408" s="203">
        <v>24.09</v>
      </c>
      <c r="AB408" s="203">
        <v>-2.04</v>
      </c>
      <c r="AC408" s="203">
        <v>0</v>
      </c>
      <c r="AD408" s="203">
        <v>0</v>
      </c>
      <c r="AE408" s="203">
        <v>21.83</v>
      </c>
      <c r="AF408" s="203">
        <v>-2.68</v>
      </c>
      <c r="AG408" s="200" t="s">
        <v>279</v>
      </c>
      <c r="AH408" s="203">
        <v>0</v>
      </c>
      <c r="AI408" s="200" t="s">
        <v>279</v>
      </c>
      <c r="AJ408" s="203">
        <v>0</v>
      </c>
      <c r="AK408" s="200" t="s">
        <v>279</v>
      </c>
      <c r="AL408" s="203">
        <v>0</v>
      </c>
      <c r="AM408" s="200" t="s">
        <v>279</v>
      </c>
      <c r="AN408" s="203">
        <v>0</v>
      </c>
      <c r="AO408" s="200" t="s">
        <v>279</v>
      </c>
      <c r="AP408" s="203">
        <v>0</v>
      </c>
      <c r="AQ408" s="203">
        <v>24.09</v>
      </c>
      <c r="AR408" s="203">
        <v>0</v>
      </c>
      <c r="AS408" s="200" t="str">
        <f t="shared" si="6"/>
        <v>1.00000000</v>
      </c>
      <c r="AT408" s="200" t="str">
        <f>"15.9"</f>
        <v>15.9</v>
      </c>
      <c r="AU408" s="203">
        <v>0</v>
      </c>
    </row>
    <row r="409" spans="1:47" x14ac:dyDescent="0.2">
      <c r="A409" s="200" t="str">
        <f>"0496002595890"</f>
        <v>0496002595890</v>
      </c>
      <c r="B409" s="200">
        <v>1</v>
      </c>
      <c r="C409" s="200" t="s">
        <v>579</v>
      </c>
      <c r="D409" s="200">
        <v>12</v>
      </c>
      <c r="F409" s="200" t="s">
        <v>243</v>
      </c>
      <c r="G409" s="200">
        <v>2834</v>
      </c>
      <c r="H409" s="200" t="s">
        <v>270</v>
      </c>
      <c r="I409" s="200">
        <v>15005</v>
      </c>
      <c r="J409" s="201">
        <v>42711</v>
      </c>
      <c r="K409" s="202">
        <v>0.59236111111111112</v>
      </c>
      <c r="L409" s="201">
        <v>42713</v>
      </c>
      <c r="M409" s="200" t="s">
        <v>271</v>
      </c>
      <c r="N409" s="200" t="s">
        <v>272</v>
      </c>
      <c r="O409" s="200" t="s">
        <v>273</v>
      </c>
      <c r="P409" s="200" t="s">
        <v>274</v>
      </c>
      <c r="Q409" s="200" t="s">
        <v>275</v>
      </c>
      <c r="R409" s="200" t="s">
        <v>276</v>
      </c>
      <c r="S409" s="200" t="s">
        <v>436</v>
      </c>
      <c r="T409" s="200" t="s">
        <v>579</v>
      </c>
      <c r="U409" s="200">
        <v>2834</v>
      </c>
      <c r="V409" s="200" t="s">
        <v>579</v>
      </c>
      <c r="W409" s="200" t="s">
        <v>280</v>
      </c>
      <c r="X409" s="200">
        <v>25.553000000000001</v>
      </c>
      <c r="Y409" s="203">
        <v>-0.51</v>
      </c>
      <c r="Z409" s="203">
        <v>2.16</v>
      </c>
      <c r="AA409" s="203">
        <v>55.17</v>
      </c>
      <c r="AB409" s="203">
        <v>-4.68</v>
      </c>
      <c r="AC409" s="203">
        <v>0</v>
      </c>
      <c r="AD409" s="203">
        <v>0</v>
      </c>
      <c r="AE409" s="203">
        <v>49.98</v>
      </c>
      <c r="AF409" s="203">
        <v>-6.13</v>
      </c>
      <c r="AG409" s="200" t="s">
        <v>279</v>
      </c>
      <c r="AH409" s="203">
        <v>0</v>
      </c>
      <c r="AI409" s="200" t="s">
        <v>279</v>
      </c>
      <c r="AJ409" s="203">
        <v>0</v>
      </c>
      <c r="AK409" s="200" t="s">
        <v>279</v>
      </c>
      <c r="AL409" s="203">
        <v>0</v>
      </c>
      <c r="AM409" s="200" t="s">
        <v>279</v>
      </c>
      <c r="AN409" s="203">
        <v>0</v>
      </c>
      <c r="AO409" s="200" t="s">
        <v>279</v>
      </c>
      <c r="AP409" s="203">
        <v>0</v>
      </c>
      <c r="AQ409" s="203">
        <v>55.17</v>
      </c>
      <c r="AR409" s="203">
        <v>0</v>
      </c>
      <c r="AS409" s="200" t="str">
        <f t="shared" si="6"/>
        <v>1.00000000</v>
      </c>
      <c r="AT409" s="200" t="str">
        <f>"0.0"</f>
        <v>0.0</v>
      </c>
      <c r="AU409" s="203">
        <v>0</v>
      </c>
    </row>
    <row r="410" spans="1:47" x14ac:dyDescent="0.2">
      <c r="A410" s="200" t="str">
        <f>"0496002595700"</f>
        <v>0496002595700</v>
      </c>
      <c r="B410" s="200">
        <v>6</v>
      </c>
      <c r="C410" s="200" t="s">
        <v>156</v>
      </c>
      <c r="D410" s="200" t="s">
        <v>344</v>
      </c>
      <c r="E410" s="200" t="s">
        <v>345</v>
      </c>
      <c r="F410" s="200" t="s">
        <v>243</v>
      </c>
      <c r="G410" s="200">
        <v>2262</v>
      </c>
      <c r="H410" s="200" t="s">
        <v>270</v>
      </c>
      <c r="I410" s="200">
        <v>58392</v>
      </c>
      <c r="J410" s="201">
        <v>42712</v>
      </c>
      <c r="K410" s="202">
        <v>0.57847222222222217</v>
      </c>
      <c r="L410" s="201">
        <v>42716</v>
      </c>
      <c r="M410" s="200" t="s">
        <v>271</v>
      </c>
      <c r="N410" s="200" t="s">
        <v>272</v>
      </c>
      <c r="O410" s="200" t="s">
        <v>273</v>
      </c>
      <c r="P410" s="200" t="s">
        <v>274</v>
      </c>
      <c r="Q410" s="200" t="s">
        <v>275</v>
      </c>
      <c r="R410" s="200" t="s">
        <v>276</v>
      </c>
      <c r="S410" s="200" t="s">
        <v>156</v>
      </c>
      <c r="T410" s="200" t="s">
        <v>277</v>
      </c>
      <c r="U410" s="200">
        <v>2262</v>
      </c>
      <c r="V410" s="200" t="s">
        <v>156</v>
      </c>
      <c r="W410" s="200" t="s">
        <v>335</v>
      </c>
      <c r="X410" s="200">
        <v>11.05</v>
      </c>
      <c r="Y410" s="203">
        <v>-0.22</v>
      </c>
      <c r="Z410" s="203">
        <v>2.39</v>
      </c>
      <c r="AA410" s="203">
        <v>26.4</v>
      </c>
      <c r="AB410" s="203">
        <v>-2.02</v>
      </c>
      <c r="AC410" s="203">
        <v>0</v>
      </c>
      <c r="AD410" s="203">
        <v>0</v>
      </c>
      <c r="AE410" s="203">
        <v>24.16</v>
      </c>
      <c r="AF410" s="203">
        <v>-2.65</v>
      </c>
      <c r="AG410" s="200" t="s">
        <v>279</v>
      </c>
      <c r="AH410" s="203">
        <v>0</v>
      </c>
      <c r="AI410" s="200" t="s">
        <v>279</v>
      </c>
      <c r="AJ410" s="203">
        <v>0</v>
      </c>
      <c r="AK410" s="200" t="s">
        <v>279</v>
      </c>
      <c r="AL410" s="203">
        <v>0</v>
      </c>
      <c r="AM410" s="200" t="s">
        <v>279</v>
      </c>
      <c r="AN410" s="203">
        <v>0</v>
      </c>
      <c r="AO410" s="200" t="s">
        <v>279</v>
      </c>
      <c r="AP410" s="203">
        <v>0</v>
      </c>
      <c r="AQ410" s="203">
        <v>26.4</v>
      </c>
      <c r="AR410" s="203">
        <v>0</v>
      </c>
      <c r="AS410" s="200" t="str">
        <f t="shared" si="6"/>
        <v>1.00000000</v>
      </c>
      <c r="AT410" s="200" t="str">
        <f>"29.9"</f>
        <v>29.9</v>
      </c>
      <c r="AU410" s="203">
        <v>0</v>
      </c>
    </row>
    <row r="411" spans="1:47" x14ac:dyDescent="0.2">
      <c r="A411" s="200" t="str">
        <f>"0496002595700"</f>
        <v>0496002595700</v>
      </c>
      <c r="B411" s="200">
        <v>7</v>
      </c>
      <c r="C411" s="200" t="s">
        <v>156</v>
      </c>
      <c r="D411" s="200" t="s">
        <v>371</v>
      </c>
      <c r="E411" s="200">
        <v>45</v>
      </c>
      <c r="F411" s="200" t="s">
        <v>243</v>
      </c>
      <c r="G411" s="200">
        <v>2262</v>
      </c>
      <c r="H411" s="200" t="s">
        <v>270</v>
      </c>
      <c r="I411" s="200">
        <v>21249</v>
      </c>
      <c r="J411" s="201">
        <v>42712</v>
      </c>
      <c r="K411" s="202">
        <v>0.33402777777777781</v>
      </c>
      <c r="L411" s="201">
        <v>42717</v>
      </c>
      <c r="M411" s="200" t="s">
        <v>325</v>
      </c>
      <c r="N411" s="200" t="s">
        <v>326</v>
      </c>
      <c r="O411" s="200" t="s">
        <v>404</v>
      </c>
      <c r="P411" s="200" t="s">
        <v>405</v>
      </c>
      <c r="Q411" s="200" t="s">
        <v>289</v>
      </c>
      <c r="R411" s="200">
        <v>8512</v>
      </c>
      <c r="S411" s="200" t="s">
        <v>156</v>
      </c>
      <c r="T411" s="200" t="s">
        <v>277</v>
      </c>
      <c r="U411" s="200">
        <v>2262</v>
      </c>
      <c r="V411" s="200" t="s">
        <v>156</v>
      </c>
      <c r="W411" s="200" t="s">
        <v>330</v>
      </c>
      <c r="X411" s="200">
        <v>14.983000000000001</v>
      </c>
      <c r="Y411" s="203">
        <v>0</v>
      </c>
      <c r="Z411" s="203">
        <v>2.27</v>
      </c>
      <c r="AA411" s="203">
        <v>34</v>
      </c>
      <c r="AB411" s="203">
        <v>-2.74</v>
      </c>
      <c r="AC411" s="203">
        <v>0</v>
      </c>
      <c r="AD411" s="203">
        <v>0</v>
      </c>
      <c r="AE411" s="203">
        <v>31.26</v>
      </c>
      <c r="AF411" s="203">
        <v>-5.56</v>
      </c>
      <c r="AG411" s="200" t="s">
        <v>279</v>
      </c>
      <c r="AH411" s="203">
        <v>0</v>
      </c>
      <c r="AI411" s="200" t="s">
        <v>279</v>
      </c>
      <c r="AJ411" s="203">
        <v>0</v>
      </c>
      <c r="AK411" s="200" t="s">
        <v>279</v>
      </c>
      <c r="AL411" s="203">
        <v>0</v>
      </c>
      <c r="AM411" s="200" t="s">
        <v>279</v>
      </c>
      <c r="AN411" s="203">
        <v>0</v>
      </c>
      <c r="AO411" s="200" t="s">
        <v>279</v>
      </c>
      <c r="AP411" s="203">
        <v>0</v>
      </c>
      <c r="AQ411" s="203">
        <v>34</v>
      </c>
      <c r="AR411" s="203">
        <v>0</v>
      </c>
      <c r="AS411" s="200" t="str">
        <f t="shared" si="6"/>
        <v>1.00000000</v>
      </c>
      <c r="AT411" s="200" t="str">
        <f>"24.8"</f>
        <v>24.8</v>
      </c>
      <c r="AU411" s="203">
        <v>0</v>
      </c>
    </row>
    <row r="412" spans="1:47" x14ac:dyDescent="0.2">
      <c r="A412" s="200" t="str">
        <f>"0496002595700"</f>
        <v>0496002595700</v>
      </c>
      <c r="B412" s="200">
        <v>8</v>
      </c>
      <c r="C412" s="200" t="s">
        <v>156</v>
      </c>
      <c r="D412" s="200" t="s">
        <v>414</v>
      </c>
      <c r="E412" s="200">
        <v>47</v>
      </c>
      <c r="F412" s="200" t="s">
        <v>243</v>
      </c>
      <c r="G412" s="200">
        <v>2262</v>
      </c>
      <c r="H412" s="200" t="s">
        <v>270</v>
      </c>
      <c r="I412" s="200">
        <v>22400</v>
      </c>
      <c r="J412" s="201">
        <v>42712</v>
      </c>
      <c r="K412" s="202">
        <v>0.55208333333333337</v>
      </c>
      <c r="L412" s="201">
        <v>42716</v>
      </c>
      <c r="M412" s="200" t="s">
        <v>271</v>
      </c>
      <c r="N412" s="200" t="s">
        <v>272</v>
      </c>
      <c r="O412" s="200" t="s">
        <v>273</v>
      </c>
      <c r="P412" s="200" t="s">
        <v>274</v>
      </c>
      <c r="Q412" s="200" t="s">
        <v>275</v>
      </c>
      <c r="R412" s="200" t="s">
        <v>276</v>
      </c>
      <c r="S412" s="200" t="s">
        <v>156</v>
      </c>
      <c r="T412" s="200" t="s">
        <v>277</v>
      </c>
      <c r="U412" s="200">
        <v>2262</v>
      </c>
      <c r="V412" s="200" t="s">
        <v>156</v>
      </c>
      <c r="W412" s="200" t="s">
        <v>280</v>
      </c>
      <c r="X412" s="200">
        <v>15.863</v>
      </c>
      <c r="Y412" s="203">
        <v>-0.32</v>
      </c>
      <c r="Z412" s="203">
        <v>2.16</v>
      </c>
      <c r="AA412" s="203">
        <v>34.25</v>
      </c>
      <c r="AB412" s="203">
        <v>-2.9</v>
      </c>
      <c r="AC412" s="203">
        <v>0</v>
      </c>
      <c r="AD412" s="203">
        <v>0</v>
      </c>
      <c r="AE412" s="203">
        <v>31.03</v>
      </c>
      <c r="AF412" s="203">
        <v>-3.81</v>
      </c>
      <c r="AG412" s="200" t="s">
        <v>279</v>
      </c>
      <c r="AH412" s="203">
        <v>0</v>
      </c>
      <c r="AI412" s="200" t="s">
        <v>279</v>
      </c>
      <c r="AJ412" s="203">
        <v>0</v>
      </c>
      <c r="AK412" s="200" t="s">
        <v>279</v>
      </c>
      <c r="AL412" s="203">
        <v>0</v>
      </c>
      <c r="AM412" s="200" t="s">
        <v>279</v>
      </c>
      <c r="AN412" s="203">
        <v>0</v>
      </c>
      <c r="AO412" s="200" t="s">
        <v>279</v>
      </c>
      <c r="AP412" s="203">
        <v>0</v>
      </c>
      <c r="AQ412" s="203">
        <v>34.25</v>
      </c>
      <c r="AR412" s="203">
        <v>0</v>
      </c>
      <c r="AS412" s="200" t="str">
        <f t="shared" si="6"/>
        <v>1.00000000</v>
      </c>
      <c r="AT412" s="200" t="str">
        <f>"20.3"</f>
        <v>20.3</v>
      </c>
      <c r="AU412" s="203">
        <v>0</v>
      </c>
    </row>
    <row r="413" spans="1:47" x14ac:dyDescent="0.2">
      <c r="A413" s="200" t="str">
        <f>"0496002595734"</f>
        <v>0496002595734</v>
      </c>
      <c r="B413" s="200">
        <v>1</v>
      </c>
      <c r="C413" s="200" t="s">
        <v>435</v>
      </c>
      <c r="D413" s="200">
        <v>81</v>
      </c>
      <c r="E413" s="200">
        <v>81</v>
      </c>
      <c r="F413" s="200" t="s">
        <v>243</v>
      </c>
      <c r="G413" s="200">
        <v>2086</v>
      </c>
      <c r="H413" s="200" t="s">
        <v>270</v>
      </c>
      <c r="I413" s="200">
        <v>70870</v>
      </c>
      <c r="J413" s="201">
        <v>42712</v>
      </c>
      <c r="K413" s="202">
        <v>0.63263888888888886</v>
      </c>
      <c r="L413" s="201">
        <v>42716</v>
      </c>
      <c r="M413" s="200" t="s">
        <v>271</v>
      </c>
      <c r="N413" s="200" t="s">
        <v>837</v>
      </c>
      <c r="O413" s="200" t="s">
        <v>838</v>
      </c>
      <c r="P413" s="200" t="s">
        <v>383</v>
      </c>
      <c r="Q413" s="200" t="s">
        <v>275</v>
      </c>
      <c r="R413" s="200">
        <v>1056</v>
      </c>
      <c r="S413" s="200" t="s">
        <v>436</v>
      </c>
      <c r="T413" s="200" t="s">
        <v>435</v>
      </c>
      <c r="U413" s="200">
        <v>2086</v>
      </c>
      <c r="V413" s="200" t="s">
        <v>435</v>
      </c>
      <c r="W413" s="200" t="s">
        <v>280</v>
      </c>
      <c r="X413" s="200">
        <v>14.016</v>
      </c>
      <c r="Y413" s="203">
        <v>-0.28000000000000003</v>
      </c>
      <c r="Z413" s="203">
        <v>2.12</v>
      </c>
      <c r="AA413" s="203">
        <v>29.7</v>
      </c>
      <c r="AB413" s="203">
        <v>-2.56</v>
      </c>
      <c r="AC413" s="203">
        <v>0</v>
      </c>
      <c r="AD413" s="203">
        <v>0</v>
      </c>
      <c r="AE413" s="203">
        <v>26.86</v>
      </c>
      <c r="AF413" s="203">
        <v>-3.36</v>
      </c>
      <c r="AG413" s="200" t="s">
        <v>279</v>
      </c>
      <c r="AH413" s="203">
        <v>0</v>
      </c>
      <c r="AI413" s="200" t="s">
        <v>279</v>
      </c>
      <c r="AJ413" s="203">
        <v>0</v>
      </c>
      <c r="AK413" s="200" t="s">
        <v>279</v>
      </c>
      <c r="AL413" s="203">
        <v>0</v>
      </c>
      <c r="AM413" s="200" t="s">
        <v>279</v>
      </c>
      <c r="AN413" s="203">
        <v>0</v>
      </c>
      <c r="AO413" s="200" t="s">
        <v>279</v>
      </c>
      <c r="AP413" s="203">
        <v>0</v>
      </c>
      <c r="AQ413" s="203">
        <v>29.7</v>
      </c>
      <c r="AR413" s="203">
        <v>0</v>
      </c>
      <c r="AS413" s="200" t="str">
        <f t="shared" si="6"/>
        <v>1.00000000</v>
      </c>
      <c r="AT413" s="200" t="str">
        <f>"18.6"</f>
        <v>18.6</v>
      </c>
      <c r="AU413" s="203">
        <v>0</v>
      </c>
    </row>
    <row r="414" spans="1:47" x14ac:dyDescent="0.2">
      <c r="A414" s="200" t="str">
        <f>"0496002599173"</f>
        <v>0496002599173</v>
      </c>
      <c r="B414" s="200">
        <v>2</v>
      </c>
      <c r="C414" s="200" t="s">
        <v>585</v>
      </c>
      <c r="D414" s="200" t="s">
        <v>594</v>
      </c>
      <c r="E414" s="200" t="s">
        <v>594</v>
      </c>
      <c r="F414" s="200" t="s">
        <v>243</v>
      </c>
      <c r="G414" s="200">
        <v>5647</v>
      </c>
      <c r="H414" s="200" t="s">
        <v>270</v>
      </c>
      <c r="I414" s="200">
        <v>106613</v>
      </c>
      <c r="J414" s="201">
        <v>42712</v>
      </c>
      <c r="K414" s="202">
        <v>0.60347222222222219</v>
      </c>
      <c r="L414" s="201">
        <v>42716</v>
      </c>
      <c r="M414" s="200" t="s">
        <v>285</v>
      </c>
      <c r="N414" s="200" t="s">
        <v>794</v>
      </c>
      <c r="O414" s="200" t="s">
        <v>400</v>
      </c>
      <c r="P414" s="200" t="s">
        <v>274</v>
      </c>
      <c r="Q414" s="200" t="s">
        <v>275</v>
      </c>
      <c r="R414" s="200" t="s">
        <v>401</v>
      </c>
      <c r="S414" s="200" t="s">
        <v>436</v>
      </c>
      <c r="T414" s="200" t="s">
        <v>595</v>
      </c>
      <c r="U414" s="200">
        <v>5647</v>
      </c>
      <c r="V414" s="200" t="s">
        <v>585</v>
      </c>
      <c r="W414" s="200" t="s">
        <v>280</v>
      </c>
      <c r="X414" s="200">
        <v>22.36</v>
      </c>
      <c r="Y414" s="203">
        <v>0</v>
      </c>
      <c r="Z414" s="203">
        <v>2.17</v>
      </c>
      <c r="AA414" s="203">
        <v>48.5</v>
      </c>
      <c r="AB414" s="203">
        <v>-4.09</v>
      </c>
      <c r="AC414" s="203">
        <v>0</v>
      </c>
      <c r="AD414" s="203">
        <v>0</v>
      </c>
      <c r="AE414" s="203">
        <v>44.41</v>
      </c>
      <c r="AF414" s="203">
        <v>-5.37</v>
      </c>
      <c r="AG414" s="200" t="s">
        <v>279</v>
      </c>
      <c r="AH414" s="203">
        <v>0</v>
      </c>
      <c r="AI414" s="200" t="s">
        <v>279</v>
      </c>
      <c r="AJ414" s="203">
        <v>0</v>
      </c>
      <c r="AK414" s="200" t="s">
        <v>279</v>
      </c>
      <c r="AL414" s="203">
        <v>0</v>
      </c>
      <c r="AM414" s="200" t="s">
        <v>279</v>
      </c>
      <c r="AN414" s="203">
        <v>0</v>
      </c>
      <c r="AO414" s="200" t="s">
        <v>279</v>
      </c>
      <c r="AP414" s="203">
        <v>0</v>
      </c>
      <c r="AQ414" s="203">
        <v>48.5</v>
      </c>
      <c r="AR414" s="203">
        <v>0</v>
      </c>
      <c r="AS414" s="200" t="str">
        <f t="shared" si="6"/>
        <v>1.00000000</v>
      </c>
      <c r="AT414" s="200" t="str">
        <f>"13.1"</f>
        <v>13.1</v>
      </c>
      <c r="AU414" s="203">
        <v>0</v>
      </c>
    </row>
    <row r="415" spans="1:47" x14ac:dyDescent="0.2">
      <c r="A415" s="200" t="str">
        <f>"0496002595734"</f>
        <v>0496002595734</v>
      </c>
      <c r="B415" s="200">
        <v>2</v>
      </c>
      <c r="C415" s="200" t="s">
        <v>435</v>
      </c>
      <c r="D415" s="200">
        <v>80</v>
      </c>
      <c r="E415" s="200">
        <v>80</v>
      </c>
      <c r="F415" s="200" t="s">
        <v>243</v>
      </c>
      <c r="G415" s="200">
        <v>2086</v>
      </c>
      <c r="H415" s="200" t="s">
        <v>270</v>
      </c>
      <c r="I415" s="200">
        <v>76558</v>
      </c>
      <c r="J415" s="201">
        <v>42713</v>
      </c>
      <c r="K415" s="202">
        <v>0.76333333333333331</v>
      </c>
      <c r="L415" s="201">
        <v>42717</v>
      </c>
      <c r="M415" s="200" t="s">
        <v>340</v>
      </c>
      <c r="N415" s="200" t="s">
        <v>341</v>
      </c>
      <c r="O415" s="200" t="s">
        <v>342</v>
      </c>
      <c r="P415" s="200" t="s">
        <v>343</v>
      </c>
      <c r="Q415" s="200" t="s">
        <v>275</v>
      </c>
      <c r="R415" s="200">
        <v>1035</v>
      </c>
      <c r="S415" s="200" t="s">
        <v>436</v>
      </c>
      <c r="T415" s="200" t="s">
        <v>435</v>
      </c>
      <c r="U415" s="200">
        <v>2086</v>
      </c>
      <c r="V415" s="200" t="s">
        <v>435</v>
      </c>
      <c r="W415" s="200" t="s">
        <v>280</v>
      </c>
      <c r="X415" s="200">
        <v>3.6869999999999998</v>
      </c>
      <c r="Y415" s="203">
        <v>0</v>
      </c>
      <c r="Z415" s="203">
        <v>2.17</v>
      </c>
      <c r="AA415" s="203">
        <v>8</v>
      </c>
      <c r="AB415" s="203">
        <v>-0.67</v>
      </c>
      <c r="AC415" s="203">
        <v>0</v>
      </c>
      <c r="AD415" s="203">
        <v>0</v>
      </c>
      <c r="AE415" s="203">
        <v>7.33</v>
      </c>
      <c r="AF415" s="203">
        <v>-0.88</v>
      </c>
      <c r="AG415" s="200" t="s">
        <v>279</v>
      </c>
      <c r="AH415" s="203">
        <v>0</v>
      </c>
      <c r="AI415" s="200" t="s">
        <v>279</v>
      </c>
      <c r="AJ415" s="203">
        <v>0</v>
      </c>
      <c r="AK415" s="200" t="s">
        <v>279</v>
      </c>
      <c r="AL415" s="203">
        <v>0</v>
      </c>
      <c r="AM415" s="200" t="s">
        <v>279</v>
      </c>
      <c r="AN415" s="203">
        <v>0</v>
      </c>
      <c r="AO415" s="200" t="s">
        <v>279</v>
      </c>
      <c r="AP415" s="203">
        <v>0</v>
      </c>
      <c r="AQ415" s="203">
        <v>8</v>
      </c>
      <c r="AR415" s="203">
        <v>0</v>
      </c>
      <c r="AS415" s="200" t="str">
        <f t="shared" si="6"/>
        <v>1.00000000</v>
      </c>
      <c r="AT415" s="200" t="str">
        <f>"35.5"</f>
        <v>35.5</v>
      </c>
      <c r="AU415" s="203">
        <v>0</v>
      </c>
    </row>
    <row r="416" spans="1:47" x14ac:dyDescent="0.2">
      <c r="A416" s="200" t="str">
        <f>"0496002595833"</f>
        <v>0496002595833</v>
      </c>
      <c r="B416" s="200">
        <v>1</v>
      </c>
      <c r="C416" s="200" t="s">
        <v>571</v>
      </c>
      <c r="D416" s="200" t="s">
        <v>571</v>
      </c>
      <c r="E416" s="200" t="s">
        <v>572</v>
      </c>
      <c r="F416" s="200" t="s">
        <v>243</v>
      </c>
      <c r="G416" s="200">
        <v>2328</v>
      </c>
      <c r="H416" s="200" t="s">
        <v>270</v>
      </c>
      <c r="I416" s="200">
        <v>54363</v>
      </c>
      <c r="J416" s="201">
        <v>42713</v>
      </c>
      <c r="K416" s="202">
        <v>0.35372685185185188</v>
      </c>
      <c r="L416" s="201">
        <v>42717</v>
      </c>
      <c r="M416" s="200" t="s">
        <v>384</v>
      </c>
      <c r="N416" s="200" t="s">
        <v>385</v>
      </c>
      <c r="O416" s="200" t="s">
        <v>386</v>
      </c>
      <c r="P416" s="200" t="s">
        <v>343</v>
      </c>
      <c r="Q416" s="200" t="s">
        <v>275</v>
      </c>
      <c r="R416" s="200" t="s">
        <v>387</v>
      </c>
      <c r="S416" s="200" t="s">
        <v>436</v>
      </c>
      <c r="T416" s="200" t="s">
        <v>571</v>
      </c>
      <c r="U416" s="200">
        <v>2328</v>
      </c>
      <c r="V416" s="200" t="s">
        <v>571</v>
      </c>
      <c r="W416" s="200" t="s">
        <v>280</v>
      </c>
      <c r="X416" s="200">
        <v>10.823</v>
      </c>
      <c r="Y416" s="203">
        <v>0</v>
      </c>
      <c r="Z416" s="203">
        <v>2.17</v>
      </c>
      <c r="AA416" s="203">
        <v>23.48</v>
      </c>
      <c r="AB416" s="203">
        <v>-1.98</v>
      </c>
      <c r="AC416" s="203">
        <v>0</v>
      </c>
      <c r="AD416" s="203">
        <v>0</v>
      </c>
      <c r="AE416" s="203">
        <v>21.5</v>
      </c>
      <c r="AF416" s="203">
        <v>-2.6</v>
      </c>
      <c r="AG416" s="200" t="s">
        <v>279</v>
      </c>
      <c r="AH416" s="203">
        <v>0</v>
      </c>
      <c r="AI416" s="200" t="s">
        <v>279</v>
      </c>
      <c r="AJ416" s="203">
        <v>0</v>
      </c>
      <c r="AK416" s="200" t="s">
        <v>279</v>
      </c>
      <c r="AL416" s="203">
        <v>0</v>
      </c>
      <c r="AM416" s="200" t="s">
        <v>279</v>
      </c>
      <c r="AN416" s="203">
        <v>0</v>
      </c>
      <c r="AO416" s="200" t="s">
        <v>279</v>
      </c>
      <c r="AP416" s="203">
        <v>0</v>
      </c>
      <c r="AQ416" s="203">
        <v>23.48</v>
      </c>
      <c r="AR416" s="203">
        <v>0</v>
      </c>
      <c r="AS416" s="200" t="str">
        <f t="shared" si="6"/>
        <v>1.00000000</v>
      </c>
      <c r="AT416" s="200" t="str">
        <f>"53.3"</f>
        <v>53.3</v>
      </c>
      <c r="AU416" s="203">
        <v>0</v>
      </c>
    </row>
    <row r="417" spans="1:47" x14ac:dyDescent="0.2">
      <c r="A417" s="200" t="str">
        <f>"0496002595700"</f>
        <v>0496002595700</v>
      </c>
      <c r="B417" s="200">
        <v>1</v>
      </c>
      <c r="C417" s="200" t="s">
        <v>156</v>
      </c>
      <c r="D417" s="200" t="s">
        <v>269</v>
      </c>
      <c r="E417" s="200" t="s">
        <v>269</v>
      </c>
      <c r="F417" s="200" t="s">
        <v>243</v>
      </c>
      <c r="G417" s="200">
        <v>2262</v>
      </c>
      <c r="H417" s="200" t="s">
        <v>270</v>
      </c>
      <c r="I417" s="200">
        <v>786500</v>
      </c>
      <c r="J417" s="201">
        <v>42714</v>
      </c>
      <c r="K417" s="202">
        <v>0.8979166666666667</v>
      </c>
      <c r="L417" s="201">
        <v>42717</v>
      </c>
      <c r="M417" s="200" t="s">
        <v>271</v>
      </c>
      <c r="N417" s="200" t="s">
        <v>272</v>
      </c>
      <c r="O417" s="200" t="s">
        <v>273</v>
      </c>
      <c r="P417" s="200" t="s">
        <v>274</v>
      </c>
      <c r="Q417" s="200" t="s">
        <v>275</v>
      </c>
      <c r="R417" s="200" t="s">
        <v>276</v>
      </c>
      <c r="S417" s="200" t="s">
        <v>156</v>
      </c>
      <c r="T417" s="200" t="s">
        <v>277</v>
      </c>
      <c r="U417" s="200">
        <v>2262</v>
      </c>
      <c r="V417" s="200" t="s">
        <v>156</v>
      </c>
      <c r="W417" s="200" t="s">
        <v>278</v>
      </c>
      <c r="X417" s="200">
        <v>5.7430000000000003</v>
      </c>
      <c r="Y417" s="203">
        <v>-0.11</v>
      </c>
      <c r="Z417" s="203">
        <v>2.61</v>
      </c>
      <c r="AA417" s="203">
        <v>14.98</v>
      </c>
      <c r="AB417" s="203">
        <v>-1.05</v>
      </c>
      <c r="AC417" s="203">
        <v>0</v>
      </c>
      <c r="AD417" s="203">
        <v>0</v>
      </c>
      <c r="AE417" s="203">
        <v>13.82</v>
      </c>
      <c r="AF417" s="203">
        <v>-1.38</v>
      </c>
      <c r="AG417" s="200" t="s">
        <v>279</v>
      </c>
      <c r="AH417" s="203">
        <v>0</v>
      </c>
      <c r="AI417" s="200" t="s">
        <v>279</v>
      </c>
      <c r="AJ417" s="203">
        <v>0</v>
      </c>
      <c r="AK417" s="200" t="s">
        <v>279</v>
      </c>
      <c r="AL417" s="203">
        <v>0</v>
      </c>
      <c r="AM417" s="200" t="s">
        <v>279</v>
      </c>
      <c r="AN417" s="203">
        <v>0</v>
      </c>
      <c r="AO417" s="200" t="s">
        <v>279</v>
      </c>
      <c r="AP417" s="203">
        <v>0</v>
      </c>
      <c r="AQ417" s="203">
        <v>14.98</v>
      </c>
      <c r="AR417" s="203">
        <v>0</v>
      </c>
      <c r="AS417" s="200" t="str">
        <f t="shared" si="6"/>
        <v>1.00000000</v>
      </c>
      <c r="AT417" s="200" t="str">
        <f>"135582.3"</f>
        <v>135582.3</v>
      </c>
      <c r="AU417" s="203">
        <v>0</v>
      </c>
    </row>
    <row r="418" spans="1:47" x14ac:dyDescent="0.2">
      <c r="A418" s="200" t="str">
        <f>"0496002595734"</f>
        <v>0496002595734</v>
      </c>
      <c r="B418" s="200">
        <v>2</v>
      </c>
      <c r="C418" s="200" t="s">
        <v>435</v>
      </c>
      <c r="D418" s="200">
        <v>80</v>
      </c>
      <c r="E418" s="200">
        <v>80</v>
      </c>
      <c r="F418" s="200" t="s">
        <v>243</v>
      </c>
      <c r="G418" s="200">
        <v>2086</v>
      </c>
      <c r="H418" s="200" t="s">
        <v>270</v>
      </c>
      <c r="I418" s="200">
        <v>76563</v>
      </c>
      <c r="J418" s="201">
        <v>42714</v>
      </c>
      <c r="K418" s="202">
        <v>0.41944444444444445</v>
      </c>
      <c r="L418" s="201">
        <v>42717</v>
      </c>
      <c r="M418" s="200" t="s">
        <v>271</v>
      </c>
      <c r="N418" s="200" t="s">
        <v>272</v>
      </c>
      <c r="O418" s="200" t="s">
        <v>273</v>
      </c>
      <c r="P418" s="200" t="s">
        <v>274</v>
      </c>
      <c r="Q418" s="200" t="s">
        <v>275</v>
      </c>
      <c r="R418" s="200" t="s">
        <v>276</v>
      </c>
      <c r="S418" s="200" t="s">
        <v>436</v>
      </c>
      <c r="T418" s="200" t="s">
        <v>435</v>
      </c>
      <c r="U418" s="200">
        <v>2086</v>
      </c>
      <c r="V418" s="200" t="s">
        <v>435</v>
      </c>
      <c r="W418" s="200" t="s">
        <v>280</v>
      </c>
      <c r="X418" s="200">
        <v>9.1750000000000007</v>
      </c>
      <c r="Y418" s="203">
        <v>-0.18</v>
      </c>
      <c r="Z418" s="203">
        <v>2.16</v>
      </c>
      <c r="AA418" s="203">
        <v>19.809999999999999</v>
      </c>
      <c r="AB418" s="203">
        <v>-1.68</v>
      </c>
      <c r="AC418" s="203">
        <v>0</v>
      </c>
      <c r="AD418" s="203">
        <v>0</v>
      </c>
      <c r="AE418" s="203">
        <v>17.95</v>
      </c>
      <c r="AF418" s="203">
        <v>-2.2000000000000002</v>
      </c>
      <c r="AG418" s="200" t="s">
        <v>279</v>
      </c>
      <c r="AH418" s="203">
        <v>0</v>
      </c>
      <c r="AI418" s="200" t="s">
        <v>279</v>
      </c>
      <c r="AJ418" s="203">
        <v>0</v>
      </c>
      <c r="AK418" s="200" t="s">
        <v>279</v>
      </c>
      <c r="AL418" s="203">
        <v>0</v>
      </c>
      <c r="AM418" s="200" t="s">
        <v>279</v>
      </c>
      <c r="AN418" s="203">
        <v>0</v>
      </c>
      <c r="AO418" s="200" t="s">
        <v>279</v>
      </c>
      <c r="AP418" s="203">
        <v>0</v>
      </c>
      <c r="AQ418" s="203">
        <v>19.809999999999999</v>
      </c>
      <c r="AR418" s="203">
        <v>0</v>
      </c>
      <c r="AS418" s="200" t="str">
        <f t="shared" si="6"/>
        <v>1.00000000</v>
      </c>
      <c r="AT418" s="200" t="str">
        <f>"35.6"</f>
        <v>35.6</v>
      </c>
      <c r="AU418" s="203">
        <v>0</v>
      </c>
    </row>
    <row r="419" spans="1:47" x14ac:dyDescent="0.2">
      <c r="A419" s="200" t="str">
        <f>"0496002599173"</f>
        <v>0496002599173</v>
      </c>
      <c r="B419" s="200">
        <v>3</v>
      </c>
      <c r="C419" s="200" t="s">
        <v>585</v>
      </c>
      <c r="D419" s="200" t="s">
        <v>628</v>
      </c>
      <c r="E419" s="200" t="s">
        <v>628</v>
      </c>
      <c r="F419" s="200" t="s">
        <v>243</v>
      </c>
      <c r="G419" s="200">
        <v>5738</v>
      </c>
      <c r="H419" s="200" t="s">
        <v>270</v>
      </c>
      <c r="I419" s="200">
        <v>114691</v>
      </c>
      <c r="J419" s="201">
        <v>42714</v>
      </c>
      <c r="K419" s="202">
        <v>0.37106481481481479</v>
      </c>
      <c r="L419" s="201">
        <v>42717</v>
      </c>
      <c r="M419" s="200" t="s">
        <v>340</v>
      </c>
      <c r="N419" s="200" t="s">
        <v>341</v>
      </c>
      <c r="O419" s="200" t="s">
        <v>342</v>
      </c>
      <c r="P419" s="200" t="s">
        <v>343</v>
      </c>
      <c r="Q419" s="200" t="s">
        <v>275</v>
      </c>
      <c r="R419" s="200">
        <v>1035</v>
      </c>
      <c r="S419" s="200" t="s">
        <v>436</v>
      </c>
      <c r="T419" s="200" t="s">
        <v>630</v>
      </c>
      <c r="U419" s="200">
        <v>5738</v>
      </c>
      <c r="V419" s="200" t="s">
        <v>585</v>
      </c>
      <c r="W419" s="200" t="s">
        <v>280</v>
      </c>
      <c r="X419" s="200">
        <v>26.501999999999999</v>
      </c>
      <c r="Y419" s="203">
        <v>0</v>
      </c>
      <c r="Z419" s="203">
        <v>2.17</v>
      </c>
      <c r="AA419" s="203">
        <v>57.48</v>
      </c>
      <c r="AB419" s="203">
        <v>-4.8499999999999996</v>
      </c>
      <c r="AC419" s="203">
        <v>0</v>
      </c>
      <c r="AD419" s="203">
        <v>0</v>
      </c>
      <c r="AE419" s="203">
        <v>52.63</v>
      </c>
      <c r="AF419" s="203">
        <v>-6.36</v>
      </c>
      <c r="AG419" s="200" t="s">
        <v>279</v>
      </c>
      <c r="AH419" s="203">
        <v>0</v>
      </c>
      <c r="AI419" s="200" t="s">
        <v>279</v>
      </c>
      <c r="AJ419" s="203">
        <v>0</v>
      </c>
      <c r="AK419" s="200" t="s">
        <v>279</v>
      </c>
      <c r="AL419" s="203">
        <v>0</v>
      </c>
      <c r="AM419" s="200" t="s">
        <v>279</v>
      </c>
      <c r="AN419" s="203">
        <v>0</v>
      </c>
      <c r="AO419" s="200" t="s">
        <v>279</v>
      </c>
      <c r="AP419" s="203">
        <v>0</v>
      </c>
      <c r="AQ419" s="203">
        <v>57.48</v>
      </c>
      <c r="AR419" s="203">
        <v>0</v>
      </c>
      <c r="AS419" s="200" t="str">
        <f t="shared" si="6"/>
        <v>1.00000000</v>
      </c>
      <c r="AT419" s="200" t="str">
        <f>"12.7"</f>
        <v>12.7</v>
      </c>
      <c r="AU419" s="203">
        <v>0</v>
      </c>
    </row>
    <row r="420" spans="1:47" x14ac:dyDescent="0.2">
      <c r="A420" s="200" t="str">
        <f>"0496002595734"</f>
        <v>0496002595734</v>
      </c>
      <c r="B420" s="200">
        <v>2</v>
      </c>
      <c r="C420" s="200" t="s">
        <v>435</v>
      </c>
      <c r="D420" s="200">
        <v>80</v>
      </c>
      <c r="E420" s="200">
        <v>80</v>
      </c>
      <c r="F420" s="200" t="s">
        <v>243</v>
      </c>
      <c r="G420" s="200">
        <v>2086</v>
      </c>
      <c r="H420" s="200" t="s">
        <v>270</v>
      </c>
      <c r="I420" s="200">
        <v>76768</v>
      </c>
      <c r="J420" s="201">
        <v>42715</v>
      </c>
      <c r="K420" s="202">
        <v>0.83750000000000002</v>
      </c>
      <c r="L420" s="201">
        <v>42717</v>
      </c>
      <c r="M420" s="200" t="s">
        <v>271</v>
      </c>
      <c r="N420" s="200" t="s">
        <v>352</v>
      </c>
      <c r="O420" s="200" t="s">
        <v>353</v>
      </c>
      <c r="P420" s="200" t="s">
        <v>343</v>
      </c>
      <c r="Q420" s="200" t="s">
        <v>275</v>
      </c>
      <c r="R420" s="200">
        <v>1035</v>
      </c>
      <c r="S420" s="200" t="s">
        <v>436</v>
      </c>
      <c r="T420" s="200" t="s">
        <v>435</v>
      </c>
      <c r="U420" s="200">
        <v>2086</v>
      </c>
      <c r="V420" s="200" t="s">
        <v>435</v>
      </c>
      <c r="W420" s="200" t="s">
        <v>280</v>
      </c>
      <c r="X420" s="200">
        <v>5.7759999999999998</v>
      </c>
      <c r="Y420" s="203">
        <v>-0.12</v>
      </c>
      <c r="Z420" s="203">
        <v>2.17</v>
      </c>
      <c r="AA420" s="203">
        <v>12.53</v>
      </c>
      <c r="AB420" s="203">
        <v>-1.06</v>
      </c>
      <c r="AC420" s="203">
        <v>0</v>
      </c>
      <c r="AD420" s="203">
        <v>0</v>
      </c>
      <c r="AE420" s="203">
        <v>11.35</v>
      </c>
      <c r="AF420" s="203">
        <v>-1.39</v>
      </c>
      <c r="AG420" s="200" t="s">
        <v>279</v>
      </c>
      <c r="AH420" s="203">
        <v>0</v>
      </c>
      <c r="AI420" s="200" t="s">
        <v>279</v>
      </c>
      <c r="AJ420" s="203">
        <v>0</v>
      </c>
      <c r="AK420" s="200" t="s">
        <v>279</v>
      </c>
      <c r="AL420" s="203">
        <v>0</v>
      </c>
      <c r="AM420" s="200" t="s">
        <v>279</v>
      </c>
      <c r="AN420" s="203">
        <v>0</v>
      </c>
      <c r="AO420" s="200" t="s">
        <v>279</v>
      </c>
      <c r="AP420" s="203">
        <v>0</v>
      </c>
      <c r="AQ420" s="203">
        <v>12.53</v>
      </c>
      <c r="AR420" s="203">
        <v>0</v>
      </c>
      <c r="AS420" s="200" t="str">
        <f t="shared" si="6"/>
        <v>1.00000000</v>
      </c>
      <c r="AT420" s="200" t="str">
        <f>"35.5"</f>
        <v>35.5</v>
      </c>
      <c r="AU420" s="203">
        <v>0</v>
      </c>
    </row>
    <row r="421" spans="1:47" x14ac:dyDescent="0.2">
      <c r="A421" s="200" t="str">
        <f>"0496002595700"</f>
        <v>0496002595700</v>
      </c>
      <c r="B421" s="200">
        <v>8</v>
      </c>
      <c r="C421" s="200" t="s">
        <v>156</v>
      </c>
      <c r="D421" s="200" t="s">
        <v>414</v>
      </c>
      <c r="E421" s="200">
        <v>47</v>
      </c>
      <c r="F421" s="200" t="s">
        <v>243</v>
      </c>
      <c r="G421" s="200">
        <v>2262</v>
      </c>
      <c r="H421" s="200" t="s">
        <v>270</v>
      </c>
      <c r="I421" s="200">
        <v>24576</v>
      </c>
      <c r="J421" s="201">
        <v>42716</v>
      </c>
      <c r="K421" s="202">
        <v>0.3215277777777778</v>
      </c>
      <c r="L421" s="201">
        <v>42718</v>
      </c>
      <c r="M421" s="200" t="s">
        <v>302</v>
      </c>
      <c r="N421" s="200" t="s">
        <v>303</v>
      </c>
      <c r="O421" s="200" t="s">
        <v>304</v>
      </c>
      <c r="P421" s="200" t="s">
        <v>297</v>
      </c>
      <c r="Q421" s="200" t="s">
        <v>275</v>
      </c>
      <c r="R421" s="200">
        <v>2021</v>
      </c>
      <c r="S421" s="200" t="s">
        <v>156</v>
      </c>
      <c r="T421" s="200" t="s">
        <v>277</v>
      </c>
      <c r="U421" s="200">
        <v>2262</v>
      </c>
      <c r="V421" s="200" t="s">
        <v>156</v>
      </c>
      <c r="W421" s="200" t="s">
        <v>280</v>
      </c>
      <c r="X421" s="200">
        <v>9.6050000000000004</v>
      </c>
      <c r="Y421" s="203">
        <v>0</v>
      </c>
      <c r="Z421" s="203">
        <v>2.2000000000000002</v>
      </c>
      <c r="AA421" s="203">
        <v>21.12</v>
      </c>
      <c r="AB421" s="203">
        <v>-1.76</v>
      </c>
      <c r="AC421" s="203">
        <v>0</v>
      </c>
      <c r="AD421" s="203">
        <v>0</v>
      </c>
      <c r="AE421" s="203">
        <v>19.36</v>
      </c>
      <c r="AF421" s="203">
        <v>-2.31</v>
      </c>
      <c r="AG421" s="200" t="s">
        <v>279</v>
      </c>
      <c r="AH421" s="203">
        <v>0</v>
      </c>
      <c r="AI421" s="200" t="s">
        <v>279</v>
      </c>
      <c r="AJ421" s="203">
        <v>0</v>
      </c>
      <c r="AK421" s="200" t="s">
        <v>279</v>
      </c>
      <c r="AL421" s="203">
        <v>0</v>
      </c>
      <c r="AM421" s="200" t="s">
        <v>279</v>
      </c>
      <c r="AN421" s="203">
        <v>0</v>
      </c>
      <c r="AO421" s="200" t="s">
        <v>279</v>
      </c>
      <c r="AP421" s="203">
        <v>0</v>
      </c>
      <c r="AQ421" s="203">
        <v>21.12</v>
      </c>
      <c r="AR421" s="203">
        <v>0</v>
      </c>
      <c r="AS421" s="200" t="str">
        <f t="shared" si="6"/>
        <v>1.00000000</v>
      </c>
      <c r="AT421" s="200" t="str">
        <f>"26.4"</f>
        <v>26.4</v>
      </c>
      <c r="AU421" s="203">
        <v>0</v>
      </c>
    </row>
    <row r="422" spans="1:47" x14ac:dyDescent="0.2">
      <c r="A422" s="200" t="str">
        <f>"0496002599173"</f>
        <v>0496002599173</v>
      </c>
      <c r="B422" s="200">
        <v>1</v>
      </c>
      <c r="C422" s="200" t="s">
        <v>585</v>
      </c>
      <c r="D422" s="200" t="s">
        <v>586</v>
      </c>
      <c r="E422" s="200" t="s">
        <v>586</v>
      </c>
      <c r="F422" s="200" t="s">
        <v>243</v>
      </c>
      <c r="G422" s="200">
        <v>5314</v>
      </c>
      <c r="H422" s="200" t="s">
        <v>270</v>
      </c>
      <c r="I422" s="200">
        <v>62758</v>
      </c>
      <c r="J422" s="201">
        <v>42716</v>
      </c>
      <c r="K422" s="202">
        <v>0.50694444444444442</v>
      </c>
      <c r="L422" s="201">
        <v>42718</v>
      </c>
      <c r="M422" s="200" t="s">
        <v>285</v>
      </c>
      <c r="N422" s="200" t="s">
        <v>399</v>
      </c>
      <c r="O422" s="200" t="s">
        <v>400</v>
      </c>
      <c r="P422" s="200" t="s">
        <v>274</v>
      </c>
      <c r="Q422" s="200" t="s">
        <v>275</v>
      </c>
      <c r="R422" s="200" t="s">
        <v>401</v>
      </c>
      <c r="S422" s="200" t="s">
        <v>436</v>
      </c>
      <c r="T422" s="200" t="s">
        <v>587</v>
      </c>
      <c r="U422" s="200">
        <v>5314</v>
      </c>
      <c r="V422" s="200" t="s">
        <v>585</v>
      </c>
      <c r="W422" s="200" t="s">
        <v>280</v>
      </c>
      <c r="X422" s="200">
        <v>23.053000000000001</v>
      </c>
      <c r="Y422" s="203">
        <v>0</v>
      </c>
      <c r="Z422" s="203">
        <v>2.17</v>
      </c>
      <c r="AA422" s="203">
        <v>50</v>
      </c>
      <c r="AB422" s="203">
        <v>-4.22</v>
      </c>
      <c r="AC422" s="203">
        <v>0</v>
      </c>
      <c r="AD422" s="203">
        <v>0</v>
      </c>
      <c r="AE422" s="203">
        <v>45.78</v>
      </c>
      <c r="AF422" s="203">
        <v>-5.53</v>
      </c>
      <c r="AG422" s="200" t="s">
        <v>279</v>
      </c>
      <c r="AH422" s="203">
        <v>0</v>
      </c>
      <c r="AI422" s="200" t="s">
        <v>279</v>
      </c>
      <c r="AJ422" s="203">
        <v>0</v>
      </c>
      <c r="AK422" s="200" t="s">
        <v>279</v>
      </c>
      <c r="AL422" s="203">
        <v>0</v>
      </c>
      <c r="AM422" s="200" t="s">
        <v>279</v>
      </c>
      <c r="AN422" s="203">
        <v>0</v>
      </c>
      <c r="AO422" s="200" t="s">
        <v>279</v>
      </c>
      <c r="AP422" s="203">
        <v>0</v>
      </c>
      <c r="AQ422" s="203">
        <v>50</v>
      </c>
      <c r="AR422" s="203">
        <v>0</v>
      </c>
      <c r="AS422" s="200" t="str">
        <f t="shared" si="6"/>
        <v>1.00000000</v>
      </c>
      <c r="AT422" s="200" t="str">
        <f>"12.8"</f>
        <v>12.8</v>
      </c>
      <c r="AU422" s="203">
        <v>0</v>
      </c>
    </row>
    <row r="423" spans="1:47" x14ac:dyDescent="0.2">
      <c r="A423" s="200" t="str">
        <f>"0496002595734"</f>
        <v>0496002595734</v>
      </c>
      <c r="B423" s="200">
        <v>1</v>
      </c>
      <c r="C423" s="200" t="s">
        <v>435</v>
      </c>
      <c r="D423" s="200">
        <v>81</v>
      </c>
      <c r="E423" s="200">
        <v>81</v>
      </c>
      <c r="F423" s="200" t="s">
        <v>243</v>
      </c>
      <c r="G423" s="200">
        <v>2086</v>
      </c>
      <c r="H423" s="200" t="s">
        <v>270</v>
      </c>
      <c r="I423" s="200">
        <v>71025</v>
      </c>
      <c r="J423" s="201">
        <v>42717</v>
      </c>
      <c r="K423" s="202">
        <v>0.35032407407407407</v>
      </c>
      <c r="L423" s="201">
        <v>42719</v>
      </c>
      <c r="M423" s="200" t="s">
        <v>384</v>
      </c>
      <c r="N423" s="200" t="s">
        <v>385</v>
      </c>
      <c r="O423" s="200" t="s">
        <v>386</v>
      </c>
      <c r="P423" s="200" t="s">
        <v>343</v>
      </c>
      <c r="Q423" s="200" t="s">
        <v>275</v>
      </c>
      <c r="R423" s="200" t="s">
        <v>387</v>
      </c>
      <c r="S423" s="200" t="s">
        <v>436</v>
      </c>
      <c r="T423" s="200" t="s">
        <v>435</v>
      </c>
      <c r="U423" s="200">
        <v>2086</v>
      </c>
      <c r="V423" s="200" t="s">
        <v>435</v>
      </c>
      <c r="W423" s="200" t="s">
        <v>280</v>
      </c>
      <c r="X423" s="200">
        <v>10.79</v>
      </c>
      <c r="Y423" s="203">
        <v>0</v>
      </c>
      <c r="Z423" s="203">
        <v>2.17</v>
      </c>
      <c r="AA423" s="203">
        <v>23.4</v>
      </c>
      <c r="AB423" s="203">
        <v>-1.97</v>
      </c>
      <c r="AC423" s="203">
        <v>0</v>
      </c>
      <c r="AD423" s="203">
        <v>0</v>
      </c>
      <c r="AE423" s="203">
        <v>21.43</v>
      </c>
      <c r="AF423" s="203">
        <v>-2.59</v>
      </c>
      <c r="AG423" s="200" t="s">
        <v>279</v>
      </c>
      <c r="AH423" s="203">
        <v>0</v>
      </c>
      <c r="AI423" s="200" t="s">
        <v>279</v>
      </c>
      <c r="AJ423" s="203">
        <v>0</v>
      </c>
      <c r="AK423" s="200" t="s">
        <v>279</v>
      </c>
      <c r="AL423" s="203">
        <v>0</v>
      </c>
      <c r="AM423" s="200" t="s">
        <v>279</v>
      </c>
      <c r="AN423" s="203">
        <v>0</v>
      </c>
      <c r="AO423" s="200" t="s">
        <v>279</v>
      </c>
      <c r="AP423" s="203">
        <v>0</v>
      </c>
      <c r="AQ423" s="203">
        <v>23.4</v>
      </c>
      <c r="AR423" s="203">
        <v>0</v>
      </c>
      <c r="AS423" s="200" t="str">
        <f t="shared" si="6"/>
        <v>1.00000000</v>
      </c>
      <c r="AT423" s="200" t="str">
        <f>"19.8"</f>
        <v>19.8</v>
      </c>
      <c r="AU423" s="203">
        <v>0</v>
      </c>
    </row>
    <row r="424" spans="1:47" x14ac:dyDescent="0.2">
      <c r="A424" s="200" t="str">
        <f>"0496002595734"</f>
        <v>0496002595734</v>
      </c>
      <c r="B424" s="200">
        <v>1</v>
      </c>
      <c r="C424" s="200" t="s">
        <v>435</v>
      </c>
      <c r="D424" s="200">
        <v>81</v>
      </c>
      <c r="E424" s="200">
        <v>81</v>
      </c>
      <c r="F424" s="200" t="s">
        <v>243</v>
      </c>
      <c r="G424" s="200">
        <v>2086</v>
      </c>
      <c r="H424" s="200" t="s">
        <v>270</v>
      </c>
      <c r="I424" s="200">
        <v>71300</v>
      </c>
      <c r="J424" s="201">
        <v>42717</v>
      </c>
      <c r="K424" s="202">
        <v>0.8666666666666667</v>
      </c>
      <c r="L424" s="201">
        <v>42719</v>
      </c>
      <c r="M424" s="200" t="s">
        <v>775</v>
      </c>
      <c r="N424" s="200" t="s">
        <v>839</v>
      </c>
      <c r="O424" s="200" t="s">
        <v>840</v>
      </c>
      <c r="P424" s="200" t="s">
        <v>841</v>
      </c>
      <c r="Q424" s="200" t="s">
        <v>289</v>
      </c>
      <c r="R424" s="200">
        <v>8810</v>
      </c>
      <c r="S424" s="200" t="s">
        <v>436</v>
      </c>
      <c r="T424" s="200" t="s">
        <v>435</v>
      </c>
      <c r="U424" s="200">
        <v>2086</v>
      </c>
      <c r="V424" s="200" t="s">
        <v>435</v>
      </c>
      <c r="W424" s="200" t="s">
        <v>330</v>
      </c>
      <c r="X424" s="200">
        <v>13.27</v>
      </c>
      <c r="Y424" s="203">
        <v>0</v>
      </c>
      <c r="Z424" s="203">
        <v>2.38</v>
      </c>
      <c r="AA424" s="203">
        <v>31.57</v>
      </c>
      <c r="AB424" s="203">
        <v>-2.4300000000000002</v>
      </c>
      <c r="AC424" s="203">
        <v>0</v>
      </c>
      <c r="AD424" s="203">
        <v>0</v>
      </c>
      <c r="AE424" s="203">
        <v>29.14</v>
      </c>
      <c r="AF424" s="203">
        <v>-4.92</v>
      </c>
      <c r="AG424" s="200" t="s">
        <v>279</v>
      </c>
      <c r="AH424" s="203">
        <v>0</v>
      </c>
      <c r="AI424" s="200" t="s">
        <v>279</v>
      </c>
      <c r="AJ424" s="203">
        <v>0</v>
      </c>
      <c r="AK424" s="200" t="s">
        <v>279</v>
      </c>
      <c r="AL424" s="203">
        <v>0</v>
      </c>
      <c r="AM424" s="200" t="s">
        <v>279</v>
      </c>
      <c r="AN424" s="203">
        <v>0</v>
      </c>
      <c r="AO424" s="200" t="s">
        <v>279</v>
      </c>
      <c r="AP424" s="203">
        <v>0</v>
      </c>
      <c r="AQ424" s="203">
        <v>31.57</v>
      </c>
      <c r="AR424" s="203">
        <v>0</v>
      </c>
      <c r="AS424" s="200" t="str">
        <f t="shared" si="6"/>
        <v>1.00000000</v>
      </c>
      <c r="AT424" s="200" t="str">
        <f>"20.7"</f>
        <v>20.7</v>
      </c>
      <c r="AU424" s="203">
        <v>0</v>
      </c>
    </row>
    <row r="425" spans="1:47" x14ac:dyDescent="0.2">
      <c r="A425" s="200" t="str">
        <f>"0496002595734"</f>
        <v>0496002595734</v>
      </c>
      <c r="B425" s="200">
        <v>3</v>
      </c>
      <c r="C425" s="200" t="s">
        <v>435</v>
      </c>
      <c r="D425" s="200">
        <v>82</v>
      </c>
      <c r="E425" s="200">
        <v>82</v>
      </c>
      <c r="F425" s="200" t="s">
        <v>243</v>
      </c>
      <c r="G425" s="200">
        <v>2086</v>
      </c>
      <c r="H425" s="200" t="s">
        <v>270</v>
      </c>
      <c r="I425" s="200">
        <v>56723</v>
      </c>
      <c r="J425" s="201">
        <v>42717</v>
      </c>
      <c r="K425" s="202">
        <v>0.57638888888888895</v>
      </c>
      <c r="L425" s="201">
        <v>42719</v>
      </c>
      <c r="M425" s="200" t="s">
        <v>271</v>
      </c>
      <c r="N425" s="200" t="s">
        <v>272</v>
      </c>
      <c r="O425" s="200" t="s">
        <v>273</v>
      </c>
      <c r="P425" s="200" t="s">
        <v>274</v>
      </c>
      <c r="Q425" s="200" t="s">
        <v>275</v>
      </c>
      <c r="R425" s="200" t="s">
        <v>276</v>
      </c>
      <c r="S425" s="200" t="s">
        <v>436</v>
      </c>
      <c r="T425" s="200" t="s">
        <v>435</v>
      </c>
      <c r="U425" s="200">
        <v>2086</v>
      </c>
      <c r="V425" s="200" t="s">
        <v>435</v>
      </c>
      <c r="W425" s="200" t="s">
        <v>280</v>
      </c>
      <c r="X425" s="200">
        <v>12.584</v>
      </c>
      <c r="Y425" s="203">
        <v>-0.25</v>
      </c>
      <c r="Z425" s="203">
        <v>2.16</v>
      </c>
      <c r="AA425" s="203">
        <v>27.17</v>
      </c>
      <c r="AB425" s="203">
        <v>-2.2999999999999998</v>
      </c>
      <c r="AC425" s="203">
        <v>0</v>
      </c>
      <c r="AD425" s="203">
        <v>0</v>
      </c>
      <c r="AE425" s="203">
        <v>24.62</v>
      </c>
      <c r="AF425" s="203">
        <v>-3.02</v>
      </c>
      <c r="AG425" s="200" t="s">
        <v>279</v>
      </c>
      <c r="AH425" s="203">
        <v>0</v>
      </c>
      <c r="AI425" s="200" t="s">
        <v>279</v>
      </c>
      <c r="AJ425" s="203">
        <v>0</v>
      </c>
      <c r="AK425" s="200" t="s">
        <v>279</v>
      </c>
      <c r="AL425" s="203">
        <v>0</v>
      </c>
      <c r="AM425" s="200" t="s">
        <v>279</v>
      </c>
      <c r="AN425" s="203">
        <v>0</v>
      </c>
      <c r="AO425" s="200" t="s">
        <v>279</v>
      </c>
      <c r="AP425" s="203">
        <v>0</v>
      </c>
      <c r="AQ425" s="203">
        <v>27.17</v>
      </c>
      <c r="AR425" s="203">
        <v>0</v>
      </c>
      <c r="AS425" s="200" t="str">
        <f t="shared" si="6"/>
        <v>1.00000000</v>
      </c>
      <c r="AT425" s="200" t="str">
        <f>"14.4"</f>
        <v>14.4</v>
      </c>
      <c r="AU425" s="203">
        <v>0</v>
      </c>
    </row>
    <row r="426" spans="1:47" x14ac:dyDescent="0.2">
      <c r="A426" s="200" t="str">
        <f>"0496002756187"</f>
        <v>0496002756187</v>
      </c>
      <c r="B426" s="200">
        <v>1</v>
      </c>
      <c r="C426" s="200" t="s">
        <v>599</v>
      </c>
      <c r="D426" s="200">
        <v>48</v>
      </c>
      <c r="E426" s="200">
        <v>48</v>
      </c>
      <c r="F426" s="200" t="s">
        <v>243</v>
      </c>
      <c r="G426" s="200">
        <v>8317</v>
      </c>
      <c r="H426" s="200" t="s">
        <v>270</v>
      </c>
      <c r="I426" s="200">
        <v>14547</v>
      </c>
      <c r="J426" s="201">
        <v>42717</v>
      </c>
      <c r="K426" s="202">
        <v>0.35167824074074078</v>
      </c>
      <c r="L426" s="201">
        <v>42719</v>
      </c>
      <c r="M426" s="200" t="s">
        <v>340</v>
      </c>
      <c r="N426" s="200" t="s">
        <v>687</v>
      </c>
      <c r="O426" s="200" t="s">
        <v>342</v>
      </c>
      <c r="P426" s="200" t="s">
        <v>343</v>
      </c>
      <c r="Q426" s="200" t="s">
        <v>275</v>
      </c>
      <c r="R426" s="200">
        <v>1035</v>
      </c>
      <c r="S426" s="200" t="s">
        <v>600</v>
      </c>
      <c r="T426" s="200" t="s">
        <v>436</v>
      </c>
      <c r="U426" s="200">
        <v>8317</v>
      </c>
      <c r="V426" s="200" t="s">
        <v>599</v>
      </c>
      <c r="W426" s="200" t="s">
        <v>280</v>
      </c>
      <c r="X426" s="200">
        <v>16.161000000000001</v>
      </c>
      <c r="Y426" s="203">
        <v>0</v>
      </c>
      <c r="Z426" s="203">
        <v>2.17</v>
      </c>
      <c r="AA426" s="203">
        <v>35.049999999999997</v>
      </c>
      <c r="AB426" s="203">
        <v>-2.96</v>
      </c>
      <c r="AC426" s="203">
        <v>0</v>
      </c>
      <c r="AD426" s="203">
        <v>0</v>
      </c>
      <c r="AE426" s="203">
        <v>32.090000000000003</v>
      </c>
      <c r="AF426" s="203">
        <v>-3.88</v>
      </c>
      <c r="AG426" s="200" t="s">
        <v>279</v>
      </c>
      <c r="AH426" s="203">
        <v>0</v>
      </c>
      <c r="AI426" s="200" t="s">
        <v>279</v>
      </c>
      <c r="AJ426" s="203">
        <v>0</v>
      </c>
      <c r="AK426" s="200" t="s">
        <v>279</v>
      </c>
      <c r="AL426" s="203">
        <v>0</v>
      </c>
      <c r="AM426" s="200" t="s">
        <v>279</v>
      </c>
      <c r="AN426" s="203">
        <v>0</v>
      </c>
      <c r="AO426" s="200" t="s">
        <v>279</v>
      </c>
      <c r="AP426" s="203">
        <v>0</v>
      </c>
      <c r="AQ426" s="203">
        <v>35.049999999999997</v>
      </c>
      <c r="AR426" s="203">
        <v>0</v>
      </c>
      <c r="AS426" s="200" t="str">
        <f t="shared" si="6"/>
        <v>1.00000000</v>
      </c>
      <c r="AT426" s="200" t="str">
        <f>"25.7"</f>
        <v>25.7</v>
      </c>
      <c r="AU426" s="203">
        <v>0</v>
      </c>
    </row>
    <row r="427" spans="1:47" x14ac:dyDescent="0.2">
      <c r="A427" s="200" t="str">
        <f>"0496002595700"</f>
        <v>0496002595700</v>
      </c>
      <c r="B427" s="200">
        <v>2</v>
      </c>
      <c r="C427" s="200" t="s">
        <v>156</v>
      </c>
      <c r="D427" s="200">
        <v>42</v>
      </c>
      <c r="E427" s="200">
        <v>42</v>
      </c>
      <c r="F427" s="200" t="s">
        <v>243</v>
      </c>
      <c r="G427" s="200">
        <v>2262</v>
      </c>
      <c r="H427" s="200" t="s">
        <v>270</v>
      </c>
      <c r="I427" s="200">
        <v>557</v>
      </c>
      <c r="J427" s="201">
        <v>42718</v>
      </c>
      <c r="K427" s="202">
        <v>0.74097222222222225</v>
      </c>
      <c r="L427" s="201">
        <v>42720</v>
      </c>
      <c r="M427" s="200" t="s">
        <v>271</v>
      </c>
      <c r="N427" s="200" t="s">
        <v>272</v>
      </c>
      <c r="O427" s="200" t="s">
        <v>273</v>
      </c>
      <c r="P427" s="200" t="s">
        <v>274</v>
      </c>
      <c r="Q427" s="200" t="s">
        <v>275</v>
      </c>
      <c r="R427" s="200" t="s">
        <v>276</v>
      </c>
      <c r="S427" s="200" t="s">
        <v>156</v>
      </c>
      <c r="T427" s="200" t="s">
        <v>277</v>
      </c>
      <c r="U427" s="200">
        <v>2262</v>
      </c>
      <c r="V427" s="200" t="s">
        <v>156</v>
      </c>
      <c r="W427" s="200" t="s">
        <v>280</v>
      </c>
      <c r="X427" s="200">
        <v>6.44</v>
      </c>
      <c r="Y427" s="203">
        <v>-0.13</v>
      </c>
      <c r="Z427" s="203">
        <v>2.17</v>
      </c>
      <c r="AA427" s="203">
        <v>13.97</v>
      </c>
      <c r="AB427" s="203">
        <v>-1.18</v>
      </c>
      <c r="AC427" s="203">
        <v>0</v>
      </c>
      <c r="AD427" s="203">
        <v>0</v>
      </c>
      <c r="AE427" s="203">
        <v>12.66</v>
      </c>
      <c r="AF427" s="203">
        <v>-1.55</v>
      </c>
      <c r="AG427" s="200" t="s">
        <v>279</v>
      </c>
      <c r="AH427" s="203">
        <v>0</v>
      </c>
      <c r="AI427" s="200" t="s">
        <v>279</v>
      </c>
      <c r="AJ427" s="203">
        <v>0</v>
      </c>
      <c r="AK427" s="200" t="s">
        <v>279</v>
      </c>
      <c r="AL427" s="203">
        <v>0</v>
      </c>
      <c r="AM427" s="200" t="s">
        <v>279</v>
      </c>
      <c r="AN427" s="203">
        <v>0</v>
      </c>
      <c r="AO427" s="200" t="s">
        <v>279</v>
      </c>
      <c r="AP427" s="203">
        <v>0</v>
      </c>
      <c r="AQ427" s="203">
        <v>13.97</v>
      </c>
      <c r="AR427" s="203">
        <v>0</v>
      </c>
      <c r="AS427" s="200" t="str">
        <f t="shared" si="6"/>
        <v>1.00000000</v>
      </c>
      <c r="AT427" s="200" t="str">
        <f>"49.4"</f>
        <v>49.4</v>
      </c>
      <c r="AU427" s="203">
        <v>0</v>
      </c>
    </row>
    <row r="428" spans="1:47" x14ac:dyDescent="0.2">
      <c r="A428" s="200" t="str">
        <f>"0496002595700"</f>
        <v>0496002595700</v>
      </c>
      <c r="B428" s="200">
        <v>6</v>
      </c>
      <c r="C428" s="200" t="s">
        <v>156</v>
      </c>
      <c r="D428" s="200" t="s">
        <v>344</v>
      </c>
      <c r="E428" s="200" t="s">
        <v>345</v>
      </c>
      <c r="F428" s="200" t="s">
        <v>243</v>
      </c>
      <c r="G428" s="200">
        <v>2262</v>
      </c>
      <c r="H428" s="200" t="s">
        <v>270</v>
      </c>
      <c r="I428" s="200">
        <v>58763</v>
      </c>
      <c r="J428" s="201">
        <v>42718</v>
      </c>
      <c r="K428" s="202">
        <v>0.4201388888888889</v>
      </c>
      <c r="L428" s="201">
        <v>42720</v>
      </c>
      <c r="M428" s="200" t="s">
        <v>285</v>
      </c>
      <c r="N428" s="200" t="s">
        <v>399</v>
      </c>
      <c r="O428" s="200" t="s">
        <v>400</v>
      </c>
      <c r="P428" s="200" t="s">
        <v>274</v>
      </c>
      <c r="Q428" s="200" t="s">
        <v>275</v>
      </c>
      <c r="R428" s="200" t="s">
        <v>401</v>
      </c>
      <c r="S428" s="200" t="s">
        <v>156</v>
      </c>
      <c r="T428" s="200" t="s">
        <v>277</v>
      </c>
      <c r="U428" s="200">
        <v>2262</v>
      </c>
      <c r="V428" s="200" t="s">
        <v>156</v>
      </c>
      <c r="W428" s="200" t="s">
        <v>335</v>
      </c>
      <c r="X428" s="200">
        <v>5.1559999999999997</v>
      </c>
      <c r="Y428" s="203">
        <v>0</v>
      </c>
      <c r="Z428" s="203">
        <v>2.33</v>
      </c>
      <c r="AA428" s="203">
        <v>12.01</v>
      </c>
      <c r="AB428" s="203">
        <v>-0.94</v>
      </c>
      <c r="AC428" s="203">
        <v>0</v>
      </c>
      <c r="AD428" s="203">
        <v>0</v>
      </c>
      <c r="AE428" s="203">
        <v>11.07</v>
      </c>
      <c r="AF428" s="203">
        <v>-1.24</v>
      </c>
      <c r="AG428" s="200" t="s">
        <v>279</v>
      </c>
      <c r="AH428" s="203">
        <v>0</v>
      </c>
      <c r="AI428" s="200" t="s">
        <v>279</v>
      </c>
      <c r="AJ428" s="203">
        <v>0</v>
      </c>
      <c r="AK428" s="200" t="s">
        <v>279</v>
      </c>
      <c r="AL428" s="203">
        <v>0</v>
      </c>
      <c r="AM428" s="200" t="s">
        <v>279</v>
      </c>
      <c r="AN428" s="203">
        <v>0</v>
      </c>
      <c r="AO428" s="200" t="s">
        <v>279</v>
      </c>
      <c r="AP428" s="203">
        <v>0</v>
      </c>
      <c r="AQ428" s="203">
        <v>12.01</v>
      </c>
      <c r="AR428" s="203">
        <v>0</v>
      </c>
      <c r="AS428" s="200" t="str">
        <f t="shared" si="6"/>
        <v>1.00000000</v>
      </c>
      <c r="AT428" s="200" t="str">
        <f>"27.7"</f>
        <v>27.7</v>
      </c>
      <c r="AU428" s="203">
        <v>0</v>
      </c>
    </row>
    <row r="429" spans="1:47" x14ac:dyDescent="0.2">
      <c r="A429" s="200" t="str">
        <f>"0496002595700"</f>
        <v>0496002595700</v>
      </c>
      <c r="B429" s="200">
        <v>6</v>
      </c>
      <c r="C429" s="200" t="s">
        <v>156</v>
      </c>
      <c r="D429" s="200" t="s">
        <v>344</v>
      </c>
      <c r="E429" s="200" t="s">
        <v>345</v>
      </c>
      <c r="F429" s="200" t="s">
        <v>243</v>
      </c>
      <c r="G429" s="200">
        <v>2262</v>
      </c>
      <c r="H429" s="200" t="s">
        <v>270</v>
      </c>
      <c r="I429" s="200">
        <v>58855</v>
      </c>
      <c r="J429" s="201">
        <v>42718</v>
      </c>
      <c r="K429" s="202">
        <v>0.61041666666666672</v>
      </c>
      <c r="L429" s="201">
        <v>42720</v>
      </c>
      <c r="M429" s="200" t="s">
        <v>271</v>
      </c>
      <c r="N429" s="200" t="s">
        <v>272</v>
      </c>
      <c r="O429" s="200" t="s">
        <v>273</v>
      </c>
      <c r="P429" s="200" t="s">
        <v>274</v>
      </c>
      <c r="Q429" s="200" t="s">
        <v>275</v>
      </c>
      <c r="R429" s="200" t="s">
        <v>276</v>
      </c>
      <c r="S429" s="200" t="s">
        <v>156</v>
      </c>
      <c r="T429" s="200" t="s">
        <v>277</v>
      </c>
      <c r="U429" s="200">
        <v>2262</v>
      </c>
      <c r="V429" s="200" t="s">
        <v>156</v>
      </c>
      <c r="W429" s="200" t="s">
        <v>335</v>
      </c>
      <c r="X429" s="200">
        <v>11</v>
      </c>
      <c r="Y429" s="203">
        <v>-0.22</v>
      </c>
      <c r="Z429" s="203">
        <v>2.39</v>
      </c>
      <c r="AA429" s="203">
        <v>26.28</v>
      </c>
      <c r="AB429" s="203">
        <v>-2.0099999999999998</v>
      </c>
      <c r="AC429" s="203">
        <v>0</v>
      </c>
      <c r="AD429" s="203">
        <v>0</v>
      </c>
      <c r="AE429" s="203">
        <v>24.05</v>
      </c>
      <c r="AF429" s="203">
        <v>-2.64</v>
      </c>
      <c r="AG429" s="200" t="s">
        <v>279</v>
      </c>
      <c r="AH429" s="203">
        <v>0</v>
      </c>
      <c r="AI429" s="200" t="s">
        <v>279</v>
      </c>
      <c r="AJ429" s="203">
        <v>0</v>
      </c>
      <c r="AK429" s="200" t="s">
        <v>279</v>
      </c>
      <c r="AL429" s="203">
        <v>0</v>
      </c>
      <c r="AM429" s="200" t="s">
        <v>279</v>
      </c>
      <c r="AN429" s="203">
        <v>0</v>
      </c>
      <c r="AO429" s="200" t="s">
        <v>279</v>
      </c>
      <c r="AP429" s="203">
        <v>0</v>
      </c>
      <c r="AQ429" s="203">
        <v>26.28</v>
      </c>
      <c r="AR429" s="203">
        <v>0</v>
      </c>
      <c r="AS429" s="200" t="str">
        <f t="shared" si="6"/>
        <v>1.00000000</v>
      </c>
      <c r="AT429" s="200" t="str">
        <f>"27.6"</f>
        <v>27.6</v>
      </c>
      <c r="AU429" s="203">
        <v>0</v>
      </c>
    </row>
    <row r="430" spans="1:47" x14ac:dyDescent="0.2">
      <c r="A430" s="200" t="str">
        <f>"0496002595734"</f>
        <v>0496002595734</v>
      </c>
      <c r="B430" s="200">
        <v>3</v>
      </c>
      <c r="C430" s="200" t="s">
        <v>435</v>
      </c>
      <c r="D430" s="200">
        <v>82</v>
      </c>
      <c r="E430" s="200">
        <v>82</v>
      </c>
      <c r="F430" s="200" t="s">
        <v>243</v>
      </c>
      <c r="G430" s="200">
        <v>2086</v>
      </c>
      <c r="H430" s="200" t="s">
        <v>270</v>
      </c>
      <c r="I430" s="200">
        <v>56916</v>
      </c>
      <c r="J430" s="201">
        <v>42718</v>
      </c>
      <c r="K430" s="202">
        <v>0.86944444444444446</v>
      </c>
      <c r="L430" s="201">
        <v>42720</v>
      </c>
      <c r="M430" s="200" t="s">
        <v>271</v>
      </c>
      <c r="N430" s="200" t="s">
        <v>272</v>
      </c>
      <c r="O430" s="200" t="s">
        <v>273</v>
      </c>
      <c r="P430" s="200" t="s">
        <v>274</v>
      </c>
      <c r="Q430" s="200" t="s">
        <v>275</v>
      </c>
      <c r="R430" s="200" t="s">
        <v>276</v>
      </c>
      <c r="S430" s="200" t="s">
        <v>436</v>
      </c>
      <c r="T430" s="200" t="s">
        <v>435</v>
      </c>
      <c r="U430" s="200">
        <v>2086</v>
      </c>
      <c r="V430" s="200" t="s">
        <v>435</v>
      </c>
      <c r="W430" s="200" t="s">
        <v>280</v>
      </c>
      <c r="X430" s="200">
        <v>12.355</v>
      </c>
      <c r="Y430" s="203">
        <v>-0.25</v>
      </c>
      <c r="Z430" s="203">
        <v>2.2000000000000002</v>
      </c>
      <c r="AA430" s="203">
        <v>27.17</v>
      </c>
      <c r="AB430" s="203">
        <v>-2.2599999999999998</v>
      </c>
      <c r="AC430" s="203">
        <v>0</v>
      </c>
      <c r="AD430" s="203">
        <v>0</v>
      </c>
      <c r="AE430" s="203">
        <v>24.66</v>
      </c>
      <c r="AF430" s="203">
        <v>-2.97</v>
      </c>
      <c r="AG430" s="200" t="s">
        <v>279</v>
      </c>
      <c r="AH430" s="203">
        <v>0</v>
      </c>
      <c r="AI430" s="200" t="s">
        <v>279</v>
      </c>
      <c r="AJ430" s="203">
        <v>0</v>
      </c>
      <c r="AK430" s="200" t="s">
        <v>279</v>
      </c>
      <c r="AL430" s="203">
        <v>0</v>
      </c>
      <c r="AM430" s="200" t="s">
        <v>279</v>
      </c>
      <c r="AN430" s="203">
        <v>0</v>
      </c>
      <c r="AO430" s="200" t="s">
        <v>279</v>
      </c>
      <c r="AP430" s="203">
        <v>0</v>
      </c>
      <c r="AQ430" s="203">
        <v>27.17</v>
      </c>
      <c r="AR430" s="203">
        <v>0</v>
      </c>
      <c r="AS430" s="200" t="str">
        <f t="shared" si="6"/>
        <v>1.00000000</v>
      </c>
      <c r="AT430" s="200" t="str">
        <f>"15.6"</f>
        <v>15.6</v>
      </c>
      <c r="AU430" s="203">
        <v>0</v>
      </c>
    </row>
    <row r="431" spans="1:47" x14ac:dyDescent="0.2">
      <c r="A431" s="200" t="str">
        <f>"0496002595734"</f>
        <v>0496002595734</v>
      </c>
      <c r="B431" s="200">
        <v>1</v>
      </c>
      <c r="C431" s="200" t="s">
        <v>435</v>
      </c>
      <c r="D431" s="200">
        <v>81</v>
      </c>
      <c r="E431" s="200">
        <v>81</v>
      </c>
      <c r="F431" s="200" t="s">
        <v>243</v>
      </c>
      <c r="G431" s="200">
        <v>2086</v>
      </c>
      <c r="H431" s="200" t="s">
        <v>270</v>
      </c>
      <c r="I431" s="200">
        <v>71576</v>
      </c>
      <c r="J431" s="201">
        <v>42719</v>
      </c>
      <c r="K431" s="202">
        <v>0.56736111111111109</v>
      </c>
      <c r="L431" s="201">
        <v>42723</v>
      </c>
      <c r="M431" s="200" t="s">
        <v>271</v>
      </c>
      <c r="N431" s="200" t="s">
        <v>272</v>
      </c>
      <c r="O431" s="200" t="s">
        <v>273</v>
      </c>
      <c r="P431" s="200" t="s">
        <v>274</v>
      </c>
      <c r="Q431" s="200" t="s">
        <v>275</v>
      </c>
      <c r="R431" s="200" t="s">
        <v>276</v>
      </c>
      <c r="S431" s="200" t="s">
        <v>436</v>
      </c>
      <c r="T431" s="200" t="s">
        <v>435</v>
      </c>
      <c r="U431" s="200">
        <v>2086</v>
      </c>
      <c r="V431" s="200" t="s">
        <v>435</v>
      </c>
      <c r="W431" s="200" t="s">
        <v>280</v>
      </c>
      <c r="X431" s="200">
        <v>14.132999999999999</v>
      </c>
      <c r="Y431" s="203">
        <v>-0.28000000000000003</v>
      </c>
      <c r="Z431" s="203">
        <v>2.2000000000000002</v>
      </c>
      <c r="AA431" s="203">
        <v>31.08</v>
      </c>
      <c r="AB431" s="203">
        <v>-2.59</v>
      </c>
      <c r="AC431" s="203">
        <v>0</v>
      </c>
      <c r="AD431" s="203">
        <v>0</v>
      </c>
      <c r="AE431" s="203">
        <v>28.21</v>
      </c>
      <c r="AF431" s="203">
        <v>-3.39</v>
      </c>
      <c r="AG431" s="200" t="s">
        <v>279</v>
      </c>
      <c r="AH431" s="203">
        <v>0</v>
      </c>
      <c r="AI431" s="200" t="s">
        <v>279</v>
      </c>
      <c r="AJ431" s="203">
        <v>0</v>
      </c>
      <c r="AK431" s="200" t="s">
        <v>279</v>
      </c>
      <c r="AL431" s="203">
        <v>0</v>
      </c>
      <c r="AM431" s="200" t="s">
        <v>279</v>
      </c>
      <c r="AN431" s="203">
        <v>0</v>
      </c>
      <c r="AO431" s="200" t="s">
        <v>279</v>
      </c>
      <c r="AP431" s="203">
        <v>0</v>
      </c>
      <c r="AQ431" s="203">
        <v>31.08</v>
      </c>
      <c r="AR431" s="203">
        <v>0</v>
      </c>
      <c r="AS431" s="200" t="str">
        <f t="shared" si="6"/>
        <v>1.00000000</v>
      </c>
      <c r="AT431" s="200" t="str">
        <f>"19.5"</f>
        <v>19.5</v>
      </c>
      <c r="AU431" s="203">
        <v>0</v>
      </c>
    </row>
    <row r="432" spans="1:47" x14ac:dyDescent="0.2">
      <c r="A432" s="200" t="str">
        <f>"0496002595734"</f>
        <v>0496002595734</v>
      </c>
      <c r="B432" s="200">
        <v>3</v>
      </c>
      <c r="C432" s="200" t="s">
        <v>435</v>
      </c>
      <c r="D432" s="200">
        <v>82</v>
      </c>
      <c r="E432" s="200">
        <v>82</v>
      </c>
      <c r="F432" s="200" t="s">
        <v>243</v>
      </c>
      <c r="G432" s="200">
        <v>2086</v>
      </c>
      <c r="H432" s="200" t="s">
        <v>270</v>
      </c>
      <c r="I432" s="200">
        <v>57033</v>
      </c>
      <c r="J432" s="201">
        <v>42719</v>
      </c>
      <c r="K432" s="202">
        <v>0.72083333333333333</v>
      </c>
      <c r="L432" s="201">
        <v>42723</v>
      </c>
      <c r="M432" s="200" t="s">
        <v>271</v>
      </c>
      <c r="N432" s="200" t="s">
        <v>272</v>
      </c>
      <c r="O432" s="200" t="s">
        <v>273</v>
      </c>
      <c r="P432" s="200" t="s">
        <v>274</v>
      </c>
      <c r="Q432" s="200" t="s">
        <v>275</v>
      </c>
      <c r="R432" s="200" t="s">
        <v>276</v>
      </c>
      <c r="S432" s="200" t="s">
        <v>436</v>
      </c>
      <c r="T432" s="200" t="s">
        <v>435</v>
      </c>
      <c r="U432" s="200">
        <v>2086</v>
      </c>
      <c r="V432" s="200" t="s">
        <v>435</v>
      </c>
      <c r="W432" s="200" t="s">
        <v>280</v>
      </c>
      <c r="X432" s="200">
        <v>7.4790000000000001</v>
      </c>
      <c r="Y432" s="203">
        <v>-0.15</v>
      </c>
      <c r="Z432" s="203">
        <v>2.2000000000000002</v>
      </c>
      <c r="AA432" s="203">
        <v>16.440000000000001</v>
      </c>
      <c r="AB432" s="203">
        <v>-1.37</v>
      </c>
      <c r="AC432" s="203">
        <v>0</v>
      </c>
      <c r="AD432" s="203">
        <v>0</v>
      </c>
      <c r="AE432" s="203">
        <v>14.92</v>
      </c>
      <c r="AF432" s="203">
        <v>-1.79</v>
      </c>
      <c r="AG432" s="200" t="s">
        <v>279</v>
      </c>
      <c r="AH432" s="203">
        <v>0</v>
      </c>
      <c r="AI432" s="200" t="s">
        <v>279</v>
      </c>
      <c r="AJ432" s="203">
        <v>0</v>
      </c>
      <c r="AK432" s="200" t="s">
        <v>279</v>
      </c>
      <c r="AL432" s="203">
        <v>0</v>
      </c>
      <c r="AM432" s="200" t="s">
        <v>279</v>
      </c>
      <c r="AN432" s="203">
        <v>0</v>
      </c>
      <c r="AO432" s="200" t="s">
        <v>279</v>
      </c>
      <c r="AP432" s="203">
        <v>0</v>
      </c>
      <c r="AQ432" s="203">
        <v>16.440000000000001</v>
      </c>
      <c r="AR432" s="203">
        <v>0</v>
      </c>
      <c r="AS432" s="200" t="str">
        <f t="shared" si="6"/>
        <v>1.00000000</v>
      </c>
      <c r="AT432" s="200" t="str">
        <f>"15.6"</f>
        <v>15.6</v>
      </c>
      <c r="AU432" s="203">
        <v>0</v>
      </c>
    </row>
    <row r="433" spans="1:47" x14ac:dyDescent="0.2">
      <c r="A433" s="200" t="str">
        <f>"0496002595890"</f>
        <v>0496002595890</v>
      </c>
      <c r="B433" s="200">
        <v>1</v>
      </c>
      <c r="C433" s="200" t="s">
        <v>579</v>
      </c>
      <c r="D433" s="200">
        <v>12</v>
      </c>
      <c r="F433" s="200" t="s">
        <v>243</v>
      </c>
      <c r="G433" s="200">
        <v>2834</v>
      </c>
      <c r="H433" s="200" t="s">
        <v>270</v>
      </c>
      <c r="I433" s="200">
        <v>33</v>
      </c>
      <c r="J433" s="201">
        <v>42719</v>
      </c>
      <c r="K433" s="202">
        <v>0.71319444444444446</v>
      </c>
      <c r="L433" s="201">
        <v>42723</v>
      </c>
      <c r="M433" s="200" t="s">
        <v>271</v>
      </c>
      <c r="N433" s="200" t="s">
        <v>272</v>
      </c>
      <c r="O433" s="200" t="s">
        <v>273</v>
      </c>
      <c r="P433" s="200" t="s">
        <v>274</v>
      </c>
      <c r="Q433" s="200" t="s">
        <v>275</v>
      </c>
      <c r="R433" s="200" t="s">
        <v>276</v>
      </c>
      <c r="S433" s="200" t="s">
        <v>436</v>
      </c>
      <c r="T433" s="200" t="s">
        <v>579</v>
      </c>
      <c r="U433" s="200">
        <v>2834</v>
      </c>
      <c r="V433" s="200" t="s">
        <v>579</v>
      </c>
      <c r="W433" s="200" t="s">
        <v>280</v>
      </c>
      <c r="X433" s="200">
        <v>11.4</v>
      </c>
      <c r="Y433" s="203">
        <v>-0.23</v>
      </c>
      <c r="Z433" s="203">
        <v>2.2000000000000002</v>
      </c>
      <c r="AA433" s="203">
        <v>25.07</v>
      </c>
      <c r="AB433" s="203">
        <v>-2.09</v>
      </c>
      <c r="AC433" s="203">
        <v>0</v>
      </c>
      <c r="AD433" s="203">
        <v>0</v>
      </c>
      <c r="AE433" s="203">
        <v>22.75</v>
      </c>
      <c r="AF433" s="203">
        <v>-2.74</v>
      </c>
      <c r="AG433" s="200" t="s">
        <v>279</v>
      </c>
      <c r="AH433" s="203">
        <v>0</v>
      </c>
      <c r="AI433" s="200" t="s">
        <v>279</v>
      </c>
      <c r="AJ433" s="203">
        <v>0</v>
      </c>
      <c r="AK433" s="200" t="s">
        <v>279</v>
      </c>
      <c r="AL433" s="203">
        <v>0</v>
      </c>
      <c r="AM433" s="200" t="s">
        <v>279</v>
      </c>
      <c r="AN433" s="203">
        <v>0</v>
      </c>
      <c r="AO433" s="200" t="s">
        <v>279</v>
      </c>
      <c r="AP433" s="203">
        <v>0</v>
      </c>
      <c r="AQ433" s="203">
        <v>25.07</v>
      </c>
      <c r="AR433" s="203">
        <v>0</v>
      </c>
      <c r="AS433" s="200" t="str">
        <f t="shared" si="6"/>
        <v>1.00000000</v>
      </c>
      <c r="AT433" s="200" t="str">
        <f>"0.0"</f>
        <v>0.0</v>
      </c>
      <c r="AU433" s="203">
        <v>0</v>
      </c>
    </row>
    <row r="434" spans="1:47" x14ac:dyDescent="0.2">
      <c r="A434" s="200" t="str">
        <f>"0496002595700"</f>
        <v>0496002595700</v>
      </c>
      <c r="B434" s="200">
        <v>2</v>
      </c>
      <c r="C434" s="200" t="s">
        <v>156</v>
      </c>
      <c r="D434" s="200">
        <v>42</v>
      </c>
      <c r="E434" s="200">
        <v>42</v>
      </c>
      <c r="F434" s="200" t="s">
        <v>243</v>
      </c>
      <c r="G434" s="200">
        <v>2262</v>
      </c>
      <c r="H434" s="200" t="s">
        <v>270</v>
      </c>
      <c r="I434" s="200">
        <v>1500</v>
      </c>
      <c r="J434" s="201">
        <v>42720</v>
      </c>
      <c r="K434" s="202">
        <v>0.86805555555555547</v>
      </c>
      <c r="L434" s="201">
        <v>42724</v>
      </c>
      <c r="M434" s="200" t="s">
        <v>271</v>
      </c>
      <c r="N434" s="200" t="s">
        <v>272</v>
      </c>
      <c r="O434" s="200" t="s">
        <v>273</v>
      </c>
      <c r="P434" s="200" t="s">
        <v>274</v>
      </c>
      <c r="Q434" s="200" t="s">
        <v>275</v>
      </c>
      <c r="R434" s="200" t="s">
        <v>276</v>
      </c>
      <c r="S434" s="200" t="s">
        <v>156</v>
      </c>
      <c r="T434" s="200" t="s">
        <v>277</v>
      </c>
      <c r="U434" s="200">
        <v>2262</v>
      </c>
      <c r="V434" s="200" t="s">
        <v>156</v>
      </c>
      <c r="W434" s="200" t="s">
        <v>280</v>
      </c>
      <c r="X434" s="200">
        <v>8.3339999999999996</v>
      </c>
      <c r="Y434" s="203">
        <v>-0.17</v>
      </c>
      <c r="Z434" s="203">
        <v>2.2000000000000002</v>
      </c>
      <c r="AA434" s="203">
        <v>18.32</v>
      </c>
      <c r="AB434" s="203">
        <v>-1.53</v>
      </c>
      <c r="AC434" s="203">
        <v>0</v>
      </c>
      <c r="AD434" s="203">
        <v>0</v>
      </c>
      <c r="AE434" s="203">
        <v>16.62</v>
      </c>
      <c r="AF434" s="203">
        <v>-2</v>
      </c>
      <c r="AG434" s="200" t="s">
        <v>279</v>
      </c>
      <c r="AH434" s="203">
        <v>0</v>
      </c>
      <c r="AI434" s="200" t="s">
        <v>279</v>
      </c>
      <c r="AJ434" s="203">
        <v>0</v>
      </c>
      <c r="AK434" s="200" t="s">
        <v>279</v>
      </c>
      <c r="AL434" s="203">
        <v>0</v>
      </c>
      <c r="AM434" s="200" t="s">
        <v>279</v>
      </c>
      <c r="AN434" s="203">
        <v>0</v>
      </c>
      <c r="AO434" s="200" t="s">
        <v>279</v>
      </c>
      <c r="AP434" s="203">
        <v>0</v>
      </c>
      <c r="AQ434" s="203">
        <v>18.32</v>
      </c>
      <c r="AR434" s="203">
        <v>0</v>
      </c>
      <c r="AS434" s="200" t="str">
        <f t="shared" si="6"/>
        <v>1.00000000</v>
      </c>
      <c r="AT434" s="200" t="str">
        <f>"49.3"</f>
        <v>49.3</v>
      </c>
      <c r="AU434" s="203">
        <v>0</v>
      </c>
    </row>
    <row r="435" spans="1:47" x14ac:dyDescent="0.2">
      <c r="A435" s="200" t="str">
        <f>"0496002595700"</f>
        <v>0496002595700</v>
      </c>
      <c r="B435" s="200">
        <v>7</v>
      </c>
      <c r="C435" s="200" t="s">
        <v>156</v>
      </c>
      <c r="D435" s="200" t="s">
        <v>371</v>
      </c>
      <c r="E435" s="200">
        <v>45</v>
      </c>
      <c r="F435" s="200" t="s">
        <v>243</v>
      </c>
      <c r="G435" s="200">
        <v>2262</v>
      </c>
      <c r="H435" s="200" t="s">
        <v>270</v>
      </c>
      <c r="I435" s="200">
        <v>21910</v>
      </c>
      <c r="J435" s="201">
        <v>42720</v>
      </c>
      <c r="K435" s="202">
        <v>0.44930555555555557</v>
      </c>
      <c r="L435" s="201">
        <v>42724</v>
      </c>
      <c r="M435" s="200" t="s">
        <v>285</v>
      </c>
      <c r="N435" s="200" t="s">
        <v>399</v>
      </c>
      <c r="O435" s="200" t="s">
        <v>400</v>
      </c>
      <c r="P435" s="200" t="s">
        <v>274</v>
      </c>
      <c r="Q435" s="200" t="s">
        <v>275</v>
      </c>
      <c r="R435" s="200" t="s">
        <v>401</v>
      </c>
      <c r="S435" s="200" t="s">
        <v>156</v>
      </c>
      <c r="T435" s="200" t="s">
        <v>277</v>
      </c>
      <c r="U435" s="200">
        <v>2262</v>
      </c>
      <c r="V435" s="200" t="s">
        <v>156</v>
      </c>
      <c r="W435" s="200" t="s">
        <v>280</v>
      </c>
      <c r="X435" s="200">
        <v>15.11</v>
      </c>
      <c r="Y435" s="203">
        <v>0</v>
      </c>
      <c r="Z435" s="203">
        <v>2.2400000000000002</v>
      </c>
      <c r="AA435" s="203">
        <v>33.83</v>
      </c>
      <c r="AB435" s="203">
        <v>-2.77</v>
      </c>
      <c r="AC435" s="203">
        <v>0</v>
      </c>
      <c r="AD435" s="203">
        <v>0</v>
      </c>
      <c r="AE435" s="203">
        <v>31.06</v>
      </c>
      <c r="AF435" s="203">
        <v>-3.63</v>
      </c>
      <c r="AG435" s="200" t="s">
        <v>279</v>
      </c>
      <c r="AH435" s="203">
        <v>0</v>
      </c>
      <c r="AI435" s="200" t="s">
        <v>279</v>
      </c>
      <c r="AJ435" s="203">
        <v>0</v>
      </c>
      <c r="AK435" s="200" t="s">
        <v>279</v>
      </c>
      <c r="AL435" s="203">
        <v>0</v>
      </c>
      <c r="AM435" s="200" t="s">
        <v>279</v>
      </c>
      <c r="AN435" s="203">
        <v>0</v>
      </c>
      <c r="AO435" s="200" t="s">
        <v>279</v>
      </c>
      <c r="AP435" s="203">
        <v>0</v>
      </c>
      <c r="AQ435" s="203">
        <v>33.83</v>
      </c>
      <c r="AR435" s="203">
        <v>0</v>
      </c>
      <c r="AS435" s="200" t="str">
        <f t="shared" si="6"/>
        <v>1.00000000</v>
      </c>
      <c r="AT435" s="200" t="str">
        <f>"43.8"</f>
        <v>43.8</v>
      </c>
      <c r="AU435" s="203">
        <v>0</v>
      </c>
    </row>
    <row r="436" spans="1:47" x14ac:dyDescent="0.2">
      <c r="A436" s="200" t="str">
        <f>"0496002595734"</f>
        <v>0496002595734</v>
      </c>
      <c r="B436" s="200">
        <v>2</v>
      </c>
      <c r="C436" s="200" t="s">
        <v>435</v>
      </c>
      <c r="D436" s="200">
        <v>80</v>
      </c>
      <c r="E436" s="200">
        <v>80</v>
      </c>
      <c r="F436" s="200" t="s">
        <v>243</v>
      </c>
      <c r="G436" s="200">
        <v>2086</v>
      </c>
      <c r="H436" s="200" t="s">
        <v>270</v>
      </c>
      <c r="I436" s="200">
        <v>77060</v>
      </c>
      <c r="J436" s="201">
        <v>42720</v>
      </c>
      <c r="K436" s="202">
        <v>7.013888888888889E-2</v>
      </c>
      <c r="L436" s="201">
        <v>42723</v>
      </c>
      <c r="M436" s="200" t="s">
        <v>271</v>
      </c>
      <c r="N436" s="200" t="s">
        <v>272</v>
      </c>
      <c r="O436" s="200" t="s">
        <v>273</v>
      </c>
      <c r="P436" s="200" t="s">
        <v>274</v>
      </c>
      <c r="Q436" s="200" t="s">
        <v>275</v>
      </c>
      <c r="R436" s="200" t="s">
        <v>276</v>
      </c>
      <c r="S436" s="200" t="s">
        <v>436</v>
      </c>
      <c r="T436" s="200" t="s">
        <v>435</v>
      </c>
      <c r="U436" s="200">
        <v>2086</v>
      </c>
      <c r="V436" s="200" t="s">
        <v>435</v>
      </c>
      <c r="W436" s="200" t="s">
        <v>280</v>
      </c>
      <c r="X436" s="200">
        <v>9.0310000000000006</v>
      </c>
      <c r="Y436" s="203">
        <v>-0.18</v>
      </c>
      <c r="Z436" s="203">
        <v>2.2000000000000002</v>
      </c>
      <c r="AA436" s="203">
        <v>19.86</v>
      </c>
      <c r="AB436" s="203">
        <v>-1.65</v>
      </c>
      <c r="AC436" s="203">
        <v>0</v>
      </c>
      <c r="AD436" s="203">
        <v>0</v>
      </c>
      <c r="AE436" s="203">
        <v>18.03</v>
      </c>
      <c r="AF436" s="203">
        <v>-2.17</v>
      </c>
      <c r="AG436" s="200" t="s">
        <v>279</v>
      </c>
      <c r="AH436" s="203">
        <v>0</v>
      </c>
      <c r="AI436" s="200" t="s">
        <v>279</v>
      </c>
      <c r="AJ436" s="203">
        <v>0</v>
      </c>
      <c r="AK436" s="200" t="s">
        <v>279</v>
      </c>
      <c r="AL436" s="203">
        <v>0</v>
      </c>
      <c r="AM436" s="200" t="s">
        <v>279</v>
      </c>
      <c r="AN436" s="203">
        <v>0</v>
      </c>
      <c r="AO436" s="200" t="s">
        <v>279</v>
      </c>
      <c r="AP436" s="203">
        <v>0</v>
      </c>
      <c r="AQ436" s="203">
        <v>19.86</v>
      </c>
      <c r="AR436" s="203">
        <v>0</v>
      </c>
      <c r="AS436" s="200" t="str">
        <f t="shared" si="6"/>
        <v>1.00000000</v>
      </c>
      <c r="AT436" s="200" t="str">
        <f>"32.3"</f>
        <v>32.3</v>
      </c>
      <c r="AU436" s="203">
        <v>0</v>
      </c>
    </row>
    <row r="437" spans="1:47" x14ac:dyDescent="0.2">
      <c r="A437" s="200" t="str">
        <f>"0496002595734"</f>
        <v>0496002595734</v>
      </c>
      <c r="B437" s="200">
        <v>3</v>
      </c>
      <c r="C437" s="200" t="s">
        <v>435</v>
      </c>
      <c r="D437" s="200">
        <v>82</v>
      </c>
      <c r="E437" s="200">
        <v>82</v>
      </c>
      <c r="F437" s="200" t="s">
        <v>243</v>
      </c>
      <c r="G437" s="200">
        <v>2086</v>
      </c>
      <c r="H437" s="200" t="s">
        <v>270</v>
      </c>
      <c r="I437" s="200">
        <v>57290</v>
      </c>
      <c r="J437" s="201">
        <v>42720</v>
      </c>
      <c r="K437" s="202">
        <v>0.17430555555555557</v>
      </c>
      <c r="L437" s="201">
        <v>42724</v>
      </c>
      <c r="M437" s="200" t="s">
        <v>271</v>
      </c>
      <c r="N437" s="200" t="s">
        <v>272</v>
      </c>
      <c r="O437" s="200" t="s">
        <v>273</v>
      </c>
      <c r="P437" s="200" t="s">
        <v>274</v>
      </c>
      <c r="Q437" s="200" t="s">
        <v>275</v>
      </c>
      <c r="R437" s="200" t="s">
        <v>276</v>
      </c>
      <c r="S437" s="200" t="s">
        <v>436</v>
      </c>
      <c r="T437" s="200" t="s">
        <v>435</v>
      </c>
      <c r="U437" s="200">
        <v>2086</v>
      </c>
      <c r="V437" s="200" t="s">
        <v>435</v>
      </c>
      <c r="W437" s="200" t="s">
        <v>280</v>
      </c>
      <c r="X437" s="200">
        <v>17.635000000000002</v>
      </c>
      <c r="Y437" s="203">
        <v>-0.35</v>
      </c>
      <c r="Z437" s="203">
        <v>2.2000000000000002</v>
      </c>
      <c r="AA437" s="203">
        <v>38.78</v>
      </c>
      <c r="AB437" s="203">
        <v>-3.23</v>
      </c>
      <c r="AC437" s="203">
        <v>0</v>
      </c>
      <c r="AD437" s="203">
        <v>0</v>
      </c>
      <c r="AE437" s="203">
        <v>35.200000000000003</v>
      </c>
      <c r="AF437" s="203">
        <v>-4.2300000000000004</v>
      </c>
      <c r="AG437" s="200" t="s">
        <v>279</v>
      </c>
      <c r="AH437" s="203">
        <v>0</v>
      </c>
      <c r="AI437" s="200" t="s">
        <v>279</v>
      </c>
      <c r="AJ437" s="203">
        <v>0</v>
      </c>
      <c r="AK437" s="200" t="s">
        <v>279</v>
      </c>
      <c r="AL437" s="203">
        <v>0</v>
      </c>
      <c r="AM437" s="200" t="s">
        <v>279</v>
      </c>
      <c r="AN437" s="203">
        <v>0</v>
      </c>
      <c r="AO437" s="200" t="s">
        <v>279</v>
      </c>
      <c r="AP437" s="203">
        <v>0</v>
      </c>
      <c r="AQ437" s="203">
        <v>38.78</v>
      </c>
      <c r="AR437" s="203">
        <v>0</v>
      </c>
      <c r="AS437" s="200" t="str">
        <f t="shared" si="6"/>
        <v>1.00000000</v>
      </c>
      <c r="AT437" s="200" t="str">
        <f>"14.6"</f>
        <v>14.6</v>
      </c>
      <c r="AU437" s="203">
        <v>0</v>
      </c>
    </row>
    <row r="438" spans="1:47" x14ac:dyDescent="0.2">
      <c r="A438" s="200" t="str">
        <f>"0496002595734"</f>
        <v>0496002595734</v>
      </c>
      <c r="B438" s="200">
        <v>1</v>
      </c>
      <c r="C438" s="200" t="s">
        <v>435</v>
      </c>
      <c r="D438" s="200">
        <v>81</v>
      </c>
      <c r="E438" s="200">
        <v>81</v>
      </c>
      <c r="F438" s="200" t="s">
        <v>243</v>
      </c>
      <c r="G438" s="200">
        <v>2086</v>
      </c>
      <c r="H438" s="200" t="s">
        <v>270</v>
      </c>
      <c r="I438" s="200">
        <v>54500</v>
      </c>
      <c r="J438" s="201">
        <v>42721</v>
      </c>
      <c r="K438" s="202">
        <v>0.74444444444444446</v>
      </c>
      <c r="L438" s="201">
        <v>42724</v>
      </c>
      <c r="M438" s="200" t="s">
        <v>271</v>
      </c>
      <c r="N438" s="200" t="s">
        <v>272</v>
      </c>
      <c r="O438" s="200" t="s">
        <v>273</v>
      </c>
      <c r="P438" s="200" t="s">
        <v>274</v>
      </c>
      <c r="Q438" s="200" t="s">
        <v>275</v>
      </c>
      <c r="R438" s="200" t="s">
        <v>276</v>
      </c>
      <c r="S438" s="200" t="s">
        <v>436</v>
      </c>
      <c r="T438" s="200" t="s">
        <v>435</v>
      </c>
      <c r="U438" s="200">
        <v>2086</v>
      </c>
      <c r="V438" s="200" t="s">
        <v>435</v>
      </c>
      <c r="W438" s="200" t="s">
        <v>280</v>
      </c>
      <c r="X438" s="200">
        <v>9.1259999999999994</v>
      </c>
      <c r="Y438" s="203">
        <v>-0.18</v>
      </c>
      <c r="Z438" s="203">
        <v>2.2000000000000002</v>
      </c>
      <c r="AA438" s="203">
        <v>20.07</v>
      </c>
      <c r="AB438" s="203">
        <v>-1.67</v>
      </c>
      <c r="AC438" s="203">
        <v>0</v>
      </c>
      <c r="AD438" s="203">
        <v>0</v>
      </c>
      <c r="AE438" s="203">
        <v>18.22</v>
      </c>
      <c r="AF438" s="203">
        <v>-2.19</v>
      </c>
      <c r="AG438" s="200" t="s">
        <v>279</v>
      </c>
      <c r="AH438" s="203">
        <v>0</v>
      </c>
      <c r="AI438" s="200" t="s">
        <v>279</v>
      </c>
      <c r="AJ438" s="203">
        <v>0</v>
      </c>
      <c r="AK438" s="200" t="s">
        <v>279</v>
      </c>
      <c r="AL438" s="203">
        <v>0</v>
      </c>
      <c r="AM438" s="200" t="s">
        <v>279</v>
      </c>
      <c r="AN438" s="203">
        <v>0</v>
      </c>
      <c r="AO438" s="200" t="s">
        <v>279</v>
      </c>
      <c r="AP438" s="203">
        <v>0</v>
      </c>
      <c r="AQ438" s="203">
        <v>20.07</v>
      </c>
      <c r="AR438" s="203">
        <v>0</v>
      </c>
      <c r="AS438" s="200" t="str">
        <f t="shared" si="6"/>
        <v>1.00000000</v>
      </c>
      <c r="AT438" s="200" t="str">
        <f>"19.8"</f>
        <v>19.8</v>
      </c>
      <c r="AU438" s="203">
        <v>0</v>
      </c>
    </row>
    <row r="439" spans="1:47" x14ac:dyDescent="0.2">
      <c r="A439" s="200" t="str">
        <f>"0496002595734"</f>
        <v>0496002595734</v>
      </c>
      <c r="B439" s="200">
        <v>1</v>
      </c>
      <c r="C439" s="200" t="s">
        <v>435</v>
      </c>
      <c r="D439" s="200">
        <v>81</v>
      </c>
      <c r="E439" s="200">
        <v>81</v>
      </c>
      <c r="F439" s="200" t="s">
        <v>243</v>
      </c>
      <c r="G439" s="200">
        <v>2086</v>
      </c>
      <c r="H439" s="200" t="s">
        <v>270</v>
      </c>
      <c r="I439" s="200">
        <v>71871</v>
      </c>
      <c r="J439" s="201">
        <v>42723</v>
      </c>
      <c r="K439" s="202">
        <v>4.3055555555555562E-2</v>
      </c>
      <c r="L439" s="201">
        <v>42724</v>
      </c>
      <c r="M439" s="200" t="s">
        <v>271</v>
      </c>
      <c r="N439" s="200" t="s">
        <v>272</v>
      </c>
      <c r="O439" s="200" t="s">
        <v>273</v>
      </c>
      <c r="P439" s="200" t="s">
        <v>274</v>
      </c>
      <c r="Q439" s="200" t="s">
        <v>275</v>
      </c>
      <c r="R439" s="200" t="s">
        <v>276</v>
      </c>
      <c r="S439" s="200" t="s">
        <v>436</v>
      </c>
      <c r="T439" s="200" t="s">
        <v>435</v>
      </c>
      <c r="U439" s="200">
        <v>2086</v>
      </c>
      <c r="V439" s="200" t="s">
        <v>435</v>
      </c>
      <c r="W439" s="200" t="s">
        <v>280</v>
      </c>
      <c r="X439" s="200">
        <v>8.7029999999999994</v>
      </c>
      <c r="Y439" s="203">
        <v>-0.17</v>
      </c>
      <c r="Z439" s="203">
        <v>2.2000000000000002</v>
      </c>
      <c r="AA439" s="203">
        <v>19.14</v>
      </c>
      <c r="AB439" s="203">
        <v>-1.59</v>
      </c>
      <c r="AC439" s="203">
        <v>0</v>
      </c>
      <c r="AD439" s="203">
        <v>0</v>
      </c>
      <c r="AE439" s="203">
        <v>17.38</v>
      </c>
      <c r="AF439" s="203">
        <v>-2.09</v>
      </c>
      <c r="AG439" s="200" t="s">
        <v>279</v>
      </c>
      <c r="AH439" s="203">
        <v>0</v>
      </c>
      <c r="AI439" s="200" t="s">
        <v>279</v>
      </c>
      <c r="AJ439" s="203">
        <v>0</v>
      </c>
      <c r="AK439" s="200" t="s">
        <v>279</v>
      </c>
      <c r="AL439" s="203">
        <v>0</v>
      </c>
      <c r="AM439" s="200" t="s">
        <v>279</v>
      </c>
      <c r="AN439" s="203">
        <v>0</v>
      </c>
      <c r="AO439" s="200" t="s">
        <v>279</v>
      </c>
      <c r="AP439" s="203">
        <v>0</v>
      </c>
      <c r="AQ439" s="203">
        <v>19.14</v>
      </c>
      <c r="AR439" s="203">
        <v>0</v>
      </c>
      <c r="AS439" s="200" t="str">
        <f t="shared" si="6"/>
        <v>1.00000000</v>
      </c>
      <c r="AT439" s="200" t="str">
        <f>"19.9"</f>
        <v>19.9</v>
      </c>
      <c r="AU439" s="203">
        <v>0</v>
      </c>
    </row>
    <row r="440" spans="1:47" x14ac:dyDescent="0.2">
      <c r="A440" s="200" t="str">
        <f>"0496002595734"</f>
        <v>0496002595734</v>
      </c>
      <c r="B440" s="200">
        <v>2</v>
      </c>
      <c r="C440" s="200" t="s">
        <v>435</v>
      </c>
      <c r="D440" s="200">
        <v>80</v>
      </c>
      <c r="E440" s="200">
        <v>80</v>
      </c>
      <c r="F440" s="200" t="s">
        <v>243</v>
      </c>
      <c r="G440" s="200">
        <v>2086</v>
      </c>
      <c r="H440" s="200" t="s">
        <v>270</v>
      </c>
      <c r="I440" s="200">
        <v>77301</v>
      </c>
      <c r="J440" s="201">
        <v>42723</v>
      </c>
      <c r="K440" s="202">
        <v>0.47847222222222219</v>
      </c>
      <c r="L440" s="201">
        <v>42725</v>
      </c>
      <c r="M440" s="200" t="s">
        <v>271</v>
      </c>
      <c r="N440" s="200" t="s">
        <v>842</v>
      </c>
      <c r="O440" s="200" t="s">
        <v>843</v>
      </c>
      <c r="P440" s="200" t="s">
        <v>844</v>
      </c>
      <c r="Q440" s="200" t="s">
        <v>275</v>
      </c>
      <c r="R440" s="200">
        <v>1438</v>
      </c>
      <c r="S440" s="200" t="s">
        <v>436</v>
      </c>
      <c r="T440" s="200" t="s">
        <v>435</v>
      </c>
      <c r="U440" s="200">
        <v>2086</v>
      </c>
      <c r="V440" s="200" t="s">
        <v>435</v>
      </c>
      <c r="W440" s="200" t="s">
        <v>280</v>
      </c>
      <c r="X440" s="200">
        <v>9.1669999999999998</v>
      </c>
      <c r="Y440" s="203">
        <v>-0.18</v>
      </c>
      <c r="Z440" s="203">
        <v>2.2000000000000002</v>
      </c>
      <c r="AA440" s="203">
        <v>20.16</v>
      </c>
      <c r="AB440" s="203">
        <v>-1.68</v>
      </c>
      <c r="AC440" s="203">
        <v>0</v>
      </c>
      <c r="AD440" s="203">
        <v>0</v>
      </c>
      <c r="AE440" s="203">
        <v>18.3</v>
      </c>
      <c r="AF440" s="203">
        <v>-2.2000000000000002</v>
      </c>
      <c r="AG440" s="200" t="s">
        <v>279</v>
      </c>
      <c r="AH440" s="203">
        <v>0</v>
      </c>
      <c r="AI440" s="200" t="s">
        <v>279</v>
      </c>
      <c r="AJ440" s="203">
        <v>0</v>
      </c>
      <c r="AK440" s="200" t="s">
        <v>279</v>
      </c>
      <c r="AL440" s="203">
        <v>0</v>
      </c>
      <c r="AM440" s="200" t="s">
        <v>279</v>
      </c>
      <c r="AN440" s="203">
        <v>0</v>
      </c>
      <c r="AO440" s="200" t="s">
        <v>279</v>
      </c>
      <c r="AP440" s="203">
        <v>0</v>
      </c>
      <c r="AQ440" s="203">
        <v>20.16</v>
      </c>
      <c r="AR440" s="203">
        <v>0</v>
      </c>
      <c r="AS440" s="200" t="str">
        <f t="shared" si="6"/>
        <v>1.00000000</v>
      </c>
      <c r="AT440" s="200" t="str">
        <f>"35.7"</f>
        <v>35.7</v>
      </c>
      <c r="AU440" s="203">
        <v>0</v>
      </c>
    </row>
    <row r="441" spans="1:47" x14ac:dyDescent="0.2">
      <c r="A441" s="200" t="str">
        <f>"0496002599173"</f>
        <v>0496002599173</v>
      </c>
      <c r="B441" s="200">
        <v>3</v>
      </c>
      <c r="C441" s="200" t="s">
        <v>585</v>
      </c>
      <c r="D441" s="200" t="s">
        <v>628</v>
      </c>
      <c r="E441" s="200" t="s">
        <v>628</v>
      </c>
      <c r="F441" s="200" t="s">
        <v>243</v>
      </c>
      <c r="G441" s="200">
        <v>5738</v>
      </c>
      <c r="H441" s="200" t="s">
        <v>270</v>
      </c>
      <c r="I441" s="200">
        <v>114968</v>
      </c>
      <c r="J441" s="201">
        <v>42723</v>
      </c>
      <c r="K441" s="202">
        <v>0.45763888888888887</v>
      </c>
      <c r="L441" s="201">
        <v>42725</v>
      </c>
      <c r="M441" s="200" t="s">
        <v>271</v>
      </c>
      <c r="N441" s="200" t="s">
        <v>272</v>
      </c>
      <c r="O441" s="200" t="s">
        <v>273</v>
      </c>
      <c r="P441" s="200" t="s">
        <v>274</v>
      </c>
      <c r="Q441" s="200" t="s">
        <v>275</v>
      </c>
      <c r="R441" s="200" t="s">
        <v>276</v>
      </c>
      <c r="S441" s="200" t="s">
        <v>436</v>
      </c>
      <c r="T441" s="200" t="s">
        <v>630</v>
      </c>
      <c r="U441" s="200">
        <v>5738</v>
      </c>
      <c r="V441" s="200" t="s">
        <v>585</v>
      </c>
      <c r="W441" s="200" t="s">
        <v>280</v>
      </c>
      <c r="X441" s="200">
        <v>25.574999999999999</v>
      </c>
      <c r="Y441" s="203">
        <v>-0.51</v>
      </c>
      <c r="Z441" s="203">
        <v>2.2000000000000002</v>
      </c>
      <c r="AA441" s="203">
        <v>56.24</v>
      </c>
      <c r="AB441" s="203">
        <v>-4.68</v>
      </c>
      <c r="AC441" s="203">
        <v>0</v>
      </c>
      <c r="AD441" s="203">
        <v>0</v>
      </c>
      <c r="AE441" s="203">
        <v>51.05</v>
      </c>
      <c r="AF441" s="203">
        <v>-6.14</v>
      </c>
      <c r="AG441" s="200" t="s">
        <v>279</v>
      </c>
      <c r="AH441" s="203">
        <v>0</v>
      </c>
      <c r="AI441" s="200" t="s">
        <v>279</v>
      </c>
      <c r="AJ441" s="203">
        <v>0</v>
      </c>
      <c r="AK441" s="200" t="s">
        <v>279</v>
      </c>
      <c r="AL441" s="203">
        <v>0</v>
      </c>
      <c r="AM441" s="200" t="s">
        <v>279</v>
      </c>
      <c r="AN441" s="203">
        <v>0</v>
      </c>
      <c r="AO441" s="200" t="s">
        <v>279</v>
      </c>
      <c r="AP441" s="203">
        <v>0</v>
      </c>
      <c r="AQ441" s="203">
        <v>56.24</v>
      </c>
      <c r="AR441" s="203">
        <v>0</v>
      </c>
      <c r="AS441" s="200" t="str">
        <f t="shared" si="6"/>
        <v>1.00000000</v>
      </c>
      <c r="AT441" s="200" t="str">
        <f>"10.8"</f>
        <v>10.8</v>
      </c>
      <c r="AU441" s="203">
        <v>0</v>
      </c>
    </row>
    <row r="442" spans="1:47" x14ac:dyDescent="0.2">
      <c r="A442" s="200" t="str">
        <f>"0496002595700"</f>
        <v>0496002595700</v>
      </c>
      <c r="B442" s="200">
        <v>6</v>
      </c>
      <c r="C442" s="200" t="s">
        <v>156</v>
      </c>
      <c r="D442" s="200" t="s">
        <v>344</v>
      </c>
      <c r="E442" s="200" t="s">
        <v>345</v>
      </c>
      <c r="F442" s="200" t="s">
        <v>243</v>
      </c>
      <c r="G442" s="200">
        <v>2262</v>
      </c>
      <c r="H442" s="200" t="s">
        <v>270</v>
      </c>
      <c r="I442" s="200">
        <v>59140</v>
      </c>
      <c r="J442" s="201">
        <v>42724</v>
      </c>
      <c r="K442" s="202">
        <v>0.71609953703703699</v>
      </c>
      <c r="L442" s="201">
        <v>42726</v>
      </c>
      <c r="M442" s="200" t="s">
        <v>384</v>
      </c>
      <c r="N442" s="200" t="s">
        <v>385</v>
      </c>
      <c r="O442" s="200" t="s">
        <v>386</v>
      </c>
      <c r="P442" s="200" t="s">
        <v>343</v>
      </c>
      <c r="Q442" s="200" t="s">
        <v>275</v>
      </c>
      <c r="R442" s="200" t="s">
        <v>387</v>
      </c>
      <c r="S442" s="200" t="s">
        <v>156</v>
      </c>
      <c r="T442" s="200" t="s">
        <v>277</v>
      </c>
      <c r="U442" s="200">
        <v>2262</v>
      </c>
      <c r="V442" s="200" t="s">
        <v>156</v>
      </c>
      <c r="W442" s="200" t="s">
        <v>280</v>
      </c>
      <c r="X442" s="200">
        <v>12.083</v>
      </c>
      <c r="Y442" s="203">
        <v>0</v>
      </c>
      <c r="Z442" s="203">
        <v>2.2000000000000002</v>
      </c>
      <c r="AA442" s="203">
        <v>26.57</v>
      </c>
      <c r="AB442" s="203">
        <v>-2.21</v>
      </c>
      <c r="AC442" s="203">
        <v>0</v>
      </c>
      <c r="AD442" s="203">
        <v>0</v>
      </c>
      <c r="AE442" s="203">
        <v>24.36</v>
      </c>
      <c r="AF442" s="203">
        <v>-2.9</v>
      </c>
      <c r="AG442" s="200" t="s">
        <v>279</v>
      </c>
      <c r="AH442" s="203">
        <v>0</v>
      </c>
      <c r="AI442" s="200" t="s">
        <v>279</v>
      </c>
      <c r="AJ442" s="203">
        <v>0</v>
      </c>
      <c r="AK442" s="200" t="s">
        <v>279</v>
      </c>
      <c r="AL442" s="203">
        <v>0</v>
      </c>
      <c r="AM442" s="200" t="s">
        <v>279</v>
      </c>
      <c r="AN442" s="203">
        <v>0</v>
      </c>
      <c r="AO442" s="200" t="s">
        <v>279</v>
      </c>
      <c r="AP442" s="203">
        <v>0</v>
      </c>
      <c r="AQ442" s="203">
        <v>26.57</v>
      </c>
      <c r="AR442" s="203">
        <v>0</v>
      </c>
      <c r="AS442" s="200" t="str">
        <f t="shared" si="6"/>
        <v>1.00000000</v>
      </c>
      <c r="AT442" s="200" t="str">
        <f>"6.0"</f>
        <v>6.0</v>
      </c>
      <c r="AU442" s="203">
        <v>0</v>
      </c>
    </row>
    <row r="443" spans="1:47" x14ac:dyDescent="0.2">
      <c r="A443" s="200" t="str">
        <f>"0496002595700"</f>
        <v>0496002595700</v>
      </c>
      <c r="B443" s="200">
        <v>7</v>
      </c>
      <c r="C443" s="200" t="s">
        <v>156</v>
      </c>
      <c r="D443" s="200" t="s">
        <v>371</v>
      </c>
      <c r="E443" s="200">
        <v>45</v>
      </c>
      <c r="F443" s="200" t="s">
        <v>243</v>
      </c>
      <c r="G443" s="200">
        <v>2262</v>
      </c>
      <c r="H443" s="200" t="s">
        <v>270</v>
      </c>
      <c r="I443" s="200">
        <v>22236</v>
      </c>
      <c r="J443" s="201">
        <v>42724</v>
      </c>
      <c r="K443" s="202">
        <v>0.69027777777777777</v>
      </c>
      <c r="L443" s="201">
        <v>42726</v>
      </c>
      <c r="M443" s="200" t="s">
        <v>271</v>
      </c>
      <c r="N443" s="200" t="s">
        <v>272</v>
      </c>
      <c r="O443" s="200" t="s">
        <v>273</v>
      </c>
      <c r="P443" s="200" t="s">
        <v>274</v>
      </c>
      <c r="Q443" s="200" t="s">
        <v>275</v>
      </c>
      <c r="R443" s="200" t="s">
        <v>276</v>
      </c>
      <c r="S443" s="200" t="s">
        <v>156</v>
      </c>
      <c r="T443" s="200" t="s">
        <v>277</v>
      </c>
      <c r="U443" s="200">
        <v>2262</v>
      </c>
      <c r="V443" s="200" t="s">
        <v>156</v>
      </c>
      <c r="W443" s="200" t="s">
        <v>280</v>
      </c>
      <c r="X443" s="200">
        <v>15.006</v>
      </c>
      <c r="Y443" s="203">
        <v>-0.3</v>
      </c>
      <c r="Z443" s="203">
        <v>2.2000000000000002</v>
      </c>
      <c r="AA443" s="203">
        <v>33</v>
      </c>
      <c r="AB443" s="203">
        <v>-2.75</v>
      </c>
      <c r="AC443" s="203">
        <v>0</v>
      </c>
      <c r="AD443" s="203">
        <v>0</v>
      </c>
      <c r="AE443" s="203">
        <v>29.95</v>
      </c>
      <c r="AF443" s="203">
        <v>-3.6</v>
      </c>
      <c r="AG443" s="200" t="s">
        <v>279</v>
      </c>
      <c r="AH443" s="203">
        <v>0</v>
      </c>
      <c r="AI443" s="200" t="s">
        <v>279</v>
      </c>
      <c r="AJ443" s="203">
        <v>0</v>
      </c>
      <c r="AK443" s="200" t="s">
        <v>279</v>
      </c>
      <c r="AL443" s="203">
        <v>0</v>
      </c>
      <c r="AM443" s="200" t="s">
        <v>279</v>
      </c>
      <c r="AN443" s="203">
        <v>0</v>
      </c>
      <c r="AO443" s="200" t="s">
        <v>279</v>
      </c>
      <c r="AP443" s="203">
        <v>0</v>
      </c>
      <c r="AQ443" s="203">
        <v>33</v>
      </c>
      <c r="AR443" s="203">
        <v>0</v>
      </c>
      <c r="AS443" s="200" t="str">
        <f t="shared" si="6"/>
        <v>1.00000000</v>
      </c>
      <c r="AT443" s="200" t="str">
        <f>"21.7"</f>
        <v>21.7</v>
      </c>
      <c r="AU443" s="203">
        <v>0</v>
      </c>
    </row>
    <row r="444" spans="1:47" x14ac:dyDescent="0.2">
      <c r="A444" s="200" t="str">
        <f>"0496002595734"</f>
        <v>0496002595734</v>
      </c>
      <c r="B444" s="200">
        <v>2</v>
      </c>
      <c r="C444" s="200" t="s">
        <v>435</v>
      </c>
      <c r="D444" s="200">
        <v>80</v>
      </c>
      <c r="E444" s="200">
        <v>80</v>
      </c>
      <c r="F444" s="200" t="s">
        <v>243</v>
      </c>
      <c r="G444" s="200">
        <v>2086</v>
      </c>
      <c r="H444" s="200" t="s">
        <v>270</v>
      </c>
      <c r="I444" s="200">
        <v>8000</v>
      </c>
      <c r="J444" s="201">
        <v>42724</v>
      </c>
      <c r="K444" s="202">
        <v>0.84930555555555554</v>
      </c>
      <c r="L444" s="201">
        <v>42726</v>
      </c>
      <c r="M444" s="200" t="s">
        <v>271</v>
      </c>
      <c r="N444" s="200" t="s">
        <v>272</v>
      </c>
      <c r="O444" s="200" t="s">
        <v>273</v>
      </c>
      <c r="P444" s="200" t="s">
        <v>274</v>
      </c>
      <c r="Q444" s="200" t="s">
        <v>275</v>
      </c>
      <c r="R444" s="200" t="s">
        <v>276</v>
      </c>
      <c r="S444" s="200" t="s">
        <v>436</v>
      </c>
      <c r="T444" s="200" t="s">
        <v>435</v>
      </c>
      <c r="U444" s="200">
        <v>2086</v>
      </c>
      <c r="V444" s="200" t="s">
        <v>435</v>
      </c>
      <c r="W444" s="200" t="s">
        <v>280</v>
      </c>
      <c r="X444" s="200">
        <v>8.2899999999999991</v>
      </c>
      <c r="Y444" s="203">
        <v>-0.17</v>
      </c>
      <c r="Z444" s="203">
        <v>2.2000000000000002</v>
      </c>
      <c r="AA444" s="203">
        <v>18.23</v>
      </c>
      <c r="AB444" s="203">
        <v>-1.52</v>
      </c>
      <c r="AC444" s="203">
        <v>0</v>
      </c>
      <c r="AD444" s="203">
        <v>0</v>
      </c>
      <c r="AE444" s="203">
        <v>16.54</v>
      </c>
      <c r="AF444" s="203">
        <v>-1.99</v>
      </c>
      <c r="AG444" s="200" t="s">
        <v>279</v>
      </c>
      <c r="AH444" s="203">
        <v>0</v>
      </c>
      <c r="AI444" s="200" t="s">
        <v>279</v>
      </c>
      <c r="AJ444" s="203">
        <v>0</v>
      </c>
      <c r="AK444" s="200" t="s">
        <v>279</v>
      </c>
      <c r="AL444" s="203">
        <v>0</v>
      </c>
      <c r="AM444" s="200" t="s">
        <v>279</v>
      </c>
      <c r="AN444" s="203">
        <v>0</v>
      </c>
      <c r="AO444" s="200" t="s">
        <v>279</v>
      </c>
      <c r="AP444" s="203">
        <v>0</v>
      </c>
      <c r="AQ444" s="203">
        <v>18.23</v>
      </c>
      <c r="AR444" s="203">
        <v>0</v>
      </c>
      <c r="AS444" s="200" t="str">
        <f t="shared" si="6"/>
        <v>1.00000000</v>
      </c>
      <c r="AT444" s="200" t="str">
        <f>"35.6"</f>
        <v>35.6</v>
      </c>
      <c r="AU444" s="203">
        <v>0</v>
      </c>
    </row>
    <row r="445" spans="1:47" x14ac:dyDescent="0.2">
      <c r="A445" s="200" t="str">
        <f>"0496002595734"</f>
        <v>0496002595734</v>
      </c>
      <c r="B445" s="200">
        <v>3</v>
      </c>
      <c r="C445" s="200" t="s">
        <v>435</v>
      </c>
      <c r="D445" s="200">
        <v>82</v>
      </c>
      <c r="E445" s="200">
        <v>82</v>
      </c>
      <c r="F445" s="200" t="s">
        <v>243</v>
      </c>
      <c r="G445" s="200">
        <v>2086</v>
      </c>
      <c r="H445" s="200" t="s">
        <v>270</v>
      </c>
      <c r="I445" s="200">
        <v>57486</v>
      </c>
      <c r="J445" s="201">
        <v>42724</v>
      </c>
      <c r="K445" s="202">
        <v>0.23611111111111113</v>
      </c>
      <c r="L445" s="201">
        <v>42726</v>
      </c>
      <c r="M445" s="200" t="s">
        <v>271</v>
      </c>
      <c r="N445" s="200" t="s">
        <v>352</v>
      </c>
      <c r="O445" s="200" t="s">
        <v>353</v>
      </c>
      <c r="P445" s="200" t="s">
        <v>343</v>
      </c>
      <c r="Q445" s="200" t="s">
        <v>275</v>
      </c>
      <c r="R445" s="200">
        <v>1035</v>
      </c>
      <c r="S445" s="200" t="s">
        <v>436</v>
      </c>
      <c r="T445" s="200" t="s">
        <v>435</v>
      </c>
      <c r="U445" s="200">
        <v>2086</v>
      </c>
      <c r="V445" s="200" t="s">
        <v>435</v>
      </c>
      <c r="W445" s="200" t="s">
        <v>280</v>
      </c>
      <c r="X445" s="200">
        <v>7.7359999999999998</v>
      </c>
      <c r="Y445" s="203">
        <v>-0.15</v>
      </c>
      <c r="Z445" s="203">
        <v>2.1800000000000002</v>
      </c>
      <c r="AA445" s="203">
        <v>16.850000000000001</v>
      </c>
      <c r="AB445" s="203">
        <v>-1.42</v>
      </c>
      <c r="AC445" s="203">
        <v>0</v>
      </c>
      <c r="AD445" s="203">
        <v>0</v>
      </c>
      <c r="AE445" s="203">
        <v>15.28</v>
      </c>
      <c r="AF445" s="203">
        <v>-1.86</v>
      </c>
      <c r="AG445" s="200" t="s">
        <v>279</v>
      </c>
      <c r="AH445" s="203">
        <v>0</v>
      </c>
      <c r="AI445" s="200" t="s">
        <v>279</v>
      </c>
      <c r="AJ445" s="203">
        <v>0</v>
      </c>
      <c r="AK445" s="200" t="s">
        <v>279</v>
      </c>
      <c r="AL445" s="203">
        <v>0</v>
      </c>
      <c r="AM445" s="200" t="s">
        <v>279</v>
      </c>
      <c r="AN445" s="203">
        <v>0</v>
      </c>
      <c r="AO445" s="200" t="s">
        <v>279</v>
      </c>
      <c r="AP445" s="203">
        <v>0</v>
      </c>
      <c r="AQ445" s="203">
        <v>16.850000000000001</v>
      </c>
      <c r="AR445" s="203">
        <v>0</v>
      </c>
      <c r="AS445" s="200" t="str">
        <f t="shared" si="6"/>
        <v>1.00000000</v>
      </c>
      <c r="AT445" s="200" t="str">
        <f>"25.3"</f>
        <v>25.3</v>
      </c>
      <c r="AU445" s="203">
        <v>0</v>
      </c>
    </row>
    <row r="446" spans="1:47" x14ac:dyDescent="0.2">
      <c r="A446" s="200" t="str">
        <f>"0496002599173"</f>
        <v>0496002599173</v>
      </c>
      <c r="B446" s="200">
        <v>2</v>
      </c>
      <c r="C446" s="200" t="s">
        <v>585</v>
      </c>
      <c r="D446" s="200" t="s">
        <v>594</v>
      </c>
      <c r="E446" s="200" t="s">
        <v>594</v>
      </c>
      <c r="F446" s="200" t="s">
        <v>243</v>
      </c>
      <c r="G446" s="200">
        <v>5647</v>
      </c>
      <c r="H446" s="200" t="s">
        <v>270</v>
      </c>
      <c r="I446" s="200">
        <v>113788</v>
      </c>
      <c r="J446" s="201">
        <v>42724</v>
      </c>
      <c r="K446" s="202">
        <v>0.56111111111111112</v>
      </c>
      <c r="L446" s="201">
        <v>42726</v>
      </c>
      <c r="M446" s="200" t="s">
        <v>271</v>
      </c>
      <c r="N446" s="200" t="s">
        <v>588</v>
      </c>
      <c r="O446" s="200" t="s">
        <v>589</v>
      </c>
      <c r="P446" s="200" t="s">
        <v>590</v>
      </c>
      <c r="Q446" s="200" t="s">
        <v>275</v>
      </c>
      <c r="R446" s="200">
        <v>1075</v>
      </c>
      <c r="S446" s="200" t="s">
        <v>436</v>
      </c>
      <c r="T446" s="200" t="s">
        <v>595</v>
      </c>
      <c r="U446" s="200">
        <v>5647</v>
      </c>
      <c r="V446" s="200" t="s">
        <v>585</v>
      </c>
      <c r="W446" s="200" t="s">
        <v>280</v>
      </c>
      <c r="X446" s="200">
        <v>19.963000000000001</v>
      </c>
      <c r="Y446" s="203">
        <v>-0.4</v>
      </c>
      <c r="Z446" s="203">
        <v>2.1800000000000002</v>
      </c>
      <c r="AA446" s="203">
        <v>43.5</v>
      </c>
      <c r="AB446" s="203">
        <v>-3.65</v>
      </c>
      <c r="AC446" s="203">
        <v>0</v>
      </c>
      <c r="AD446" s="203">
        <v>0</v>
      </c>
      <c r="AE446" s="203">
        <v>39.450000000000003</v>
      </c>
      <c r="AF446" s="203">
        <v>-4.79</v>
      </c>
      <c r="AG446" s="200" t="s">
        <v>279</v>
      </c>
      <c r="AH446" s="203">
        <v>0</v>
      </c>
      <c r="AI446" s="200" t="s">
        <v>279</v>
      </c>
      <c r="AJ446" s="203">
        <v>0</v>
      </c>
      <c r="AK446" s="200" t="s">
        <v>279</v>
      </c>
      <c r="AL446" s="203">
        <v>0</v>
      </c>
      <c r="AM446" s="200" t="s">
        <v>279</v>
      </c>
      <c r="AN446" s="203">
        <v>0</v>
      </c>
      <c r="AO446" s="200" t="s">
        <v>279</v>
      </c>
      <c r="AP446" s="203">
        <v>0</v>
      </c>
      <c r="AQ446" s="203">
        <v>43.5</v>
      </c>
      <c r="AR446" s="203">
        <v>0</v>
      </c>
      <c r="AS446" s="200" t="str">
        <f t="shared" si="6"/>
        <v>1.00000000</v>
      </c>
      <c r="AT446" s="200" t="str">
        <f>"13.1"</f>
        <v>13.1</v>
      </c>
      <c r="AU446" s="203">
        <v>0</v>
      </c>
    </row>
    <row r="447" spans="1:47" x14ac:dyDescent="0.2">
      <c r="A447" s="200" t="str">
        <f>"0496002595734"</f>
        <v>0496002595734</v>
      </c>
      <c r="B447" s="200">
        <v>1</v>
      </c>
      <c r="C447" s="200" t="s">
        <v>435</v>
      </c>
      <c r="D447" s="200">
        <v>81</v>
      </c>
      <c r="E447" s="200">
        <v>81</v>
      </c>
      <c r="F447" s="200" t="s">
        <v>243</v>
      </c>
      <c r="G447" s="200">
        <v>2086</v>
      </c>
      <c r="H447" s="200" t="s">
        <v>270</v>
      </c>
      <c r="I447" s="200">
        <v>72110</v>
      </c>
      <c r="J447" s="201">
        <v>42725</v>
      </c>
      <c r="K447" s="202">
        <v>0.65069444444444446</v>
      </c>
      <c r="L447" s="201">
        <v>42727</v>
      </c>
      <c r="M447" s="200" t="s">
        <v>271</v>
      </c>
      <c r="N447" s="200" t="s">
        <v>272</v>
      </c>
      <c r="O447" s="200" t="s">
        <v>273</v>
      </c>
      <c r="P447" s="200" t="s">
        <v>274</v>
      </c>
      <c r="Q447" s="200" t="s">
        <v>275</v>
      </c>
      <c r="R447" s="200" t="s">
        <v>276</v>
      </c>
      <c r="S447" s="200" t="s">
        <v>436</v>
      </c>
      <c r="T447" s="200" t="s">
        <v>435</v>
      </c>
      <c r="U447" s="200">
        <v>2086</v>
      </c>
      <c r="V447" s="200" t="s">
        <v>435</v>
      </c>
      <c r="W447" s="200" t="s">
        <v>280</v>
      </c>
      <c r="X447" s="200">
        <v>11.597</v>
      </c>
      <c r="Y447" s="203">
        <v>-0.23</v>
      </c>
      <c r="Z447" s="203">
        <v>2.23</v>
      </c>
      <c r="AA447" s="203">
        <v>25.85</v>
      </c>
      <c r="AB447" s="203">
        <v>-2.12</v>
      </c>
      <c r="AC447" s="203">
        <v>0</v>
      </c>
      <c r="AD447" s="203">
        <v>0</v>
      </c>
      <c r="AE447" s="203">
        <v>23.5</v>
      </c>
      <c r="AF447" s="203">
        <v>-2.78</v>
      </c>
      <c r="AG447" s="200" t="s">
        <v>279</v>
      </c>
      <c r="AH447" s="203">
        <v>0</v>
      </c>
      <c r="AI447" s="200" t="s">
        <v>279</v>
      </c>
      <c r="AJ447" s="203">
        <v>0</v>
      </c>
      <c r="AK447" s="200" t="s">
        <v>279</v>
      </c>
      <c r="AL447" s="203">
        <v>0</v>
      </c>
      <c r="AM447" s="200" t="s">
        <v>279</v>
      </c>
      <c r="AN447" s="203">
        <v>0</v>
      </c>
      <c r="AO447" s="200" t="s">
        <v>279</v>
      </c>
      <c r="AP447" s="203">
        <v>0</v>
      </c>
      <c r="AQ447" s="203">
        <v>25.85</v>
      </c>
      <c r="AR447" s="203">
        <v>0</v>
      </c>
      <c r="AS447" s="200" t="str">
        <f t="shared" si="6"/>
        <v>1.00000000</v>
      </c>
      <c r="AT447" s="200" t="str">
        <f>"20.6"</f>
        <v>20.6</v>
      </c>
      <c r="AU447" s="203">
        <v>0</v>
      </c>
    </row>
    <row r="448" spans="1:47" x14ac:dyDescent="0.2">
      <c r="A448" s="200" t="str">
        <f>"0496002595734"</f>
        <v>0496002595734</v>
      </c>
      <c r="B448" s="200">
        <v>3</v>
      </c>
      <c r="C448" s="200" t="s">
        <v>435</v>
      </c>
      <c r="D448" s="200">
        <v>82</v>
      </c>
      <c r="E448" s="200">
        <v>82</v>
      </c>
      <c r="F448" s="200" t="s">
        <v>243</v>
      </c>
      <c r="G448" s="200">
        <v>2086</v>
      </c>
      <c r="H448" s="200" t="s">
        <v>270</v>
      </c>
      <c r="I448" s="200">
        <v>57723</v>
      </c>
      <c r="J448" s="201">
        <v>42725</v>
      </c>
      <c r="K448" s="202">
        <v>0.23263888888888887</v>
      </c>
      <c r="L448" s="201">
        <v>42727</v>
      </c>
      <c r="M448" s="200" t="s">
        <v>271</v>
      </c>
      <c r="N448" s="200" t="s">
        <v>352</v>
      </c>
      <c r="O448" s="200" t="s">
        <v>353</v>
      </c>
      <c r="P448" s="200" t="s">
        <v>343</v>
      </c>
      <c r="Q448" s="200" t="s">
        <v>275</v>
      </c>
      <c r="R448" s="200">
        <v>1035</v>
      </c>
      <c r="S448" s="200" t="s">
        <v>436</v>
      </c>
      <c r="T448" s="200" t="s">
        <v>435</v>
      </c>
      <c r="U448" s="200">
        <v>2086</v>
      </c>
      <c r="V448" s="200" t="s">
        <v>435</v>
      </c>
      <c r="W448" s="200" t="s">
        <v>280</v>
      </c>
      <c r="X448" s="200">
        <v>9.0129999999999999</v>
      </c>
      <c r="Y448" s="203">
        <v>-0.18</v>
      </c>
      <c r="Z448" s="203">
        <v>2.1800000000000002</v>
      </c>
      <c r="AA448" s="203">
        <v>19.64</v>
      </c>
      <c r="AB448" s="203">
        <v>-1.65</v>
      </c>
      <c r="AC448" s="203">
        <v>0</v>
      </c>
      <c r="AD448" s="203">
        <v>0</v>
      </c>
      <c r="AE448" s="203">
        <v>17.809999999999999</v>
      </c>
      <c r="AF448" s="203">
        <v>-2.16</v>
      </c>
      <c r="AG448" s="200" t="s">
        <v>279</v>
      </c>
      <c r="AH448" s="203">
        <v>0</v>
      </c>
      <c r="AI448" s="200" t="s">
        <v>279</v>
      </c>
      <c r="AJ448" s="203">
        <v>0</v>
      </c>
      <c r="AK448" s="200" t="s">
        <v>279</v>
      </c>
      <c r="AL448" s="203">
        <v>0</v>
      </c>
      <c r="AM448" s="200" t="s">
        <v>279</v>
      </c>
      <c r="AN448" s="203">
        <v>0</v>
      </c>
      <c r="AO448" s="200" t="s">
        <v>279</v>
      </c>
      <c r="AP448" s="203">
        <v>0</v>
      </c>
      <c r="AQ448" s="203">
        <v>19.64</v>
      </c>
      <c r="AR448" s="203">
        <v>0</v>
      </c>
      <c r="AS448" s="200" t="str">
        <f t="shared" si="6"/>
        <v>1.00000000</v>
      </c>
      <c r="AT448" s="200" t="str">
        <f>"19.6"</f>
        <v>19.6</v>
      </c>
      <c r="AU448" s="203">
        <v>0</v>
      </c>
    </row>
    <row r="449" spans="1:47" x14ac:dyDescent="0.2">
      <c r="A449" s="200" t="str">
        <f>"0496002595734"</f>
        <v>0496002595734</v>
      </c>
      <c r="B449" s="200">
        <v>3</v>
      </c>
      <c r="C449" s="200" t="s">
        <v>435</v>
      </c>
      <c r="D449" s="200">
        <v>82</v>
      </c>
      <c r="E449" s="200">
        <v>82</v>
      </c>
      <c r="F449" s="200" t="s">
        <v>243</v>
      </c>
      <c r="G449" s="200">
        <v>2086</v>
      </c>
      <c r="H449" s="200" t="s">
        <v>270</v>
      </c>
      <c r="I449" s="200">
        <v>57823</v>
      </c>
      <c r="J449" s="201">
        <v>42725</v>
      </c>
      <c r="K449" s="202">
        <v>0.88194444444444453</v>
      </c>
      <c r="L449" s="201">
        <v>42727</v>
      </c>
      <c r="M449" s="200" t="s">
        <v>271</v>
      </c>
      <c r="N449" s="200" t="s">
        <v>272</v>
      </c>
      <c r="O449" s="200" t="s">
        <v>273</v>
      </c>
      <c r="P449" s="200" t="s">
        <v>274</v>
      </c>
      <c r="Q449" s="200" t="s">
        <v>275</v>
      </c>
      <c r="R449" s="200" t="s">
        <v>276</v>
      </c>
      <c r="S449" s="200" t="s">
        <v>436</v>
      </c>
      <c r="T449" s="200" t="s">
        <v>435</v>
      </c>
      <c r="U449" s="200">
        <v>2086</v>
      </c>
      <c r="V449" s="200" t="s">
        <v>435</v>
      </c>
      <c r="W449" s="200" t="s">
        <v>280</v>
      </c>
      <c r="X449" s="200">
        <v>13.026999999999999</v>
      </c>
      <c r="Y449" s="203">
        <v>-0.26</v>
      </c>
      <c r="Z449" s="203">
        <v>2.29</v>
      </c>
      <c r="AA449" s="203">
        <v>29.82</v>
      </c>
      <c r="AB449" s="203">
        <v>-2.38</v>
      </c>
      <c r="AC449" s="203">
        <v>0</v>
      </c>
      <c r="AD449" s="203">
        <v>0</v>
      </c>
      <c r="AE449" s="203">
        <v>27.18</v>
      </c>
      <c r="AF449" s="203">
        <v>-3.13</v>
      </c>
      <c r="AG449" s="200" t="s">
        <v>279</v>
      </c>
      <c r="AH449" s="203">
        <v>0</v>
      </c>
      <c r="AI449" s="200" t="s">
        <v>279</v>
      </c>
      <c r="AJ449" s="203">
        <v>0</v>
      </c>
      <c r="AK449" s="200" t="s">
        <v>279</v>
      </c>
      <c r="AL449" s="203">
        <v>0</v>
      </c>
      <c r="AM449" s="200" t="s">
        <v>279</v>
      </c>
      <c r="AN449" s="203">
        <v>0</v>
      </c>
      <c r="AO449" s="200" t="s">
        <v>279</v>
      </c>
      <c r="AP449" s="203">
        <v>0</v>
      </c>
      <c r="AQ449" s="203">
        <v>29.82</v>
      </c>
      <c r="AR449" s="203">
        <v>0</v>
      </c>
      <c r="AS449" s="200" t="str">
        <f t="shared" si="6"/>
        <v>1.00000000</v>
      </c>
      <c r="AT449" s="200" t="str">
        <f>"19.6"</f>
        <v>19.6</v>
      </c>
      <c r="AU449" s="203">
        <v>0</v>
      </c>
    </row>
    <row r="450" spans="1:47" x14ac:dyDescent="0.2">
      <c r="A450" s="200" t="str">
        <f>"0496002599173"</f>
        <v>0496002599173</v>
      </c>
      <c r="B450" s="200">
        <v>1</v>
      </c>
      <c r="C450" s="200" t="s">
        <v>585</v>
      </c>
      <c r="D450" s="200" t="s">
        <v>586</v>
      </c>
      <c r="E450" s="200" t="s">
        <v>586</v>
      </c>
      <c r="F450" s="200" t="s">
        <v>243</v>
      </c>
      <c r="G450" s="200">
        <v>5314</v>
      </c>
      <c r="H450" s="200" t="s">
        <v>270</v>
      </c>
      <c r="I450" s="200">
        <v>62960</v>
      </c>
      <c r="J450" s="201">
        <v>42725</v>
      </c>
      <c r="K450" s="202">
        <v>0.3611111111111111</v>
      </c>
      <c r="L450" s="201">
        <v>42727</v>
      </c>
      <c r="M450" s="200" t="s">
        <v>285</v>
      </c>
      <c r="N450" s="200" t="s">
        <v>399</v>
      </c>
      <c r="O450" s="200" t="s">
        <v>400</v>
      </c>
      <c r="P450" s="200" t="s">
        <v>274</v>
      </c>
      <c r="Q450" s="200" t="s">
        <v>275</v>
      </c>
      <c r="R450" s="200" t="s">
        <v>401</v>
      </c>
      <c r="S450" s="200" t="s">
        <v>436</v>
      </c>
      <c r="T450" s="200" t="s">
        <v>587</v>
      </c>
      <c r="U450" s="200">
        <v>5314</v>
      </c>
      <c r="V450" s="200" t="s">
        <v>585</v>
      </c>
      <c r="W450" s="200" t="s">
        <v>280</v>
      </c>
      <c r="X450" s="200">
        <v>22.738</v>
      </c>
      <c r="Y450" s="203">
        <v>0</v>
      </c>
      <c r="Z450" s="203">
        <v>2.2000000000000002</v>
      </c>
      <c r="AA450" s="203">
        <v>50</v>
      </c>
      <c r="AB450" s="203">
        <v>-4.16</v>
      </c>
      <c r="AC450" s="203">
        <v>0</v>
      </c>
      <c r="AD450" s="203">
        <v>0</v>
      </c>
      <c r="AE450" s="203">
        <v>45.84</v>
      </c>
      <c r="AF450" s="203">
        <v>-5.46</v>
      </c>
      <c r="AG450" s="200" t="s">
        <v>279</v>
      </c>
      <c r="AH450" s="203">
        <v>0</v>
      </c>
      <c r="AI450" s="200" t="s">
        <v>279</v>
      </c>
      <c r="AJ450" s="203">
        <v>0</v>
      </c>
      <c r="AK450" s="200" t="s">
        <v>279</v>
      </c>
      <c r="AL450" s="203">
        <v>0</v>
      </c>
      <c r="AM450" s="200" t="s">
        <v>279</v>
      </c>
      <c r="AN450" s="203">
        <v>0</v>
      </c>
      <c r="AO450" s="200" t="s">
        <v>279</v>
      </c>
      <c r="AP450" s="203">
        <v>0</v>
      </c>
      <c r="AQ450" s="203">
        <v>50</v>
      </c>
      <c r="AR450" s="203">
        <v>0</v>
      </c>
      <c r="AS450" s="200" t="str">
        <f t="shared" ref="AS450:AS513" si="7">"1.00000000"</f>
        <v>1.00000000</v>
      </c>
      <c r="AT450" s="200" t="str">
        <f>"12.2"</f>
        <v>12.2</v>
      </c>
      <c r="AU450" s="203">
        <v>0</v>
      </c>
    </row>
    <row r="451" spans="1:47" x14ac:dyDescent="0.2">
      <c r="A451" s="200" t="str">
        <f>"0496002595700"</f>
        <v>0496002595700</v>
      </c>
      <c r="B451" s="200">
        <v>2</v>
      </c>
      <c r="C451" s="200" t="s">
        <v>156</v>
      </c>
      <c r="D451" s="200">
        <v>42</v>
      </c>
      <c r="E451" s="200">
        <v>42</v>
      </c>
      <c r="F451" s="200" t="s">
        <v>243</v>
      </c>
      <c r="G451" s="200">
        <v>2262</v>
      </c>
      <c r="H451" s="200" t="s">
        <v>270</v>
      </c>
      <c r="I451" s="200">
        <v>6</v>
      </c>
      <c r="J451" s="201">
        <v>42726</v>
      </c>
      <c r="K451" s="202">
        <v>0.5915393518518518</v>
      </c>
      <c r="L451" s="201">
        <v>42730</v>
      </c>
      <c r="M451" s="200" t="s">
        <v>314</v>
      </c>
      <c r="N451" s="200" t="s">
        <v>415</v>
      </c>
      <c r="O451" s="200" t="s">
        <v>416</v>
      </c>
      <c r="P451" s="200" t="s">
        <v>417</v>
      </c>
      <c r="Q451" s="200" t="s">
        <v>275</v>
      </c>
      <c r="R451" s="200" t="s">
        <v>418</v>
      </c>
      <c r="S451" s="200" t="s">
        <v>156</v>
      </c>
      <c r="T451" s="200" t="s">
        <v>277</v>
      </c>
      <c r="U451" s="200">
        <v>2262</v>
      </c>
      <c r="V451" s="200" t="s">
        <v>156</v>
      </c>
      <c r="W451" s="200" t="s">
        <v>280</v>
      </c>
      <c r="X451" s="200">
        <v>5.7030000000000003</v>
      </c>
      <c r="Y451" s="203">
        <v>0</v>
      </c>
      <c r="Z451" s="203">
        <v>2.2599999999999998</v>
      </c>
      <c r="AA451" s="203">
        <v>12.88</v>
      </c>
      <c r="AB451" s="203">
        <v>-1.04</v>
      </c>
      <c r="AC451" s="203">
        <v>0</v>
      </c>
      <c r="AD451" s="203">
        <v>0</v>
      </c>
      <c r="AE451" s="203">
        <v>11.84</v>
      </c>
      <c r="AF451" s="203">
        <v>-1.37</v>
      </c>
      <c r="AG451" s="200" t="s">
        <v>279</v>
      </c>
      <c r="AH451" s="203">
        <v>0</v>
      </c>
      <c r="AI451" s="200" t="s">
        <v>279</v>
      </c>
      <c r="AJ451" s="203">
        <v>0</v>
      </c>
      <c r="AK451" s="200" t="s">
        <v>279</v>
      </c>
      <c r="AL451" s="203">
        <v>0</v>
      </c>
      <c r="AM451" s="200" t="s">
        <v>279</v>
      </c>
      <c r="AN451" s="203">
        <v>0</v>
      </c>
      <c r="AO451" s="200" t="s">
        <v>279</v>
      </c>
      <c r="AP451" s="203">
        <v>0</v>
      </c>
      <c r="AQ451" s="203">
        <v>12.88</v>
      </c>
      <c r="AR451" s="203">
        <v>0</v>
      </c>
      <c r="AS451" s="200" t="str">
        <f t="shared" si="7"/>
        <v>1.00000000</v>
      </c>
      <c r="AT451" s="200" t="str">
        <f>"49.3"</f>
        <v>49.3</v>
      </c>
      <c r="AU451" s="203">
        <v>0</v>
      </c>
    </row>
    <row r="452" spans="1:47" x14ac:dyDescent="0.2">
      <c r="A452" s="200" t="str">
        <f>"0496002595700"</f>
        <v>0496002595700</v>
      </c>
      <c r="B452" s="200">
        <v>8</v>
      </c>
      <c r="C452" s="200" t="s">
        <v>156</v>
      </c>
      <c r="D452" s="200" t="s">
        <v>414</v>
      </c>
      <c r="E452" s="200">
        <v>47</v>
      </c>
      <c r="F452" s="200" t="s">
        <v>243</v>
      </c>
      <c r="G452" s="200">
        <v>2262</v>
      </c>
      <c r="H452" s="200" t="s">
        <v>270</v>
      </c>
      <c r="I452" s="200">
        <v>25148</v>
      </c>
      <c r="J452" s="201">
        <v>42727</v>
      </c>
      <c r="K452" s="202">
        <v>0.66108796296296302</v>
      </c>
      <c r="L452" s="201">
        <v>42731</v>
      </c>
      <c r="M452" s="200" t="s">
        <v>349</v>
      </c>
      <c r="N452" s="200" t="s">
        <v>845</v>
      </c>
      <c r="O452" s="200" t="s">
        <v>846</v>
      </c>
      <c r="P452" s="200" t="s">
        <v>369</v>
      </c>
      <c r="Q452" s="200" t="s">
        <v>275</v>
      </c>
      <c r="R452" s="200">
        <v>1007</v>
      </c>
      <c r="S452" s="200" t="s">
        <v>156</v>
      </c>
      <c r="T452" s="200" t="s">
        <v>277</v>
      </c>
      <c r="U452" s="200">
        <v>2262</v>
      </c>
      <c r="V452" s="200" t="s">
        <v>156</v>
      </c>
      <c r="W452" s="200" t="s">
        <v>280</v>
      </c>
      <c r="X452" s="200">
        <v>9.2970000000000006</v>
      </c>
      <c r="Y452" s="203">
        <v>0</v>
      </c>
      <c r="Z452" s="203">
        <v>2.2599999999999998</v>
      </c>
      <c r="AA452" s="203">
        <v>21</v>
      </c>
      <c r="AB452" s="203">
        <v>-1.7</v>
      </c>
      <c r="AC452" s="203">
        <v>0</v>
      </c>
      <c r="AD452" s="203">
        <v>0</v>
      </c>
      <c r="AE452" s="203">
        <v>19.3</v>
      </c>
      <c r="AF452" s="203">
        <v>-2.23</v>
      </c>
      <c r="AG452" s="200" t="s">
        <v>279</v>
      </c>
      <c r="AH452" s="203">
        <v>0</v>
      </c>
      <c r="AI452" s="200" t="s">
        <v>279</v>
      </c>
      <c r="AJ452" s="203">
        <v>0</v>
      </c>
      <c r="AK452" s="200" t="s">
        <v>279</v>
      </c>
      <c r="AL452" s="203">
        <v>0</v>
      </c>
      <c r="AM452" s="200" t="s">
        <v>279</v>
      </c>
      <c r="AN452" s="203">
        <v>0</v>
      </c>
      <c r="AO452" s="200" t="s">
        <v>279</v>
      </c>
      <c r="AP452" s="203">
        <v>0</v>
      </c>
      <c r="AQ452" s="203">
        <v>21</v>
      </c>
      <c r="AR452" s="203">
        <v>0</v>
      </c>
      <c r="AS452" s="200" t="str">
        <f t="shared" si="7"/>
        <v>1.00000000</v>
      </c>
      <c r="AT452" s="200" t="str">
        <f>"26.5"</f>
        <v>26.5</v>
      </c>
      <c r="AU452" s="203">
        <v>0</v>
      </c>
    </row>
    <row r="453" spans="1:47" x14ac:dyDescent="0.2">
      <c r="A453" s="200" t="str">
        <f>"0496002599173"</f>
        <v>0496002599173</v>
      </c>
      <c r="B453" s="200">
        <v>2</v>
      </c>
      <c r="C453" s="200" t="s">
        <v>585</v>
      </c>
      <c r="D453" s="200" t="s">
        <v>594</v>
      </c>
      <c r="E453" s="200" t="s">
        <v>594</v>
      </c>
      <c r="F453" s="200" t="s">
        <v>243</v>
      </c>
      <c r="G453" s="200">
        <v>5647</v>
      </c>
      <c r="H453" s="200" t="s">
        <v>270</v>
      </c>
      <c r="I453" s="200">
        <v>114047</v>
      </c>
      <c r="J453" s="201">
        <v>42731</v>
      </c>
      <c r="K453" s="202">
        <v>0.62986111111111109</v>
      </c>
      <c r="L453" s="201">
        <v>42733</v>
      </c>
      <c r="M453" s="200" t="s">
        <v>271</v>
      </c>
      <c r="N453" s="200" t="s">
        <v>272</v>
      </c>
      <c r="O453" s="200" t="s">
        <v>273</v>
      </c>
      <c r="P453" s="200" t="s">
        <v>274</v>
      </c>
      <c r="Q453" s="200" t="s">
        <v>275</v>
      </c>
      <c r="R453" s="200" t="s">
        <v>276</v>
      </c>
      <c r="S453" s="200" t="s">
        <v>436</v>
      </c>
      <c r="T453" s="200" t="s">
        <v>595</v>
      </c>
      <c r="U453" s="200">
        <v>5647</v>
      </c>
      <c r="V453" s="200" t="s">
        <v>585</v>
      </c>
      <c r="W453" s="200" t="s">
        <v>280</v>
      </c>
      <c r="X453" s="200">
        <v>20.86</v>
      </c>
      <c r="Y453" s="203">
        <v>-0.42</v>
      </c>
      <c r="Z453" s="203">
        <v>2.29</v>
      </c>
      <c r="AA453" s="203">
        <v>47.75</v>
      </c>
      <c r="AB453" s="203">
        <v>-3.82</v>
      </c>
      <c r="AC453" s="203">
        <v>0</v>
      </c>
      <c r="AD453" s="203">
        <v>0</v>
      </c>
      <c r="AE453" s="203">
        <v>43.51</v>
      </c>
      <c r="AF453" s="203">
        <v>-5.01</v>
      </c>
      <c r="AG453" s="200" t="s">
        <v>279</v>
      </c>
      <c r="AH453" s="203">
        <v>0</v>
      </c>
      <c r="AI453" s="200" t="s">
        <v>279</v>
      </c>
      <c r="AJ453" s="203">
        <v>0</v>
      </c>
      <c r="AK453" s="200" t="s">
        <v>279</v>
      </c>
      <c r="AL453" s="203">
        <v>0</v>
      </c>
      <c r="AM453" s="200" t="s">
        <v>279</v>
      </c>
      <c r="AN453" s="203">
        <v>0</v>
      </c>
      <c r="AO453" s="200" t="s">
        <v>279</v>
      </c>
      <c r="AP453" s="203">
        <v>0</v>
      </c>
      <c r="AQ453" s="203">
        <v>47.75</v>
      </c>
      <c r="AR453" s="203">
        <v>0</v>
      </c>
      <c r="AS453" s="200" t="str">
        <f t="shared" si="7"/>
        <v>1.00000000</v>
      </c>
      <c r="AT453" s="200" t="str">
        <f>"12.4"</f>
        <v>12.4</v>
      </c>
      <c r="AU453" s="203">
        <v>0</v>
      </c>
    </row>
    <row r="454" spans="1:47" x14ac:dyDescent="0.2">
      <c r="A454" s="200" t="str">
        <f>"0496002595700"</f>
        <v>0496002595700</v>
      </c>
      <c r="B454" s="200">
        <v>6</v>
      </c>
      <c r="C454" s="200" t="s">
        <v>156</v>
      </c>
      <c r="D454" s="200" t="s">
        <v>344</v>
      </c>
      <c r="E454" s="200" t="s">
        <v>345</v>
      </c>
      <c r="F454" s="200" t="s">
        <v>243</v>
      </c>
      <c r="G454" s="200">
        <v>2262</v>
      </c>
      <c r="H454" s="200" t="s">
        <v>270</v>
      </c>
      <c r="I454" s="200">
        <v>5946</v>
      </c>
      <c r="J454" s="201">
        <v>42732</v>
      </c>
      <c r="K454" s="202">
        <v>0.59027777777777779</v>
      </c>
      <c r="L454" s="201">
        <v>42734</v>
      </c>
      <c r="M454" s="200" t="s">
        <v>294</v>
      </c>
      <c r="N454" s="200" t="s">
        <v>299</v>
      </c>
      <c r="O454" s="200" t="s">
        <v>847</v>
      </c>
      <c r="P454" s="200" t="s">
        <v>383</v>
      </c>
      <c r="Q454" s="200" t="s">
        <v>275</v>
      </c>
      <c r="R454" s="200" t="s">
        <v>848</v>
      </c>
      <c r="S454" s="200" t="s">
        <v>156</v>
      </c>
      <c r="T454" s="200" t="s">
        <v>277</v>
      </c>
      <c r="U454" s="200">
        <v>2262</v>
      </c>
      <c r="V454" s="200" t="s">
        <v>156</v>
      </c>
      <c r="W454" s="200" t="s">
        <v>280</v>
      </c>
      <c r="X454" s="200">
        <v>13.36</v>
      </c>
      <c r="Y454" s="203">
        <v>0</v>
      </c>
      <c r="Z454" s="203">
        <v>2.2999999999999998</v>
      </c>
      <c r="AA454" s="203">
        <v>30.74</v>
      </c>
      <c r="AB454" s="203">
        <v>-2.44</v>
      </c>
      <c r="AC454" s="203">
        <v>0</v>
      </c>
      <c r="AD454" s="203">
        <v>0</v>
      </c>
      <c r="AE454" s="203">
        <v>28.3</v>
      </c>
      <c r="AF454" s="203">
        <v>-3.21</v>
      </c>
      <c r="AG454" s="200" t="s">
        <v>279</v>
      </c>
      <c r="AH454" s="203">
        <v>0</v>
      </c>
      <c r="AI454" s="200" t="s">
        <v>279</v>
      </c>
      <c r="AJ454" s="203">
        <v>0</v>
      </c>
      <c r="AK454" s="200" t="s">
        <v>279</v>
      </c>
      <c r="AL454" s="203">
        <v>0</v>
      </c>
      <c r="AM454" s="200" t="s">
        <v>279</v>
      </c>
      <c r="AN454" s="203">
        <v>0</v>
      </c>
      <c r="AO454" s="200" t="s">
        <v>279</v>
      </c>
      <c r="AP454" s="203">
        <v>0</v>
      </c>
      <c r="AQ454" s="203">
        <v>30.74</v>
      </c>
      <c r="AR454" s="203">
        <v>0</v>
      </c>
      <c r="AS454" s="200" t="str">
        <f t="shared" si="7"/>
        <v>1.00000000</v>
      </c>
      <c r="AT454" s="200" t="str">
        <f>"23.6"</f>
        <v>23.6</v>
      </c>
      <c r="AU454" s="203">
        <v>0</v>
      </c>
    </row>
    <row r="455" spans="1:47" x14ac:dyDescent="0.2">
      <c r="A455" s="200" t="str">
        <f>"0496002595700"</f>
        <v>0496002595700</v>
      </c>
      <c r="B455" s="200">
        <v>7</v>
      </c>
      <c r="C455" s="200" t="s">
        <v>156</v>
      </c>
      <c r="D455" s="200" t="s">
        <v>371</v>
      </c>
      <c r="E455" s="200">
        <v>45</v>
      </c>
      <c r="F455" s="200" t="s">
        <v>243</v>
      </c>
      <c r="G455" s="200">
        <v>2262</v>
      </c>
      <c r="H455" s="200" t="s">
        <v>270</v>
      </c>
      <c r="I455" s="200">
        <v>22796</v>
      </c>
      <c r="J455" s="201">
        <v>42733</v>
      </c>
      <c r="K455" s="202">
        <v>0.45069444444444445</v>
      </c>
      <c r="L455" s="201">
        <v>42737</v>
      </c>
      <c r="M455" s="200" t="s">
        <v>302</v>
      </c>
      <c r="N455" s="200" t="s">
        <v>849</v>
      </c>
      <c r="O455" s="200" t="s">
        <v>850</v>
      </c>
      <c r="P455" s="200" t="s">
        <v>543</v>
      </c>
      <c r="Q455" s="200" t="s">
        <v>275</v>
      </c>
      <c r="R455" s="200">
        <v>1040</v>
      </c>
      <c r="S455" s="200" t="s">
        <v>156</v>
      </c>
      <c r="T455" s="200" t="s">
        <v>277</v>
      </c>
      <c r="U455" s="200">
        <v>2262</v>
      </c>
      <c r="V455" s="200" t="s">
        <v>156</v>
      </c>
      <c r="W455" s="200" t="s">
        <v>280</v>
      </c>
      <c r="X455" s="200">
        <v>17.797999999999998</v>
      </c>
      <c r="Y455" s="203">
        <v>0</v>
      </c>
      <c r="Z455" s="203">
        <v>2.9</v>
      </c>
      <c r="AA455" s="203">
        <v>51.6</v>
      </c>
      <c r="AB455" s="203">
        <v>-3.26</v>
      </c>
      <c r="AC455" s="203">
        <v>0</v>
      </c>
      <c r="AD455" s="203">
        <v>0</v>
      </c>
      <c r="AE455" s="203">
        <v>48.34</v>
      </c>
      <c r="AF455" s="203">
        <v>-4.2699999999999996</v>
      </c>
      <c r="AG455" s="200" t="s">
        <v>279</v>
      </c>
      <c r="AH455" s="203">
        <v>0</v>
      </c>
      <c r="AI455" s="200" t="s">
        <v>279</v>
      </c>
      <c r="AJ455" s="203">
        <v>0</v>
      </c>
      <c r="AK455" s="200" t="s">
        <v>279</v>
      </c>
      <c r="AL455" s="203">
        <v>0</v>
      </c>
      <c r="AM455" s="200" t="s">
        <v>279</v>
      </c>
      <c r="AN455" s="203">
        <v>0</v>
      </c>
      <c r="AO455" s="200" t="s">
        <v>279</v>
      </c>
      <c r="AP455" s="203">
        <v>0</v>
      </c>
      <c r="AQ455" s="203">
        <v>51.6</v>
      </c>
      <c r="AR455" s="203">
        <v>0</v>
      </c>
      <c r="AS455" s="200" t="str">
        <f t="shared" si="7"/>
        <v>1.00000000</v>
      </c>
      <c r="AT455" s="200" t="str">
        <f>"31.5"</f>
        <v>31.5</v>
      </c>
      <c r="AU455" s="203">
        <v>0</v>
      </c>
    </row>
    <row r="456" spans="1:47" x14ac:dyDescent="0.2">
      <c r="A456" s="200" t="str">
        <f>"0496002595700"</f>
        <v>0496002595700</v>
      </c>
      <c r="B456" s="200">
        <v>8</v>
      </c>
      <c r="C456" s="200" t="s">
        <v>156</v>
      </c>
      <c r="D456" s="200" t="s">
        <v>414</v>
      </c>
      <c r="E456" s="200">
        <v>47</v>
      </c>
      <c r="F456" s="200" t="s">
        <v>243</v>
      </c>
      <c r="G456" s="200">
        <v>2262</v>
      </c>
      <c r="H456" s="200" t="s">
        <v>270</v>
      </c>
      <c r="I456" s="200">
        <v>25433</v>
      </c>
      <c r="J456" s="201">
        <v>42733</v>
      </c>
      <c r="K456" s="202">
        <v>0.72986111111111107</v>
      </c>
      <c r="L456" s="201">
        <v>42738</v>
      </c>
      <c r="M456" s="200" t="s">
        <v>325</v>
      </c>
      <c r="N456" s="200" t="s">
        <v>326</v>
      </c>
      <c r="O456" s="200" t="s">
        <v>372</v>
      </c>
      <c r="P456" s="200" t="s">
        <v>373</v>
      </c>
      <c r="Q456" s="200" t="s">
        <v>275</v>
      </c>
      <c r="R456" s="200">
        <v>2124</v>
      </c>
      <c r="S456" s="200" t="s">
        <v>156</v>
      </c>
      <c r="T456" s="200" t="s">
        <v>277</v>
      </c>
      <c r="U456" s="200">
        <v>2262</v>
      </c>
      <c r="V456" s="200" t="s">
        <v>156</v>
      </c>
      <c r="W456" s="200" t="s">
        <v>330</v>
      </c>
      <c r="X456" s="200">
        <v>17.305</v>
      </c>
      <c r="Y456" s="203">
        <v>0</v>
      </c>
      <c r="Z456" s="203">
        <v>2.37</v>
      </c>
      <c r="AA456" s="203">
        <v>41</v>
      </c>
      <c r="AB456" s="203">
        <v>-3.17</v>
      </c>
      <c r="AC456" s="203">
        <v>0</v>
      </c>
      <c r="AD456" s="203">
        <v>0</v>
      </c>
      <c r="AE456" s="203">
        <v>37.83</v>
      </c>
      <c r="AF456" s="203">
        <v>-4.1500000000000004</v>
      </c>
      <c r="AG456" s="200" t="s">
        <v>279</v>
      </c>
      <c r="AH456" s="203">
        <v>0</v>
      </c>
      <c r="AI456" s="200" t="s">
        <v>279</v>
      </c>
      <c r="AJ456" s="203">
        <v>0</v>
      </c>
      <c r="AK456" s="200" t="s">
        <v>279</v>
      </c>
      <c r="AL456" s="203">
        <v>0</v>
      </c>
      <c r="AM456" s="200" t="s">
        <v>279</v>
      </c>
      <c r="AN456" s="203">
        <v>0</v>
      </c>
      <c r="AO456" s="200" t="s">
        <v>279</v>
      </c>
      <c r="AP456" s="203">
        <v>0</v>
      </c>
      <c r="AQ456" s="203">
        <v>41</v>
      </c>
      <c r="AR456" s="203">
        <v>0</v>
      </c>
      <c r="AS456" s="200" t="str">
        <f t="shared" si="7"/>
        <v>1.00000000</v>
      </c>
      <c r="AT456" s="200" t="str">
        <f>"26.5"</f>
        <v>26.5</v>
      </c>
      <c r="AU456" s="203">
        <v>0</v>
      </c>
    </row>
    <row r="457" spans="1:47" x14ac:dyDescent="0.2">
      <c r="A457" s="200" t="str">
        <f>"0496002595734"</f>
        <v>0496002595734</v>
      </c>
      <c r="B457" s="200">
        <v>2</v>
      </c>
      <c r="C457" s="200" t="s">
        <v>435</v>
      </c>
      <c r="D457" s="200">
        <v>80</v>
      </c>
      <c r="E457" s="200">
        <v>80</v>
      </c>
      <c r="F457" s="200" t="s">
        <v>243</v>
      </c>
      <c r="G457" s="200">
        <v>2086</v>
      </c>
      <c r="H457" s="200" t="s">
        <v>270</v>
      </c>
      <c r="I457" s="200">
        <v>77754</v>
      </c>
      <c r="J457" s="201">
        <v>42734</v>
      </c>
      <c r="K457" s="202">
        <v>0.52430555555555558</v>
      </c>
      <c r="L457" s="201">
        <v>42738</v>
      </c>
      <c r="M457" s="200" t="s">
        <v>271</v>
      </c>
      <c r="N457" s="200" t="s">
        <v>272</v>
      </c>
      <c r="O457" s="200" t="s">
        <v>273</v>
      </c>
      <c r="P457" s="200" t="s">
        <v>274</v>
      </c>
      <c r="Q457" s="200" t="s">
        <v>275</v>
      </c>
      <c r="R457" s="200" t="s">
        <v>276</v>
      </c>
      <c r="S457" s="200" t="s">
        <v>436</v>
      </c>
      <c r="T457" s="200" t="s">
        <v>435</v>
      </c>
      <c r="U457" s="200">
        <v>2086</v>
      </c>
      <c r="V457" s="200" t="s">
        <v>435</v>
      </c>
      <c r="W457" s="200" t="s">
        <v>280</v>
      </c>
      <c r="X457" s="200">
        <v>6.8979999999999997</v>
      </c>
      <c r="Y457" s="203">
        <v>-0.14000000000000001</v>
      </c>
      <c r="Z457" s="203">
        <v>2.2999999999999998</v>
      </c>
      <c r="AA457" s="203">
        <v>15.86</v>
      </c>
      <c r="AB457" s="203">
        <v>-1.26</v>
      </c>
      <c r="AC457" s="203">
        <v>0</v>
      </c>
      <c r="AD457" s="203">
        <v>0</v>
      </c>
      <c r="AE457" s="203">
        <v>14.46</v>
      </c>
      <c r="AF457" s="203">
        <v>-1.66</v>
      </c>
      <c r="AG457" s="200" t="s">
        <v>279</v>
      </c>
      <c r="AH457" s="203">
        <v>0</v>
      </c>
      <c r="AI457" s="200" t="s">
        <v>279</v>
      </c>
      <c r="AJ457" s="203">
        <v>0</v>
      </c>
      <c r="AK457" s="200" t="s">
        <v>279</v>
      </c>
      <c r="AL457" s="203">
        <v>0</v>
      </c>
      <c r="AM457" s="200" t="s">
        <v>279</v>
      </c>
      <c r="AN457" s="203">
        <v>0</v>
      </c>
      <c r="AO457" s="200" t="s">
        <v>279</v>
      </c>
      <c r="AP457" s="203">
        <v>0</v>
      </c>
      <c r="AQ457" s="203">
        <v>15.86</v>
      </c>
      <c r="AR457" s="203">
        <v>0</v>
      </c>
      <c r="AS457" s="200" t="str">
        <f t="shared" si="7"/>
        <v>1.00000000</v>
      </c>
      <c r="AT457" s="200" t="str">
        <f>"35.7"</f>
        <v>35.7</v>
      </c>
      <c r="AU457" s="203">
        <v>0</v>
      </c>
    </row>
    <row r="458" spans="1:47" s="196" customFormat="1" x14ac:dyDescent="0.2">
      <c r="A458" s="196" t="str">
        <f t="shared" ref="A458:A521" si="8">"0496002595700"</f>
        <v>0496002595700</v>
      </c>
      <c r="B458" s="196">
        <v>1</v>
      </c>
      <c r="C458" s="196" t="s">
        <v>156</v>
      </c>
      <c r="D458" s="196" t="s">
        <v>269</v>
      </c>
      <c r="E458" s="196" t="s">
        <v>269</v>
      </c>
      <c r="F458" s="196" t="s">
        <v>243</v>
      </c>
      <c r="G458" s="196">
        <v>2262</v>
      </c>
      <c r="H458" s="196" t="s">
        <v>270</v>
      </c>
      <c r="I458" s="196">
        <v>8056</v>
      </c>
      <c r="J458" s="197">
        <v>42754</v>
      </c>
      <c r="K458" s="198">
        <v>0.56597222222222221</v>
      </c>
      <c r="L458" s="197">
        <v>42758</v>
      </c>
      <c r="M458" s="196" t="s">
        <v>271</v>
      </c>
      <c r="N458" s="196" t="s">
        <v>272</v>
      </c>
      <c r="O458" s="196" t="s">
        <v>273</v>
      </c>
      <c r="P458" s="196" t="s">
        <v>274</v>
      </c>
      <c r="Q458" s="196" t="s">
        <v>275</v>
      </c>
      <c r="R458" s="196" t="s">
        <v>276</v>
      </c>
      <c r="S458" s="196" t="s">
        <v>156</v>
      </c>
      <c r="T458" s="196" t="s">
        <v>277</v>
      </c>
      <c r="U458" s="196">
        <v>2262</v>
      </c>
      <c r="V458" s="196" t="s">
        <v>156</v>
      </c>
      <c r="W458" s="196" t="s">
        <v>278</v>
      </c>
      <c r="X458" s="196">
        <v>2.38</v>
      </c>
      <c r="Y458" s="199">
        <v>-0.05</v>
      </c>
      <c r="Z458" s="199">
        <v>2.67</v>
      </c>
      <c r="AA458" s="199">
        <v>6.35</v>
      </c>
      <c r="AB458" s="199">
        <v>-0.44</v>
      </c>
      <c r="AC458" s="199">
        <v>0</v>
      </c>
      <c r="AD458" s="199">
        <v>0</v>
      </c>
      <c r="AE458" s="199">
        <v>5.86</v>
      </c>
      <c r="AF458" s="199">
        <v>-0.56999999999999995</v>
      </c>
      <c r="AG458" s="196" t="s">
        <v>279</v>
      </c>
      <c r="AH458" s="199">
        <v>0</v>
      </c>
      <c r="AI458" s="196" t="s">
        <v>279</v>
      </c>
      <c r="AJ458" s="199">
        <v>0</v>
      </c>
      <c r="AK458" s="196" t="s">
        <v>279</v>
      </c>
      <c r="AL458" s="199">
        <v>0</v>
      </c>
      <c r="AM458" s="196" t="s">
        <v>279</v>
      </c>
      <c r="AN458" s="199">
        <v>0</v>
      </c>
      <c r="AO458" s="196" t="s">
        <v>279</v>
      </c>
      <c r="AP458" s="199">
        <v>0</v>
      </c>
      <c r="AQ458" s="199">
        <v>6.35</v>
      </c>
      <c r="AR458" s="199">
        <v>0</v>
      </c>
      <c r="AS458" s="196" t="str">
        <f t="shared" si="7"/>
        <v>1.00000000</v>
      </c>
      <c r="AT458" s="196" t="str">
        <f>"0.0"</f>
        <v>0.0</v>
      </c>
      <c r="AU458" s="199">
        <v>0</v>
      </c>
    </row>
    <row r="459" spans="1:47" s="196" customFormat="1" x14ac:dyDescent="0.2">
      <c r="A459" s="196" t="str">
        <f t="shared" si="8"/>
        <v>0496002595700</v>
      </c>
      <c r="B459" s="196">
        <v>1</v>
      </c>
      <c r="C459" s="196" t="s">
        <v>156</v>
      </c>
      <c r="D459" s="196" t="s">
        <v>269</v>
      </c>
      <c r="E459" s="196" t="s">
        <v>269</v>
      </c>
      <c r="F459" s="196" t="s">
        <v>243</v>
      </c>
      <c r="G459" s="196">
        <v>2262</v>
      </c>
      <c r="H459" s="196" t="s">
        <v>270</v>
      </c>
      <c r="I459" s="196">
        <v>8168</v>
      </c>
      <c r="J459" s="197">
        <v>42779</v>
      </c>
      <c r="K459" s="198">
        <v>0.50138888888888888</v>
      </c>
      <c r="L459" s="197">
        <v>42781</v>
      </c>
      <c r="M459" s="196" t="s">
        <v>271</v>
      </c>
      <c r="N459" s="196" t="s">
        <v>272</v>
      </c>
      <c r="O459" s="196" t="s">
        <v>273</v>
      </c>
      <c r="P459" s="196" t="s">
        <v>274</v>
      </c>
      <c r="Q459" s="196" t="s">
        <v>275</v>
      </c>
      <c r="R459" s="196" t="s">
        <v>276</v>
      </c>
      <c r="S459" s="196" t="s">
        <v>156</v>
      </c>
      <c r="T459" s="196" t="s">
        <v>277</v>
      </c>
      <c r="U459" s="196">
        <v>2262</v>
      </c>
      <c r="V459" s="196" t="s">
        <v>156</v>
      </c>
      <c r="W459" s="196" t="s">
        <v>280</v>
      </c>
      <c r="X459" s="196">
        <v>5.1059999999999999</v>
      </c>
      <c r="Y459" s="199">
        <v>-0.1</v>
      </c>
      <c r="Z459" s="199">
        <v>2.16</v>
      </c>
      <c r="AA459" s="199">
        <v>11.03</v>
      </c>
      <c r="AB459" s="199">
        <v>-0.93</v>
      </c>
      <c r="AC459" s="199">
        <v>0</v>
      </c>
      <c r="AD459" s="199">
        <v>0</v>
      </c>
      <c r="AE459" s="199">
        <v>10</v>
      </c>
      <c r="AF459" s="199">
        <v>-1.23</v>
      </c>
      <c r="AG459" s="196" t="s">
        <v>279</v>
      </c>
      <c r="AH459" s="199">
        <v>0</v>
      </c>
      <c r="AI459" s="196" t="s">
        <v>279</v>
      </c>
      <c r="AJ459" s="199">
        <v>0</v>
      </c>
      <c r="AK459" s="196" t="s">
        <v>279</v>
      </c>
      <c r="AL459" s="199">
        <v>0</v>
      </c>
      <c r="AM459" s="196" t="s">
        <v>279</v>
      </c>
      <c r="AN459" s="199">
        <v>0</v>
      </c>
      <c r="AO459" s="196" t="s">
        <v>279</v>
      </c>
      <c r="AP459" s="199">
        <v>0</v>
      </c>
      <c r="AQ459" s="199">
        <v>11.03</v>
      </c>
      <c r="AR459" s="199">
        <v>0</v>
      </c>
      <c r="AS459" s="196" t="str">
        <f t="shared" si="7"/>
        <v>1.00000000</v>
      </c>
      <c r="AT459" s="196" t="str">
        <f>"21.9"</f>
        <v>21.9</v>
      </c>
      <c r="AU459" s="199">
        <v>0</v>
      </c>
    </row>
    <row r="460" spans="1:47" s="196" customFormat="1" x14ac:dyDescent="0.2">
      <c r="A460" s="196" t="str">
        <f t="shared" si="8"/>
        <v>0496002595700</v>
      </c>
      <c r="B460" s="196">
        <v>1</v>
      </c>
      <c r="C460" s="196" t="s">
        <v>156</v>
      </c>
      <c r="D460" s="196" t="s">
        <v>269</v>
      </c>
      <c r="E460" s="196" t="s">
        <v>269</v>
      </c>
      <c r="F460" s="196" t="s">
        <v>243</v>
      </c>
      <c r="G460" s="196">
        <v>2262</v>
      </c>
      <c r="H460" s="196" t="s">
        <v>270</v>
      </c>
      <c r="I460" s="196">
        <v>8331</v>
      </c>
      <c r="J460" s="197">
        <v>42798</v>
      </c>
      <c r="K460" s="198">
        <v>0.8618055555555556</v>
      </c>
      <c r="L460" s="197">
        <v>42801</v>
      </c>
      <c r="M460" s="196" t="s">
        <v>271</v>
      </c>
      <c r="N460" s="196" t="s">
        <v>272</v>
      </c>
      <c r="O460" s="196" t="s">
        <v>273</v>
      </c>
      <c r="P460" s="196" t="s">
        <v>274</v>
      </c>
      <c r="Q460" s="196" t="s">
        <v>275</v>
      </c>
      <c r="R460" s="196" t="s">
        <v>276</v>
      </c>
      <c r="S460" s="196" t="s">
        <v>156</v>
      </c>
      <c r="T460" s="196" t="s">
        <v>277</v>
      </c>
      <c r="U460" s="196">
        <v>2262</v>
      </c>
      <c r="V460" s="196" t="s">
        <v>156</v>
      </c>
      <c r="W460" s="196" t="s">
        <v>278</v>
      </c>
      <c r="X460" s="196">
        <v>3.75</v>
      </c>
      <c r="Y460" s="199">
        <v>-0.08</v>
      </c>
      <c r="Z460" s="199">
        <v>2.61</v>
      </c>
      <c r="AA460" s="199">
        <v>9.7799999999999994</v>
      </c>
      <c r="AB460" s="199">
        <v>-0.69</v>
      </c>
      <c r="AC460" s="199">
        <v>0</v>
      </c>
      <c r="AD460" s="199">
        <v>0</v>
      </c>
      <c r="AE460" s="199">
        <v>9.01</v>
      </c>
      <c r="AF460" s="199">
        <v>-0.9</v>
      </c>
      <c r="AG460" s="196" t="s">
        <v>279</v>
      </c>
      <c r="AH460" s="199">
        <v>0</v>
      </c>
      <c r="AI460" s="196" t="s">
        <v>279</v>
      </c>
      <c r="AJ460" s="199">
        <v>0</v>
      </c>
      <c r="AK460" s="196" t="s">
        <v>279</v>
      </c>
      <c r="AL460" s="199">
        <v>0</v>
      </c>
      <c r="AM460" s="196" t="s">
        <v>279</v>
      </c>
      <c r="AN460" s="199">
        <v>0</v>
      </c>
      <c r="AO460" s="196" t="s">
        <v>279</v>
      </c>
      <c r="AP460" s="199">
        <v>0</v>
      </c>
      <c r="AQ460" s="199">
        <v>9.7799999999999994</v>
      </c>
      <c r="AR460" s="199">
        <v>0</v>
      </c>
      <c r="AS460" s="196" t="str">
        <f t="shared" si="7"/>
        <v>1.00000000</v>
      </c>
      <c r="AT460" s="196" t="str">
        <f>"43.5"</f>
        <v>43.5</v>
      </c>
      <c r="AU460" s="199">
        <v>0</v>
      </c>
    </row>
    <row r="461" spans="1:47" s="196" customFormat="1" x14ac:dyDescent="0.2">
      <c r="A461" s="196" t="str">
        <f t="shared" si="8"/>
        <v>0496002595700</v>
      </c>
      <c r="B461" s="196">
        <v>2</v>
      </c>
      <c r="C461" s="196" t="s">
        <v>156</v>
      </c>
      <c r="D461" s="196">
        <v>42</v>
      </c>
      <c r="E461" s="196">
        <v>42</v>
      </c>
      <c r="F461" s="196" t="s">
        <v>243</v>
      </c>
      <c r="G461" s="196">
        <v>2262</v>
      </c>
      <c r="H461" s="196" t="s">
        <v>270</v>
      </c>
      <c r="I461" s="196">
        <v>195</v>
      </c>
      <c r="J461" s="197">
        <v>42739</v>
      </c>
      <c r="K461" s="198">
        <v>0.61111111111111105</v>
      </c>
      <c r="L461" s="197">
        <v>42741</v>
      </c>
      <c r="M461" s="196" t="s">
        <v>271</v>
      </c>
      <c r="N461" s="196" t="s">
        <v>272</v>
      </c>
      <c r="O461" s="196" t="s">
        <v>273</v>
      </c>
      <c r="P461" s="196" t="s">
        <v>274</v>
      </c>
      <c r="Q461" s="196" t="s">
        <v>275</v>
      </c>
      <c r="R461" s="196" t="s">
        <v>276</v>
      </c>
      <c r="S461" s="196" t="s">
        <v>156</v>
      </c>
      <c r="T461" s="196" t="s">
        <v>277</v>
      </c>
      <c r="U461" s="196">
        <v>2262</v>
      </c>
      <c r="V461" s="196" t="s">
        <v>156</v>
      </c>
      <c r="W461" s="196" t="s">
        <v>280</v>
      </c>
      <c r="X461" s="196">
        <v>5.5119999999999996</v>
      </c>
      <c r="Y461" s="199">
        <v>-0.11</v>
      </c>
      <c r="Z461" s="199">
        <v>2.35</v>
      </c>
      <c r="AA461" s="199">
        <v>12.95</v>
      </c>
      <c r="AB461" s="199">
        <v>-1.01</v>
      </c>
      <c r="AC461" s="199">
        <v>0</v>
      </c>
      <c r="AD461" s="199">
        <v>0</v>
      </c>
      <c r="AE461" s="199">
        <v>11.83</v>
      </c>
      <c r="AF461" s="199">
        <v>-1.32</v>
      </c>
      <c r="AG461" s="196" t="s">
        <v>279</v>
      </c>
      <c r="AH461" s="199">
        <v>0</v>
      </c>
      <c r="AI461" s="196" t="s">
        <v>279</v>
      </c>
      <c r="AJ461" s="199">
        <v>0</v>
      </c>
      <c r="AK461" s="196" t="s">
        <v>279</v>
      </c>
      <c r="AL461" s="199">
        <v>0</v>
      </c>
      <c r="AM461" s="196" t="s">
        <v>279</v>
      </c>
      <c r="AN461" s="199">
        <v>0</v>
      </c>
      <c r="AO461" s="196" t="s">
        <v>279</v>
      </c>
      <c r="AP461" s="199">
        <v>0</v>
      </c>
      <c r="AQ461" s="199">
        <v>12.95</v>
      </c>
      <c r="AR461" s="199">
        <v>0</v>
      </c>
      <c r="AS461" s="196" t="str">
        <f t="shared" si="7"/>
        <v>1.00000000</v>
      </c>
      <c r="AT461" s="196" t="str">
        <f>"49.4"</f>
        <v>49.4</v>
      </c>
      <c r="AU461" s="199">
        <v>0</v>
      </c>
    </row>
    <row r="462" spans="1:47" s="196" customFormat="1" x14ac:dyDescent="0.2">
      <c r="A462" s="196" t="str">
        <f t="shared" si="8"/>
        <v>0496002595700</v>
      </c>
      <c r="B462" s="196">
        <v>2</v>
      </c>
      <c r="C462" s="196" t="s">
        <v>156</v>
      </c>
      <c r="D462" s="196">
        <v>42</v>
      </c>
      <c r="E462" s="196">
        <v>42</v>
      </c>
      <c r="F462" s="196" t="s">
        <v>243</v>
      </c>
      <c r="G462" s="196">
        <v>2262</v>
      </c>
      <c r="H462" s="196" t="s">
        <v>270</v>
      </c>
      <c r="I462" s="196">
        <v>37788</v>
      </c>
      <c r="J462" s="197">
        <v>42743</v>
      </c>
      <c r="K462" s="198">
        <v>0.4152777777777778</v>
      </c>
      <c r="L462" s="197">
        <v>42745</v>
      </c>
      <c r="M462" s="196" t="s">
        <v>271</v>
      </c>
      <c r="N462" s="196" t="s">
        <v>272</v>
      </c>
      <c r="O462" s="196" t="s">
        <v>273</v>
      </c>
      <c r="P462" s="196" t="s">
        <v>274</v>
      </c>
      <c r="Q462" s="196" t="s">
        <v>275</v>
      </c>
      <c r="R462" s="196" t="s">
        <v>276</v>
      </c>
      <c r="S462" s="196" t="s">
        <v>156</v>
      </c>
      <c r="T462" s="196" t="s">
        <v>277</v>
      </c>
      <c r="U462" s="196">
        <v>2262</v>
      </c>
      <c r="V462" s="196" t="s">
        <v>156</v>
      </c>
      <c r="W462" s="196" t="s">
        <v>280</v>
      </c>
      <c r="X462" s="196">
        <v>6.7939999999999996</v>
      </c>
      <c r="Y462" s="199">
        <v>-0.14000000000000001</v>
      </c>
      <c r="Z462" s="199">
        <v>2.35</v>
      </c>
      <c r="AA462" s="199">
        <v>15.96</v>
      </c>
      <c r="AB462" s="199">
        <v>-1.24</v>
      </c>
      <c r="AC462" s="199">
        <v>0</v>
      </c>
      <c r="AD462" s="199">
        <v>0</v>
      </c>
      <c r="AE462" s="199">
        <v>14.58</v>
      </c>
      <c r="AF462" s="199">
        <v>-1.63</v>
      </c>
      <c r="AG462" s="196" t="s">
        <v>279</v>
      </c>
      <c r="AH462" s="199">
        <v>0</v>
      </c>
      <c r="AI462" s="196" t="s">
        <v>279</v>
      </c>
      <c r="AJ462" s="199">
        <v>0</v>
      </c>
      <c r="AK462" s="196" t="s">
        <v>279</v>
      </c>
      <c r="AL462" s="199">
        <v>0</v>
      </c>
      <c r="AM462" s="196" t="s">
        <v>279</v>
      </c>
      <c r="AN462" s="199">
        <v>0</v>
      </c>
      <c r="AO462" s="196" t="s">
        <v>279</v>
      </c>
      <c r="AP462" s="199">
        <v>0</v>
      </c>
      <c r="AQ462" s="199">
        <v>15.96</v>
      </c>
      <c r="AR462" s="199">
        <v>0</v>
      </c>
      <c r="AS462" s="196" t="str">
        <f t="shared" si="7"/>
        <v>1.00000000</v>
      </c>
      <c r="AT462" s="196" t="str">
        <f>"49.3"</f>
        <v>49.3</v>
      </c>
      <c r="AU462" s="199">
        <v>0</v>
      </c>
    </row>
    <row r="463" spans="1:47" s="196" customFormat="1" x14ac:dyDescent="0.2">
      <c r="A463" s="196" t="str">
        <f t="shared" si="8"/>
        <v>0496002595700</v>
      </c>
      <c r="B463" s="196">
        <v>2</v>
      </c>
      <c r="C463" s="196" t="s">
        <v>156</v>
      </c>
      <c r="D463" s="196">
        <v>42</v>
      </c>
      <c r="E463" s="196">
        <v>42</v>
      </c>
      <c r="F463" s="196" t="s">
        <v>243</v>
      </c>
      <c r="G463" s="196">
        <v>2262</v>
      </c>
      <c r="H463" s="196" t="s">
        <v>270</v>
      </c>
      <c r="I463" s="196">
        <v>28149</v>
      </c>
      <c r="J463" s="197">
        <v>42745</v>
      </c>
      <c r="K463" s="198">
        <v>0.69374999999999998</v>
      </c>
      <c r="L463" s="197">
        <v>42747</v>
      </c>
      <c r="M463" s="196" t="s">
        <v>271</v>
      </c>
      <c r="N463" s="196" t="s">
        <v>272</v>
      </c>
      <c r="O463" s="196" t="s">
        <v>273</v>
      </c>
      <c r="P463" s="196" t="s">
        <v>274</v>
      </c>
      <c r="Q463" s="196" t="s">
        <v>275</v>
      </c>
      <c r="R463" s="196" t="s">
        <v>276</v>
      </c>
      <c r="S463" s="196" t="s">
        <v>156</v>
      </c>
      <c r="T463" s="196" t="s">
        <v>277</v>
      </c>
      <c r="U463" s="196">
        <v>2262</v>
      </c>
      <c r="V463" s="196" t="s">
        <v>156</v>
      </c>
      <c r="W463" s="196" t="s">
        <v>280</v>
      </c>
      <c r="X463" s="196">
        <v>5.1100000000000003</v>
      </c>
      <c r="Y463" s="199">
        <v>-0.1</v>
      </c>
      <c r="Z463" s="199">
        <v>2.35</v>
      </c>
      <c r="AA463" s="199">
        <v>12</v>
      </c>
      <c r="AB463" s="199">
        <v>-0.94</v>
      </c>
      <c r="AC463" s="199">
        <v>0</v>
      </c>
      <c r="AD463" s="199">
        <v>0</v>
      </c>
      <c r="AE463" s="199">
        <v>10.96</v>
      </c>
      <c r="AF463" s="199">
        <v>-1.23</v>
      </c>
      <c r="AG463" s="196" t="s">
        <v>279</v>
      </c>
      <c r="AH463" s="199">
        <v>0</v>
      </c>
      <c r="AI463" s="196" t="s">
        <v>279</v>
      </c>
      <c r="AJ463" s="199">
        <v>0</v>
      </c>
      <c r="AK463" s="196" t="s">
        <v>279</v>
      </c>
      <c r="AL463" s="199">
        <v>0</v>
      </c>
      <c r="AM463" s="196" t="s">
        <v>279</v>
      </c>
      <c r="AN463" s="199">
        <v>0</v>
      </c>
      <c r="AO463" s="196" t="s">
        <v>279</v>
      </c>
      <c r="AP463" s="199">
        <v>0</v>
      </c>
      <c r="AQ463" s="199">
        <v>12</v>
      </c>
      <c r="AR463" s="199">
        <v>0</v>
      </c>
      <c r="AS463" s="196" t="str">
        <f t="shared" si="7"/>
        <v>1.00000000</v>
      </c>
      <c r="AT463" s="196" t="str">
        <f>"49.3"</f>
        <v>49.3</v>
      </c>
      <c r="AU463" s="199">
        <v>0</v>
      </c>
    </row>
    <row r="464" spans="1:47" s="196" customFormat="1" x14ac:dyDescent="0.2">
      <c r="A464" s="196" t="str">
        <f t="shared" si="8"/>
        <v>0496002595700</v>
      </c>
      <c r="B464" s="196">
        <v>2</v>
      </c>
      <c r="C464" s="196" t="s">
        <v>156</v>
      </c>
      <c r="D464" s="196">
        <v>42</v>
      </c>
      <c r="E464" s="196">
        <v>42</v>
      </c>
      <c r="F464" s="196" t="s">
        <v>243</v>
      </c>
      <c r="G464" s="196">
        <v>2262</v>
      </c>
      <c r="H464" s="196" t="s">
        <v>270</v>
      </c>
      <c r="I464" s="196">
        <v>38309</v>
      </c>
      <c r="J464" s="197">
        <v>42747</v>
      </c>
      <c r="K464" s="198">
        <v>0.3520833333333333</v>
      </c>
      <c r="L464" s="197">
        <v>42751</v>
      </c>
      <c r="M464" s="196" t="s">
        <v>271</v>
      </c>
      <c r="N464" s="196" t="s">
        <v>281</v>
      </c>
      <c r="O464" s="196" t="s">
        <v>282</v>
      </c>
      <c r="P464" s="196" t="s">
        <v>283</v>
      </c>
      <c r="Q464" s="196" t="s">
        <v>275</v>
      </c>
      <c r="R464" s="196" t="s">
        <v>284</v>
      </c>
      <c r="S464" s="196" t="s">
        <v>156</v>
      </c>
      <c r="T464" s="196" t="s">
        <v>277</v>
      </c>
      <c r="U464" s="196">
        <v>2262</v>
      </c>
      <c r="V464" s="196" t="s">
        <v>156</v>
      </c>
      <c r="W464" s="196" t="s">
        <v>280</v>
      </c>
      <c r="X464" s="196">
        <v>6.976</v>
      </c>
      <c r="Y464" s="199">
        <v>-0.14000000000000001</v>
      </c>
      <c r="Z464" s="199">
        <v>2.35</v>
      </c>
      <c r="AA464" s="199">
        <v>16.38</v>
      </c>
      <c r="AB464" s="199">
        <v>-1.28</v>
      </c>
      <c r="AC464" s="199">
        <v>0</v>
      </c>
      <c r="AD464" s="199">
        <v>0</v>
      </c>
      <c r="AE464" s="199">
        <v>14.96</v>
      </c>
      <c r="AF464" s="199">
        <v>-1.67</v>
      </c>
      <c r="AG464" s="196" t="s">
        <v>279</v>
      </c>
      <c r="AH464" s="199">
        <v>0</v>
      </c>
      <c r="AI464" s="196" t="s">
        <v>279</v>
      </c>
      <c r="AJ464" s="199">
        <v>0</v>
      </c>
      <c r="AK464" s="196" t="s">
        <v>279</v>
      </c>
      <c r="AL464" s="199">
        <v>0</v>
      </c>
      <c r="AM464" s="196" t="s">
        <v>279</v>
      </c>
      <c r="AN464" s="199">
        <v>0</v>
      </c>
      <c r="AO464" s="196" t="s">
        <v>279</v>
      </c>
      <c r="AP464" s="199">
        <v>0</v>
      </c>
      <c r="AQ464" s="199">
        <v>16.38</v>
      </c>
      <c r="AR464" s="199">
        <v>0</v>
      </c>
      <c r="AS464" s="196" t="str">
        <f t="shared" si="7"/>
        <v>1.00000000</v>
      </c>
      <c r="AT464" s="196" t="str">
        <f>"49.3"</f>
        <v>49.3</v>
      </c>
      <c r="AU464" s="199">
        <v>0</v>
      </c>
    </row>
    <row r="465" spans="1:47" s="196" customFormat="1" x14ac:dyDescent="0.2">
      <c r="A465" s="196" t="str">
        <f t="shared" si="8"/>
        <v>0496002595700</v>
      </c>
      <c r="B465" s="196">
        <v>2</v>
      </c>
      <c r="C465" s="196" t="s">
        <v>156</v>
      </c>
      <c r="D465" s="196">
        <v>42</v>
      </c>
      <c r="E465" s="196">
        <v>42</v>
      </c>
      <c r="F465" s="196" t="s">
        <v>243</v>
      </c>
      <c r="G465" s="196">
        <v>2262</v>
      </c>
      <c r="H465" s="196" t="s">
        <v>270</v>
      </c>
      <c r="I465" s="196">
        <v>38658</v>
      </c>
      <c r="J465" s="197">
        <v>42751</v>
      </c>
      <c r="K465" s="198">
        <v>0.70277777777777783</v>
      </c>
      <c r="L465" s="197">
        <v>42753</v>
      </c>
      <c r="M465" s="196" t="s">
        <v>285</v>
      </c>
      <c r="N465" s="196" t="s">
        <v>286</v>
      </c>
      <c r="O465" s="196" t="s">
        <v>287</v>
      </c>
      <c r="P465" s="196" t="s">
        <v>288</v>
      </c>
      <c r="Q465" s="196" t="s">
        <v>289</v>
      </c>
      <c r="R465" s="196" t="s">
        <v>290</v>
      </c>
      <c r="S465" s="196" t="s">
        <v>156</v>
      </c>
      <c r="T465" s="196" t="s">
        <v>277</v>
      </c>
      <c r="U465" s="196">
        <v>2262</v>
      </c>
      <c r="V465" s="196" t="s">
        <v>156</v>
      </c>
      <c r="W465" s="196" t="s">
        <v>280</v>
      </c>
      <c r="X465" s="196">
        <v>8.6470000000000002</v>
      </c>
      <c r="Y465" s="199">
        <v>0</v>
      </c>
      <c r="Z465" s="199">
        <v>2.5</v>
      </c>
      <c r="AA465" s="199">
        <v>21.61</v>
      </c>
      <c r="AB465" s="199">
        <v>-1.58</v>
      </c>
      <c r="AC465" s="199">
        <v>0</v>
      </c>
      <c r="AD465" s="199">
        <v>0</v>
      </c>
      <c r="AE465" s="199">
        <v>20.03</v>
      </c>
      <c r="AF465" s="199">
        <v>-3.21</v>
      </c>
      <c r="AG465" s="196" t="s">
        <v>279</v>
      </c>
      <c r="AH465" s="199">
        <v>0</v>
      </c>
      <c r="AI465" s="196" t="s">
        <v>279</v>
      </c>
      <c r="AJ465" s="199">
        <v>0</v>
      </c>
      <c r="AK465" s="196" t="s">
        <v>279</v>
      </c>
      <c r="AL465" s="199">
        <v>0</v>
      </c>
      <c r="AM465" s="196" t="s">
        <v>279</v>
      </c>
      <c r="AN465" s="199">
        <v>0</v>
      </c>
      <c r="AO465" s="196" t="s">
        <v>279</v>
      </c>
      <c r="AP465" s="199">
        <v>0</v>
      </c>
      <c r="AQ465" s="199">
        <v>21.61</v>
      </c>
      <c r="AR465" s="199">
        <v>0</v>
      </c>
      <c r="AS465" s="196" t="str">
        <f t="shared" si="7"/>
        <v>1.00000000</v>
      </c>
      <c r="AT465" s="196" t="str">
        <f>"47.9"</f>
        <v>47.9</v>
      </c>
      <c r="AU465" s="199">
        <v>0</v>
      </c>
    </row>
    <row r="466" spans="1:47" s="196" customFormat="1" x14ac:dyDescent="0.2">
      <c r="A466" s="196" t="str">
        <f t="shared" si="8"/>
        <v>0496002595700</v>
      </c>
      <c r="B466" s="196">
        <v>2</v>
      </c>
      <c r="C466" s="196" t="s">
        <v>156</v>
      </c>
      <c r="D466" s="196">
        <v>42</v>
      </c>
      <c r="E466" s="196">
        <v>42</v>
      </c>
      <c r="F466" s="196" t="s">
        <v>243</v>
      </c>
      <c r="G466" s="196">
        <v>2262</v>
      </c>
      <c r="H466" s="196" t="s">
        <v>270</v>
      </c>
      <c r="I466" s="196">
        <v>38934</v>
      </c>
      <c r="J466" s="197">
        <v>42757</v>
      </c>
      <c r="K466" s="198">
        <v>0.46180555555555558</v>
      </c>
      <c r="L466" s="197">
        <v>42759</v>
      </c>
      <c r="M466" s="196" t="s">
        <v>271</v>
      </c>
      <c r="N466" s="196" t="s">
        <v>272</v>
      </c>
      <c r="O466" s="196" t="s">
        <v>273</v>
      </c>
      <c r="P466" s="196" t="s">
        <v>274</v>
      </c>
      <c r="Q466" s="196" t="s">
        <v>275</v>
      </c>
      <c r="R466" s="196" t="s">
        <v>276</v>
      </c>
      <c r="S466" s="196" t="s">
        <v>156</v>
      </c>
      <c r="T466" s="196" t="s">
        <v>277</v>
      </c>
      <c r="U466" s="196">
        <v>2262</v>
      </c>
      <c r="V466" s="196" t="s">
        <v>156</v>
      </c>
      <c r="W466" s="196" t="s">
        <v>280</v>
      </c>
      <c r="X466" s="196">
        <v>3.8450000000000002</v>
      </c>
      <c r="Y466" s="199">
        <v>-0.08</v>
      </c>
      <c r="Z466" s="199">
        <v>2.2000000000000002</v>
      </c>
      <c r="AA466" s="199">
        <v>8.4600000000000009</v>
      </c>
      <c r="AB466" s="199">
        <v>-0.7</v>
      </c>
      <c r="AC466" s="199">
        <v>0</v>
      </c>
      <c r="AD466" s="199">
        <v>0</v>
      </c>
      <c r="AE466" s="199">
        <v>7.68</v>
      </c>
      <c r="AF466" s="199">
        <v>-0.92</v>
      </c>
      <c r="AG466" s="196" t="s">
        <v>279</v>
      </c>
      <c r="AH466" s="199">
        <v>0</v>
      </c>
      <c r="AI466" s="196" t="s">
        <v>279</v>
      </c>
      <c r="AJ466" s="199">
        <v>0</v>
      </c>
      <c r="AK466" s="196" t="s">
        <v>279</v>
      </c>
      <c r="AL466" s="199">
        <v>0</v>
      </c>
      <c r="AM466" s="196" t="s">
        <v>279</v>
      </c>
      <c r="AN466" s="199">
        <v>0</v>
      </c>
      <c r="AO466" s="196" t="s">
        <v>279</v>
      </c>
      <c r="AP466" s="199">
        <v>0</v>
      </c>
      <c r="AQ466" s="199">
        <v>8.4600000000000009</v>
      </c>
      <c r="AR466" s="199">
        <v>0</v>
      </c>
      <c r="AS466" s="196" t="str">
        <f t="shared" si="7"/>
        <v>1.00000000</v>
      </c>
      <c r="AT466" s="196" t="str">
        <f>"49.4"</f>
        <v>49.4</v>
      </c>
      <c r="AU466" s="199">
        <v>0</v>
      </c>
    </row>
    <row r="467" spans="1:47" s="196" customFormat="1" x14ac:dyDescent="0.2">
      <c r="A467" s="196" t="str">
        <f t="shared" si="8"/>
        <v>0496002595700</v>
      </c>
      <c r="B467" s="196">
        <v>2</v>
      </c>
      <c r="C467" s="196" t="s">
        <v>156</v>
      </c>
      <c r="D467" s="196">
        <v>42</v>
      </c>
      <c r="E467" s="196">
        <v>42</v>
      </c>
      <c r="F467" s="196" t="s">
        <v>243</v>
      </c>
      <c r="G467" s="196">
        <v>2262</v>
      </c>
      <c r="H467" s="196" t="s">
        <v>270</v>
      </c>
      <c r="I467" s="196">
        <v>39113</v>
      </c>
      <c r="J467" s="197">
        <v>42758</v>
      </c>
      <c r="K467" s="198">
        <v>0.68680555555555556</v>
      </c>
      <c r="L467" s="197">
        <v>42760</v>
      </c>
      <c r="M467" s="196" t="s">
        <v>271</v>
      </c>
      <c r="N467" s="196" t="s">
        <v>272</v>
      </c>
      <c r="O467" s="196" t="s">
        <v>273</v>
      </c>
      <c r="P467" s="196" t="s">
        <v>274</v>
      </c>
      <c r="Q467" s="196" t="s">
        <v>275</v>
      </c>
      <c r="R467" s="196" t="s">
        <v>276</v>
      </c>
      <c r="S467" s="196" t="s">
        <v>156</v>
      </c>
      <c r="T467" s="196" t="s">
        <v>277</v>
      </c>
      <c r="U467" s="196">
        <v>2262</v>
      </c>
      <c r="V467" s="196" t="s">
        <v>156</v>
      </c>
      <c r="W467" s="196" t="s">
        <v>280</v>
      </c>
      <c r="X467" s="196">
        <v>6.2809999999999997</v>
      </c>
      <c r="Y467" s="199">
        <v>-0.13</v>
      </c>
      <c r="Z467" s="199">
        <v>2.17</v>
      </c>
      <c r="AA467" s="199">
        <v>13.63</v>
      </c>
      <c r="AB467" s="199">
        <v>-1.1499999999999999</v>
      </c>
      <c r="AC467" s="199">
        <v>0</v>
      </c>
      <c r="AD467" s="199">
        <v>0</v>
      </c>
      <c r="AE467" s="199">
        <v>12.35</v>
      </c>
      <c r="AF467" s="199">
        <v>-1.51</v>
      </c>
      <c r="AG467" s="196" t="s">
        <v>279</v>
      </c>
      <c r="AH467" s="199">
        <v>0</v>
      </c>
      <c r="AI467" s="196" t="s">
        <v>279</v>
      </c>
      <c r="AJ467" s="199">
        <v>0</v>
      </c>
      <c r="AK467" s="196" t="s">
        <v>279</v>
      </c>
      <c r="AL467" s="199">
        <v>0</v>
      </c>
      <c r="AM467" s="196" t="s">
        <v>279</v>
      </c>
      <c r="AN467" s="199">
        <v>0</v>
      </c>
      <c r="AO467" s="196" t="s">
        <v>279</v>
      </c>
      <c r="AP467" s="199">
        <v>0</v>
      </c>
      <c r="AQ467" s="199">
        <v>13.63</v>
      </c>
      <c r="AR467" s="199">
        <v>0</v>
      </c>
      <c r="AS467" s="196" t="str">
        <f t="shared" si="7"/>
        <v>1.00000000</v>
      </c>
      <c r="AT467" s="196" t="str">
        <f>"49.4"</f>
        <v>49.4</v>
      </c>
      <c r="AU467" s="199">
        <v>0</v>
      </c>
    </row>
    <row r="468" spans="1:47" s="196" customFormat="1" x14ac:dyDescent="0.2">
      <c r="A468" s="196" t="str">
        <f t="shared" si="8"/>
        <v>0496002595700</v>
      </c>
      <c r="B468" s="196">
        <v>2</v>
      </c>
      <c r="C468" s="196" t="s">
        <v>156</v>
      </c>
      <c r="D468" s="196">
        <v>42</v>
      </c>
      <c r="E468" s="196">
        <v>42</v>
      </c>
      <c r="F468" s="196" t="s">
        <v>243</v>
      </c>
      <c r="G468" s="196">
        <v>2262</v>
      </c>
      <c r="H468" s="196" t="s">
        <v>270</v>
      </c>
      <c r="I468" s="196">
        <v>39207</v>
      </c>
      <c r="J468" s="197">
        <v>42764</v>
      </c>
      <c r="K468" s="198">
        <v>0.50763888888888886</v>
      </c>
      <c r="L468" s="197">
        <v>42766</v>
      </c>
      <c r="M468" s="196" t="s">
        <v>271</v>
      </c>
      <c r="N468" s="196" t="s">
        <v>272</v>
      </c>
      <c r="O468" s="196" t="s">
        <v>273</v>
      </c>
      <c r="P468" s="196" t="s">
        <v>274</v>
      </c>
      <c r="Q468" s="196" t="s">
        <v>275</v>
      </c>
      <c r="R468" s="196" t="s">
        <v>276</v>
      </c>
      <c r="S468" s="196" t="s">
        <v>156</v>
      </c>
      <c r="T468" s="196" t="s">
        <v>277</v>
      </c>
      <c r="U468" s="196">
        <v>2262</v>
      </c>
      <c r="V468" s="196" t="s">
        <v>156</v>
      </c>
      <c r="W468" s="196" t="s">
        <v>280</v>
      </c>
      <c r="X468" s="196">
        <v>2.1429999999999998</v>
      </c>
      <c r="Y468" s="199">
        <v>-0.04</v>
      </c>
      <c r="Z468" s="199">
        <v>2.15</v>
      </c>
      <c r="AA468" s="199">
        <v>4.6100000000000003</v>
      </c>
      <c r="AB468" s="199">
        <v>-0.39</v>
      </c>
      <c r="AC468" s="199">
        <v>0</v>
      </c>
      <c r="AD468" s="199">
        <v>0</v>
      </c>
      <c r="AE468" s="199">
        <v>4.18</v>
      </c>
      <c r="AF468" s="199">
        <v>-0.51</v>
      </c>
      <c r="AG468" s="196" t="s">
        <v>279</v>
      </c>
      <c r="AH468" s="199">
        <v>0</v>
      </c>
      <c r="AI468" s="196" t="s">
        <v>279</v>
      </c>
      <c r="AJ468" s="199">
        <v>0</v>
      </c>
      <c r="AK468" s="196" t="s">
        <v>279</v>
      </c>
      <c r="AL468" s="199">
        <v>0</v>
      </c>
      <c r="AM468" s="196" t="s">
        <v>279</v>
      </c>
      <c r="AN468" s="199">
        <v>0</v>
      </c>
      <c r="AO468" s="196" t="s">
        <v>279</v>
      </c>
      <c r="AP468" s="199">
        <v>0</v>
      </c>
      <c r="AQ468" s="199">
        <v>4.6100000000000003</v>
      </c>
      <c r="AR468" s="199">
        <v>0</v>
      </c>
      <c r="AS468" s="196" t="str">
        <f t="shared" si="7"/>
        <v>1.00000000</v>
      </c>
      <c r="AT468" s="196" t="str">
        <f>"43.9"</f>
        <v>43.9</v>
      </c>
      <c r="AU468" s="199">
        <v>0</v>
      </c>
    </row>
    <row r="469" spans="1:47" s="196" customFormat="1" x14ac:dyDescent="0.2">
      <c r="A469" s="196" t="str">
        <f t="shared" si="8"/>
        <v>0496002595700</v>
      </c>
      <c r="B469" s="196">
        <v>2</v>
      </c>
      <c r="C469" s="196" t="s">
        <v>156</v>
      </c>
      <c r="D469" s="196">
        <v>42</v>
      </c>
      <c r="E469" s="196">
        <v>42</v>
      </c>
      <c r="F469" s="196" t="s">
        <v>243</v>
      </c>
      <c r="G469" s="196">
        <v>2262</v>
      </c>
      <c r="H469" s="196" t="s">
        <v>270</v>
      </c>
      <c r="I469" s="196">
        <v>396788</v>
      </c>
      <c r="J469" s="197">
        <v>42772</v>
      </c>
      <c r="K469" s="198">
        <v>0.65625</v>
      </c>
      <c r="L469" s="197">
        <v>42774</v>
      </c>
      <c r="M469" s="196" t="s">
        <v>271</v>
      </c>
      <c r="N469" s="196" t="s">
        <v>291</v>
      </c>
      <c r="O469" s="196" t="s">
        <v>292</v>
      </c>
      <c r="P469" s="196" t="s">
        <v>293</v>
      </c>
      <c r="Q469" s="196" t="s">
        <v>275</v>
      </c>
      <c r="R469" s="196">
        <v>1507</v>
      </c>
      <c r="S469" s="196" t="s">
        <v>156</v>
      </c>
      <c r="T469" s="196" t="s">
        <v>277</v>
      </c>
      <c r="U469" s="196">
        <v>2262</v>
      </c>
      <c r="V469" s="196" t="s">
        <v>156</v>
      </c>
      <c r="W469" s="196" t="s">
        <v>280</v>
      </c>
      <c r="X469" s="196">
        <v>8.3729999999999993</v>
      </c>
      <c r="Y469" s="199">
        <v>-0.25</v>
      </c>
      <c r="Z469" s="199">
        <v>2.2999999999999998</v>
      </c>
      <c r="AA469" s="199">
        <v>19.25</v>
      </c>
      <c r="AB469" s="199">
        <v>-1.53</v>
      </c>
      <c r="AC469" s="199">
        <v>0</v>
      </c>
      <c r="AD469" s="199">
        <v>0</v>
      </c>
      <c r="AE469" s="199">
        <v>17.47</v>
      </c>
      <c r="AF469" s="199">
        <v>-2.0099999999999998</v>
      </c>
      <c r="AG469" s="196" t="s">
        <v>279</v>
      </c>
      <c r="AH469" s="199">
        <v>0</v>
      </c>
      <c r="AI469" s="196" t="s">
        <v>279</v>
      </c>
      <c r="AJ469" s="199">
        <v>0</v>
      </c>
      <c r="AK469" s="196" t="s">
        <v>279</v>
      </c>
      <c r="AL469" s="199">
        <v>0</v>
      </c>
      <c r="AM469" s="196" t="s">
        <v>279</v>
      </c>
      <c r="AN469" s="199">
        <v>0</v>
      </c>
      <c r="AO469" s="196" t="s">
        <v>279</v>
      </c>
      <c r="AP469" s="199">
        <v>0</v>
      </c>
      <c r="AQ469" s="199">
        <v>19.25</v>
      </c>
      <c r="AR469" s="199">
        <v>0</v>
      </c>
      <c r="AS469" s="196" t="str">
        <f t="shared" si="7"/>
        <v>1.00000000</v>
      </c>
      <c r="AT469" s="196" t="str">
        <f>"49.3"</f>
        <v>49.3</v>
      </c>
      <c r="AU469" s="199">
        <v>0</v>
      </c>
    </row>
    <row r="470" spans="1:47" s="196" customFormat="1" x14ac:dyDescent="0.2">
      <c r="A470" s="196" t="str">
        <f t="shared" si="8"/>
        <v>0496002595700</v>
      </c>
      <c r="B470" s="196">
        <v>2</v>
      </c>
      <c r="C470" s="196" t="s">
        <v>156</v>
      </c>
      <c r="D470" s="196">
        <v>42</v>
      </c>
      <c r="E470" s="196">
        <v>42</v>
      </c>
      <c r="F470" s="196" t="s">
        <v>243</v>
      </c>
      <c r="G470" s="196">
        <v>2262</v>
      </c>
      <c r="H470" s="196" t="s">
        <v>270</v>
      </c>
      <c r="I470" s="196">
        <v>39863</v>
      </c>
      <c r="J470" s="197">
        <v>42774</v>
      </c>
      <c r="K470" s="198">
        <v>0.44791666666666669</v>
      </c>
      <c r="L470" s="197">
        <v>42776</v>
      </c>
      <c r="M470" s="196" t="s">
        <v>271</v>
      </c>
      <c r="N470" s="196" t="s">
        <v>272</v>
      </c>
      <c r="O470" s="196" t="s">
        <v>273</v>
      </c>
      <c r="P470" s="196" t="s">
        <v>274</v>
      </c>
      <c r="Q470" s="196" t="s">
        <v>275</v>
      </c>
      <c r="R470" s="196" t="s">
        <v>276</v>
      </c>
      <c r="S470" s="196" t="s">
        <v>156</v>
      </c>
      <c r="T470" s="196" t="s">
        <v>277</v>
      </c>
      <c r="U470" s="196">
        <v>2262</v>
      </c>
      <c r="V470" s="196" t="s">
        <v>156</v>
      </c>
      <c r="W470" s="196" t="s">
        <v>280</v>
      </c>
      <c r="X470" s="196">
        <v>8.7710000000000008</v>
      </c>
      <c r="Y470" s="199">
        <v>-0.18</v>
      </c>
      <c r="Z470" s="199">
        <v>2.11</v>
      </c>
      <c r="AA470" s="199">
        <v>18.5</v>
      </c>
      <c r="AB470" s="199">
        <v>-1.61</v>
      </c>
      <c r="AC470" s="199">
        <v>0</v>
      </c>
      <c r="AD470" s="199">
        <v>0</v>
      </c>
      <c r="AE470" s="199">
        <v>16.71</v>
      </c>
      <c r="AF470" s="199">
        <v>-2.11</v>
      </c>
      <c r="AG470" s="196" t="s">
        <v>279</v>
      </c>
      <c r="AH470" s="199">
        <v>0</v>
      </c>
      <c r="AI470" s="196" t="s">
        <v>279</v>
      </c>
      <c r="AJ470" s="199">
        <v>0</v>
      </c>
      <c r="AK470" s="196" t="s">
        <v>279</v>
      </c>
      <c r="AL470" s="199">
        <v>0</v>
      </c>
      <c r="AM470" s="196" t="s">
        <v>279</v>
      </c>
      <c r="AN470" s="199">
        <v>0</v>
      </c>
      <c r="AO470" s="196" t="s">
        <v>279</v>
      </c>
      <c r="AP470" s="199">
        <v>0</v>
      </c>
      <c r="AQ470" s="199">
        <v>18.5</v>
      </c>
      <c r="AR470" s="199">
        <v>0</v>
      </c>
      <c r="AS470" s="196" t="str">
        <f t="shared" si="7"/>
        <v>1.00000000</v>
      </c>
      <c r="AT470" s="196" t="str">
        <f>"49.4"</f>
        <v>49.4</v>
      </c>
      <c r="AU470" s="199">
        <v>0</v>
      </c>
    </row>
    <row r="471" spans="1:47" s="196" customFormat="1" x14ac:dyDescent="0.2">
      <c r="A471" s="196" t="str">
        <f t="shared" si="8"/>
        <v>0496002595700</v>
      </c>
      <c r="B471" s="196">
        <v>2</v>
      </c>
      <c r="C471" s="196" t="s">
        <v>156</v>
      </c>
      <c r="D471" s="196">
        <v>42</v>
      </c>
      <c r="E471" s="196">
        <v>42</v>
      </c>
      <c r="F471" s="196" t="s">
        <v>243</v>
      </c>
      <c r="G471" s="196">
        <v>2262</v>
      </c>
      <c r="H471" s="196" t="s">
        <v>270</v>
      </c>
      <c r="I471" s="196">
        <v>40084</v>
      </c>
      <c r="J471" s="197">
        <v>42780</v>
      </c>
      <c r="K471" s="198">
        <v>0.93055555555555547</v>
      </c>
      <c r="L471" s="197">
        <v>42782</v>
      </c>
      <c r="M471" s="196" t="s">
        <v>294</v>
      </c>
      <c r="N471" s="196" t="s">
        <v>295</v>
      </c>
      <c r="O471" s="196" t="s">
        <v>296</v>
      </c>
      <c r="P471" s="196" t="s">
        <v>297</v>
      </c>
      <c r="Q471" s="196" t="s">
        <v>275</v>
      </c>
      <c r="R471" s="196" t="s">
        <v>298</v>
      </c>
      <c r="S471" s="196" t="s">
        <v>156</v>
      </c>
      <c r="T471" s="196" t="s">
        <v>277</v>
      </c>
      <c r="U471" s="196">
        <v>2262</v>
      </c>
      <c r="V471" s="196" t="s">
        <v>156</v>
      </c>
      <c r="W471" s="196" t="s">
        <v>280</v>
      </c>
      <c r="X471" s="196">
        <v>7.11</v>
      </c>
      <c r="Y471" s="199">
        <v>0</v>
      </c>
      <c r="Z471" s="199">
        <v>2.2200000000000002</v>
      </c>
      <c r="AA471" s="199">
        <v>15.8</v>
      </c>
      <c r="AB471" s="199">
        <v>-1.3</v>
      </c>
      <c r="AC471" s="199">
        <v>0</v>
      </c>
      <c r="AD471" s="199">
        <v>0</v>
      </c>
      <c r="AE471" s="199">
        <v>14.5</v>
      </c>
      <c r="AF471" s="199">
        <v>-1.71</v>
      </c>
      <c r="AG471" s="196" t="s">
        <v>279</v>
      </c>
      <c r="AH471" s="199">
        <v>0</v>
      </c>
      <c r="AI471" s="196" t="s">
        <v>279</v>
      </c>
      <c r="AJ471" s="199">
        <v>0</v>
      </c>
      <c r="AK471" s="196" t="s">
        <v>279</v>
      </c>
      <c r="AL471" s="199">
        <v>0</v>
      </c>
      <c r="AM471" s="196" t="s">
        <v>279</v>
      </c>
      <c r="AN471" s="199">
        <v>0</v>
      </c>
      <c r="AO471" s="196" t="s">
        <v>279</v>
      </c>
      <c r="AP471" s="199">
        <v>0</v>
      </c>
      <c r="AQ471" s="199">
        <v>15.8</v>
      </c>
      <c r="AR471" s="199">
        <v>0</v>
      </c>
      <c r="AS471" s="196" t="str">
        <f t="shared" si="7"/>
        <v>1.00000000</v>
      </c>
      <c r="AT471" s="196" t="str">
        <f>"49.4"</f>
        <v>49.4</v>
      </c>
      <c r="AU471" s="199">
        <v>0</v>
      </c>
    </row>
    <row r="472" spans="1:47" s="196" customFormat="1" x14ac:dyDescent="0.2">
      <c r="A472" s="196" t="str">
        <f t="shared" si="8"/>
        <v>0496002595700</v>
      </c>
      <c r="B472" s="196">
        <v>2</v>
      </c>
      <c r="C472" s="196" t="s">
        <v>156</v>
      </c>
      <c r="D472" s="196">
        <v>42</v>
      </c>
      <c r="E472" s="196">
        <v>42</v>
      </c>
      <c r="F472" s="196" t="s">
        <v>243</v>
      </c>
      <c r="G472" s="196">
        <v>2262</v>
      </c>
      <c r="H472" s="196" t="s">
        <v>270</v>
      </c>
      <c r="I472" s="196">
        <v>40307</v>
      </c>
      <c r="J472" s="197">
        <v>42784</v>
      </c>
      <c r="K472" s="198">
        <v>5.5555555555555558E-3</v>
      </c>
      <c r="L472" s="197">
        <v>42787</v>
      </c>
      <c r="M472" s="196" t="s">
        <v>271</v>
      </c>
      <c r="N472" s="196" t="s">
        <v>272</v>
      </c>
      <c r="O472" s="196" t="s">
        <v>273</v>
      </c>
      <c r="P472" s="196" t="s">
        <v>274</v>
      </c>
      <c r="Q472" s="196" t="s">
        <v>275</v>
      </c>
      <c r="R472" s="196" t="s">
        <v>276</v>
      </c>
      <c r="S472" s="196" t="s">
        <v>156</v>
      </c>
      <c r="T472" s="196" t="s">
        <v>277</v>
      </c>
      <c r="U472" s="196">
        <v>2262</v>
      </c>
      <c r="V472" s="196" t="s">
        <v>156</v>
      </c>
      <c r="W472" s="196" t="s">
        <v>280</v>
      </c>
      <c r="X472" s="196">
        <v>5.9210000000000003</v>
      </c>
      <c r="Y472" s="199">
        <v>-0.12</v>
      </c>
      <c r="Z472" s="199">
        <v>2.17</v>
      </c>
      <c r="AA472" s="199">
        <v>12.85</v>
      </c>
      <c r="AB472" s="199">
        <v>-1.08</v>
      </c>
      <c r="AC472" s="199">
        <v>0</v>
      </c>
      <c r="AD472" s="199">
        <v>0</v>
      </c>
      <c r="AE472" s="199">
        <v>11.65</v>
      </c>
      <c r="AF472" s="199">
        <v>-1.42</v>
      </c>
      <c r="AG472" s="196" t="s">
        <v>279</v>
      </c>
      <c r="AH472" s="199">
        <v>0</v>
      </c>
      <c r="AI472" s="196" t="s">
        <v>279</v>
      </c>
      <c r="AJ472" s="199">
        <v>0</v>
      </c>
      <c r="AK472" s="196" t="s">
        <v>279</v>
      </c>
      <c r="AL472" s="199">
        <v>0</v>
      </c>
      <c r="AM472" s="196" t="s">
        <v>279</v>
      </c>
      <c r="AN472" s="199">
        <v>0</v>
      </c>
      <c r="AO472" s="196" t="s">
        <v>279</v>
      </c>
      <c r="AP472" s="199">
        <v>0</v>
      </c>
      <c r="AQ472" s="199">
        <v>12.85</v>
      </c>
      <c r="AR472" s="199">
        <v>0</v>
      </c>
      <c r="AS472" s="196" t="str">
        <f t="shared" si="7"/>
        <v>1.00000000</v>
      </c>
      <c r="AT472" s="196" t="str">
        <f>"49.3"</f>
        <v>49.3</v>
      </c>
      <c r="AU472" s="199">
        <v>0</v>
      </c>
    </row>
    <row r="473" spans="1:47" s="196" customFormat="1" x14ac:dyDescent="0.2">
      <c r="A473" s="196" t="str">
        <f t="shared" si="8"/>
        <v>0496002595700</v>
      </c>
      <c r="B473" s="196">
        <v>2</v>
      </c>
      <c r="C473" s="196" t="s">
        <v>156</v>
      </c>
      <c r="D473" s="196">
        <v>42</v>
      </c>
      <c r="E473" s="196">
        <v>42</v>
      </c>
      <c r="F473" s="196" t="s">
        <v>243</v>
      </c>
      <c r="G473" s="196">
        <v>2262</v>
      </c>
      <c r="H473" s="196" t="s">
        <v>270</v>
      </c>
      <c r="I473" s="196">
        <v>75000</v>
      </c>
      <c r="J473" s="197">
        <v>42788</v>
      </c>
      <c r="K473" s="198">
        <v>0.55138888888888882</v>
      </c>
      <c r="L473" s="197">
        <v>42790</v>
      </c>
      <c r="M473" s="196" t="s">
        <v>271</v>
      </c>
      <c r="N473" s="196" t="s">
        <v>272</v>
      </c>
      <c r="O473" s="196" t="s">
        <v>273</v>
      </c>
      <c r="P473" s="196" t="s">
        <v>274</v>
      </c>
      <c r="Q473" s="196" t="s">
        <v>275</v>
      </c>
      <c r="R473" s="196" t="s">
        <v>276</v>
      </c>
      <c r="S473" s="196" t="s">
        <v>156</v>
      </c>
      <c r="T473" s="196" t="s">
        <v>277</v>
      </c>
      <c r="U473" s="196">
        <v>2262</v>
      </c>
      <c r="V473" s="196" t="s">
        <v>156</v>
      </c>
      <c r="W473" s="196" t="s">
        <v>280</v>
      </c>
      <c r="X473" s="196">
        <v>7.0350000000000001</v>
      </c>
      <c r="Y473" s="199">
        <v>-0.14000000000000001</v>
      </c>
      <c r="Z473" s="199">
        <v>2.19</v>
      </c>
      <c r="AA473" s="199">
        <v>15.4</v>
      </c>
      <c r="AB473" s="199">
        <v>-1.29</v>
      </c>
      <c r="AC473" s="199">
        <v>0</v>
      </c>
      <c r="AD473" s="199">
        <v>0</v>
      </c>
      <c r="AE473" s="199">
        <v>13.97</v>
      </c>
      <c r="AF473" s="199">
        <v>-1.69</v>
      </c>
      <c r="AG473" s="196" t="s">
        <v>279</v>
      </c>
      <c r="AH473" s="199">
        <v>0</v>
      </c>
      <c r="AI473" s="196" t="s">
        <v>279</v>
      </c>
      <c r="AJ473" s="199">
        <v>0</v>
      </c>
      <c r="AK473" s="196" t="s">
        <v>279</v>
      </c>
      <c r="AL473" s="199">
        <v>0</v>
      </c>
      <c r="AM473" s="196" t="s">
        <v>279</v>
      </c>
      <c r="AN473" s="199">
        <v>0</v>
      </c>
      <c r="AO473" s="196" t="s">
        <v>279</v>
      </c>
      <c r="AP473" s="199">
        <v>0</v>
      </c>
      <c r="AQ473" s="199">
        <v>15.4</v>
      </c>
      <c r="AR473" s="199">
        <v>0</v>
      </c>
      <c r="AS473" s="196" t="str">
        <f t="shared" si="7"/>
        <v>1.00000000</v>
      </c>
      <c r="AT473" s="196" t="str">
        <f>"49.3"</f>
        <v>49.3</v>
      </c>
      <c r="AU473" s="199">
        <v>0</v>
      </c>
    </row>
    <row r="474" spans="1:47" s="196" customFormat="1" x14ac:dyDescent="0.2">
      <c r="A474" s="196" t="str">
        <f t="shared" si="8"/>
        <v>0496002595700</v>
      </c>
      <c r="B474" s="196">
        <v>2</v>
      </c>
      <c r="C474" s="196" t="s">
        <v>156</v>
      </c>
      <c r="D474" s="196">
        <v>42</v>
      </c>
      <c r="E474" s="196">
        <v>42</v>
      </c>
      <c r="F474" s="196" t="s">
        <v>243</v>
      </c>
      <c r="G474" s="196">
        <v>2262</v>
      </c>
      <c r="H474" s="196" t="s">
        <v>270</v>
      </c>
      <c r="I474" s="196">
        <v>40696</v>
      </c>
      <c r="J474" s="197">
        <v>42793</v>
      </c>
      <c r="K474" s="198">
        <v>0.70000000000000007</v>
      </c>
      <c r="L474" s="197">
        <v>42795</v>
      </c>
      <c r="M474" s="196" t="s">
        <v>294</v>
      </c>
      <c r="N474" s="196" t="s">
        <v>299</v>
      </c>
      <c r="O474" s="196" t="s">
        <v>300</v>
      </c>
      <c r="P474" s="196" t="s">
        <v>301</v>
      </c>
      <c r="Q474" s="196" t="s">
        <v>275</v>
      </c>
      <c r="R474" s="196">
        <v>1069</v>
      </c>
      <c r="S474" s="196" t="s">
        <v>156</v>
      </c>
      <c r="T474" s="196" t="s">
        <v>277</v>
      </c>
      <c r="U474" s="196">
        <v>2262</v>
      </c>
      <c r="V474" s="196" t="s">
        <v>156</v>
      </c>
      <c r="W474" s="196" t="s">
        <v>280</v>
      </c>
      <c r="X474" s="196">
        <v>8.4700000000000006</v>
      </c>
      <c r="Y474" s="199">
        <v>0</v>
      </c>
      <c r="Z474" s="199">
        <v>2.2400000000000002</v>
      </c>
      <c r="AA474" s="199">
        <v>18.97</v>
      </c>
      <c r="AB474" s="199">
        <v>-1.55</v>
      </c>
      <c r="AC474" s="199">
        <v>0</v>
      </c>
      <c r="AD474" s="199">
        <v>0</v>
      </c>
      <c r="AE474" s="199">
        <v>17.420000000000002</v>
      </c>
      <c r="AF474" s="199">
        <v>-2.0299999999999998</v>
      </c>
      <c r="AG474" s="196" t="s">
        <v>279</v>
      </c>
      <c r="AH474" s="199">
        <v>0</v>
      </c>
      <c r="AI474" s="196" t="s">
        <v>279</v>
      </c>
      <c r="AJ474" s="199">
        <v>0</v>
      </c>
      <c r="AK474" s="196" t="s">
        <v>279</v>
      </c>
      <c r="AL474" s="199">
        <v>0</v>
      </c>
      <c r="AM474" s="196" t="s">
        <v>279</v>
      </c>
      <c r="AN474" s="199">
        <v>0</v>
      </c>
      <c r="AO474" s="196" t="s">
        <v>279</v>
      </c>
      <c r="AP474" s="199">
        <v>0</v>
      </c>
      <c r="AQ474" s="199">
        <v>18.97</v>
      </c>
      <c r="AR474" s="199">
        <v>0</v>
      </c>
      <c r="AS474" s="196" t="str">
        <f t="shared" si="7"/>
        <v>1.00000000</v>
      </c>
      <c r="AT474" s="196" t="str">
        <f>"49.4"</f>
        <v>49.4</v>
      </c>
      <c r="AU474" s="199">
        <v>0</v>
      </c>
    </row>
    <row r="475" spans="1:47" s="196" customFormat="1" x14ac:dyDescent="0.2">
      <c r="A475" s="196" t="str">
        <f t="shared" si="8"/>
        <v>0496002595700</v>
      </c>
      <c r="B475" s="196">
        <v>2</v>
      </c>
      <c r="C475" s="196" t="s">
        <v>156</v>
      </c>
      <c r="D475" s="196">
        <v>42</v>
      </c>
      <c r="E475" s="196">
        <v>42</v>
      </c>
      <c r="F475" s="196" t="s">
        <v>243</v>
      </c>
      <c r="G475" s="196">
        <v>2262</v>
      </c>
      <c r="H475" s="196" t="s">
        <v>270</v>
      </c>
      <c r="I475" s="196">
        <v>41295</v>
      </c>
      <c r="J475" s="197">
        <v>42797</v>
      </c>
      <c r="K475" s="198">
        <v>0.64583333333333337</v>
      </c>
      <c r="L475" s="197">
        <v>42801</v>
      </c>
      <c r="M475" s="196" t="s">
        <v>271</v>
      </c>
      <c r="N475" s="196" t="s">
        <v>272</v>
      </c>
      <c r="O475" s="196" t="s">
        <v>273</v>
      </c>
      <c r="P475" s="196" t="s">
        <v>274</v>
      </c>
      <c r="Q475" s="196" t="s">
        <v>275</v>
      </c>
      <c r="R475" s="196" t="s">
        <v>276</v>
      </c>
      <c r="S475" s="196" t="s">
        <v>156</v>
      </c>
      <c r="T475" s="196" t="s">
        <v>277</v>
      </c>
      <c r="U475" s="196">
        <v>2262</v>
      </c>
      <c r="V475" s="196" t="s">
        <v>156</v>
      </c>
      <c r="W475" s="196" t="s">
        <v>280</v>
      </c>
      <c r="X475" s="196">
        <v>7.952</v>
      </c>
      <c r="Y475" s="199">
        <v>-0.16</v>
      </c>
      <c r="Z475" s="199">
        <v>2.19</v>
      </c>
      <c r="AA475" s="199">
        <v>17.399999999999999</v>
      </c>
      <c r="AB475" s="199">
        <v>-1.46</v>
      </c>
      <c r="AC475" s="199">
        <v>0</v>
      </c>
      <c r="AD475" s="199">
        <v>0</v>
      </c>
      <c r="AE475" s="199">
        <v>15.78</v>
      </c>
      <c r="AF475" s="199">
        <v>-1.91</v>
      </c>
      <c r="AG475" s="196" t="s">
        <v>279</v>
      </c>
      <c r="AH475" s="199">
        <v>0</v>
      </c>
      <c r="AI475" s="196" t="s">
        <v>279</v>
      </c>
      <c r="AJ475" s="199">
        <v>0</v>
      </c>
      <c r="AK475" s="196" t="s">
        <v>279</v>
      </c>
      <c r="AL475" s="199">
        <v>0</v>
      </c>
      <c r="AM475" s="196" t="s">
        <v>279</v>
      </c>
      <c r="AN475" s="199">
        <v>0</v>
      </c>
      <c r="AO475" s="196" t="s">
        <v>279</v>
      </c>
      <c r="AP475" s="199">
        <v>0</v>
      </c>
      <c r="AQ475" s="199">
        <v>17.399999999999999</v>
      </c>
      <c r="AR475" s="199">
        <v>0</v>
      </c>
      <c r="AS475" s="196" t="str">
        <f t="shared" si="7"/>
        <v>1.00000000</v>
      </c>
      <c r="AT475" s="196" t="str">
        <f>"49.3"</f>
        <v>49.3</v>
      </c>
      <c r="AU475" s="199">
        <v>0</v>
      </c>
    </row>
    <row r="476" spans="1:47" s="196" customFormat="1" x14ac:dyDescent="0.2">
      <c r="A476" s="196" t="str">
        <f t="shared" si="8"/>
        <v>0496002595700</v>
      </c>
      <c r="B476" s="196">
        <v>2</v>
      </c>
      <c r="C476" s="196" t="s">
        <v>156</v>
      </c>
      <c r="D476" s="196">
        <v>42</v>
      </c>
      <c r="E476" s="196">
        <v>42</v>
      </c>
      <c r="F476" s="196" t="s">
        <v>243</v>
      </c>
      <c r="G476" s="196">
        <v>2262</v>
      </c>
      <c r="H476" s="196" t="s">
        <v>270</v>
      </c>
      <c r="I476" s="196">
        <v>41584</v>
      </c>
      <c r="J476" s="197">
        <v>42803</v>
      </c>
      <c r="K476" s="198">
        <v>0.63958333333333328</v>
      </c>
      <c r="L476" s="197">
        <v>42807</v>
      </c>
      <c r="M476" s="196" t="s">
        <v>271</v>
      </c>
      <c r="N476" s="196" t="s">
        <v>272</v>
      </c>
      <c r="O476" s="196" t="s">
        <v>273</v>
      </c>
      <c r="P476" s="196" t="s">
        <v>274</v>
      </c>
      <c r="Q476" s="196" t="s">
        <v>275</v>
      </c>
      <c r="R476" s="196" t="s">
        <v>276</v>
      </c>
      <c r="S476" s="196" t="s">
        <v>156</v>
      </c>
      <c r="T476" s="196" t="s">
        <v>277</v>
      </c>
      <c r="U476" s="196">
        <v>2262</v>
      </c>
      <c r="V476" s="196" t="s">
        <v>156</v>
      </c>
      <c r="W476" s="196" t="s">
        <v>280</v>
      </c>
      <c r="X476" s="196">
        <v>7.2359999999999998</v>
      </c>
      <c r="Y476" s="199">
        <v>-0.14000000000000001</v>
      </c>
      <c r="Z476" s="199">
        <v>2.19</v>
      </c>
      <c r="AA476" s="199">
        <v>15.84</v>
      </c>
      <c r="AB476" s="199">
        <v>-1.32</v>
      </c>
      <c r="AC476" s="199">
        <v>0</v>
      </c>
      <c r="AD476" s="199">
        <v>0</v>
      </c>
      <c r="AE476" s="199">
        <v>14.38</v>
      </c>
      <c r="AF476" s="199">
        <v>-1.74</v>
      </c>
      <c r="AG476" s="196" t="s">
        <v>279</v>
      </c>
      <c r="AH476" s="199">
        <v>0</v>
      </c>
      <c r="AI476" s="196" t="s">
        <v>279</v>
      </c>
      <c r="AJ476" s="199">
        <v>0</v>
      </c>
      <c r="AK476" s="196" t="s">
        <v>279</v>
      </c>
      <c r="AL476" s="199">
        <v>0</v>
      </c>
      <c r="AM476" s="196" t="s">
        <v>279</v>
      </c>
      <c r="AN476" s="199">
        <v>0</v>
      </c>
      <c r="AO476" s="196" t="s">
        <v>279</v>
      </c>
      <c r="AP476" s="199">
        <v>0</v>
      </c>
      <c r="AQ476" s="199">
        <v>15.84</v>
      </c>
      <c r="AR476" s="199">
        <v>0</v>
      </c>
      <c r="AS476" s="196" t="str">
        <f t="shared" si="7"/>
        <v>1.00000000</v>
      </c>
      <c r="AT476" s="196" t="str">
        <f>"49.3"</f>
        <v>49.3</v>
      </c>
      <c r="AU476" s="199">
        <v>0</v>
      </c>
    </row>
    <row r="477" spans="1:47" s="196" customFormat="1" x14ac:dyDescent="0.2">
      <c r="A477" s="196" t="str">
        <f t="shared" si="8"/>
        <v>0496002595700</v>
      </c>
      <c r="B477" s="196">
        <v>2</v>
      </c>
      <c r="C477" s="196" t="s">
        <v>156</v>
      </c>
      <c r="D477" s="196">
        <v>42</v>
      </c>
      <c r="E477" s="196">
        <v>42</v>
      </c>
      <c r="F477" s="196" t="s">
        <v>243</v>
      </c>
      <c r="G477" s="196">
        <v>2262</v>
      </c>
      <c r="H477" s="196" t="s">
        <v>270</v>
      </c>
      <c r="I477" s="196">
        <v>41881</v>
      </c>
      <c r="J477" s="197">
        <v>42814</v>
      </c>
      <c r="K477" s="198">
        <v>0.26944444444444443</v>
      </c>
      <c r="L477" s="197">
        <v>42816</v>
      </c>
      <c r="M477" s="196" t="s">
        <v>302</v>
      </c>
      <c r="N477" s="196" t="s">
        <v>303</v>
      </c>
      <c r="O477" s="196" t="s">
        <v>304</v>
      </c>
      <c r="P477" s="196" t="s">
        <v>297</v>
      </c>
      <c r="Q477" s="196" t="s">
        <v>275</v>
      </c>
      <c r="R477" s="196">
        <v>2021</v>
      </c>
      <c r="S477" s="196" t="s">
        <v>156</v>
      </c>
      <c r="T477" s="196" t="s">
        <v>277</v>
      </c>
      <c r="U477" s="196">
        <v>2262</v>
      </c>
      <c r="V477" s="196" t="s">
        <v>156</v>
      </c>
      <c r="W477" s="196" t="s">
        <v>280</v>
      </c>
      <c r="X477" s="196">
        <v>7.8959999999999999</v>
      </c>
      <c r="Y477" s="199">
        <v>0</v>
      </c>
      <c r="Z477" s="199">
        <v>2.16</v>
      </c>
      <c r="AA477" s="199">
        <v>17.05</v>
      </c>
      <c r="AB477" s="199">
        <v>-1.44</v>
      </c>
      <c r="AC477" s="199">
        <v>0</v>
      </c>
      <c r="AD477" s="199">
        <v>0</v>
      </c>
      <c r="AE477" s="199">
        <v>15.61</v>
      </c>
      <c r="AF477" s="199">
        <v>-1.9</v>
      </c>
      <c r="AG477" s="196" t="s">
        <v>279</v>
      </c>
      <c r="AH477" s="199">
        <v>0</v>
      </c>
      <c r="AI477" s="196" t="s">
        <v>279</v>
      </c>
      <c r="AJ477" s="199">
        <v>0</v>
      </c>
      <c r="AK477" s="196" t="s">
        <v>279</v>
      </c>
      <c r="AL477" s="199">
        <v>0</v>
      </c>
      <c r="AM477" s="196" t="s">
        <v>279</v>
      </c>
      <c r="AN477" s="199">
        <v>0</v>
      </c>
      <c r="AO477" s="196" t="s">
        <v>279</v>
      </c>
      <c r="AP477" s="199">
        <v>0</v>
      </c>
      <c r="AQ477" s="199">
        <v>17.05</v>
      </c>
      <c r="AR477" s="199">
        <v>0</v>
      </c>
      <c r="AS477" s="196" t="str">
        <f t="shared" si="7"/>
        <v>1.00000000</v>
      </c>
      <c r="AT477" s="196" t="str">
        <f>"49.4"</f>
        <v>49.4</v>
      </c>
      <c r="AU477" s="199">
        <v>0</v>
      </c>
    </row>
    <row r="478" spans="1:47" s="196" customFormat="1" x14ac:dyDescent="0.2">
      <c r="A478" s="196" t="str">
        <f t="shared" si="8"/>
        <v>0496002595700</v>
      </c>
      <c r="B478" s="196">
        <v>2</v>
      </c>
      <c r="C478" s="196" t="s">
        <v>156</v>
      </c>
      <c r="D478" s="196">
        <v>42</v>
      </c>
      <c r="E478" s="196">
        <v>42</v>
      </c>
      <c r="F478" s="196" t="s">
        <v>243</v>
      </c>
      <c r="G478" s="196">
        <v>2262</v>
      </c>
      <c r="H478" s="196" t="s">
        <v>270</v>
      </c>
      <c r="I478" s="196">
        <v>42238</v>
      </c>
      <c r="J478" s="197">
        <v>42824</v>
      </c>
      <c r="K478" s="198">
        <v>0.64444444444444449</v>
      </c>
      <c r="L478" s="197">
        <v>42828</v>
      </c>
      <c r="M478" s="196" t="s">
        <v>271</v>
      </c>
      <c r="N478" s="196" t="s">
        <v>272</v>
      </c>
      <c r="O478" s="196" t="s">
        <v>273</v>
      </c>
      <c r="P478" s="196" t="s">
        <v>274</v>
      </c>
      <c r="Q478" s="196" t="s">
        <v>275</v>
      </c>
      <c r="R478" s="196" t="s">
        <v>276</v>
      </c>
      <c r="S478" s="196" t="s">
        <v>156</v>
      </c>
      <c r="T478" s="196" t="s">
        <v>277</v>
      </c>
      <c r="U478" s="196">
        <v>2262</v>
      </c>
      <c r="V478" s="196" t="s">
        <v>156</v>
      </c>
      <c r="W478" s="196" t="s">
        <v>280</v>
      </c>
      <c r="X478" s="196">
        <v>7.9020000000000001</v>
      </c>
      <c r="Y478" s="199">
        <v>-0.16</v>
      </c>
      <c r="Z478" s="199">
        <v>2.1800000000000002</v>
      </c>
      <c r="AA478" s="199">
        <v>17.22</v>
      </c>
      <c r="AB478" s="199">
        <v>-1.45</v>
      </c>
      <c r="AC478" s="199">
        <v>0</v>
      </c>
      <c r="AD478" s="199">
        <v>0</v>
      </c>
      <c r="AE478" s="199">
        <v>15.61</v>
      </c>
      <c r="AF478" s="199">
        <v>-1.9</v>
      </c>
      <c r="AG478" s="196" t="s">
        <v>279</v>
      </c>
      <c r="AH478" s="199">
        <v>0</v>
      </c>
      <c r="AI478" s="196" t="s">
        <v>279</v>
      </c>
      <c r="AJ478" s="199">
        <v>0</v>
      </c>
      <c r="AK478" s="196" t="s">
        <v>279</v>
      </c>
      <c r="AL478" s="199">
        <v>0</v>
      </c>
      <c r="AM478" s="196" t="s">
        <v>279</v>
      </c>
      <c r="AN478" s="199">
        <v>0</v>
      </c>
      <c r="AO478" s="196" t="s">
        <v>279</v>
      </c>
      <c r="AP478" s="199">
        <v>0</v>
      </c>
      <c r="AQ478" s="199">
        <v>17.22</v>
      </c>
      <c r="AR478" s="199">
        <v>0</v>
      </c>
      <c r="AS478" s="196" t="str">
        <f t="shared" si="7"/>
        <v>1.00000000</v>
      </c>
      <c r="AT478" s="196" t="str">
        <f>"45.2"</f>
        <v>45.2</v>
      </c>
      <c r="AU478" s="199">
        <v>0</v>
      </c>
    </row>
    <row r="479" spans="1:47" s="196" customFormat="1" x14ac:dyDescent="0.2">
      <c r="A479" s="196" t="str">
        <f t="shared" si="8"/>
        <v>0496002595700</v>
      </c>
      <c r="B479" s="196">
        <v>2</v>
      </c>
      <c r="C479" s="196" t="s">
        <v>156</v>
      </c>
      <c r="D479" s="196">
        <v>42</v>
      </c>
      <c r="E479" s="196">
        <v>42</v>
      </c>
      <c r="F479" s="196" t="s">
        <v>243</v>
      </c>
      <c r="G479" s="196">
        <v>2262</v>
      </c>
      <c r="H479" s="196" t="s">
        <v>270</v>
      </c>
      <c r="I479" s="196">
        <v>41430</v>
      </c>
      <c r="J479" s="197">
        <v>42828</v>
      </c>
      <c r="K479" s="198">
        <v>0.28263888888888888</v>
      </c>
      <c r="L479" s="197">
        <v>42830</v>
      </c>
      <c r="M479" s="196" t="s">
        <v>302</v>
      </c>
      <c r="N479" s="196" t="s">
        <v>303</v>
      </c>
      <c r="O479" s="196" t="s">
        <v>304</v>
      </c>
      <c r="P479" s="196" t="s">
        <v>297</v>
      </c>
      <c r="Q479" s="196" t="s">
        <v>275</v>
      </c>
      <c r="R479" s="196">
        <v>2021</v>
      </c>
      <c r="S479" s="196" t="s">
        <v>156</v>
      </c>
      <c r="T479" s="196" t="s">
        <v>277</v>
      </c>
      <c r="U479" s="196">
        <v>2262</v>
      </c>
      <c r="V479" s="196" t="s">
        <v>156</v>
      </c>
      <c r="W479" s="196" t="s">
        <v>280</v>
      </c>
      <c r="X479" s="196">
        <v>5.7569999999999997</v>
      </c>
      <c r="Y479" s="199">
        <v>0</v>
      </c>
      <c r="Z479" s="199">
        <v>2.2599999999999998</v>
      </c>
      <c r="AA479" s="199">
        <v>13.01</v>
      </c>
      <c r="AB479" s="199">
        <v>-1.05</v>
      </c>
      <c r="AC479" s="199">
        <v>0</v>
      </c>
      <c r="AD479" s="199">
        <v>0</v>
      </c>
      <c r="AE479" s="199">
        <v>11.96</v>
      </c>
      <c r="AF479" s="199">
        <v>-1.38</v>
      </c>
      <c r="AG479" s="196" t="s">
        <v>279</v>
      </c>
      <c r="AH479" s="199">
        <v>0</v>
      </c>
      <c r="AI479" s="196" t="s">
        <v>279</v>
      </c>
      <c r="AJ479" s="199">
        <v>0</v>
      </c>
      <c r="AK479" s="196" t="s">
        <v>279</v>
      </c>
      <c r="AL479" s="199">
        <v>0</v>
      </c>
      <c r="AM479" s="196" t="s">
        <v>279</v>
      </c>
      <c r="AN479" s="199">
        <v>0</v>
      </c>
      <c r="AO479" s="196" t="s">
        <v>279</v>
      </c>
      <c r="AP479" s="199">
        <v>0</v>
      </c>
      <c r="AQ479" s="199">
        <v>13.01</v>
      </c>
      <c r="AR479" s="199">
        <v>0</v>
      </c>
      <c r="AS479" s="196" t="str">
        <f t="shared" si="7"/>
        <v>1.00000000</v>
      </c>
      <c r="AT479" s="196" t="str">
        <f>"49.3"</f>
        <v>49.3</v>
      </c>
      <c r="AU479" s="199">
        <v>0</v>
      </c>
    </row>
    <row r="480" spans="1:47" s="196" customFormat="1" x14ac:dyDescent="0.2">
      <c r="A480" s="196" t="str">
        <f t="shared" si="8"/>
        <v>0496002595700</v>
      </c>
      <c r="B480" s="196">
        <v>2</v>
      </c>
      <c r="C480" s="196" t="s">
        <v>156</v>
      </c>
      <c r="D480" s="196">
        <v>42</v>
      </c>
      <c r="E480" s="196">
        <v>42</v>
      </c>
      <c r="F480" s="196" t="s">
        <v>243</v>
      </c>
      <c r="G480" s="196">
        <v>2262</v>
      </c>
      <c r="H480" s="196" t="s">
        <v>270</v>
      </c>
      <c r="I480" s="196">
        <v>42811</v>
      </c>
      <c r="J480" s="197">
        <v>42840</v>
      </c>
      <c r="K480" s="198">
        <v>0.59152777777777776</v>
      </c>
      <c r="L480" s="197">
        <v>42843</v>
      </c>
      <c r="M480" s="196" t="s">
        <v>305</v>
      </c>
      <c r="N480" s="196" t="s">
        <v>306</v>
      </c>
      <c r="O480" s="196" t="s">
        <v>307</v>
      </c>
      <c r="P480" s="196" t="s">
        <v>308</v>
      </c>
      <c r="Q480" s="196" t="s">
        <v>309</v>
      </c>
      <c r="R480" s="196">
        <v>6073</v>
      </c>
      <c r="S480" s="196" t="s">
        <v>156</v>
      </c>
      <c r="T480" s="196" t="s">
        <v>277</v>
      </c>
      <c r="U480" s="196">
        <v>2262</v>
      </c>
      <c r="V480" s="196" t="s">
        <v>156</v>
      </c>
      <c r="W480" s="196" t="s">
        <v>280</v>
      </c>
      <c r="X480" s="196">
        <v>8.9169999999999998</v>
      </c>
      <c r="Y480" s="199">
        <v>0</v>
      </c>
      <c r="Z480" s="199">
        <v>2.5299999999999998</v>
      </c>
      <c r="AA480" s="199">
        <v>22.55</v>
      </c>
      <c r="AB480" s="199">
        <v>-1.63</v>
      </c>
      <c r="AC480" s="199">
        <v>0</v>
      </c>
      <c r="AD480" s="199">
        <v>0</v>
      </c>
      <c r="AE480" s="199">
        <v>20.92</v>
      </c>
      <c r="AF480" s="199">
        <v>-2.23</v>
      </c>
      <c r="AG480" s="196" t="s">
        <v>279</v>
      </c>
      <c r="AH480" s="199">
        <v>0</v>
      </c>
      <c r="AI480" s="196" t="s">
        <v>279</v>
      </c>
      <c r="AJ480" s="199">
        <v>0</v>
      </c>
      <c r="AK480" s="196" t="s">
        <v>279</v>
      </c>
      <c r="AL480" s="199">
        <v>0</v>
      </c>
      <c r="AM480" s="196" t="s">
        <v>279</v>
      </c>
      <c r="AN480" s="199">
        <v>0</v>
      </c>
      <c r="AO480" s="196" t="s">
        <v>279</v>
      </c>
      <c r="AP480" s="199">
        <v>0</v>
      </c>
      <c r="AQ480" s="199">
        <v>22.55</v>
      </c>
      <c r="AR480" s="199">
        <v>0</v>
      </c>
      <c r="AS480" s="196" t="str">
        <f t="shared" si="7"/>
        <v>1.00000000</v>
      </c>
      <c r="AT480" s="196" t="str">
        <f>"49.3"</f>
        <v>49.3</v>
      </c>
      <c r="AU480" s="199">
        <v>0</v>
      </c>
    </row>
    <row r="481" spans="1:47" s="196" customFormat="1" x14ac:dyDescent="0.2">
      <c r="A481" s="196" t="str">
        <f t="shared" si="8"/>
        <v>0496002595700</v>
      </c>
      <c r="B481" s="196">
        <v>2</v>
      </c>
      <c r="C481" s="196" t="s">
        <v>156</v>
      </c>
      <c r="D481" s="196">
        <v>42</v>
      </c>
      <c r="E481" s="196">
        <v>42</v>
      </c>
      <c r="F481" s="196" t="s">
        <v>243</v>
      </c>
      <c r="G481" s="196">
        <v>2262</v>
      </c>
      <c r="H481" s="196" t="s">
        <v>270</v>
      </c>
      <c r="I481" s="196">
        <v>43030</v>
      </c>
      <c r="J481" s="197">
        <v>42846</v>
      </c>
      <c r="K481" s="198">
        <v>0.55347222222222225</v>
      </c>
      <c r="L481" s="197">
        <v>42850</v>
      </c>
      <c r="M481" s="196" t="s">
        <v>271</v>
      </c>
      <c r="N481" s="196" t="s">
        <v>272</v>
      </c>
      <c r="O481" s="196" t="s">
        <v>273</v>
      </c>
      <c r="P481" s="196" t="s">
        <v>274</v>
      </c>
      <c r="Q481" s="196" t="s">
        <v>275</v>
      </c>
      <c r="R481" s="196" t="s">
        <v>276</v>
      </c>
      <c r="S481" s="196" t="s">
        <v>156</v>
      </c>
      <c r="T481" s="196" t="s">
        <v>277</v>
      </c>
      <c r="U481" s="196">
        <v>2262</v>
      </c>
      <c r="V481" s="196" t="s">
        <v>156</v>
      </c>
      <c r="W481" s="196" t="s">
        <v>280</v>
      </c>
      <c r="X481" s="196">
        <v>5.1280000000000001</v>
      </c>
      <c r="Y481" s="199">
        <v>-0.1</v>
      </c>
      <c r="Z481" s="199">
        <v>2.38</v>
      </c>
      <c r="AA481" s="199">
        <v>12.2</v>
      </c>
      <c r="AB481" s="199">
        <v>-0.94</v>
      </c>
      <c r="AC481" s="199">
        <v>0</v>
      </c>
      <c r="AD481" s="199">
        <v>0</v>
      </c>
      <c r="AE481" s="199">
        <v>11.16</v>
      </c>
      <c r="AF481" s="199">
        <v>-1.23</v>
      </c>
      <c r="AG481" s="196" t="s">
        <v>279</v>
      </c>
      <c r="AH481" s="199">
        <v>0</v>
      </c>
      <c r="AI481" s="196" t="s">
        <v>279</v>
      </c>
      <c r="AJ481" s="199">
        <v>0</v>
      </c>
      <c r="AK481" s="196" t="s">
        <v>279</v>
      </c>
      <c r="AL481" s="199">
        <v>0</v>
      </c>
      <c r="AM481" s="196" t="s">
        <v>279</v>
      </c>
      <c r="AN481" s="199">
        <v>0</v>
      </c>
      <c r="AO481" s="196" t="s">
        <v>279</v>
      </c>
      <c r="AP481" s="199">
        <v>0</v>
      </c>
      <c r="AQ481" s="199">
        <v>12.2</v>
      </c>
      <c r="AR481" s="199">
        <v>0</v>
      </c>
      <c r="AS481" s="196" t="str">
        <f t="shared" si="7"/>
        <v>1.00000000</v>
      </c>
      <c r="AT481" s="196" t="str">
        <f>"49.3"</f>
        <v>49.3</v>
      </c>
      <c r="AU481" s="199">
        <v>0</v>
      </c>
    </row>
    <row r="482" spans="1:47" s="196" customFormat="1" x14ac:dyDescent="0.2">
      <c r="A482" s="196" t="str">
        <f t="shared" si="8"/>
        <v>0496002595700</v>
      </c>
      <c r="B482" s="196">
        <v>2</v>
      </c>
      <c r="C482" s="196" t="s">
        <v>156</v>
      </c>
      <c r="D482" s="196">
        <v>42</v>
      </c>
      <c r="E482" s="196">
        <v>42</v>
      </c>
      <c r="F482" s="196" t="s">
        <v>243</v>
      </c>
      <c r="G482" s="196">
        <v>2262</v>
      </c>
      <c r="H482" s="196" t="s">
        <v>270</v>
      </c>
      <c r="I482" s="196">
        <v>43372</v>
      </c>
      <c r="J482" s="197">
        <v>42853</v>
      </c>
      <c r="K482" s="198">
        <v>0.33958333333333335</v>
      </c>
      <c r="L482" s="197">
        <v>42857</v>
      </c>
      <c r="M482" s="196" t="s">
        <v>271</v>
      </c>
      <c r="N482" s="196" t="s">
        <v>272</v>
      </c>
      <c r="O482" s="196" t="s">
        <v>273</v>
      </c>
      <c r="P482" s="196" t="s">
        <v>274</v>
      </c>
      <c r="Q482" s="196" t="s">
        <v>275</v>
      </c>
      <c r="R482" s="196" t="s">
        <v>276</v>
      </c>
      <c r="S482" s="196" t="s">
        <v>156</v>
      </c>
      <c r="T482" s="196" t="s">
        <v>277</v>
      </c>
      <c r="U482" s="196">
        <v>2262</v>
      </c>
      <c r="V482" s="196" t="s">
        <v>156</v>
      </c>
      <c r="W482" s="196" t="s">
        <v>280</v>
      </c>
      <c r="X482" s="196">
        <v>8.1280000000000001</v>
      </c>
      <c r="Y482" s="199">
        <v>-0.16</v>
      </c>
      <c r="Z482" s="199">
        <v>2.4</v>
      </c>
      <c r="AA482" s="199">
        <v>19.5</v>
      </c>
      <c r="AB482" s="199">
        <v>-1.49</v>
      </c>
      <c r="AC482" s="199">
        <v>0</v>
      </c>
      <c r="AD482" s="199">
        <v>0</v>
      </c>
      <c r="AE482" s="199">
        <v>17.850000000000001</v>
      </c>
      <c r="AF482" s="199">
        <v>-1.95</v>
      </c>
      <c r="AG482" s="196" t="s">
        <v>279</v>
      </c>
      <c r="AH482" s="199">
        <v>0</v>
      </c>
      <c r="AI482" s="196" t="s">
        <v>279</v>
      </c>
      <c r="AJ482" s="199">
        <v>0</v>
      </c>
      <c r="AK482" s="196" t="s">
        <v>279</v>
      </c>
      <c r="AL482" s="199">
        <v>0</v>
      </c>
      <c r="AM482" s="196" t="s">
        <v>279</v>
      </c>
      <c r="AN482" s="199">
        <v>0</v>
      </c>
      <c r="AO482" s="196" t="s">
        <v>279</v>
      </c>
      <c r="AP482" s="199">
        <v>0</v>
      </c>
      <c r="AQ482" s="199">
        <v>19.5</v>
      </c>
      <c r="AR482" s="199">
        <v>0</v>
      </c>
      <c r="AS482" s="196" t="str">
        <f t="shared" si="7"/>
        <v>1.00000000</v>
      </c>
      <c r="AT482" s="196" t="str">
        <f>"49.3"</f>
        <v>49.3</v>
      </c>
      <c r="AU482" s="199">
        <v>0</v>
      </c>
    </row>
    <row r="483" spans="1:47" s="196" customFormat="1" x14ac:dyDescent="0.2">
      <c r="A483" s="196" t="str">
        <f t="shared" si="8"/>
        <v>0496002595700</v>
      </c>
      <c r="B483" s="196">
        <v>2</v>
      </c>
      <c r="C483" s="196" t="s">
        <v>156</v>
      </c>
      <c r="D483" s="196">
        <v>42</v>
      </c>
      <c r="E483" s="196">
        <v>42</v>
      </c>
      <c r="F483" s="196" t="s">
        <v>243</v>
      </c>
      <c r="G483" s="196">
        <v>2262</v>
      </c>
      <c r="H483" s="196" t="s">
        <v>270</v>
      </c>
      <c r="I483" s="196">
        <v>43688</v>
      </c>
      <c r="J483" s="197">
        <v>42861</v>
      </c>
      <c r="K483" s="198">
        <v>0.38263888888888892</v>
      </c>
      <c r="L483" s="197">
        <v>42864</v>
      </c>
      <c r="M483" s="196" t="s">
        <v>271</v>
      </c>
      <c r="N483" s="196" t="s">
        <v>272</v>
      </c>
      <c r="O483" s="196" t="s">
        <v>273</v>
      </c>
      <c r="P483" s="196" t="s">
        <v>274</v>
      </c>
      <c r="Q483" s="196" t="s">
        <v>275</v>
      </c>
      <c r="R483" s="196" t="s">
        <v>276</v>
      </c>
      <c r="S483" s="196" t="s">
        <v>156</v>
      </c>
      <c r="T483" s="196" t="s">
        <v>277</v>
      </c>
      <c r="U483" s="196">
        <v>2262</v>
      </c>
      <c r="V483" s="196" t="s">
        <v>156</v>
      </c>
      <c r="W483" s="196" t="s">
        <v>280</v>
      </c>
      <c r="X483" s="196">
        <v>7.2939999999999996</v>
      </c>
      <c r="Y483" s="199">
        <v>-0.15</v>
      </c>
      <c r="Z483" s="199">
        <v>2.4</v>
      </c>
      <c r="AA483" s="199">
        <v>17.5</v>
      </c>
      <c r="AB483" s="199">
        <v>-1.33</v>
      </c>
      <c r="AC483" s="199">
        <v>0</v>
      </c>
      <c r="AD483" s="199">
        <v>0</v>
      </c>
      <c r="AE483" s="199">
        <v>16.02</v>
      </c>
      <c r="AF483" s="199">
        <v>-1.75</v>
      </c>
      <c r="AG483" s="196" t="s">
        <v>279</v>
      </c>
      <c r="AH483" s="199">
        <v>0</v>
      </c>
      <c r="AI483" s="196" t="s">
        <v>279</v>
      </c>
      <c r="AJ483" s="199">
        <v>0</v>
      </c>
      <c r="AK483" s="196" t="s">
        <v>279</v>
      </c>
      <c r="AL483" s="199">
        <v>0</v>
      </c>
      <c r="AM483" s="196" t="s">
        <v>279</v>
      </c>
      <c r="AN483" s="199">
        <v>0</v>
      </c>
      <c r="AO483" s="196" t="s">
        <v>279</v>
      </c>
      <c r="AP483" s="199">
        <v>0</v>
      </c>
      <c r="AQ483" s="199">
        <v>17.5</v>
      </c>
      <c r="AR483" s="199">
        <v>0</v>
      </c>
      <c r="AS483" s="196" t="str">
        <f t="shared" si="7"/>
        <v>1.00000000</v>
      </c>
      <c r="AT483" s="196" t="str">
        <f>"43.3"</f>
        <v>43.3</v>
      </c>
      <c r="AU483" s="199">
        <v>0</v>
      </c>
    </row>
    <row r="484" spans="1:47" s="196" customFormat="1" x14ac:dyDescent="0.2">
      <c r="A484" s="196" t="str">
        <f t="shared" si="8"/>
        <v>0496002595700</v>
      </c>
      <c r="B484" s="196">
        <v>2</v>
      </c>
      <c r="C484" s="196" t="s">
        <v>156</v>
      </c>
      <c r="D484" s="196">
        <v>42</v>
      </c>
      <c r="E484" s="196">
        <v>42</v>
      </c>
      <c r="F484" s="196" t="s">
        <v>243</v>
      </c>
      <c r="G484" s="196">
        <v>2262</v>
      </c>
      <c r="H484" s="196" t="s">
        <v>270</v>
      </c>
      <c r="I484" s="196">
        <v>43951</v>
      </c>
      <c r="J484" s="197">
        <v>42867</v>
      </c>
      <c r="K484" s="198">
        <v>0.37291666666666662</v>
      </c>
      <c r="L484" s="197">
        <v>42871</v>
      </c>
      <c r="M484" s="196" t="s">
        <v>271</v>
      </c>
      <c r="N484" s="196" t="s">
        <v>272</v>
      </c>
      <c r="O484" s="196" t="s">
        <v>273</v>
      </c>
      <c r="P484" s="196" t="s">
        <v>274</v>
      </c>
      <c r="Q484" s="196" t="s">
        <v>275</v>
      </c>
      <c r="R484" s="196" t="s">
        <v>276</v>
      </c>
      <c r="S484" s="196" t="s">
        <v>156</v>
      </c>
      <c r="T484" s="196" t="s">
        <v>277</v>
      </c>
      <c r="U484" s="196">
        <v>2262</v>
      </c>
      <c r="V484" s="196" t="s">
        <v>156</v>
      </c>
      <c r="W484" s="196" t="s">
        <v>280</v>
      </c>
      <c r="X484" s="196">
        <v>6.3310000000000004</v>
      </c>
      <c r="Y484" s="199">
        <v>-0.13</v>
      </c>
      <c r="Z484" s="199">
        <v>2.37</v>
      </c>
      <c r="AA484" s="199">
        <v>15</v>
      </c>
      <c r="AB484" s="199">
        <v>-1.1599999999999999</v>
      </c>
      <c r="AC484" s="199">
        <v>0</v>
      </c>
      <c r="AD484" s="199">
        <v>0</v>
      </c>
      <c r="AE484" s="199">
        <v>13.71</v>
      </c>
      <c r="AF484" s="199">
        <v>-1.52</v>
      </c>
      <c r="AG484" s="196" t="s">
        <v>279</v>
      </c>
      <c r="AH484" s="199">
        <v>0</v>
      </c>
      <c r="AI484" s="196" t="s">
        <v>279</v>
      </c>
      <c r="AJ484" s="199">
        <v>0</v>
      </c>
      <c r="AK484" s="196" t="s">
        <v>279</v>
      </c>
      <c r="AL484" s="199">
        <v>0</v>
      </c>
      <c r="AM484" s="196" t="s">
        <v>279</v>
      </c>
      <c r="AN484" s="199">
        <v>0</v>
      </c>
      <c r="AO484" s="196" t="s">
        <v>279</v>
      </c>
      <c r="AP484" s="199">
        <v>0</v>
      </c>
      <c r="AQ484" s="199">
        <v>15</v>
      </c>
      <c r="AR484" s="199">
        <v>0</v>
      </c>
      <c r="AS484" s="196" t="str">
        <f t="shared" si="7"/>
        <v>1.00000000</v>
      </c>
      <c r="AT484" s="196" t="str">
        <f>"49.3"</f>
        <v>49.3</v>
      </c>
      <c r="AU484" s="199">
        <v>0</v>
      </c>
    </row>
    <row r="485" spans="1:47" s="196" customFormat="1" x14ac:dyDescent="0.2">
      <c r="A485" s="196" t="str">
        <f t="shared" si="8"/>
        <v>0496002595700</v>
      </c>
      <c r="B485" s="196">
        <v>2</v>
      </c>
      <c r="C485" s="196" t="s">
        <v>156</v>
      </c>
      <c r="D485" s="196">
        <v>42</v>
      </c>
      <c r="E485" s="196">
        <v>42</v>
      </c>
      <c r="F485" s="196" t="s">
        <v>243</v>
      </c>
      <c r="G485" s="196">
        <v>2262</v>
      </c>
      <c r="H485" s="196" t="s">
        <v>270</v>
      </c>
      <c r="I485" s="196">
        <v>44125</v>
      </c>
      <c r="J485" s="197">
        <v>42870</v>
      </c>
      <c r="K485" s="198">
        <v>0.36319444444444443</v>
      </c>
      <c r="L485" s="197">
        <v>42872</v>
      </c>
      <c r="M485" s="196" t="s">
        <v>302</v>
      </c>
      <c r="N485" s="196" t="s">
        <v>303</v>
      </c>
      <c r="O485" s="196" t="s">
        <v>304</v>
      </c>
      <c r="P485" s="196" t="s">
        <v>297</v>
      </c>
      <c r="Q485" s="196" t="s">
        <v>275</v>
      </c>
      <c r="R485" s="196">
        <v>2021</v>
      </c>
      <c r="S485" s="196" t="s">
        <v>156</v>
      </c>
      <c r="T485" s="196" t="s">
        <v>277</v>
      </c>
      <c r="U485" s="196">
        <v>2262</v>
      </c>
      <c r="V485" s="196" t="s">
        <v>156</v>
      </c>
      <c r="W485" s="196" t="s">
        <v>280</v>
      </c>
      <c r="X485" s="196">
        <v>4.2409999999999997</v>
      </c>
      <c r="Y485" s="199">
        <v>0</v>
      </c>
      <c r="Z485" s="199">
        <v>2.2999999999999998</v>
      </c>
      <c r="AA485" s="199">
        <v>9.75</v>
      </c>
      <c r="AB485" s="199">
        <v>-0.78</v>
      </c>
      <c r="AC485" s="199">
        <v>0</v>
      </c>
      <c r="AD485" s="199">
        <v>0</v>
      </c>
      <c r="AE485" s="199">
        <v>8.9700000000000006</v>
      </c>
      <c r="AF485" s="199">
        <v>-1.02</v>
      </c>
      <c r="AG485" s="196" t="s">
        <v>279</v>
      </c>
      <c r="AH485" s="199">
        <v>0</v>
      </c>
      <c r="AI485" s="196" t="s">
        <v>279</v>
      </c>
      <c r="AJ485" s="199">
        <v>0</v>
      </c>
      <c r="AK485" s="196" t="s">
        <v>279</v>
      </c>
      <c r="AL485" s="199">
        <v>0</v>
      </c>
      <c r="AM485" s="196" t="s">
        <v>279</v>
      </c>
      <c r="AN485" s="199">
        <v>0</v>
      </c>
      <c r="AO485" s="196" t="s">
        <v>279</v>
      </c>
      <c r="AP485" s="199">
        <v>0</v>
      </c>
      <c r="AQ485" s="199">
        <v>9.75</v>
      </c>
      <c r="AR485" s="199">
        <v>0</v>
      </c>
      <c r="AS485" s="196" t="str">
        <f t="shared" si="7"/>
        <v>1.00000000</v>
      </c>
      <c r="AT485" s="196" t="str">
        <f>"49.3"</f>
        <v>49.3</v>
      </c>
      <c r="AU485" s="199">
        <v>0</v>
      </c>
    </row>
    <row r="486" spans="1:47" s="196" customFormat="1" x14ac:dyDescent="0.2">
      <c r="A486" s="196" t="str">
        <f t="shared" si="8"/>
        <v>0496002595700</v>
      </c>
      <c r="B486" s="196">
        <v>2</v>
      </c>
      <c r="C486" s="196" t="s">
        <v>156</v>
      </c>
      <c r="D486" s="196">
        <v>42</v>
      </c>
      <c r="E486" s="196">
        <v>42</v>
      </c>
      <c r="F486" s="196" t="s">
        <v>243</v>
      </c>
      <c r="G486" s="196">
        <v>2262</v>
      </c>
      <c r="H486" s="196" t="s">
        <v>270</v>
      </c>
      <c r="I486" s="196">
        <v>44391</v>
      </c>
      <c r="J486" s="197">
        <v>42874</v>
      </c>
      <c r="K486" s="198">
        <v>0.64236111111111105</v>
      </c>
      <c r="L486" s="197">
        <v>42878</v>
      </c>
      <c r="M486" s="196" t="s">
        <v>271</v>
      </c>
      <c r="N486" s="196" t="s">
        <v>272</v>
      </c>
      <c r="O486" s="196" t="s">
        <v>273</v>
      </c>
      <c r="P486" s="196" t="s">
        <v>274</v>
      </c>
      <c r="Q486" s="196" t="s">
        <v>275</v>
      </c>
      <c r="R486" s="196" t="s">
        <v>276</v>
      </c>
      <c r="S486" s="196" t="s">
        <v>156</v>
      </c>
      <c r="T486" s="196" t="s">
        <v>277</v>
      </c>
      <c r="U486" s="196">
        <v>2262</v>
      </c>
      <c r="V486" s="196" t="s">
        <v>156</v>
      </c>
      <c r="W486" s="196" t="s">
        <v>280</v>
      </c>
      <c r="X486" s="196">
        <v>6.2779999999999996</v>
      </c>
      <c r="Y486" s="199">
        <v>-0.13</v>
      </c>
      <c r="Z486" s="199">
        <v>2.4300000000000002</v>
      </c>
      <c r="AA486" s="199">
        <v>15.25</v>
      </c>
      <c r="AB486" s="199">
        <v>-1.1499999999999999</v>
      </c>
      <c r="AC486" s="199">
        <v>0</v>
      </c>
      <c r="AD486" s="199">
        <v>0</v>
      </c>
      <c r="AE486" s="199">
        <v>13.97</v>
      </c>
      <c r="AF486" s="199">
        <v>-1.51</v>
      </c>
      <c r="AG486" s="196" t="s">
        <v>279</v>
      </c>
      <c r="AH486" s="199">
        <v>0</v>
      </c>
      <c r="AI486" s="196" t="s">
        <v>279</v>
      </c>
      <c r="AJ486" s="199">
        <v>0</v>
      </c>
      <c r="AK486" s="196" t="s">
        <v>279</v>
      </c>
      <c r="AL486" s="199">
        <v>0</v>
      </c>
      <c r="AM486" s="196" t="s">
        <v>279</v>
      </c>
      <c r="AN486" s="199">
        <v>0</v>
      </c>
      <c r="AO486" s="196" t="s">
        <v>279</v>
      </c>
      <c r="AP486" s="199">
        <v>0</v>
      </c>
      <c r="AQ486" s="199">
        <v>15.25</v>
      </c>
      <c r="AR486" s="199">
        <v>0</v>
      </c>
      <c r="AS486" s="196" t="str">
        <f t="shared" si="7"/>
        <v>1.00000000</v>
      </c>
      <c r="AT486" s="196" t="str">
        <f>"49.4"</f>
        <v>49.4</v>
      </c>
      <c r="AU486" s="199">
        <v>0</v>
      </c>
    </row>
    <row r="487" spans="1:47" s="196" customFormat="1" x14ac:dyDescent="0.2">
      <c r="A487" s="196" t="str">
        <f t="shared" si="8"/>
        <v>0496002595700</v>
      </c>
      <c r="B487" s="196">
        <v>2</v>
      </c>
      <c r="C487" s="196" t="s">
        <v>156</v>
      </c>
      <c r="D487" s="196">
        <v>42</v>
      </c>
      <c r="E487" s="196">
        <v>42</v>
      </c>
      <c r="F487" s="196" t="s">
        <v>243</v>
      </c>
      <c r="G487" s="196">
        <v>2262</v>
      </c>
      <c r="H487" s="196" t="s">
        <v>270</v>
      </c>
      <c r="I487" s="196">
        <v>44667</v>
      </c>
      <c r="J487" s="197">
        <v>42876</v>
      </c>
      <c r="K487" s="198">
        <v>0.88194444444444453</v>
      </c>
      <c r="L487" s="197">
        <v>42878</v>
      </c>
      <c r="M487" s="196" t="s">
        <v>271</v>
      </c>
      <c r="N487" s="196" t="s">
        <v>272</v>
      </c>
      <c r="O487" s="196" t="s">
        <v>273</v>
      </c>
      <c r="P487" s="196" t="s">
        <v>274</v>
      </c>
      <c r="Q487" s="196" t="s">
        <v>275</v>
      </c>
      <c r="R487" s="196" t="s">
        <v>276</v>
      </c>
      <c r="S487" s="196" t="s">
        <v>156</v>
      </c>
      <c r="T487" s="196" t="s">
        <v>277</v>
      </c>
      <c r="U487" s="196">
        <v>2262</v>
      </c>
      <c r="V487" s="196" t="s">
        <v>156</v>
      </c>
      <c r="W487" s="196" t="s">
        <v>280</v>
      </c>
      <c r="X487" s="196">
        <v>6.899</v>
      </c>
      <c r="Y487" s="199">
        <v>-0.14000000000000001</v>
      </c>
      <c r="Z487" s="199">
        <v>2.4300000000000002</v>
      </c>
      <c r="AA487" s="199">
        <v>16.760000000000002</v>
      </c>
      <c r="AB487" s="199">
        <v>-1.26</v>
      </c>
      <c r="AC487" s="199">
        <v>0</v>
      </c>
      <c r="AD487" s="199">
        <v>0</v>
      </c>
      <c r="AE487" s="199">
        <v>15.36</v>
      </c>
      <c r="AF487" s="199">
        <v>-1.66</v>
      </c>
      <c r="AG487" s="196" t="s">
        <v>279</v>
      </c>
      <c r="AH487" s="199">
        <v>0</v>
      </c>
      <c r="AI487" s="196" t="s">
        <v>279</v>
      </c>
      <c r="AJ487" s="199">
        <v>0</v>
      </c>
      <c r="AK487" s="196" t="s">
        <v>279</v>
      </c>
      <c r="AL487" s="199">
        <v>0</v>
      </c>
      <c r="AM487" s="196" t="s">
        <v>279</v>
      </c>
      <c r="AN487" s="199">
        <v>0</v>
      </c>
      <c r="AO487" s="196" t="s">
        <v>279</v>
      </c>
      <c r="AP487" s="199">
        <v>0</v>
      </c>
      <c r="AQ487" s="199">
        <v>16.760000000000002</v>
      </c>
      <c r="AR487" s="199">
        <v>0</v>
      </c>
      <c r="AS487" s="196" t="str">
        <f t="shared" si="7"/>
        <v>1.00000000</v>
      </c>
      <c r="AT487" s="196" t="str">
        <f>"49.3"</f>
        <v>49.3</v>
      </c>
      <c r="AU487" s="199">
        <v>0</v>
      </c>
    </row>
    <row r="488" spans="1:47" s="196" customFormat="1" x14ac:dyDescent="0.2">
      <c r="A488" s="196" t="str">
        <f t="shared" si="8"/>
        <v>0496002595700</v>
      </c>
      <c r="B488" s="196">
        <v>2</v>
      </c>
      <c r="C488" s="196" t="s">
        <v>156</v>
      </c>
      <c r="D488" s="196">
        <v>42</v>
      </c>
      <c r="E488" s="196">
        <v>42</v>
      </c>
      <c r="F488" s="196" t="s">
        <v>243</v>
      </c>
      <c r="G488" s="196">
        <v>2262</v>
      </c>
      <c r="H488" s="196" t="s">
        <v>270</v>
      </c>
      <c r="I488" s="196">
        <v>44751</v>
      </c>
      <c r="J488" s="197">
        <v>42881</v>
      </c>
      <c r="K488" s="198">
        <v>0.84305555555555556</v>
      </c>
      <c r="L488" s="197">
        <v>42885</v>
      </c>
      <c r="M488" s="196" t="s">
        <v>271</v>
      </c>
      <c r="N488" s="196" t="s">
        <v>272</v>
      </c>
      <c r="O488" s="196" t="s">
        <v>273</v>
      </c>
      <c r="P488" s="196" t="s">
        <v>274</v>
      </c>
      <c r="Q488" s="196" t="s">
        <v>275</v>
      </c>
      <c r="R488" s="196" t="s">
        <v>276</v>
      </c>
      <c r="S488" s="196" t="s">
        <v>156</v>
      </c>
      <c r="T488" s="196" t="s">
        <v>277</v>
      </c>
      <c r="U488" s="196">
        <v>2262</v>
      </c>
      <c r="V488" s="196" t="s">
        <v>156</v>
      </c>
      <c r="W488" s="196" t="s">
        <v>280</v>
      </c>
      <c r="X488" s="196">
        <v>2.4689999999999999</v>
      </c>
      <c r="Y488" s="199">
        <v>-0.05</v>
      </c>
      <c r="Z488" s="199">
        <v>2.4300000000000002</v>
      </c>
      <c r="AA488" s="199">
        <v>6</v>
      </c>
      <c r="AB488" s="199">
        <v>-0.45</v>
      </c>
      <c r="AC488" s="199">
        <v>0</v>
      </c>
      <c r="AD488" s="199">
        <v>0</v>
      </c>
      <c r="AE488" s="199">
        <v>5.5</v>
      </c>
      <c r="AF488" s="199">
        <v>-0.59</v>
      </c>
      <c r="AG488" s="196" t="s">
        <v>279</v>
      </c>
      <c r="AH488" s="199">
        <v>0</v>
      </c>
      <c r="AI488" s="196" t="s">
        <v>279</v>
      </c>
      <c r="AJ488" s="199">
        <v>0</v>
      </c>
      <c r="AK488" s="196" t="s">
        <v>279</v>
      </c>
      <c r="AL488" s="199">
        <v>0</v>
      </c>
      <c r="AM488" s="196" t="s">
        <v>279</v>
      </c>
      <c r="AN488" s="199">
        <v>0</v>
      </c>
      <c r="AO488" s="196" t="s">
        <v>279</v>
      </c>
      <c r="AP488" s="199">
        <v>0</v>
      </c>
      <c r="AQ488" s="199">
        <v>6</v>
      </c>
      <c r="AR488" s="199">
        <v>0</v>
      </c>
      <c r="AS488" s="196" t="str">
        <f t="shared" si="7"/>
        <v>1.00000000</v>
      </c>
      <c r="AT488" s="196" t="str">
        <f>"34.0"</f>
        <v>34.0</v>
      </c>
      <c r="AU488" s="199">
        <v>0</v>
      </c>
    </row>
    <row r="489" spans="1:47" s="196" customFormat="1" x14ac:dyDescent="0.2">
      <c r="A489" s="196" t="str">
        <f t="shared" si="8"/>
        <v>0496002595700</v>
      </c>
      <c r="B489" s="196">
        <v>2</v>
      </c>
      <c r="C489" s="196" t="s">
        <v>156</v>
      </c>
      <c r="D489" s="196">
        <v>42</v>
      </c>
      <c r="E489" s="196">
        <v>42</v>
      </c>
      <c r="F489" s="196" t="s">
        <v>243</v>
      </c>
      <c r="G489" s="196">
        <v>2262</v>
      </c>
      <c r="H489" s="196" t="s">
        <v>270</v>
      </c>
      <c r="I489" s="196">
        <v>45040</v>
      </c>
      <c r="J489" s="197">
        <v>42889</v>
      </c>
      <c r="K489" s="198">
        <v>0.79202546296296295</v>
      </c>
      <c r="L489" s="197">
        <v>42892</v>
      </c>
      <c r="M489" s="196" t="s">
        <v>310</v>
      </c>
      <c r="N489" s="196" t="s">
        <v>311</v>
      </c>
      <c r="O489" s="196" t="s">
        <v>312</v>
      </c>
      <c r="P489" s="196" t="s">
        <v>313</v>
      </c>
      <c r="Q489" s="196" t="s">
        <v>275</v>
      </c>
      <c r="R489" s="196">
        <v>1226</v>
      </c>
      <c r="S489" s="196" t="s">
        <v>156</v>
      </c>
      <c r="T489" s="196" t="s">
        <v>277</v>
      </c>
      <c r="U489" s="196">
        <v>2262</v>
      </c>
      <c r="V489" s="196" t="s">
        <v>156</v>
      </c>
      <c r="W489" s="196" t="s">
        <v>280</v>
      </c>
      <c r="X489" s="196">
        <v>5.2789999999999999</v>
      </c>
      <c r="Y489" s="199">
        <v>0</v>
      </c>
      <c r="Z489" s="199">
        <v>2.4</v>
      </c>
      <c r="AA489" s="199">
        <v>12.66</v>
      </c>
      <c r="AB489" s="199">
        <v>-0.97</v>
      </c>
      <c r="AC489" s="199">
        <v>0</v>
      </c>
      <c r="AD489" s="199">
        <v>0</v>
      </c>
      <c r="AE489" s="199">
        <v>11.69</v>
      </c>
      <c r="AF489" s="199">
        <v>-1.27</v>
      </c>
      <c r="AG489" s="196" t="s">
        <v>279</v>
      </c>
      <c r="AH489" s="199">
        <v>0</v>
      </c>
      <c r="AI489" s="196" t="s">
        <v>279</v>
      </c>
      <c r="AJ489" s="199">
        <v>0</v>
      </c>
      <c r="AK489" s="196" t="s">
        <v>279</v>
      </c>
      <c r="AL489" s="199">
        <v>0</v>
      </c>
      <c r="AM489" s="196" t="s">
        <v>279</v>
      </c>
      <c r="AN489" s="199">
        <v>0</v>
      </c>
      <c r="AO489" s="196" t="s">
        <v>279</v>
      </c>
      <c r="AP489" s="199">
        <v>0</v>
      </c>
      <c r="AQ489" s="199">
        <v>12.66</v>
      </c>
      <c r="AR489" s="199">
        <v>0</v>
      </c>
      <c r="AS489" s="196" t="str">
        <f t="shared" si="7"/>
        <v>1.00000000</v>
      </c>
      <c r="AT489" s="196" t="str">
        <f>"40.0"</f>
        <v>40.0</v>
      </c>
      <c r="AU489" s="199">
        <v>0</v>
      </c>
    </row>
    <row r="490" spans="1:47" s="196" customFormat="1" x14ac:dyDescent="0.2">
      <c r="A490" s="196" t="str">
        <f t="shared" si="8"/>
        <v>0496002595700</v>
      </c>
      <c r="B490" s="196">
        <v>2</v>
      </c>
      <c r="C490" s="196" t="s">
        <v>156</v>
      </c>
      <c r="D490" s="196">
        <v>42</v>
      </c>
      <c r="E490" s="196">
        <v>42</v>
      </c>
      <c r="F490" s="196" t="s">
        <v>243</v>
      </c>
      <c r="G490" s="196">
        <v>2262</v>
      </c>
      <c r="H490" s="196" t="s">
        <v>270</v>
      </c>
      <c r="I490" s="196">
        <v>45329</v>
      </c>
      <c r="J490" s="197">
        <v>42897</v>
      </c>
      <c r="K490" s="198">
        <v>0.74583333333333324</v>
      </c>
      <c r="L490" s="197">
        <v>42899</v>
      </c>
      <c r="M490" s="196" t="s">
        <v>271</v>
      </c>
      <c r="N490" s="196" t="s">
        <v>272</v>
      </c>
      <c r="O490" s="196" t="s">
        <v>273</v>
      </c>
      <c r="P490" s="196" t="s">
        <v>274</v>
      </c>
      <c r="Q490" s="196" t="s">
        <v>275</v>
      </c>
      <c r="R490" s="196" t="s">
        <v>276</v>
      </c>
      <c r="S490" s="196" t="s">
        <v>156</v>
      </c>
      <c r="T490" s="196" t="s">
        <v>277</v>
      </c>
      <c r="U490" s="196">
        <v>2262</v>
      </c>
      <c r="V490" s="196" t="s">
        <v>156</v>
      </c>
      <c r="W490" s="196" t="s">
        <v>280</v>
      </c>
      <c r="X490" s="196">
        <v>7.5350000000000001</v>
      </c>
      <c r="Y490" s="199">
        <v>-0.15</v>
      </c>
      <c r="Z490" s="199">
        <v>2.31</v>
      </c>
      <c r="AA490" s="199">
        <v>17.399999999999999</v>
      </c>
      <c r="AB490" s="199">
        <v>-1.38</v>
      </c>
      <c r="AC490" s="199">
        <v>0</v>
      </c>
      <c r="AD490" s="199">
        <v>0</v>
      </c>
      <c r="AE490" s="199">
        <v>15.87</v>
      </c>
      <c r="AF490" s="199">
        <v>-1.81</v>
      </c>
      <c r="AG490" s="196" t="s">
        <v>279</v>
      </c>
      <c r="AH490" s="199">
        <v>0</v>
      </c>
      <c r="AI490" s="196" t="s">
        <v>279</v>
      </c>
      <c r="AJ490" s="199">
        <v>0</v>
      </c>
      <c r="AK490" s="196" t="s">
        <v>279</v>
      </c>
      <c r="AL490" s="199">
        <v>0</v>
      </c>
      <c r="AM490" s="196" t="s">
        <v>279</v>
      </c>
      <c r="AN490" s="199">
        <v>0</v>
      </c>
      <c r="AO490" s="196" t="s">
        <v>279</v>
      </c>
      <c r="AP490" s="199">
        <v>0</v>
      </c>
      <c r="AQ490" s="199">
        <v>17.399999999999999</v>
      </c>
      <c r="AR490" s="199">
        <v>0</v>
      </c>
      <c r="AS490" s="196" t="str">
        <f t="shared" si="7"/>
        <v>1.00000000</v>
      </c>
      <c r="AT490" s="196" t="str">
        <f>"48.7"</f>
        <v>48.7</v>
      </c>
      <c r="AU490" s="199">
        <v>0</v>
      </c>
    </row>
    <row r="491" spans="1:47" s="196" customFormat="1" x14ac:dyDescent="0.2">
      <c r="A491" s="196" t="str">
        <f t="shared" si="8"/>
        <v>0496002595700</v>
      </c>
      <c r="B491" s="196">
        <v>2</v>
      </c>
      <c r="C491" s="196" t="s">
        <v>156</v>
      </c>
      <c r="D491" s="196">
        <v>42</v>
      </c>
      <c r="E491" s="196">
        <v>42</v>
      </c>
      <c r="F491" s="196" t="s">
        <v>243</v>
      </c>
      <c r="G491" s="196">
        <v>2262</v>
      </c>
      <c r="H491" s="196" t="s">
        <v>270</v>
      </c>
      <c r="I491" s="196">
        <v>45772</v>
      </c>
      <c r="J491" s="197">
        <v>42906</v>
      </c>
      <c r="K491" s="198">
        <v>0.76615740740740745</v>
      </c>
      <c r="L491" s="197">
        <v>42908</v>
      </c>
      <c r="M491" s="196" t="s">
        <v>314</v>
      </c>
      <c r="N491" s="196" t="s">
        <v>315</v>
      </c>
      <c r="O491" s="196" t="s">
        <v>316</v>
      </c>
      <c r="P491" s="196" t="s">
        <v>317</v>
      </c>
      <c r="Q491" s="196" t="s">
        <v>275</v>
      </c>
      <c r="R491" s="196" t="s">
        <v>318</v>
      </c>
      <c r="S491" s="196" t="s">
        <v>156</v>
      </c>
      <c r="T491" s="196" t="s">
        <v>277</v>
      </c>
      <c r="U491" s="196">
        <v>2262</v>
      </c>
      <c r="V491" s="196" t="s">
        <v>156</v>
      </c>
      <c r="W491" s="196" t="s">
        <v>280</v>
      </c>
      <c r="X491" s="196">
        <v>9.4710000000000001</v>
      </c>
      <c r="Y491" s="199">
        <v>0</v>
      </c>
      <c r="Z491" s="199">
        <v>2.11</v>
      </c>
      <c r="AA491" s="199">
        <v>19.97</v>
      </c>
      <c r="AB491" s="199">
        <v>-1.73</v>
      </c>
      <c r="AC491" s="199">
        <v>0</v>
      </c>
      <c r="AD491" s="199">
        <v>0</v>
      </c>
      <c r="AE491" s="199">
        <v>18.239999999999998</v>
      </c>
      <c r="AF491" s="199">
        <v>-2.27</v>
      </c>
      <c r="AG491" s="196" t="s">
        <v>279</v>
      </c>
      <c r="AH491" s="199">
        <v>0</v>
      </c>
      <c r="AI491" s="196" t="s">
        <v>279</v>
      </c>
      <c r="AJ491" s="199">
        <v>0</v>
      </c>
      <c r="AK491" s="196" t="s">
        <v>279</v>
      </c>
      <c r="AL491" s="199">
        <v>0</v>
      </c>
      <c r="AM491" s="196" t="s">
        <v>279</v>
      </c>
      <c r="AN491" s="199">
        <v>0</v>
      </c>
      <c r="AO491" s="196" t="s">
        <v>279</v>
      </c>
      <c r="AP491" s="199">
        <v>0</v>
      </c>
      <c r="AQ491" s="199">
        <v>19.97</v>
      </c>
      <c r="AR491" s="199">
        <v>0</v>
      </c>
      <c r="AS491" s="196" t="str">
        <f t="shared" si="7"/>
        <v>1.00000000</v>
      </c>
      <c r="AT491" s="196" t="str">
        <f>"38.3"</f>
        <v>38.3</v>
      </c>
      <c r="AU491" s="199">
        <v>0</v>
      </c>
    </row>
    <row r="492" spans="1:47" s="196" customFormat="1" x14ac:dyDescent="0.2">
      <c r="A492" s="196" t="str">
        <f t="shared" si="8"/>
        <v>0496002595700</v>
      </c>
      <c r="B492" s="196">
        <v>2</v>
      </c>
      <c r="C492" s="196" t="s">
        <v>156</v>
      </c>
      <c r="D492" s="196">
        <v>42</v>
      </c>
      <c r="E492" s="196">
        <v>42</v>
      </c>
      <c r="F492" s="196" t="s">
        <v>243</v>
      </c>
      <c r="G492" s="196">
        <v>2262</v>
      </c>
      <c r="H492" s="196" t="s">
        <v>270</v>
      </c>
      <c r="I492" s="196">
        <v>46018</v>
      </c>
      <c r="J492" s="197">
        <v>42907</v>
      </c>
      <c r="K492" s="198">
        <v>0.92041666666666666</v>
      </c>
      <c r="L492" s="197">
        <v>42909</v>
      </c>
      <c r="M492" s="196" t="s">
        <v>319</v>
      </c>
      <c r="N492" s="196" t="s">
        <v>320</v>
      </c>
      <c r="O492" s="196" t="s">
        <v>321</v>
      </c>
      <c r="P492" s="196" t="s">
        <v>283</v>
      </c>
      <c r="Q492" s="196" t="s">
        <v>275</v>
      </c>
      <c r="R492" s="196">
        <v>1373</v>
      </c>
      <c r="S492" s="196" t="s">
        <v>156</v>
      </c>
      <c r="T492" s="196" t="s">
        <v>277</v>
      </c>
      <c r="U492" s="196">
        <v>2262</v>
      </c>
      <c r="V492" s="196" t="s">
        <v>156</v>
      </c>
      <c r="W492" s="196" t="s">
        <v>280</v>
      </c>
      <c r="X492" s="196">
        <v>5.5830000000000002</v>
      </c>
      <c r="Y492" s="199">
        <v>0</v>
      </c>
      <c r="Z492" s="199">
        <v>2.3199999999999998</v>
      </c>
      <c r="AA492" s="199">
        <v>12.95</v>
      </c>
      <c r="AB492" s="199">
        <v>-1.02</v>
      </c>
      <c r="AC492" s="199">
        <v>0</v>
      </c>
      <c r="AD492" s="199">
        <v>0</v>
      </c>
      <c r="AE492" s="199">
        <v>11.93</v>
      </c>
      <c r="AF492" s="199">
        <v>-1.34</v>
      </c>
      <c r="AG492" s="196" t="s">
        <v>279</v>
      </c>
      <c r="AH492" s="199">
        <v>0</v>
      </c>
      <c r="AI492" s="196" t="s">
        <v>279</v>
      </c>
      <c r="AJ492" s="199">
        <v>0</v>
      </c>
      <c r="AK492" s="196" t="s">
        <v>279</v>
      </c>
      <c r="AL492" s="199">
        <v>0</v>
      </c>
      <c r="AM492" s="196" t="s">
        <v>279</v>
      </c>
      <c r="AN492" s="199">
        <v>0</v>
      </c>
      <c r="AO492" s="196" t="s">
        <v>279</v>
      </c>
      <c r="AP492" s="199">
        <v>0</v>
      </c>
      <c r="AQ492" s="199">
        <v>12.95</v>
      </c>
      <c r="AR492" s="199">
        <v>0</v>
      </c>
      <c r="AS492" s="196" t="str">
        <f t="shared" si="7"/>
        <v>1.00000000</v>
      </c>
      <c r="AT492" s="196" t="str">
        <f>"44.1"</f>
        <v>44.1</v>
      </c>
      <c r="AU492" s="199">
        <v>0</v>
      </c>
    </row>
    <row r="493" spans="1:47" s="196" customFormat="1" x14ac:dyDescent="0.2">
      <c r="A493" s="196" t="str">
        <f t="shared" si="8"/>
        <v>0496002595700</v>
      </c>
      <c r="B493" s="196">
        <v>5</v>
      </c>
      <c r="C493" s="196" t="s">
        <v>156</v>
      </c>
      <c r="D493" s="196">
        <v>86</v>
      </c>
      <c r="E493" s="196">
        <v>86</v>
      </c>
      <c r="F493" s="196" t="s">
        <v>243</v>
      </c>
      <c r="G493" s="196">
        <v>2262</v>
      </c>
      <c r="H493" s="196" t="s">
        <v>270</v>
      </c>
      <c r="I493" s="196">
        <v>9759</v>
      </c>
      <c r="J493" s="197">
        <v>42752</v>
      </c>
      <c r="K493" s="198">
        <v>0.65972222222222221</v>
      </c>
      <c r="L493" s="197">
        <v>42754</v>
      </c>
      <c r="M493" s="196" t="s">
        <v>322</v>
      </c>
      <c r="N493" s="196" t="s">
        <v>323</v>
      </c>
      <c r="O493" s="196" t="s">
        <v>324</v>
      </c>
      <c r="P493" s="196" t="s">
        <v>323</v>
      </c>
      <c r="Q493" s="196" t="s">
        <v>289</v>
      </c>
      <c r="R493" s="196">
        <v>8648</v>
      </c>
      <c r="S493" s="196" t="s">
        <v>156</v>
      </c>
      <c r="T493" s="196" t="s">
        <v>277</v>
      </c>
      <c r="U493" s="196">
        <v>2262</v>
      </c>
      <c r="V493" s="196" t="s">
        <v>156</v>
      </c>
      <c r="W493" s="196" t="s">
        <v>280</v>
      </c>
      <c r="X493" s="196">
        <v>23.106999999999999</v>
      </c>
      <c r="Y493" s="199">
        <v>0</v>
      </c>
      <c r="Z493" s="199">
        <v>2.64</v>
      </c>
      <c r="AA493" s="199">
        <v>60.98</v>
      </c>
      <c r="AB493" s="199">
        <v>-4.2300000000000004</v>
      </c>
      <c r="AC493" s="199">
        <v>0</v>
      </c>
      <c r="AD493" s="199">
        <v>0</v>
      </c>
      <c r="AE493" s="199">
        <v>56.75</v>
      </c>
      <c r="AF493" s="199">
        <v>-8.58</v>
      </c>
      <c r="AG493" s="196" t="s">
        <v>279</v>
      </c>
      <c r="AH493" s="199">
        <v>0</v>
      </c>
      <c r="AI493" s="196" t="s">
        <v>279</v>
      </c>
      <c r="AJ493" s="199">
        <v>0</v>
      </c>
      <c r="AK493" s="196" t="s">
        <v>279</v>
      </c>
      <c r="AL493" s="199">
        <v>0</v>
      </c>
      <c r="AM493" s="196" t="s">
        <v>279</v>
      </c>
      <c r="AN493" s="199">
        <v>0</v>
      </c>
      <c r="AO493" s="196" t="s">
        <v>279</v>
      </c>
      <c r="AP493" s="199">
        <v>0</v>
      </c>
      <c r="AQ493" s="199">
        <v>60.98</v>
      </c>
      <c r="AR493" s="199">
        <v>0</v>
      </c>
      <c r="AS493" s="196" t="str">
        <f t="shared" si="7"/>
        <v>1.00000000</v>
      </c>
      <c r="AT493" s="196" t="str">
        <f>"13.1"</f>
        <v>13.1</v>
      </c>
      <c r="AU493" s="199">
        <v>0</v>
      </c>
    </row>
    <row r="494" spans="1:47" s="196" customFormat="1" x14ac:dyDescent="0.2">
      <c r="A494" s="196" t="str">
        <f t="shared" si="8"/>
        <v>0496002595700</v>
      </c>
      <c r="B494" s="196">
        <v>5</v>
      </c>
      <c r="C494" s="196" t="s">
        <v>156</v>
      </c>
      <c r="D494" s="196">
        <v>86</v>
      </c>
      <c r="E494" s="196">
        <v>86</v>
      </c>
      <c r="F494" s="196" t="s">
        <v>243</v>
      </c>
      <c r="G494" s="196">
        <v>2262</v>
      </c>
      <c r="H494" s="196" t="s">
        <v>270</v>
      </c>
      <c r="I494" s="196">
        <v>9957</v>
      </c>
      <c r="J494" s="197">
        <v>42757</v>
      </c>
      <c r="K494" s="198">
        <v>0.54236111111111118</v>
      </c>
      <c r="L494" s="197">
        <v>42761</v>
      </c>
      <c r="M494" s="196" t="s">
        <v>325</v>
      </c>
      <c r="N494" s="196" t="s">
        <v>326</v>
      </c>
      <c r="O494" s="196" t="s">
        <v>327</v>
      </c>
      <c r="P494" s="196" t="s">
        <v>328</v>
      </c>
      <c r="Q494" s="196" t="s">
        <v>329</v>
      </c>
      <c r="R494" s="196">
        <v>10573</v>
      </c>
      <c r="S494" s="196" t="s">
        <v>156</v>
      </c>
      <c r="T494" s="196" t="s">
        <v>277</v>
      </c>
      <c r="U494" s="196">
        <v>2262</v>
      </c>
      <c r="V494" s="196" t="s">
        <v>156</v>
      </c>
      <c r="W494" s="196" t="s">
        <v>330</v>
      </c>
      <c r="X494" s="196">
        <v>13.260999999999999</v>
      </c>
      <c r="Y494" s="199">
        <v>0</v>
      </c>
      <c r="Z494" s="199">
        <v>2.64</v>
      </c>
      <c r="AA494" s="199">
        <v>35</v>
      </c>
      <c r="AB494" s="199">
        <v>-2.4300000000000002</v>
      </c>
      <c r="AC494" s="199">
        <v>0</v>
      </c>
      <c r="AD494" s="199">
        <v>0</v>
      </c>
      <c r="AE494" s="199">
        <v>32.57</v>
      </c>
      <c r="AF494" s="199">
        <v>-5.32</v>
      </c>
      <c r="AG494" s="196" t="s">
        <v>279</v>
      </c>
      <c r="AH494" s="199">
        <v>0</v>
      </c>
      <c r="AI494" s="196" t="s">
        <v>279</v>
      </c>
      <c r="AJ494" s="199">
        <v>0</v>
      </c>
      <c r="AK494" s="196" t="s">
        <v>279</v>
      </c>
      <c r="AL494" s="199">
        <v>0</v>
      </c>
      <c r="AM494" s="196" t="s">
        <v>279</v>
      </c>
      <c r="AN494" s="199">
        <v>0</v>
      </c>
      <c r="AO494" s="196" t="s">
        <v>279</v>
      </c>
      <c r="AP494" s="199">
        <v>0</v>
      </c>
      <c r="AQ494" s="199">
        <v>35</v>
      </c>
      <c r="AR494" s="199">
        <v>0</v>
      </c>
      <c r="AS494" s="196" t="str">
        <f t="shared" si="7"/>
        <v>1.00000000</v>
      </c>
      <c r="AT494" s="196" t="str">
        <f>"14.9"</f>
        <v>14.9</v>
      </c>
      <c r="AU494" s="199">
        <v>0</v>
      </c>
    </row>
    <row r="495" spans="1:47" s="196" customFormat="1" x14ac:dyDescent="0.2">
      <c r="A495" s="196" t="str">
        <f t="shared" si="8"/>
        <v>0496002595700</v>
      </c>
      <c r="B495" s="196">
        <v>5</v>
      </c>
      <c r="C495" s="196" t="s">
        <v>156</v>
      </c>
      <c r="D495" s="196">
        <v>86</v>
      </c>
      <c r="E495" s="196">
        <v>86</v>
      </c>
      <c r="F495" s="196" t="s">
        <v>243</v>
      </c>
      <c r="G495" s="196">
        <v>2262</v>
      </c>
      <c r="H495" s="196" t="s">
        <v>270</v>
      </c>
      <c r="I495" s="196">
        <v>10281</v>
      </c>
      <c r="J495" s="197">
        <v>42763</v>
      </c>
      <c r="K495" s="198">
        <v>0.72200231481481481</v>
      </c>
      <c r="L495" s="197">
        <v>42766</v>
      </c>
      <c r="M495" s="196" t="s">
        <v>310</v>
      </c>
      <c r="N495" s="196" t="s">
        <v>331</v>
      </c>
      <c r="O495" s="196" t="s">
        <v>332</v>
      </c>
      <c r="P495" s="196" t="s">
        <v>274</v>
      </c>
      <c r="Q495" s="196" t="s">
        <v>275</v>
      </c>
      <c r="R495" s="196">
        <v>1002</v>
      </c>
      <c r="S495" s="196" t="s">
        <v>156</v>
      </c>
      <c r="T495" s="196" t="s">
        <v>277</v>
      </c>
      <c r="U495" s="196">
        <v>2262</v>
      </c>
      <c r="V495" s="196" t="s">
        <v>156</v>
      </c>
      <c r="W495" s="196" t="s">
        <v>280</v>
      </c>
      <c r="X495" s="196">
        <v>13.878</v>
      </c>
      <c r="Y495" s="199">
        <v>0</v>
      </c>
      <c r="Z495" s="199">
        <v>2.2599999999999998</v>
      </c>
      <c r="AA495" s="199">
        <v>31.35</v>
      </c>
      <c r="AB495" s="199">
        <v>-2.54</v>
      </c>
      <c r="AC495" s="199">
        <v>0</v>
      </c>
      <c r="AD495" s="199">
        <v>0</v>
      </c>
      <c r="AE495" s="199">
        <v>28.81</v>
      </c>
      <c r="AF495" s="199">
        <v>-3.33</v>
      </c>
      <c r="AG495" s="196" t="s">
        <v>279</v>
      </c>
      <c r="AH495" s="199">
        <v>0</v>
      </c>
      <c r="AI495" s="196" t="s">
        <v>279</v>
      </c>
      <c r="AJ495" s="199">
        <v>0</v>
      </c>
      <c r="AK495" s="196" t="s">
        <v>279</v>
      </c>
      <c r="AL495" s="199">
        <v>0</v>
      </c>
      <c r="AM495" s="196" t="s">
        <v>279</v>
      </c>
      <c r="AN495" s="199">
        <v>0</v>
      </c>
      <c r="AO495" s="196" t="s">
        <v>279</v>
      </c>
      <c r="AP495" s="199">
        <v>0</v>
      </c>
      <c r="AQ495" s="199">
        <v>31.35</v>
      </c>
      <c r="AR495" s="199">
        <v>0</v>
      </c>
      <c r="AS495" s="196" t="str">
        <f t="shared" si="7"/>
        <v>1.00000000</v>
      </c>
      <c r="AT495" s="196" t="str">
        <f>"23.4"</f>
        <v>23.4</v>
      </c>
      <c r="AU495" s="199">
        <v>0</v>
      </c>
    </row>
    <row r="496" spans="1:47" s="196" customFormat="1" x14ac:dyDescent="0.2">
      <c r="A496" s="196" t="str">
        <f t="shared" si="8"/>
        <v>0496002595700</v>
      </c>
      <c r="B496" s="196">
        <v>5</v>
      </c>
      <c r="C496" s="196" t="s">
        <v>156</v>
      </c>
      <c r="D496" s="196">
        <v>86</v>
      </c>
      <c r="E496" s="196">
        <v>86</v>
      </c>
      <c r="F496" s="196" t="s">
        <v>243</v>
      </c>
      <c r="G496" s="196">
        <v>2262</v>
      </c>
      <c r="H496" s="196" t="s">
        <v>270</v>
      </c>
      <c r="I496" s="196">
        <v>10492</v>
      </c>
      <c r="J496" s="197">
        <v>42770</v>
      </c>
      <c r="K496" s="198">
        <v>0.8208333333333333</v>
      </c>
      <c r="L496" s="197">
        <v>42773</v>
      </c>
      <c r="M496" s="196" t="s">
        <v>271</v>
      </c>
      <c r="N496" s="196" t="s">
        <v>272</v>
      </c>
      <c r="O496" s="196" t="s">
        <v>273</v>
      </c>
      <c r="P496" s="196" t="s">
        <v>274</v>
      </c>
      <c r="Q496" s="196" t="s">
        <v>275</v>
      </c>
      <c r="R496" s="196" t="s">
        <v>276</v>
      </c>
      <c r="S496" s="196" t="s">
        <v>156</v>
      </c>
      <c r="T496" s="196" t="s">
        <v>277</v>
      </c>
      <c r="U496" s="196">
        <v>2262</v>
      </c>
      <c r="V496" s="196" t="s">
        <v>156</v>
      </c>
      <c r="W496" s="196" t="s">
        <v>280</v>
      </c>
      <c r="X496" s="196">
        <v>11.853</v>
      </c>
      <c r="Y496" s="199">
        <v>-0.24</v>
      </c>
      <c r="Z496" s="199">
        <v>2.11</v>
      </c>
      <c r="AA496" s="199">
        <v>25</v>
      </c>
      <c r="AB496" s="199">
        <v>-2.17</v>
      </c>
      <c r="AC496" s="199">
        <v>0</v>
      </c>
      <c r="AD496" s="199">
        <v>0</v>
      </c>
      <c r="AE496" s="199">
        <v>22.59</v>
      </c>
      <c r="AF496" s="199">
        <v>-2.84</v>
      </c>
      <c r="AG496" s="196" t="s">
        <v>279</v>
      </c>
      <c r="AH496" s="199">
        <v>0</v>
      </c>
      <c r="AI496" s="196" t="s">
        <v>279</v>
      </c>
      <c r="AJ496" s="199">
        <v>0</v>
      </c>
      <c r="AK496" s="196" t="s">
        <v>279</v>
      </c>
      <c r="AL496" s="199">
        <v>0</v>
      </c>
      <c r="AM496" s="196" t="s">
        <v>279</v>
      </c>
      <c r="AN496" s="199">
        <v>0</v>
      </c>
      <c r="AO496" s="196" t="s">
        <v>279</v>
      </c>
      <c r="AP496" s="199">
        <v>0</v>
      </c>
      <c r="AQ496" s="199">
        <v>25</v>
      </c>
      <c r="AR496" s="199">
        <v>0</v>
      </c>
      <c r="AS496" s="196" t="str">
        <f t="shared" si="7"/>
        <v>1.00000000</v>
      </c>
      <c r="AT496" s="196" t="str">
        <f>"17.8"</f>
        <v>17.8</v>
      </c>
      <c r="AU496" s="199">
        <v>0</v>
      </c>
    </row>
    <row r="497" spans="1:47" s="196" customFormat="1" x14ac:dyDescent="0.2">
      <c r="A497" s="196" t="str">
        <f t="shared" si="8"/>
        <v>0496002595700</v>
      </c>
      <c r="B497" s="196">
        <v>5</v>
      </c>
      <c r="C497" s="196" t="s">
        <v>156</v>
      </c>
      <c r="D497" s="196">
        <v>86</v>
      </c>
      <c r="E497" s="196">
        <v>86</v>
      </c>
      <c r="F497" s="196" t="s">
        <v>243</v>
      </c>
      <c r="G497" s="196">
        <v>2262</v>
      </c>
      <c r="H497" s="196" t="s">
        <v>270</v>
      </c>
      <c r="I497" s="196">
        <v>10632</v>
      </c>
      <c r="J497" s="197">
        <v>42792</v>
      </c>
      <c r="K497" s="198">
        <v>0.79236111111111107</v>
      </c>
      <c r="L497" s="197">
        <v>42795</v>
      </c>
      <c r="M497" s="196" t="s">
        <v>325</v>
      </c>
      <c r="N497" s="196" t="s">
        <v>326</v>
      </c>
      <c r="O497" s="196" t="s">
        <v>333</v>
      </c>
      <c r="P497" s="196" t="s">
        <v>334</v>
      </c>
      <c r="Q497" s="196" t="s">
        <v>309</v>
      </c>
      <c r="R497" s="196">
        <v>6109</v>
      </c>
      <c r="S497" s="196" t="s">
        <v>156</v>
      </c>
      <c r="T497" s="196" t="s">
        <v>277</v>
      </c>
      <c r="U497" s="196">
        <v>2262</v>
      </c>
      <c r="V497" s="196" t="s">
        <v>156</v>
      </c>
      <c r="W497" s="196" t="s">
        <v>335</v>
      </c>
      <c r="X497" s="196">
        <v>17.513999999999999</v>
      </c>
      <c r="Y497" s="199">
        <v>0</v>
      </c>
      <c r="Z497" s="199">
        <v>2.6</v>
      </c>
      <c r="AA497" s="199">
        <v>45.52</v>
      </c>
      <c r="AB497" s="199">
        <v>-3.21</v>
      </c>
      <c r="AC497" s="199">
        <v>0</v>
      </c>
      <c r="AD497" s="199">
        <v>0</v>
      </c>
      <c r="AE497" s="199">
        <v>42.31</v>
      </c>
      <c r="AF497" s="199">
        <v>-4.38</v>
      </c>
      <c r="AG497" s="196" t="s">
        <v>279</v>
      </c>
      <c r="AH497" s="199">
        <v>0</v>
      </c>
      <c r="AI497" s="196" t="s">
        <v>279</v>
      </c>
      <c r="AJ497" s="199">
        <v>0</v>
      </c>
      <c r="AK497" s="196" t="s">
        <v>279</v>
      </c>
      <c r="AL497" s="199">
        <v>0</v>
      </c>
      <c r="AM497" s="196" t="s">
        <v>279</v>
      </c>
      <c r="AN497" s="199">
        <v>0</v>
      </c>
      <c r="AO497" s="196" t="s">
        <v>279</v>
      </c>
      <c r="AP497" s="199">
        <v>0</v>
      </c>
      <c r="AQ497" s="199">
        <v>45.52</v>
      </c>
      <c r="AR497" s="199">
        <v>0</v>
      </c>
      <c r="AS497" s="196" t="str">
        <f t="shared" si="7"/>
        <v>1.00000000</v>
      </c>
      <c r="AT497" s="196" t="str">
        <f>"22.6"</f>
        <v>22.6</v>
      </c>
      <c r="AU497" s="199">
        <v>0</v>
      </c>
    </row>
    <row r="498" spans="1:47" s="196" customFormat="1" x14ac:dyDescent="0.2">
      <c r="A498" s="196" t="str">
        <f t="shared" si="8"/>
        <v>0496002595700</v>
      </c>
      <c r="B498" s="196">
        <v>5</v>
      </c>
      <c r="C498" s="196" t="s">
        <v>156</v>
      </c>
      <c r="D498" s="196">
        <v>86</v>
      </c>
      <c r="E498" s="196">
        <v>86</v>
      </c>
      <c r="F498" s="196" t="s">
        <v>243</v>
      </c>
      <c r="G498" s="196">
        <v>2262</v>
      </c>
      <c r="H498" s="196" t="s">
        <v>270</v>
      </c>
      <c r="I498" s="196">
        <v>10923</v>
      </c>
      <c r="J498" s="197">
        <v>42798</v>
      </c>
      <c r="K498" s="198">
        <v>0.56550925925925932</v>
      </c>
      <c r="L498" s="197">
        <v>42801</v>
      </c>
      <c r="M498" s="196" t="s">
        <v>314</v>
      </c>
      <c r="N498" s="196" t="s">
        <v>336</v>
      </c>
      <c r="O498" s="196" t="s">
        <v>337</v>
      </c>
      <c r="P498" s="196" t="s">
        <v>338</v>
      </c>
      <c r="Q498" s="196" t="s">
        <v>329</v>
      </c>
      <c r="R498" s="196" t="s">
        <v>339</v>
      </c>
      <c r="S498" s="196" t="s">
        <v>156</v>
      </c>
      <c r="T498" s="196" t="s">
        <v>277</v>
      </c>
      <c r="U498" s="196">
        <v>2262</v>
      </c>
      <c r="V498" s="196" t="s">
        <v>156</v>
      </c>
      <c r="W498" s="196" t="s">
        <v>280</v>
      </c>
      <c r="X498" s="196">
        <v>19.077000000000002</v>
      </c>
      <c r="Y498" s="199">
        <v>0</v>
      </c>
      <c r="Z498" s="199">
        <v>2.36</v>
      </c>
      <c r="AA498" s="199">
        <v>45</v>
      </c>
      <c r="AB498" s="199">
        <v>-3.49</v>
      </c>
      <c r="AC498" s="199">
        <v>0</v>
      </c>
      <c r="AD498" s="199">
        <v>0</v>
      </c>
      <c r="AE498" s="199">
        <v>41.51</v>
      </c>
      <c r="AF498" s="199">
        <v>-8.09</v>
      </c>
      <c r="AG498" s="196" t="s">
        <v>279</v>
      </c>
      <c r="AH498" s="199">
        <v>0</v>
      </c>
      <c r="AI498" s="196" t="s">
        <v>279</v>
      </c>
      <c r="AJ498" s="199">
        <v>0</v>
      </c>
      <c r="AK498" s="196" t="s">
        <v>279</v>
      </c>
      <c r="AL498" s="199">
        <v>0</v>
      </c>
      <c r="AM498" s="196" t="s">
        <v>279</v>
      </c>
      <c r="AN498" s="199">
        <v>0</v>
      </c>
      <c r="AO498" s="196" t="s">
        <v>279</v>
      </c>
      <c r="AP498" s="199">
        <v>0</v>
      </c>
      <c r="AQ498" s="199">
        <v>45</v>
      </c>
      <c r="AR498" s="199">
        <v>0</v>
      </c>
      <c r="AS498" s="196" t="str">
        <f t="shared" si="7"/>
        <v>1.00000000</v>
      </c>
      <c r="AT498" s="196" t="str">
        <f>"15.2"</f>
        <v>15.2</v>
      </c>
      <c r="AU498" s="199">
        <v>0</v>
      </c>
    </row>
    <row r="499" spans="1:47" s="196" customFormat="1" x14ac:dyDescent="0.2">
      <c r="A499" s="196" t="str">
        <f t="shared" si="8"/>
        <v>0496002595700</v>
      </c>
      <c r="B499" s="196">
        <v>5</v>
      </c>
      <c r="C499" s="196" t="s">
        <v>156</v>
      </c>
      <c r="D499" s="196">
        <v>86</v>
      </c>
      <c r="E499" s="196">
        <v>86</v>
      </c>
      <c r="F499" s="196" t="s">
        <v>243</v>
      </c>
      <c r="G499" s="196">
        <v>2262</v>
      </c>
      <c r="H499" s="196" t="s">
        <v>270</v>
      </c>
      <c r="I499" s="196">
        <v>11099</v>
      </c>
      <c r="J499" s="197">
        <v>42798</v>
      </c>
      <c r="K499" s="198">
        <v>0.83616898148148155</v>
      </c>
      <c r="L499" s="197">
        <v>42801</v>
      </c>
      <c r="M499" s="196" t="s">
        <v>340</v>
      </c>
      <c r="N499" s="196" t="s">
        <v>341</v>
      </c>
      <c r="O499" s="196" t="s">
        <v>342</v>
      </c>
      <c r="P499" s="196" t="s">
        <v>343</v>
      </c>
      <c r="Q499" s="196" t="s">
        <v>275</v>
      </c>
      <c r="R499" s="196">
        <v>1035</v>
      </c>
      <c r="S499" s="196" t="s">
        <v>156</v>
      </c>
      <c r="T499" s="196" t="s">
        <v>277</v>
      </c>
      <c r="U499" s="196">
        <v>2262</v>
      </c>
      <c r="V499" s="196" t="s">
        <v>156</v>
      </c>
      <c r="W499" s="196" t="s">
        <v>280</v>
      </c>
      <c r="X499" s="196">
        <v>10.83</v>
      </c>
      <c r="Y499" s="199">
        <v>0</v>
      </c>
      <c r="Z499" s="199">
        <v>2.1800000000000002</v>
      </c>
      <c r="AA499" s="199">
        <v>23.6</v>
      </c>
      <c r="AB499" s="199">
        <v>-1.98</v>
      </c>
      <c r="AC499" s="199">
        <v>0</v>
      </c>
      <c r="AD499" s="199">
        <v>0</v>
      </c>
      <c r="AE499" s="199">
        <v>21.62</v>
      </c>
      <c r="AF499" s="199">
        <v>-2.6</v>
      </c>
      <c r="AG499" s="196" t="s">
        <v>279</v>
      </c>
      <c r="AH499" s="199">
        <v>0</v>
      </c>
      <c r="AI499" s="196" t="s">
        <v>279</v>
      </c>
      <c r="AJ499" s="199">
        <v>0</v>
      </c>
      <c r="AK499" s="196" t="s">
        <v>279</v>
      </c>
      <c r="AL499" s="199">
        <v>0</v>
      </c>
      <c r="AM499" s="196" t="s">
        <v>279</v>
      </c>
      <c r="AN499" s="199">
        <v>0</v>
      </c>
      <c r="AO499" s="196" t="s">
        <v>279</v>
      </c>
      <c r="AP499" s="199">
        <v>0</v>
      </c>
      <c r="AQ499" s="199">
        <v>23.6</v>
      </c>
      <c r="AR499" s="199">
        <v>0</v>
      </c>
      <c r="AS499" s="196" t="str">
        <f t="shared" si="7"/>
        <v>1.00000000</v>
      </c>
      <c r="AT499" s="196" t="str">
        <f>"16.2"</f>
        <v>16.2</v>
      </c>
      <c r="AU499" s="199">
        <v>0</v>
      </c>
    </row>
    <row r="500" spans="1:47" s="196" customFormat="1" x14ac:dyDescent="0.2">
      <c r="A500" s="196" t="str">
        <f t="shared" si="8"/>
        <v>0496002595700</v>
      </c>
      <c r="B500" s="196">
        <v>5</v>
      </c>
      <c r="C500" s="196" t="s">
        <v>156</v>
      </c>
      <c r="D500" s="196">
        <v>86</v>
      </c>
      <c r="E500" s="196">
        <v>86</v>
      </c>
      <c r="F500" s="196" t="s">
        <v>243</v>
      </c>
      <c r="G500" s="196">
        <v>2262</v>
      </c>
      <c r="H500" s="196" t="s">
        <v>270</v>
      </c>
      <c r="I500" s="196">
        <v>11331</v>
      </c>
      <c r="J500" s="197">
        <v>42827</v>
      </c>
      <c r="K500" s="198">
        <v>0.32430555555555557</v>
      </c>
      <c r="L500" s="197">
        <v>42829</v>
      </c>
      <c r="M500" s="196" t="s">
        <v>271</v>
      </c>
      <c r="N500" s="196" t="s">
        <v>272</v>
      </c>
      <c r="O500" s="196" t="s">
        <v>273</v>
      </c>
      <c r="P500" s="196" t="s">
        <v>274</v>
      </c>
      <c r="Q500" s="196" t="s">
        <v>275</v>
      </c>
      <c r="R500" s="196" t="s">
        <v>276</v>
      </c>
      <c r="S500" s="196" t="s">
        <v>156</v>
      </c>
      <c r="T500" s="196" t="s">
        <v>277</v>
      </c>
      <c r="U500" s="196">
        <v>2262</v>
      </c>
      <c r="V500" s="196" t="s">
        <v>156</v>
      </c>
      <c r="W500" s="196" t="s">
        <v>280</v>
      </c>
      <c r="X500" s="196">
        <v>17.297999999999998</v>
      </c>
      <c r="Y500" s="199">
        <v>-0.35</v>
      </c>
      <c r="Z500" s="199">
        <v>2.2000000000000002</v>
      </c>
      <c r="AA500" s="199">
        <v>38.04</v>
      </c>
      <c r="AB500" s="199">
        <v>-3.17</v>
      </c>
      <c r="AC500" s="199">
        <v>0</v>
      </c>
      <c r="AD500" s="199">
        <v>0</v>
      </c>
      <c r="AE500" s="199">
        <v>34.520000000000003</v>
      </c>
      <c r="AF500" s="199">
        <v>-4.1500000000000004</v>
      </c>
      <c r="AG500" s="196" t="s">
        <v>279</v>
      </c>
      <c r="AH500" s="199">
        <v>0</v>
      </c>
      <c r="AI500" s="196" t="s">
        <v>279</v>
      </c>
      <c r="AJ500" s="199">
        <v>0</v>
      </c>
      <c r="AK500" s="196" t="s">
        <v>279</v>
      </c>
      <c r="AL500" s="199">
        <v>0</v>
      </c>
      <c r="AM500" s="196" t="s">
        <v>279</v>
      </c>
      <c r="AN500" s="199">
        <v>0</v>
      </c>
      <c r="AO500" s="196" t="s">
        <v>279</v>
      </c>
      <c r="AP500" s="199">
        <v>0</v>
      </c>
      <c r="AQ500" s="199">
        <v>38.04</v>
      </c>
      <c r="AR500" s="199">
        <v>0</v>
      </c>
      <c r="AS500" s="196" t="str">
        <f t="shared" si="7"/>
        <v>1.00000000</v>
      </c>
      <c r="AT500" s="196" t="str">
        <f>"13.4"</f>
        <v>13.4</v>
      </c>
      <c r="AU500" s="199">
        <v>0</v>
      </c>
    </row>
    <row r="501" spans="1:47" s="196" customFormat="1" x14ac:dyDescent="0.2">
      <c r="A501" s="196" t="str">
        <f t="shared" si="8"/>
        <v>0496002595700</v>
      </c>
      <c r="B501" s="196">
        <v>5</v>
      </c>
      <c r="C501" s="196" t="s">
        <v>156</v>
      </c>
      <c r="D501" s="196">
        <v>86</v>
      </c>
      <c r="E501" s="196">
        <v>86</v>
      </c>
      <c r="F501" s="196" t="s">
        <v>243</v>
      </c>
      <c r="G501" s="196">
        <v>2262</v>
      </c>
      <c r="H501" s="196" t="s">
        <v>270</v>
      </c>
      <c r="I501" s="196">
        <v>11626</v>
      </c>
      <c r="J501" s="197">
        <v>42834</v>
      </c>
      <c r="K501" s="198">
        <v>0.97083333333333333</v>
      </c>
      <c r="L501" s="197">
        <v>42836</v>
      </c>
      <c r="M501" s="196" t="s">
        <v>271</v>
      </c>
      <c r="N501" s="196" t="s">
        <v>272</v>
      </c>
      <c r="O501" s="196" t="s">
        <v>273</v>
      </c>
      <c r="P501" s="196" t="s">
        <v>274</v>
      </c>
      <c r="Q501" s="196" t="s">
        <v>275</v>
      </c>
      <c r="R501" s="196" t="s">
        <v>276</v>
      </c>
      <c r="S501" s="196" t="s">
        <v>156</v>
      </c>
      <c r="T501" s="196" t="s">
        <v>277</v>
      </c>
      <c r="U501" s="196">
        <v>2262</v>
      </c>
      <c r="V501" s="196" t="s">
        <v>156</v>
      </c>
      <c r="W501" s="196" t="s">
        <v>280</v>
      </c>
      <c r="X501" s="196">
        <v>18.233000000000001</v>
      </c>
      <c r="Y501" s="199">
        <v>-0.36</v>
      </c>
      <c r="Z501" s="199">
        <v>2.31</v>
      </c>
      <c r="AA501" s="199">
        <v>42.1</v>
      </c>
      <c r="AB501" s="199">
        <v>-3.34</v>
      </c>
      <c r="AC501" s="199">
        <v>0</v>
      </c>
      <c r="AD501" s="199">
        <v>0</v>
      </c>
      <c r="AE501" s="199">
        <v>38.4</v>
      </c>
      <c r="AF501" s="199">
        <v>-4.38</v>
      </c>
      <c r="AG501" s="196" t="s">
        <v>279</v>
      </c>
      <c r="AH501" s="199">
        <v>0</v>
      </c>
      <c r="AI501" s="196" t="s">
        <v>279</v>
      </c>
      <c r="AJ501" s="199">
        <v>0</v>
      </c>
      <c r="AK501" s="196" t="s">
        <v>279</v>
      </c>
      <c r="AL501" s="199">
        <v>0</v>
      </c>
      <c r="AM501" s="196" t="s">
        <v>279</v>
      </c>
      <c r="AN501" s="199">
        <v>0</v>
      </c>
      <c r="AO501" s="196" t="s">
        <v>279</v>
      </c>
      <c r="AP501" s="199">
        <v>0</v>
      </c>
      <c r="AQ501" s="199">
        <v>42.1</v>
      </c>
      <c r="AR501" s="199">
        <v>0</v>
      </c>
      <c r="AS501" s="196" t="str">
        <f t="shared" si="7"/>
        <v>1.00000000</v>
      </c>
      <c r="AT501" s="196" t="str">
        <f>"16.2"</f>
        <v>16.2</v>
      </c>
      <c r="AU501" s="199">
        <v>0</v>
      </c>
    </row>
    <row r="502" spans="1:47" s="196" customFormat="1" x14ac:dyDescent="0.2">
      <c r="A502" s="196" t="str">
        <f t="shared" si="8"/>
        <v>0496002595700</v>
      </c>
      <c r="B502" s="196">
        <v>5</v>
      </c>
      <c r="C502" s="196" t="s">
        <v>156</v>
      </c>
      <c r="D502" s="196">
        <v>86</v>
      </c>
      <c r="E502" s="196">
        <v>86</v>
      </c>
      <c r="F502" s="196" t="s">
        <v>243</v>
      </c>
      <c r="G502" s="196">
        <v>2262</v>
      </c>
      <c r="H502" s="196" t="s">
        <v>270</v>
      </c>
      <c r="I502" s="196">
        <v>11791</v>
      </c>
      <c r="J502" s="197">
        <v>42839</v>
      </c>
      <c r="K502" s="198">
        <v>0.38263888888888892</v>
      </c>
      <c r="L502" s="197">
        <v>42843</v>
      </c>
      <c r="M502" s="196" t="s">
        <v>271</v>
      </c>
      <c r="N502" s="196" t="s">
        <v>272</v>
      </c>
      <c r="O502" s="196" t="s">
        <v>273</v>
      </c>
      <c r="P502" s="196" t="s">
        <v>274</v>
      </c>
      <c r="Q502" s="196" t="s">
        <v>275</v>
      </c>
      <c r="R502" s="196" t="s">
        <v>276</v>
      </c>
      <c r="S502" s="196" t="s">
        <v>156</v>
      </c>
      <c r="T502" s="196" t="s">
        <v>277</v>
      </c>
      <c r="U502" s="196">
        <v>2262</v>
      </c>
      <c r="V502" s="196" t="s">
        <v>156</v>
      </c>
      <c r="W502" s="196" t="s">
        <v>280</v>
      </c>
      <c r="X502" s="196">
        <v>9.4160000000000004</v>
      </c>
      <c r="Y502" s="199">
        <v>-0.19</v>
      </c>
      <c r="Z502" s="199">
        <v>2.35</v>
      </c>
      <c r="AA502" s="199">
        <v>22.12</v>
      </c>
      <c r="AB502" s="199">
        <v>-1.72</v>
      </c>
      <c r="AC502" s="199">
        <v>0</v>
      </c>
      <c r="AD502" s="199">
        <v>0</v>
      </c>
      <c r="AE502" s="199">
        <v>20.21</v>
      </c>
      <c r="AF502" s="199">
        <v>-2.2599999999999998</v>
      </c>
      <c r="AG502" s="196" t="s">
        <v>279</v>
      </c>
      <c r="AH502" s="199">
        <v>0</v>
      </c>
      <c r="AI502" s="196" t="s">
        <v>279</v>
      </c>
      <c r="AJ502" s="199">
        <v>0</v>
      </c>
      <c r="AK502" s="196" t="s">
        <v>279</v>
      </c>
      <c r="AL502" s="199">
        <v>0</v>
      </c>
      <c r="AM502" s="196" t="s">
        <v>279</v>
      </c>
      <c r="AN502" s="199">
        <v>0</v>
      </c>
      <c r="AO502" s="196" t="s">
        <v>279</v>
      </c>
      <c r="AP502" s="199">
        <v>0</v>
      </c>
      <c r="AQ502" s="199">
        <v>22.12</v>
      </c>
      <c r="AR502" s="199">
        <v>0</v>
      </c>
      <c r="AS502" s="196" t="str">
        <f t="shared" si="7"/>
        <v>1.00000000</v>
      </c>
      <c r="AT502" s="196" t="str">
        <f>"17.5"</f>
        <v>17.5</v>
      </c>
      <c r="AU502" s="199">
        <v>0</v>
      </c>
    </row>
    <row r="503" spans="1:47" s="196" customFormat="1" x14ac:dyDescent="0.2">
      <c r="A503" s="196" t="str">
        <f t="shared" si="8"/>
        <v>0496002595700</v>
      </c>
      <c r="B503" s="196">
        <v>5</v>
      </c>
      <c r="C503" s="196" t="s">
        <v>156</v>
      </c>
      <c r="D503" s="196">
        <v>86</v>
      </c>
      <c r="E503" s="196">
        <v>86</v>
      </c>
      <c r="F503" s="196" t="s">
        <v>243</v>
      </c>
      <c r="G503" s="196">
        <v>2262</v>
      </c>
      <c r="H503" s="196" t="s">
        <v>270</v>
      </c>
      <c r="I503" s="196">
        <v>11875</v>
      </c>
      <c r="J503" s="197">
        <v>42840</v>
      </c>
      <c r="K503" s="198">
        <v>0.58402777777777781</v>
      </c>
      <c r="L503" s="197">
        <v>42843</v>
      </c>
      <c r="M503" s="196" t="s">
        <v>271</v>
      </c>
      <c r="N503" s="196" t="s">
        <v>272</v>
      </c>
      <c r="O503" s="196" t="s">
        <v>273</v>
      </c>
      <c r="P503" s="196" t="s">
        <v>274</v>
      </c>
      <c r="Q503" s="196" t="s">
        <v>275</v>
      </c>
      <c r="R503" s="196" t="s">
        <v>276</v>
      </c>
      <c r="S503" s="196" t="s">
        <v>156</v>
      </c>
      <c r="T503" s="196" t="s">
        <v>277</v>
      </c>
      <c r="U503" s="196">
        <v>2262</v>
      </c>
      <c r="V503" s="196" t="s">
        <v>156</v>
      </c>
      <c r="W503" s="196" t="s">
        <v>335</v>
      </c>
      <c r="X503" s="196">
        <v>5.4960000000000004</v>
      </c>
      <c r="Y503" s="199">
        <v>-0.11</v>
      </c>
      <c r="Z503" s="199">
        <v>2.5499999999999998</v>
      </c>
      <c r="AA503" s="199">
        <v>14.01</v>
      </c>
      <c r="AB503" s="199">
        <v>-1.01</v>
      </c>
      <c r="AC503" s="199">
        <v>0</v>
      </c>
      <c r="AD503" s="199">
        <v>0</v>
      </c>
      <c r="AE503" s="199">
        <v>12.89</v>
      </c>
      <c r="AF503" s="199">
        <v>-1.32</v>
      </c>
      <c r="AG503" s="196" t="s">
        <v>279</v>
      </c>
      <c r="AH503" s="199">
        <v>0</v>
      </c>
      <c r="AI503" s="196" t="s">
        <v>279</v>
      </c>
      <c r="AJ503" s="199">
        <v>0</v>
      </c>
      <c r="AK503" s="196" t="s">
        <v>279</v>
      </c>
      <c r="AL503" s="199">
        <v>0</v>
      </c>
      <c r="AM503" s="196" t="s">
        <v>279</v>
      </c>
      <c r="AN503" s="199">
        <v>0</v>
      </c>
      <c r="AO503" s="196" t="s">
        <v>279</v>
      </c>
      <c r="AP503" s="199">
        <v>0</v>
      </c>
      <c r="AQ503" s="199">
        <v>14.01</v>
      </c>
      <c r="AR503" s="199">
        <v>0</v>
      </c>
      <c r="AS503" s="196" t="str">
        <f t="shared" si="7"/>
        <v>1.00000000</v>
      </c>
      <c r="AT503" s="196" t="str">
        <f>"15.3"</f>
        <v>15.3</v>
      </c>
      <c r="AU503" s="199">
        <v>0</v>
      </c>
    </row>
    <row r="504" spans="1:47" s="196" customFormat="1" x14ac:dyDescent="0.2">
      <c r="A504" s="196" t="str">
        <f t="shared" si="8"/>
        <v>0496002595700</v>
      </c>
      <c r="B504" s="196">
        <v>5</v>
      </c>
      <c r="C504" s="196" t="s">
        <v>156</v>
      </c>
      <c r="D504" s="196">
        <v>86</v>
      </c>
      <c r="E504" s="196">
        <v>86</v>
      </c>
      <c r="F504" s="196" t="s">
        <v>243</v>
      </c>
      <c r="G504" s="196">
        <v>2262</v>
      </c>
      <c r="H504" s="196" t="s">
        <v>270</v>
      </c>
      <c r="I504" s="196">
        <v>12138</v>
      </c>
      <c r="J504" s="197">
        <v>42857</v>
      </c>
      <c r="K504" s="198">
        <v>0.62847222222222221</v>
      </c>
      <c r="L504" s="197">
        <v>42859</v>
      </c>
      <c r="M504" s="196" t="s">
        <v>271</v>
      </c>
      <c r="N504" s="196" t="s">
        <v>272</v>
      </c>
      <c r="O504" s="196" t="s">
        <v>273</v>
      </c>
      <c r="P504" s="196" t="s">
        <v>274</v>
      </c>
      <c r="Q504" s="196" t="s">
        <v>275</v>
      </c>
      <c r="R504" s="196" t="s">
        <v>276</v>
      </c>
      <c r="S504" s="196" t="s">
        <v>156</v>
      </c>
      <c r="T504" s="196" t="s">
        <v>277</v>
      </c>
      <c r="U504" s="196">
        <v>2262</v>
      </c>
      <c r="V504" s="196" t="s">
        <v>156</v>
      </c>
      <c r="W504" s="196" t="s">
        <v>335</v>
      </c>
      <c r="X504" s="196">
        <v>16.963000000000001</v>
      </c>
      <c r="Y504" s="199">
        <v>-0.34</v>
      </c>
      <c r="Z504" s="199">
        <v>2.57</v>
      </c>
      <c r="AA504" s="199">
        <v>43.58</v>
      </c>
      <c r="AB504" s="199">
        <v>-3.1</v>
      </c>
      <c r="AC504" s="199">
        <v>0</v>
      </c>
      <c r="AD504" s="199">
        <v>0</v>
      </c>
      <c r="AE504" s="199">
        <v>40.14</v>
      </c>
      <c r="AF504" s="199">
        <v>-4.07</v>
      </c>
      <c r="AG504" s="196" t="s">
        <v>279</v>
      </c>
      <c r="AH504" s="199">
        <v>0</v>
      </c>
      <c r="AI504" s="196" t="s">
        <v>279</v>
      </c>
      <c r="AJ504" s="199">
        <v>0</v>
      </c>
      <c r="AK504" s="196" t="s">
        <v>279</v>
      </c>
      <c r="AL504" s="199">
        <v>0</v>
      </c>
      <c r="AM504" s="196" t="s">
        <v>279</v>
      </c>
      <c r="AN504" s="199">
        <v>0</v>
      </c>
      <c r="AO504" s="196" t="s">
        <v>279</v>
      </c>
      <c r="AP504" s="199">
        <v>0</v>
      </c>
      <c r="AQ504" s="199">
        <v>43.58</v>
      </c>
      <c r="AR504" s="199">
        <v>0</v>
      </c>
      <c r="AS504" s="196" t="str">
        <f t="shared" si="7"/>
        <v>1.00000000</v>
      </c>
      <c r="AT504" s="196" t="str">
        <f>"15.5"</f>
        <v>15.5</v>
      </c>
      <c r="AU504" s="199">
        <v>0</v>
      </c>
    </row>
    <row r="505" spans="1:47" s="196" customFormat="1" x14ac:dyDescent="0.2">
      <c r="A505" s="196" t="str">
        <f t="shared" si="8"/>
        <v>0496002595700</v>
      </c>
      <c r="B505" s="196">
        <v>5</v>
      </c>
      <c r="C505" s="196" t="s">
        <v>156</v>
      </c>
      <c r="D505" s="196">
        <v>86</v>
      </c>
      <c r="E505" s="196">
        <v>86</v>
      </c>
      <c r="F505" s="196" t="s">
        <v>243</v>
      </c>
      <c r="G505" s="196">
        <v>2262</v>
      </c>
      <c r="H505" s="196" t="s">
        <v>270</v>
      </c>
      <c r="I505" s="196">
        <v>12347</v>
      </c>
      <c r="J505" s="197">
        <v>42876</v>
      </c>
      <c r="K505" s="198">
        <v>0.67499999999999993</v>
      </c>
      <c r="L505" s="197">
        <v>42878</v>
      </c>
      <c r="M505" s="196" t="s">
        <v>271</v>
      </c>
      <c r="N505" s="196" t="s">
        <v>272</v>
      </c>
      <c r="O505" s="196" t="s">
        <v>273</v>
      </c>
      <c r="P505" s="196" t="s">
        <v>274</v>
      </c>
      <c r="Q505" s="196" t="s">
        <v>275</v>
      </c>
      <c r="R505" s="196" t="s">
        <v>276</v>
      </c>
      <c r="S505" s="196" t="s">
        <v>156</v>
      </c>
      <c r="T505" s="196" t="s">
        <v>277</v>
      </c>
      <c r="U505" s="196">
        <v>2262</v>
      </c>
      <c r="V505" s="196" t="s">
        <v>156</v>
      </c>
      <c r="W505" s="196" t="s">
        <v>335</v>
      </c>
      <c r="X505" s="196">
        <v>14.305999999999999</v>
      </c>
      <c r="Y505" s="199">
        <v>-0.28999999999999998</v>
      </c>
      <c r="Z505" s="199">
        <v>2.5299999999999998</v>
      </c>
      <c r="AA505" s="199">
        <v>36.18</v>
      </c>
      <c r="AB505" s="199">
        <v>-2.62</v>
      </c>
      <c r="AC505" s="199">
        <v>0</v>
      </c>
      <c r="AD505" s="199">
        <v>0</v>
      </c>
      <c r="AE505" s="199">
        <v>33.270000000000003</v>
      </c>
      <c r="AF505" s="199">
        <v>-3.43</v>
      </c>
      <c r="AG505" s="196" t="s">
        <v>279</v>
      </c>
      <c r="AH505" s="199">
        <v>0</v>
      </c>
      <c r="AI505" s="196" t="s">
        <v>279</v>
      </c>
      <c r="AJ505" s="199">
        <v>0</v>
      </c>
      <c r="AK505" s="196" t="s">
        <v>279</v>
      </c>
      <c r="AL505" s="199">
        <v>0</v>
      </c>
      <c r="AM505" s="196" t="s">
        <v>279</v>
      </c>
      <c r="AN505" s="199">
        <v>0</v>
      </c>
      <c r="AO505" s="196" t="s">
        <v>279</v>
      </c>
      <c r="AP505" s="199">
        <v>0</v>
      </c>
      <c r="AQ505" s="199">
        <v>36.18</v>
      </c>
      <c r="AR505" s="199">
        <v>0</v>
      </c>
      <c r="AS505" s="196" t="str">
        <f t="shared" si="7"/>
        <v>1.00000000</v>
      </c>
      <c r="AT505" s="196" t="str">
        <f>"14.6"</f>
        <v>14.6</v>
      </c>
      <c r="AU505" s="199">
        <v>0</v>
      </c>
    </row>
    <row r="506" spans="1:47" s="196" customFormat="1" x14ac:dyDescent="0.2">
      <c r="A506" s="196" t="str">
        <f t="shared" si="8"/>
        <v>0496002595700</v>
      </c>
      <c r="B506" s="196">
        <v>5</v>
      </c>
      <c r="C506" s="196" t="s">
        <v>156</v>
      </c>
      <c r="D506" s="196">
        <v>86</v>
      </c>
      <c r="E506" s="196">
        <v>86</v>
      </c>
      <c r="F506" s="196" t="s">
        <v>243</v>
      </c>
      <c r="G506" s="196">
        <v>2262</v>
      </c>
      <c r="H506" s="196" t="s">
        <v>270</v>
      </c>
      <c r="I506" s="196">
        <v>12544</v>
      </c>
      <c r="J506" s="197">
        <v>42889</v>
      </c>
      <c r="K506" s="198">
        <v>0.40277777777777773</v>
      </c>
      <c r="L506" s="197">
        <v>42892</v>
      </c>
      <c r="M506" s="196" t="s">
        <v>271</v>
      </c>
      <c r="N506" s="196" t="s">
        <v>272</v>
      </c>
      <c r="O506" s="196" t="s">
        <v>273</v>
      </c>
      <c r="P506" s="196" t="s">
        <v>274</v>
      </c>
      <c r="Q506" s="196" t="s">
        <v>275</v>
      </c>
      <c r="R506" s="196" t="s">
        <v>276</v>
      </c>
      <c r="S506" s="196" t="s">
        <v>156</v>
      </c>
      <c r="T506" s="196" t="s">
        <v>277</v>
      </c>
      <c r="U506" s="196">
        <v>2262</v>
      </c>
      <c r="V506" s="196" t="s">
        <v>156</v>
      </c>
      <c r="W506" s="196" t="s">
        <v>335</v>
      </c>
      <c r="X506" s="196">
        <v>8.8450000000000006</v>
      </c>
      <c r="Y506" s="199">
        <v>-0.18</v>
      </c>
      <c r="Z506" s="199">
        <v>2.5299999999999998</v>
      </c>
      <c r="AA506" s="199">
        <v>22.37</v>
      </c>
      <c r="AB506" s="199">
        <v>-1.62</v>
      </c>
      <c r="AC506" s="199">
        <v>0</v>
      </c>
      <c r="AD506" s="199">
        <v>0</v>
      </c>
      <c r="AE506" s="199">
        <v>20.57</v>
      </c>
      <c r="AF506" s="199">
        <v>-2.12</v>
      </c>
      <c r="AG506" s="196" t="s">
        <v>279</v>
      </c>
      <c r="AH506" s="199">
        <v>0</v>
      </c>
      <c r="AI506" s="196" t="s">
        <v>279</v>
      </c>
      <c r="AJ506" s="199">
        <v>0</v>
      </c>
      <c r="AK506" s="196" t="s">
        <v>279</v>
      </c>
      <c r="AL506" s="199">
        <v>0</v>
      </c>
      <c r="AM506" s="196" t="s">
        <v>279</v>
      </c>
      <c r="AN506" s="199">
        <v>0</v>
      </c>
      <c r="AO506" s="196" t="s">
        <v>279</v>
      </c>
      <c r="AP506" s="199">
        <v>0</v>
      </c>
      <c r="AQ506" s="199">
        <v>22.37</v>
      </c>
      <c r="AR506" s="199">
        <v>0</v>
      </c>
      <c r="AS506" s="196" t="str">
        <f t="shared" si="7"/>
        <v>1.00000000</v>
      </c>
      <c r="AT506" s="196" t="str">
        <f>"22.3"</f>
        <v>22.3</v>
      </c>
      <c r="AU506" s="199">
        <v>0</v>
      </c>
    </row>
    <row r="507" spans="1:47" s="196" customFormat="1" x14ac:dyDescent="0.2">
      <c r="A507" s="196" t="str">
        <f t="shared" si="8"/>
        <v>0496002595700</v>
      </c>
      <c r="B507" s="196">
        <v>5</v>
      </c>
      <c r="C507" s="196" t="s">
        <v>156</v>
      </c>
      <c r="D507" s="196">
        <v>86</v>
      </c>
      <c r="E507" s="196">
        <v>86</v>
      </c>
      <c r="F507" s="196" t="s">
        <v>243</v>
      </c>
      <c r="G507" s="196">
        <v>2262</v>
      </c>
      <c r="H507" s="196" t="s">
        <v>270</v>
      </c>
      <c r="I507" s="196">
        <v>12835</v>
      </c>
      <c r="J507" s="197">
        <v>42896</v>
      </c>
      <c r="K507" s="198">
        <v>0.10208333333333335</v>
      </c>
      <c r="L507" s="197">
        <v>42899</v>
      </c>
      <c r="M507" s="196" t="s">
        <v>271</v>
      </c>
      <c r="N507" s="196" t="s">
        <v>272</v>
      </c>
      <c r="O507" s="196" t="s">
        <v>273</v>
      </c>
      <c r="P507" s="196" t="s">
        <v>274</v>
      </c>
      <c r="Q507" s="196" t="s">
        <v>275</v>
      </c>
      <c r="R507" s="196" t="s">
        <v>276</v>
      </c>
      <c r="S507" s="196" t="s">
        <v>156</v>
      </c>
      <c r="T507" s="196" t="s">
        <v>277</v>
      </c>
      <c r="U507" s="196">
        <v>2262</v>
      </c>
      <c r="V507" s="196" t="s">
        <v>156</v>
      </c>
      <c r="W507" s="196" t="s">
        <v>280</v>
      </c>
      <c r="X507" s="196">
        <v>17.856000000000002</v>
      </c>
      <c r="Y507" s="199">
        <v>-0.36</v>
      </c>
      <c r="Z507" s="199">
        <v>2.31</v>
      </c>
      <c r="AA507" s="199">
        <v>41.23</v>
      </c>
      <c r="AB507" s="199">
        <v>-3.27</v>
      </c>
      <c r="AC507" s="199">
        <v>0</v>
      </c>
      <c r="AD507" s="199">
        <v>0</v>
      </c>
      <c r="AE507" s="199">
        <v>37.6</v>
      </c>
      <c r="AF507" s="199">
        <v>-4.29</v>
      </c>
      <c r="AG507" s="196" t="s">
        <v>279</v>
      </c>
      <c r="AH507" s="199">
        <v>0</v>
      </c>
      <c r="AI507" s="196" t="s">
        <v>279</v>
      </c>
      <c r="AJ507" s="199">
        <v>0</v>
      </c>
      <c r="AK507" s="196" t="s">
        <v>279</v>
      </c>
      <c r="AL507" s="199">
        <v>0</v>
      </c>
      <c r="AM507" s="196" t="s">
        <v>279</v>
      </c>
      <c r="AN507" s="199">
        <v>0</v>
      </c>
      <c r="AO507" s="196" t="s">
        <v>279</v>
      </c>
      <c r="AP507" s="199">
        <v>0</v>
      </c>
      <c r="AQ507" s="199">
        <v>41.23</v>
      </c>
      <c r="AR507" s="199">
        <v>0</v>
      </c>
      <c r="AS507" s="196" t="str">
        <f t="shared" si="7"/>
        <v>1.00000000</v>
      </c>
      <c r="AT507" s="196" t="str">
        <f>"16.3"</f>
        <v>16.3</v>
      </c>
      <c r="AU507" s="199">
        <v>0</v>
      </c>
    </row>
    <row r="508" spans="1:47" s="196" customFormat="1" x14ac:dyDescent="0.2">
      <c r="A508" s="196" t="str">
        <f t="shared" si="8"/>
        <v>0496002595700</v>
      </c>
      <c r="B508" s="196">
        <v>5</v>
      </c>
      <c r="C508" s="196" t="s">
        <v>156</v>
      </c>
      <c r="D508" s="196">
        <v>86</v>
      </c>
      <c r="E508" s="196">
        <v>86</v>
      </c>
      <c r="F508" s="196" t="s">
        <v>243</v>
      </c>
      <c r="G508" s="196">
        <v>2262</v>
      </c>
      <c r="H508" s="196" t="s">
        <v>270</v>
      </c>
      <c r="I508" s="196">
        <v>13161</v>
      </c>
      <c r="J508" s="197">
        <v>42909</v>
      </c>
      <c r="K508" s="198">
        <v>0.69166666666666676</v>
      </c>
      <c r="L508" s="197">
        <v>42913</v>
      </c>
      <c r="M508" s="196" t="s">
        <v>271</v>
      </c>
      <c r="N508" s="196" t="s">
        <v>272</v>
      </c>
      <c r="O508" s="196" t="s">
        <v>273</v>
      </c>
      <c r="P508" s="196" t="s">
        <v>274</v>
      </c>
      <c r="Q508" s="196" t="s">
        <v>275</v>
      </c>
      <c r="R508" s="196" t="s">
        <v>276</v>
      </c>
      <c r="S508" s="196" t="s">
        <v>156</v>
      </c>
      <c r="T508" s="196" t="s">
        <v>277</v>
      </c>
      <c r="U508" s="196">
        <v>2262</v>
      </c>
      <c r="V508" s="196" t="s">
        <v>156</v>
      </c>
      <c r="W508" s="196" t="s">
        <v>280</v>
      </c>
      <c r="X508" s="196">
        <v>15.874000000000001</v>
      </c>
      <c r="Y508" s="199">
        <v>-0.32</v>
      </c>
      <c r="Z508" s="199">
        <v>2.2599999999999998</v>
      </c>
      <c r="AA508" s="199">
        <v>35.86</v>
      </c>
      <c r="AB508" s="199">
        <v>-2.9</v>
      </c>
      <c r="AC508" s="199">
        <v>0</v>
      </c>
      <c r="AD508" s="199">
        <v>0</v>
      </c>
      <c r="AE508" s="199">
        <v>32.64</v>
      </c>
      <c r="AF508" s="199">
        <v>-3.81</v>
      </c>
      <c r="AG508" s="196" t="s">
        <v>279</v>
      </c>
      <c r="AH508" s="199">
        <v>0</v>
      </c>
      <c r="AI508" s="196" t="s">
        <v>279</v>
      </c>
      <c r="AJ508" s="199">
        <v>0</v>
      </c>
      <c r="AK508" s="196" t="s">
        <v>279</v>
      </c>
      <c r="AL508" s="199">
        <v>0</v>
      </c>
      <c r="AM508" s="196" t="s">
        <v>279</v>
      </c>
      <c r="AN508" s="199">
        <v>0</v>
      </c>
      <c r="AO508" s="196" t="s">
        <v>279</v>
      </c>
      <c r="AP508" s="199">
        <v>0</v>
      </c>
      <c r="AQ508" s="199">
        <v>35.86</v>
      </c>
      <c r="AR508" s="199">
        <v>0</v>
      </c>
      <c r="AS508" s="196" t="str">
        <f t="shared" si="7"/>
        <v>1.00000000</v>
      </c>
      <c r="AT508" s="196" t="str">
        <f>"20.5"</f>
        <v>20.5</v>
      </c>
      <c r="AU508" s="199">
        <v>0</v>
      </c>
    </row>
    <row r="509" spans="1:47" s="196" customFormat="1" x14ac:dyDescent="0.2">
      <c r="A509" s="196" t="str">
        <f t="shared" si="8"/>
        <v>0496002595700</v>
      </c>
      <c r="B509" s="196">
        <v>5</v>
      </c>
      <c r="C509" s="196" t="s">
        <v>156</v>
      </c>
      <c r="D509" s="196">
        <v>86</v>
      </c>
      <c r="E509" s="196">
        <v>86</v>
      </c>
      <c r="F509" s="196" t="s">
        <v>243</v>
      </c>
      <c r="G509" s="196">
        <v>2262</v>
      </c>
      <c r="H509" s="196" t="s">
        <v>270</v>
      </c>
      <c r="I509" s="196">
        <v>87</v>
      </c>
      <c r="J509" s="197">
        <v>42911</v>
      </c>
      <c r="K509" s="198">
        <v>0.93194444444444446</v>
      </c>
      <c r="L509" s="197">
        <v>42913</v>
      </c>
      <c r="M509" s="196" t="s">
        <v>271</v>
      </c>
      <c r="N509" s="196" t="s">
        <v>272</v>
      </c>
      <c r="O509" s="196" t="s">
        <v>273</v>
      </c>
      <c r="P509" s="196" t="s">
        <v>274</v>
      </c>
      <c r="Q509" s="196" t="s">
        <v>275</v>
      </c>
      <c r="R509" s="196" t="s">
        <v>276</v>
      </c>
      <c r="S509" s="196" t="s">
        <v>156</v>
      </c>
      <c r="T509" s="196" t="s">
        <v>277</v>
      </c>
      <c r="U509" s="196">
        <v>2262</v>
      </c>
      <c r="V509" s="196" t="s">
        <v>156</v>
      </c>
      <c r="W509" s="196" t="s">
        <v>280</v>
      </c>
      <c r="X509" s="196">
        <v>19.145</v>
      </c>
      <c r="Y509" s="199">
        <v>-0.38</v>
      </c>
      <c r="Z509" s="199">
        <v>2.2599999999999998</v>
      </c>
      <c r="AA509" s="199">
        <v>43.25</v>
      </c>
      <c r="AB509" s="199">
        <v>-3.5</v>
      </c>
      <c r="AC509" s="199">
        <v>0</v>
      </c>
      <c r="AD509" s="199">
        <v>0</v>
      </c>
      <c r="AE509" s="199">
        <v>39.369999999999997</v>
      </c>
      <c r="AF509" s="199">
        <v>-4.59</v>
      </c>
      <c r="AG509" s="196" t="s">
        <v>279</v>
      </c>
      <c r="AH509" s="199">
        <v>0</v>
      </c>
      <c r="AI509" s="196" t="s">
        <v>279</v>
      </c>
      <c r="AJ509" s="199">
        <v>0</v>
      </c>
      <c r="AK509" s="196" t="s">
        <v>279</v>
      </c>
      <c r="AL509" s="199">
        <v>0</v>
      </c>
      <c r="AM509" s="196" t="s">
        <v>279</v>
      </c>
      <c r="AN509" s="199">
        <v>0</v>
      </c>
      <c r="AO509" s="196" t="s">
        <v>279</v>
      </c>
      <c r="AP509" s="199">
        <v>0</v>
      </c>
      <c r="AQ509" s="199">
        <v>43.25</v>
      </c>
      <c r="AR509" s="199">
        <v>0</v>
      </c>
      <c r="AS509" s="196" t="str">
        <f t="shared" si="7"/>
        <v>1.00000000</v>
      </c>
      <c r="AT509" s="196" t="str">
        <f>"22.2"</f>
        <v>22.2</v>
      </c>
      <c r="AU509" s="199">
        <v>0</v>
      </c>
    </row>
    <row r="510" spans="1:47" s="196" customFormat="1" x14ac:dyDescent="0.2">
      <c r="A510" s="196" t="str">
        <f t="shared" si="8"/>
        <v>0496002595700</v>
      </c>
      <c r="B510" s="196">
        <v>6</v>
      </c>
      <c r="C510" s="196" t="s">
        <v>156</v>
      </c>
      <c r="D510" s="196" t="s">
        <v>344</v>
      </c>
      <c r="E510" s="196" t="s">
        <v>345</v>
      </c>
      <c r="F510" s="196" t="s">
        <v>243</v>
      </c>
      <c r="G510" s="196">
        <v>2262</v>
      </c>
      <c r="H510" s="196" t="s">
        <v>270</v>
      </c>
      <c r="I510" s="196">
        <v>59777</v>
      </c>
      <c r="J510" s="197">
        <v>42740</v>
      </c>
      <c r="K510" s="198">
        <v>0.7402777777777777</v>
      </c>
      <c r="L510" s="197">
        <v>42744</v>
      </c>
      <c r="M510" s="196" t="s">
        <v>302</v>
      </c>
      <c r="N510" s="196" t="s">
        <v>346</v>
      </c>
      <c r="O510" s="196" t="s">
        <v>347</v>
      </c>
      <c r="P510" s="196" t="s">
        <v>348</v>
      </c>
      <c r="Q510" s="196" t="s">
        <v>275</v>
      </c>
      <c r="R510" s="196">
        <v>1238</v>
      </c>
      <c r="S510" s="196" t="s">
        <v>156</v>
      </c>
      <c r="T510" s="196" t="s">
        <v>277</v>
      </c>
      <c r="U510" s="196">
        <v>2262</v>
      </c>
      <c r="V510" s="196" t="s">
        <v>156</v>
      </c>
      <c r="W510" s="196" t="s">
        <v>280</v>
      </c>
      <c r="X510" s="196">
        <v>12.356999999999999</v>
      </c>
      <c r="Y510" s="199">
        <v>0</v>
      </c>
      <c r="Z510" s="199">
        <v>2.4</v>
      </c>
      <c r="AA510" s="199">
        <v>29.64</v>
      </c>
      <c r="AB510" s="199">
        <v>-2.2599999999999998</v>
      </c>
      <c r="AC510" s="199">
        <v>0</v>
      </c>
      <c r="AD510" s="199">
        <v>0</v>
      </c>
      <c r="AE510" s="199">
        <v>27.38</v>
      </c>
      <c r="AF510" s="199">
        <v>-2.97</v>
      </c>
      <c r="AG510" s="196" t="s">
        <v>279</v>
      </c>
      <c r="AH510" s="199">
        <v>0</v>
      </c>
      <c r="AI510" s="196" t="s">
        <v>279</v>
      </c>
      <c r="AJ510" s="199">
        <v>0</v>
      </c>
      <c r="AK510" s="196" t="s">
        <v>279</v>
      </c>
      <c r="AL510" s="199">
        <v>0</v>
      </c>
      <c r="AM510" s="196" t="s">
        <v>279</v>
      </c>
      <c r="AN510" s="199">
        <v>0</v>
      </c>
      <c r="AO510" s="196" t="s">
        <v>279</v>
      </c>
      <c r="AP510" s="199">
        <v>0</v>
      </c>
      <c r="AQ510" s="199">
        <v>29.64</v>
      </c>
      <c r="AR510" s="199">
        <v>0</v>
      </c>
      <c r="AS510" s="196" t="str">
        <f t="shared" si="7"/>
        <v>1.00000000</v>
      </c>
      <c r="AT510" s="196" t="str">
        <f>"26.1"</f>
        <v>26.1</v>
      </c>
      <c r="AU510" s="199">
        <v>0</v>
      </c>
    </row>
    <row r="511" spans="1:47" s="196" customFormat="1" x14ac:dyDescent="0.2">
      <c r="A511" s="196" t="str">
        <f t="shared" si="8"/>
        <v>0496002595700</v>
      </c>
      <c r="B511" s="196">
        <v>6</v>
      </c>
      <c r="C511" s="196" t="s">
        <v>156</v>
      </c>
      <c r="D511" s="196" t="s">
        <v>344</v>
      </c>
      <c r="E511" s="196" t="s">
        <v>345</v>
      </c>
      <c r="F511" s="196" t="s">
        <v>243</v>
      </c>
      <c r="G511" s="196">
        <v>2262</v>
      </c>
      <c r="H511" s="196" t="s">
        <v>270</v>
      </c>
      <c r="I511" s="196">
        <v>59996</v>
      </c>
      <c r="J511" s="197">
        <v>42745</v>
      </c>
      <c r="K511" s="198">
        <v>0.69210648148148157</v>
      </c>
      <c r="L511" s="197">
        <v>42747</v>
      </c>
      <c r="M511" s="196" t="s">
        <v>349</v>
      </c>
      <c r="N511" s="196" t="s">
        <v>350</v>
      </c>
      <c r="O511" s="196" t="s">
        <v>351</v>
      </c>
      <c r="P511" s="196" t="s">
        <v>343</v>
      </c>
      <c r="Q511" s="196" t="s">
        <v>275</v>
      </c>
      <c r="R511" s="196">
        <v>1035</v>
      </c>
      <c r="S511" s="196" t="s">
        <v>156</v>
      </c>
      <c r="T511" s="196" t="s">
        <v>277</v>
      </c>
      <c r="U511" s="196">
        <v>2262</v>
      </c>
      <c r="V511" s="196" t="s">
        <v>156</v>
      </c>
      <c r="W511" s="196" t="s">
        <v>280</v>
      </c>
      <c r="X511" s="196">
        <v>8.7050000000000001</v>
      </c>
      <c r="Y511" s="199">
        <v>0</v>
      </c>
      <c r="Z511" s="199">
        <v>2.2999999999999998</v>
      </c>
      <c r="AA511" s="199">
        <v>20.010000000000002</v>
      </c>
      <c r="AB511" s="199">
        <v>-1.59</v>
      </c>
      <c r="AC511" s="199">
        <v>0</v>
      </c>
      <c r="AD511" s="199">
        <v>0</v>
      </c>
      <c r="AE511" s="199">
        <v>18.420000000000002</v>
      </c>
      <c r="AF511" s="199">
        <v>-2.09</v>
      </c>
      <c r="AG511" s="196" t="s">
        <v>279</v>
      </c>
      <c r="AH511" s="199">
        <v>0</v>
      </c>
      <c r="AI511" s="196" t="s">
        <v>279</v>
      </c>
      <c r="AJ511" s="199">
        <v>0</v>
      </c>
      <c r="AK511" s="196" t="s">
        <v>279</v>
      </c>
      <c r="AL511" s="199">
        <v>0</v>
      </c>
      <c r="AM511" s="196" t="s">
        <v>279</v>
      </c>
      <c r="AN511" s="199">
        <v>0</v>
      </c>
      <c r="AO511" s="196" t="s">
        <v>279</v>
      </c>
      <c r="AP511" s="199">
        <v>0</v>
      </c>
      <c r="AQ511" s="199">
        <v>20.010000000000002</v>
      </c>
      <c r="AR511" s="199">
        <v>0</v>
      </c>
      <c r="AS511" s="196" t="str">
        <f t="shared" si="7"/>
        <v>1.00000000</v>
      </c>
      <c r="AT511" s="196" t="str">
        <f>"51.6"</f>
        <v>51.6</v>
      </c>
      <c r="AU511" s="199">
        <v>0</v>
      </c>
    </row>
    <row r="512" spans="1:47" s="196" customFormat="1" x14ac:dyDescent="0.2">
      <c r="A512" s="196" t="str">
        <f t="shared" si="8"/>
        <v>0496002595700</v>
      </c>
      <c r="B512" s="196">
        <v>6</v>
      </c>
      <c r="C512" s="196" t="s">
        <v>156</v>
      </c>
      <c r="D512" s="196" t="s">
        <v>344</v>
      </c>
      <c r="E512" s="196" t="s">
        <v>345</v>
      </c>
      <c r="F512" s="196" t="s">
        <v>243</v>
      </c>
      <c r="G512" s="196">
        <v>2262</v>
      </c>
      <c r="H512" s="196" t="s">
        <v>270</v>
      </c>
      <c r="I512" s="196">
        <v>60182</v>
      </c>
      <c r="J512" s="197">
        <v>42748</v>
      </c>
      <c r="K512" s="198">
        <v>0.50347222222222221</v>
      </c>
      <c r="L512" s="197">
        <v>42752</v>
      </c>
      <c r="M512" s="196" t="s">
        <v>271</v>
      </c>
      <c r="N512" s="196" t="s">
        <v>272</v>
      </c>
      <c r="O512" s="196" t="s">
        <v>273</v>
      </c>
      <c r="P512" s="196" t="s">
        <v>274</v>
      </c>
      <c r="Q512" s="196" t="s">
        <v>275</v>
      </c>
      <c r="R512" s="196" t="s">
        <v>276</v>
      </c>
      <c r="S512" s="196" t="s">
        <v>156</v>
      </c>
      <c r="T512" s="196" t="s">
        <v>277</v>
      </c>
      <c r="U512" s="196">
        <v>2262</v>
      </c>
      <c r="V512" s="196" t="s">
        <v>156</v>
      </c>
      <c r="W512" s="196" t="s">
        <v>335</v>
      </c>
      <c r="X512" s="196">
        <v>6.7229999999999999</v>
      </c>
      <c r="Y512" s="199">
        <v>-0.13</v>
      </c>
      <c r="Z512" s="199">
        <v>2.58</v>
      </c>
      <c r="AA512" s="199">
        <v>17.34</v>
      </c>
      <c r="AB512" s="199">
        <v>-1.23</v>
      </c>
      <c r="AC512" s="199">
        <v>0</v>
      </c>
      <c r="AD512" s="199">
        <v>0</v>
      </c>
      <c r="AE512" s="199">
        <v>15.98</v>
      </c>
      <c r="AF512" s="199">
        <v>-1.61</v>
      </c>
      <c r="AG512" s="196" t="s">
        <v>279</v>
      </c>
      <c r="AH512" s="199">
        <v>0</v>
      </c>
      <c r="AI512" s="196" t="s">
        <v>279</v>
      </c>
      <c r="AJ512" s="199">
        <v>0</v>
      </c>
      <c r="AK512" s="196" t="s">
        <v>279</v>
      </c>
      <c r="AL512" s="199">
        <v>0</v>
      </c>
      <c r="AM512" s="196" t="s">
        <v>279</v>
      </c>
      <c r="AN512" s="199">
        <v>0</v>
      </c>
      <c r="AO512" s="196" t="s">
        <v>279</v>
      </c>
      <c r="AP512" s="199">
        <v>0</v>
      </c>
      <c r="AQ512" s="199">
        <v>17.34</v>
      </c>
      <c r="AR512" s="199">
        <v>0</v>
      </c>
      <c r="AS512" s="196" t="str">
        <f t="shared" si="7"/>
        <v>1.00000000</v>
      </c>
      <c r="AT512" s="196" t="str">
        <f>"51.6"</f>
        <v>51.6</v>
      </c>
      <c r="AU512" s="199">
        <v>0</v>
      </c>
    </row>
    <row r="513" spans="1:47" s="196" customFormat="1" x14ac:dyDescent="0.2">
      <c r="A513" s="196" t="str">
        <f t="shared" si="8"/>
        <v>0496002595700</v>
      </c>
      <c r="B513" s="196">
        <v>6</v>
      </c>
      <c r="C513" s="196" t="s">
        <v>156</v>
      </c>
      <c r="D513" s="196" t="s">
        <v>344</v>
      </c>
      <c r="E513" s="196" t="s">
        <v>345</v>
      </c>
      <c r="F513" s="196" t="s">
        <v>243</v>
      </c>
      <c r="G513" s="196">
        <v>2262</v>
      </c>
      <c r="H513" s="196" t="s">
        <v>270</v>
      </c>
      <c r="I513" s="196">
        <v>60429</v>
      </c>
      <c r="J513" s="197">
        <v>42752</v>
      </c>
      <c r="K513" s="198">
        <v>0.52777777777777779</v>
      </c>
      <c r="L513" s="197">
        <v>42754</v>
      </c>
      <c r="M513" s="196" t="s">
        <v>271</v>
      </c>
      <c r="N513" s="196" t="s">
        <v>272</v>
      </c>
      <c r="O513" s="196" t="s">
        <v>273</v>
      </c>
      <c r="P513" s="196" t="s">
        <v>274</v>
      </c>
      <c r="Q513" s="196" t="s">
        <v>275</v>
      </c>
      <c r="R513" s="196" t="s">
        <v>276</v>
      </c>
      <c r="S513" s="196" t="s">
        <v>156</v>
      </c>
      <c r="T513" s="196" t="s">
        <v>277</v>
      </c>
      <c r="U513" s="196">
        <v>2262</v>
      </c>
      <c r="V513" s="196" t="s">
        <v>156</v>
      </c>
      <c r="W513" s="196" t="s">
        <v>335</v>
      </c>
      <c r="X513" s="196">
        <v>9.3049999999999997</v>
      </c>
      <c r="Y513" s="199">
        <v>-0.19</v>
      </c>
      <c r="Z513" s="199">
        <v>2.4500000000000002</v>
      </c>
      <c r="AA513" s="199">
        <v>22.79</v>
      </c>
      <c r="AB513" s="199">
        <v>-1.7</v>
      </c>
      <c r="AC513" s="199">
        <v>0</v>
      </c>
      <c r="AD513" s="199">
        <v>0</v>
      </c>
      <c r="AE513" s="199">
        <v>20.9</v>
      </c>
      <c r="AF513" s="199">
        <v>-2.23</v>
      </c>
      <c r="AG513" s="196" t="s">
        <v>279</v>
      </c>
      <c r="AH513" s="199">
        <v>0</v>
      </c>
      <c r="AI513" s="196" t="s">
        <v>279</v>
      </c>
      <c r="AJ513" s="199">
        <v>0</v>
      </c>
      <c r="AK513" s="196" t="s">
        <v>279</v>
      </c>
      <c r="AL513" s="199">
        <v>0</v>
      </c>
      <c r="AM513" s="196" t="s">
        <v>279</v>
      </c>
      <c r="AN513" s="199">
        <v>0</v>
      </c>
      <c r="AO513" s="196" t="s">
        <v>279</v>
      </c>
      <c r="AP513" s="199">
        <v>0</v>
      </c>
      <c r="AQ513" s="199">
        <v>22.79</v>
      </c>
      <c r="AR513" s="199">
        <v>0</v>
      </c>
      <c r="AS513" s="196" t="str">
        <f t="shared" si="7"/>
        <v>1.00000000</v>
      </c>
      <c r="AT513" s="196" t="str">
        <f>"26.5"</f>
        <v>26.5</v>
      </c>
      <c r="AU513" s="199">
        <v>0</v>
      </c>
    </row>
    <row r="514" spans="1:47" s="196" customFormat="1" x14ac:dyDescent="0.2">
      <c r="A514" s="196" t="str">
        <f t="shared" si="8"/>
        <v>0496002595700</v>
      </c>
      <c r="B514" s="196">
        <v>6</v>
      </c>
      <c r="C514" s="196" t="s">
        <v>156</v>
      </c>
      <c r="D514" s="196" t="s">
        <v>344</v>
      </c>
      <c r="E514" s="196" t="s">
        <v>345</v>
      </c>
      <c r="F514" s="196" t="s">
        <v>243</v>
      </c>
      <c r="G514" s="196">
        <v>2262</v>
      </c>
      <c r="H514" s="196" t="s">
        <v>270</v>
      </c>
      <c r="I514" s="196">
        <v>60645</v>
      </c>
      <c r="J514" s="197">
        <v>42758</v>
      </c>
      <c r="K514" s="198">
        <v>0.50763888888888886</v>
      </c>
      <c r="L514" s="197">
        <v>42760</v>
      </c>
      <c r="M514" s="196" t="s">
        <v>271</v>
      </c>
      <c r="N514" s="196" t="s">
        <v>272</v>
      </c>
      <c r="O514" s="196" t="s">
        <v>273</v>
      </c>
      <c r="P514" s="196" t="s">
        <v>274</v>
      </c>
      <c r="Q514" s="196" t="s">
        <v>275</v>
      </c>
      <c r="R514" s="196" t="s">
        <v>276</v>
      </c>
      <c r="S514" s="196" t="s">
        <v>156</v>
      </c>
      <c r="T514" s="196" t="s">
        <v>277</v>
      </c>
      <c r="U514" s="196">
        <v>2262</v>
      </c>
      <c r="V514" s="196" t="s">
        <v>156</v>
      </c>
      <c r="W514" s="196" t="s">
        <v>335</v>
      </c>
      <c r="X514" s="196">
        <v>6.9930000000000003</v>
      </c>
      <c r="Y514" s="199">
        <v>-0.14000000000000001</v>
      </c>
      <c r="Z514" s="199">
        <v>2.4300000000000002</v>
      </c>
      <c r="AA514" s="199">
        <v>16.98</v>
      </c>
      <c r="AB514" s="199">
        <v>-1.28</v>
      </c>
      <c r="AC514" s="199">
        <v>0</v>
      </c>
      <c r="AD514" s="199">
        <v>0</v>
      </c>
      <c r="AE514" s="199">
        <v>15.56</v>
      </c>
      <c r="AF514" s="199">
        <v>-1.68</v>
      </c>
      <c r="AG514" s="196" t="s">
        <v>279</v>
      </c>
      <c r="AH514" s="199">
        <v>0</v>
      </c>
      <c r="AI514" s="196" t="s">
        <v>279</v>
      </c>
      <c r="AJ514" s="199">
        <v>0</v>
      </c>
      <c r="AK514" s="196" t="s">
        <v>279</v>
      </c>
      <c r="AL514" s="199">
        <v>0</v>
      </c>
      <c r="AM514" s="196" t="s">
        <v>279</v>
      </c>
      <c r="AN514" s="199">
        <v>0</v>
      </c>
      <c r="AO514" s="196" t="s">
        <v>279</v>
      </c>
      <c r="AP514" s="199">
        <v>0</v>
      </c>
      <c r="AQ514" s="199">
        <v>16.98</v>
      </c>
      <c r="AR514" s="199">
        <v>0</v>
      </c>
      <c r="AS514" s="196" t="str">
        <f t="shared" ref="AS514:AS577" si="9">"1.00000000"</f>
        <v>1.00000000</v>
      </c>
      <c r="AT514" s="196" t="str">
        <f>"30.9"</f>
        <v>30.9</v>
      </c>
      <c r="AU514" s="199">
        <v>0</v>
      </c>
    </row>
    <row r="515" spans="1:47" s="196" customFormat="1" x14ac:dyDescent="0.2">
      <c r="A515" s="196" t="str">
        <f t="shared" si="8"/>
        <v>0496002595700</v>
      </c>
      <c r="B515" s="196">
        <v>6</v>
      </c>
      <c r="C515" s="196" t="s">
        <v>156</v>
      </c>
      <c r="D515" s="196" t="s">
        <v>344</v>
      </c>
      <c r="E515" s="196" t="s">
        <v>345</v>
      </c>
      <c r="F515" s="196" t="s">
        <v>243</v>
      </c>
      <c r="G515" s="196">
        <v>2262</v>
      </c>
      <c r="H515" s="196" t="s">
        <v>270</v>
      </c>
      <c r="I515" s="196">
        <v>60989</v>
      </c>
      <c r="J515" s="197">
        <v>42770</v>
      </c>
      <c r="K515" s="198">
        <v>0.72195601851851843</v>
      </c>
      <c r="L515" s="197">
        <v>42773</v>
      </c>
      <c r="M515" s="196" t="s">
        <v>340</v>
      </c>
      <c r="N515" s="196" t="s">
        <v>341</v>
      </c>
      <c r="O515" s="196" t="s">
        <v>342</v>
      </c>
      <c r="P515" s="196" t="s">
        <v>343</v>
      </c>
      <c r="Q515" s="196" t="s">
        <v>275</v>
      </c>
      <c r="R515" s="196">
        <v>1035</v>
      </c>
      <c r="S515" s="196" t="s">
        <v>156</v>
      </c>
      <c r="T515" s="196" t="s">
        <v>277</v>
      </c>
      <c r="U515" s="196">
        <v>2262</v>
      </c>
      <c r="V515" s="196" t="s">
        <v>156</v>
      </c>
      <c r="W515" s="196" t="s">
        <v>280</v>
      </c>
      <c r="X515" s="196">
        <v>13.202</v>
      </c>
      <c r="Y515" s="199">
        <v>0</v>
      </c>
      <c r="Z515" s="199">
        <v>2.16</v>
      </c>
      <c r="AA515" s="199">
        <v>28.5</v>
      </c>
      <c r="AB515" s="199">
        <v>-2.42</v>
      </c>
      <c r="AC515" s="199">
        <v>0</v>
      </c>
      <c r="AD515" s="199">
        <v>0</v>
      </c>
      <c r="AE515" s="199">
        <v>26.08</v>
      </c>
      <c r="AF515" s="199">
        <v>-3.17</v>
      </c>
      <c r="AG515" s="196" t="s">
        <v>279</v>
      </c>
      <c r="AH515" s="199">
        <v>0</v>
      </c>
      <c r="AI515" s="196" t="s">
        <v>279</v>
      </c>
      <c r="AJ515" s="199">
        <v>0</v>
      </c>
      <c r="AK515" s="196" t="s">
        <v>279</v>
      </c>
      <c r="AL515" s="199">
        <v>0</v>
      </c>
      <c r="AM515" s="196" t="s">
        <v>279</v>
      </c>
      <c r="AN515" s="199">
        <v>0</v>
      </c>
      <c r="AO515" s="196" t="s">
        <v>279</v>
      </c>
      <c r="AP515" s="199">
        <v>0</v>
      </c>
      <c r="AQ515" s="199">
        <v>28.5</v>
      </c>
      <c r="AR515" s="199">
        <v>0</v>
      </c>
      <c r="AS515" s="196" t="str">
        <f t="shared" si="9"/>
        <v>1.00000000</v>
      </c>
      <c r="AT515" s="196" t="str">
        <f>"26.1"</f>
        <v>26.1</v>
      </c>
      <c r="AU515" s="199">
        <v>0</v>
      </c>
    </row>
    <row r="516" spans="1:47" s="196" customFormat="1" x14ac:dyDescent="0.2">
      <c r="A516" s="196" t="str">
        <f t="shared" si="8"/>
        <v>0496002595700</v>
      </c>
      <c r="B516" s="196">
        <v>6</v>
      </c>
      <c r="C516" s="196" t="s">
        <v>156</v>
      </c>
      <c r="D516" s="196" t="s">
        <v>344</v>
      </c>
      <c r="E516" s="196" t="s">
        <v>345</v>
      </c>
      <c r="F516" s="196" t="s">
        <v>243</v>
      </c>
      <c r="G516" s="196">
        <v>2262</v>
      </c>
      <c r="H516" s="196" t="s">
        <v>270</v>
      </c>
      <c r="I516" s="196">
        <v>61060</v>
      </c>
      <c r="J516" s="197">
        <v>42774</v>
      </c>
      <c r="K516" s="198">
        <v>0.62638888888888888</v>
      </c>
      <c r="L516" s="197">
        <v>42776</v>
      </c>
      <c r="M516" s="196" t="s">
        <v>271</v>
      </c>
      <c r="N516" s="196" t="s">
        <v>272</v>
      </c>
      <c r="O516" s="196" t="s">
        <v>273</v>
      </c>
      <c r="P516" s="196" t="s">
        <v>274</v>
      </c>
      <c r="Q516" s="196" t="s">
        <v>275</v>
      </c>
      <c r="R516" s="196" t="s">
        <v>276</v>
      </c>
      <c r="S516" s="196" t="s">
        <v>156</v>
      </c>
      <c r="T516" s="196" t="s">
        <v>277</v>
      </c>
      <c r="U516" s="196">
        <v>2262</v>
      </c>
      <c r="V516" s="196" t="s">
        <v>156</v>
      </c>
      <c r="W516" s="196" t="s">
        <v>335</v>
      </c>
      <c r="X516" s="196">
        <v>3.177</v>
      </c>
      <c r="Y516" s="199">
        <v>-0.06</v>
      </c>
      <c r="Z516" s="199">
        <v>2.33</v>
      </c>
      <c r="AA516" s="199">
        <v>7.4</v>
      </c>
      <c r="AB516" s="199">
        <v>-0.57999999999999996</v>
      </c>
      <c r="AC516" s="199">
        <v>0</v>
      </c>
      <c r="AD516" s="199">
        <v>0</v>
      </c>
      <c r="AE516" s="199">
        <v>6.76</v>
      </c>
      <c r="AF516" s="199">
        <v>-0.76</v>
      </c>
      <c r="AG516" s="196" t="s">
        <v>279</v>
      </c>
      <c r="AH516" s="199">
        <v>0</v>
      </c>
      <c r="AI516" s="196" t="s">
        <v>279</v>
      </c>
      <c r="AJ516" s="199">
        <v>0</v>
      </c>
      <c r="AK516" s="196" t="s">
        <v>279</v>
      </c>
      <c r="AL516" s="199">
        <v>0</v>
      </c>
      <c r="AM516" s="196" t="s">
        <v>279</v>
      </c>
      <c r="AN516" s="199">
        <v>0</v>
      </c>
      <c r="AO516" s="196" t="s">
        <v>279</v>
      </c>
      <c r="AP516" s="199">
        <v>0</v>
      </c>
      <c r="AQ516" s="199">
        <v>7.4</v>
      </c>
      <c r="AR516" s="199">
        <v>0</v>
      </c>
      <c r="AS516" s="196" t="str">
        <f t="shared" si="9"/>
        <v>1.00000000</v>
      </c>
      <c r="AT516" s="196" t="str">
        <f>"22.4"</f>
        <v>22.4</v>
      </c>
      <c r="AU516" s="199">
        <v>0</v>
      </c>
    </row>
    <row r="517" spans="1:47" s="196" customFormat="1" x14ac:dyDescent="0.2">
      <c r="A517" s="196" t="str">
        <f t="shared" si="8"/>
        <v>0496002595700</v>
      </c>
      <c r="B517" s="196">
        <v>6</v>
      </c>
      <c r="C517" s="196" t="s">
        <v>156</v>
      </c>
      <c r="D517" s="196" t="s">
        <v>344</v>
      </c>
      <c r="E517" s="196" t="s">
        <v>345</v>
      </c>
      <c r="F517" s="196" t="s">
        <v>243</v>
      </c>
      <c r="G517" s="196">
        <v>2262</v>
      </c>
      <c r="H517" s="196" t="s">
        <v>270</v>
      </c>
      <c r="I517" s="196">
        <v>61152</v>
      </c>
      <c r="J517" s="197">
        <v>42782</v>
      </c>
      <c r="K517" s="198">
        <v>0.42222222222222222</v>
      </c>
      <c r="L517" s="197">
        <v>42786</v>
      </c>
      <c r="M517" s="196" t="s">
        <v>271</v>
      </c>
      <c r="N517" s="196" t="s">
        <v>272</v>
      </c>
      <c r="O517" s="196" t="s">
        <v>273</v>
      </c>
      <c r="P517" s="196" t="s">
        <v>274</v>
      </c>
      <c r="Q517" s="196" t="s">
        <v>275</v>
      </c>
      <c r="R517" s="196" t="s">
        <v>276</v>
      </c>
      <c r="S517" s="196" t="s">
        <v>156</v>
      </c>
      <c r="T517" s="196" t="s">
        <v>277</v>
      </c>
      <c r="U517" s="196">
        <v>2262</v>
      </c>
      <c r="V517" s="196" t="s">
        <v>156</v>
      </c>
      <c r="W517" s="196" t="s">
        <v>335</v>
      </c>
      <c r="X517" s="196">
        <v>3.6179999999999999</v>
      </c>
      <c r="Y517" s="199">
        <v>-7.0000000000000007E-2</v>
      </c>
      <c r="Z517" s="199">
        <v>2.36</v>
      </c>
      <c r="AA517" s="199">
        <v>8.5399999999999991</v>
      </c>
      <c r="AB517" s="199">
        <v>-0.66</v>
      </c>
      <c r="AC517" s="199">
        <v>0</v>
      </c>
      <c r="AD517" s="199">
        <v>0</v>
      </c>
      <c r="AE517" s="199">
        <v>7.81</v>
      </c>
      <c r="AF517" s="199">
        <v>-0.87</v>
      </c>
      <c r="AG517" s="196" t="s">
        <v>279</v>
      </c>
      <c r="AH517" s="199">
        <v>0</v>
      </c>
      <c r="AI517" s="196" t="s">
        <v>279</v>
      </c>
      <c r="AJ517" s="199">
        <v>0</v>
      </c>
      <c r="AK517" s="196" t="s">
        <v>279</v>
      </c>
      <c r="AL517" s="199">
        <v>0</v>
      </c>
      <c r="AM517" s="196" t="s">
        <v>279</v>
      </c>
      <c r="AN517" s="199">
        <v>0</v>
      </c>
      <c r="AO517" s="196" t="s">
        <v>279</v>
      </c>
      <c r="AP517" s="199">
        <v>0</v>
      </c>
      <c r="AQ517" s="199">
        <v>8.5399999999999991</v>
      </c>
      <c r="AR517" s="199">
        <v>0</v>
      </c>
      <c r="AS517" s="196" t="str">
        <f t="shared" si="9"/>
        <v>1.00000000</v>
      </c>
      <c r="AT517" s="196" t="str">
        <f>"25.4"</f>
        <v>25.4</v>
      </c>
      <c r="AU517" s="199">
        <v>0</v>
      </c>
    </row>
    <row r="518" spans="1:47" s="196" customFormat="1" x14ac:dyDescent="0.2">
      <c r="A518" s="196" t="str">
        <f t="shared" si="8"/>
        <v>0496002595700</v>
      </c>
      <c r="B518" s="196">
        <v>6</v>
      </c>
      <c r="C518" s="196" t="s">
        <v>156</v>
      </c>
      <c r="D518" s="196" t="s">
        <v>344</v>
      </c>
      <c r="E518" s="196" t="s">
        <v>345</v>
      </c>
      <c r="F518" s="196" t="s">
        <v>243</v>
      </c>
      <c r="G518" s="196">
        <v>2262</v>
      </c>
      <c r="H518" s="196" t="s">
        <v>270</v>
      </c>
      <c r="I518" s="196">
        <v>61292</v>
      </c>
      <c r="J518" s="197">
        <v>42787</v>
      </c>
      <c r="K518" s="198">
        <v>0.41666666666666669</v>
      </c>
      <c r="L518" s="197">
        <v>42789</v>
      </c>
      <c r="M518" s="196" t="s">
        <v>271</v>
      </c>
      <c r="N518" s="196" t="s">
        <v>272</v>
      </c>
      <c r="O518" s="196" t="s">
        <v>273</v>
      </c>
      <c r="P518" s="196" t="s">
        <v>274</v>
      </c>
      <c r="Q518" s="196" t="s">
        <v>275</v>
      </c>
      <c r="R518" s="196" t="s">
        <v>276</v>
      </c>
      <c r="S518" s="196" t="s">
        <v>156</v>
      </c>
      <c r="T518" s="196" t="s">
        <v>277</v>
      </c>
      <c r="U518" s="196">
        <v>2262</v>
      </c>
      <c r="V518" s="196" t="s">
        <v>156</v>
      </c>
      <c r="W518" s="196" t="s">
        <v>335</v>
      </c>
      <c r="X518" s="196">
        <v>5.1440000000000001</v>
      </c>
      <c r="Y518" s="199">
        <v>-0.1</v>
      </c>
      <c r="Z518" s="199">
        <v>2.39</v>
      </c>
      <c r="AA518" s="199">
        <v>12.29</v>
      </c>
      <c r="AB518" s="199">
        <v>-0.94</v>
      </c>
      <c r="AC518" s="199">
        <v>0</v>
      </c>
      <c r="AD518" s="199">
        <v>0</v>
      </c>
      <c r="AE518" s="199">
        <v>11.25</v>
      </c>
      <c r="AF518" s="199">
        <v>-1.23</v>
      </c>
      <c r="AG518" s="196" t="s">
        <v>279</v>
      </c>
      <c r="AH518" s="199">
        <v>0</v>
      </c>
      <c r="AI518" s="196" t="s">
        <v>279</v>
      </c>
      <c r="AJ518" s="199">
        <v>0</v>
      </c>
      <c r="AK518" s="196" t="s">
        <v>279</v>
      </c>
      <c r="AL518" s="199">
        <v>0</v>
      </c>
      <c r="AM518" s="196" t="s">
        <v>279</v>
      </c>
      <c r="AN518" s="199">
        <v>0</v>
      </c>
      <c r="AO518" s="196" t="s">
        <v>279</v>
      </c>
      <c r="AP518" s="199">
        <v>0</v>
      </c>
      <c r="AQ518" s="199">
        <v>12.29</v>
      </c>
      <c r="AR518" s="199">
        <v>0</v>
      </c>
      <c r="AS518" s="196" t="str">
        <f t="shared" si="9"/>
        <v>1.00000000</v>
      </c>
      <c r="AT518" s="196" t="str">
        <f>"27.2"</f>
        <v>27.2</v>
      </c>
      <c r="AU518" s="199">
        <v>0</v>
      </c>
    </row>
    <row r="519" spans="1:47" s="196" customFormat="1" x14ac:dyDescent="0.2">
      <c r="A519" s="196" t="str">
        <f t="shared" si="8"/>
        <v>0496002595700</v>
      </c>
      <c r="B519" s="196">
        <v>6</v>
      </c>
      <c r="C519" s="196" t="s">
        <v>156</v>
      </c>
      <c r="D519" s="196" t="s">
        <v>344</v>
      </c>
      <c r="E519" s="196" t="s">
        <v>345</v>
      </c>
      <c r="F519" s="196" t="s">
        <v>243</v>
      </c>
      <c r="G519" s="196">
        <v>2262</v>
      </c>
      <c r="H519" s="196" t="s">
        <v>270</v>
      </c>
      <c r="I519" s="196">
        <v>61628</v>
      </c>
      <c r="J519" s="197">
        <v>42788</v>
      </c>
      <c r="K519" s="198">
        <v>0.4513888888888889</v>
      </c>
      <c r="L519" s="197">
        <v>42790</v>
      </c>
      <c r="M519" s="196" t="s">
        <v>271</v>
      </c>
      <c r="N519" s="196" t="s">
        <v>272</v>
      </c>
      <c r="O519" s="196" t="s">
        <v>273</v>
      </c>
      <c r="P519" s="196" t="s">
        <v>274</v>
      </c>
      <c r="Q519" s="196" t="s">
        <v>275</v>
      </c>
      <c r="R519" s="196" t="s">
        <v>276</v>
      </c>
      <c r="S519" s="196" t="s">
        <v>156</v>
      </c>
      <c r="T519" s="196" t="s">
        <v>277</v>
      </c>
      <c r="U519" s="196">
        <v>2262</v>
      </c>
      <c r="V519" s="196" t="s">
        <v>156</v>
      </c>
      <c r="W519" s="196" t="s">
        <v>335</v>
      </c>
      <c r="X519" s="196">
        <v>10.648</v>
      </c>
      <c r="Y519" s="199">
        <v>-0.21</v>
      </c>
      <c r="Z519" s="199">
        <v>2.39</v>
      </c>
      <c r="AA519" s="199">
        <v>25.44</v>
      </c>
      <c r="AB519" s="199">
        <v>-1.95</v>
      </c>
      <c r="AC519" s="199">
        <v>0</v>
      </c>
      <c r="AD519" s="199">
        <v>0</v>
      </c>
      <c r="AE519" s="199">
        <v>23.28</v>
      </c>
      <c r="AF519" s="199">
        <v>-2.56</v>
      </c>
      <c r="AG519" s="196" t="s">
        <v>279</v>
      </c>
      <c r="AH519" s="199">
        <v>0</v>
      </c>
      <c r="AI519" s="196" t="s">
        <v>279</v>
      </c>
      <c r="AJ519" s="199">
        <v>0</v>
      </c>
      <c r="AK519" s="196" t="s">
        <v>279</v>
      </c>
      <c r="AL519" s="199">
        <v>0</v>
      </c>
      <c r="AM519" s="196" t="s">
        <v>279</v>
      </c>
      <c r="AN519" s="199">
        <v>0</v>
      </c>
      <c r="AO519" s="196" t="s">
        <v>279</v>
      </c>
      <c r="AP519" s="199">
        <v>0</v>
      </c>
      <c r="AQ519" s="199">
        <v>25.44</v>
      </c>
      <c r="AR519" s="199">
        <v>0</v>
      </c>
      <c r="AS519" s="196" t="str">
        <f t="shared" si="9"/>
        <v>1.00000000</v>
      </c>
      <c r="AT519" s="196" t="str">
        <f>"31.6"</f>
        <v>31.6</v>
      </c>
      <c r="AU519" s="199">
        <v>0</v>
      </c>
    </row>
    <row r="520" spans="1:47" s="196" customFormat="1" x14ac:dyDescent="0.2">
      <c r="A520" s="196" t="str">
        <f t="shared" si="8"/>
        <v>0496002595700</v>
      </c>
      <c r="B520" s="196">
        <v>6</v>
      </c>
      <c r="C520" s="196" t="s">
        <v>156</v>
      </c>
      <c r="D520" s="196" t="s">
        <v>344</v>
      </c>
      <c r="E520" s="196" t="s">
        <v>345</v>
      </c>
      <c r="F520" s="196" t="s">
        <v>243</v>
      </c>
      <c r="G520" s="196">
        <v>2262</v>
      </c>
      <c r="H520" s="196" t="s">
        <v>270</v>
      </c>
      <c r="I520" s="196">
        <v>61958</v>
      </c>
      <c r="J520" s="197">
        <v>42789</v>
      </c>
      <c r="K520" s="198">
        <v>0.49374999999999997</v>
      </c>
      <c r="L520" s="197">
        <v>42793</v>
      </c>
      <c r="M520" s="196" t="s">
        <v>271</v>
      </c>
      <c r="N520" s="196" t="s">
        <v>272</v>
      </c>
      <c r="O520" s="196" t="s">
        <v>273</v>
      </c>
      <c r="P520" s="196" t="s">
        <v>274</v>
      </c>
      <c r="Q520" s="196" t="s">
        <v>275</v>
      </c>
      <c r="R520" s="196" t="s">
        <v>276</v>
      </c>
      <c r="S520" s="196" t="s">
        <v>156</v>
      </c>
      <c r="T520" s="196" t="s">
        <v>277</v>
      </c>
      <c r="U520" s="196">
        <v>2262</v>
      </c>
      <c r="V520" s="196" t="s">
        <v>156</v>
      </c>
      <c r="W520" s="196" t="s">
        <v>335</v>
      </c>
      <c r="X520" s="196">
        <v>10.586</v>
      </c>
      <c r="Y520" s="199">
        <v>-0.21</v>
      </c>
      <c r="Z520" s="199">
        <v>2.39</v>
      </c>
      <c r="AA520" s="199">
        <v>25.29</v>
      </c>
      <c r="AB520" s="199">
        <v>-1.94</v>
      </c>
      <c r="AC520" s="199">
        <v>0</v>
      </c>
      <c r="AD520" s="199">
        <v>0</v>
      </c>
      <c r="AE520" s="199">
        <v>23.14</v>
      </c>
      <c r="AF520" s="199">
        <v>-2.54</v>
      </c>
      <c r="AG520" s="196" t="s">
        <v>279</v>
      </c>
      <c r="AH520" s="199">
        <v>0</v>
      </c>
      <c r="AI520" s="196" t="s">
        <v>279</v>
      </c>
      <c r="AJ520" s="199">
        <v>0</v>
      </c>
      <c r="AK520" s="196" t="s">
        <v>279</v>
      </c>
      <c r="AL520" s="199">
        <v>0</v>
      </c>
      <c r="AM520" s="196" t="s">
        <v>279</v>
      </c>
      <c r="AN520" s="199">
        <v>0</v>
      </c>
      <c r="AO520" s="196" t="s">
        <v>279</v>
      </c>
      <c r="AP520" s="199">
        <v>0</v>
      </c>
      <c r="AQ520" s="199">
        <v>25.29</v>
      </c>
      <c r="AR520" s="199">
        <v>0</v>
      </c>
      <c r="AS520" s="196" t="str">
        <f t="shared" si="9"/>
        <v>1.00000000</v>
      </c>
      <c r="AT520" s="196" t="str">
        <f>"31.2"</f>
        <v>31.2</v>
      </c>
      <c r="AU520" s="199">
        <v>0</v>
      </c>
    </row>
    <row r="521" spans="1:47" s="196" customFormat="1" x14ac:dyDescent="0.2">
      <c r="A521" s="196" t="str">
        <f t="shared" si="8"/>
        <v>0496002595700</v>
      </c>
      <c r="B521" s="196">
        <v>6</v>
      </c>
      <c r="C521" s="196" t="s">
        <v>156</v>
      </c>
      <c r="D521" s="196" t="s">
        <v>344</v>
      </c>
      <c r="E521" s="196" t="s">
        <v>345</v>
      </c>
      <c r="F521" s="196" t="s">
        <v>243</v>
      </c>
      <c r="G521" s="196">
        <v>2262</v>
      </c>
      <c r="H521" s="196" t="s">
        <v>270</v>
      </c>
      <c r="I521" s="196">
        <v>62275</v>
      </c>
      <c r="J521" s="197">
        <v>42800</v>
      </c>
      <c r="K521" s="198">
        <v>0.52430555555555558</v>
      </c>
      <c r="L521" s="197">
        <v>42802</v>
      </c>
      <c r="M521" s="196" t="s">
        <v>271</v>
      </c>
      <c r="N521" s="196" t="s">
        <v>352</v>
      </c>
      <c r="O521" s="196" t="s">
        <v>353</v>
      </c>
      <c r="P521" s="196" t="s">
        <v>343</v>
      </c>
      <c r="Q521" s="196" t="s">
        <v>275</v>
      </c>
      <c r="R521" s="196">
        <v>1035</v>
      </c>
      <c r="S521" s="196" t="s">
        <v>156</v>
      </c>
      <c r="T521" s="196" t="s">
        <v>277</v>
      </c>
      <c r="U521" s="196">
        <v>2262</v>
      </c>
      <c r="V521" s="196" t="s">
        <v>156</v>
      </c>
      <c r="W521" s="196" t="s">
        <v>335</v>
      </c>
      <c r="X521" s="196">
        <v>12.988</v>
      </c>
      <c r="Y521" s="199">
        <v>-0.26</v>
      </c>
      <c r="Z521" s="199">
        <v>2.35</v>
      </c>
      <c r="AA521" s="199">
        <v>30.51</v>
      </c>
      <c r="AB521" s="199">
        <v>-2.38</v>
      </c>
      <c r="AC521" s="199">
        <v>0</v>
      </c>
      <c r="AD521" s="199">
        <v>0</v>
      </c>
      <c r="AE521" s="199">
        <v>27.87</v>
      </c>
      <c r="AF521" s="199">
        <v>-3.12</v>
      </c>
      <c r="AG521" s="196" t="s">
        <v>279</v>
      </c>
      <c r="AH521" s="199">
        <v>0</v>
      </c>
      <c r="AI521" s="196" t="s">
        <v>279</v>
      </c>
      <c r="AJ521" s="199">
        <v>0</v>
      </c>
      <c r="AK521" s="196" t="s">
        <v>279</v>
      </c>
      <c r="AL521" s="199">
        <v>0</v>
      </c>
      <c r="AM521" s="196" t="s">
        <v>279</v>
      </c>
      <c r="AN521" s="199">
        <v>0</v>
      </c>
      <c r="AO521" s="196" t="s">
        <v>279</v>
      </c>
      <c r="AP521" s="199">
        <v>0</v>
      </c>
      <c r="AQ521" s="199">
        <v>30.51</v>
      </c>
      <c r="AR521" s="199">
        <v>0</v>
      </c>
      <c r="AS521" s="196" t="str">
        <f t="shared" si="9"/>
        <v>1.00000000</v>
      </c>
      <c r="AT521" s="196" t="str">
        <f>"24.4"</f>
        <v>24.4</v>
      </c>
      <c r="AU521" s="199">
        <v>0</v>
      </c>
    </row>
    <row r="522" spans="1:47" s="196" customFormat="1" x14ac:dyDescent="0.2">
      <c r="A522" s="196" t="str">
        <f t="shared" ref="A522:A585" si="10">"0496002595700"</f>
        <v>0496002595700</v>
      </c>
      <c r="B522" s="196">
        <v>6</v>
      </c>
      <c r="C522" s="196" t="s">
        <v>156</v>
      </c>
      <c r="D522" s="196" t="s">
        <v>344</v>
      </c>
      <c r="E522" s="196" t="s">
        <v>345</v>
      </c>
      <c r="F522" s="196" t="s">
        <v>243</v>
      </c>
      <c r="G522" s="196">
        <v>2262</v>
      </c>
      <c r="H522" s="196" t="s">
        <v>270</v>
      </c>
      <c r="I522" s="196">
        <v>62597</v>
      </c>
      <c r="J522" s="197">
        <v>42811</v>
      </c>
      <c r="K522" s="198">
        <v>0.4597222222222222</v>
      </c>
      <c r="L522" s="197">
        <v>42815</v>
      </c>
      <c r="M522" s="196" t="s">
        <v>271</v>
      </c>
      <c r="N522" s="196" t="s">
        <v>352</v>
      </c>
      <c r="O522" s="196" t="s">
        <v>353</v>
      </c>
      <c r="P522" s="196" t="s">
        <v>343</v>
      </c>
      <c r="Q522" s="196" t="s">
        <v>275</v>
      </c>
      <c r="R522" s="196">
        <v>1035</v>
      </c>
      <c r="S522" s="196" t="s">
        <v>156</v>
      </c>
      <c r="T522" s="196" t="s">
        <v>277</v>
      </c>
      <c r="U522" s="196">
        <v>2262</v>
      </c>
      <c r="V522" s="196" t="s">
        <v>156</v>
      </c>
      <c r="W522" s="196" t="s">
        <v>335</v>
      </c>
      <c r="X522" s="196">
        <v>11.919</v>
      </c>
      <c r="Y522" s="199">
        <v>-0.24</v>
      </c>
      <c r="Z522" s="199">
        <v>2.35</v>
      </c>
      <c r="AA522" s="199">
        <v>28</v>
      </c>
      <c r="AB522" s="199">
        <v>-2.1800000000000002</v>
      </c>
      <c r="AC522" s="199">
        <v>0</v>
      </c>
      <c r="AD522" s="199">
        <v>0</v>
      </c>
      <c r="AE522" s="199">
        <v>25.58</v>
      </c>
      <c r="AF522" s="199">
        <v>-2.86</v>
      </c>
      <c r="AG522" s="196" t="s">
        <v>279</v>
      </c>
      <c r="AH522" s="199">
        <v>0</v>
      </c>
      <c r="AI522" s="196" t="s">
        <v>279</v>
      </c>
      <c r="AJ522" s="199">
        <v>0</v>
      </c>
      <c r="AK522" s="196" t="s">
        <v>279</v>
      </c>
      <c r="AL522" s="199">
        <v>0</v>
      </c>
      <c r="AM522" s="196" t="s">
        <v>279</v>
      </c>
      <c r="AN522" s="199">
        <v>0</v>
      </c>
      <c r="AO522" s="196" t="s">
        <v>279</v>
      </c>
      <c r="AP522" s="199">
        <v>0</v>
      </c>
      <c r="AQ522" s="199">
        <v>28</v>
      </c>
      <c r="AR522" s="199">
        <v>0</v>
      </c>
      <c r="AS522" s="196" t="str">
        <f t="shared" si="9"/>
        <v>1.00000000</v>
      </c>
      <c r="AT522" s="196" t="str">
        <f>"27.0"</f>
        <v>27.0</v>
      </c>
      <c r="AU522" s="199">
        <v>0</v>
      </c>
    </row>
    <row r="523" spans="1:47" s="196" customFormat="1" x14ac:dyDescent="0.2">
      <c r="A523" s="196" t="str">
        <f t="shared" si="10"/>
        <v>0496002595700</v>
      </c>
      <c r="B523" s="196">
        <v>6</v>
      </c>
      <c r="C523" s="196" t="s">
        <v>156</v>
      </c>
      <c r="D523" s="196" t="s">
        <v>344</v>
      </c>
      <c r="E523" s="196" t="s">
        <v>345</v>
      </c>
      <c r="F523" s="196" t="s">
        <v>243</v>
      </c>
      <c r="G523" s="196">
        <v>2262</v>
      </c>
      <c r="H523" s="196" t="s">
        <v>270</v>
      </c>
      <c r="I523" s="196">
        <v>62934</v>
      </c>
      <c r="J523" s="197">
        <v>42822</v>
      </c>
      <c r="K523" s="198">
        <v>0.45</v>
      </c>
      <c r="L523" s="197">
        <v>42824</v>
      </c>
      <c r="M523" s="196" t="s">
        <v>271</v>
      </c>
      <c r="N523" s="196" t="s">
        <v>352</v>
      </c>
      <c r="O523" s="196" t="s">
        <v>353</v>
      </c>
      <c r="P523" s="196" t="s">
        <v>343</v>
      </c>
      <c r="Q523" s="196" t="s">
        <v>275</v>
      </c>
      <c r="R523" s="196">
        <v>1035</v>
      </c>
      <c r="S523" s="196" t="s">
        <v>156</v>
      </c>
      <c r="T523" s="196" t="s">
        <v>277</v>
      </c>
      <c r="U523" s="196">
        <v>2262</v>
      </c>
      <c r="V523" s="196" t="s">
        <v>156</v>
      </c>
      <c r="W523" s="196" t="s">
        <v>335</v>
      </c>
      <c r="X523" s="196">
        <v>13.571</v>
      </c>
      <c r="Y523" s="199">
        <v>-0.27</v>
      </c>
      <c r="Z523" s="199">
        <v>2.35</v>
      </c>
      <c r="AA523" s="199">
        <v>31.88</v>
      </c>
      <c r="AB523" s="199">
        <v>-2.48</v>
      </c>
      <c r="AC523" s="199">
        <v>0</v>
      </c>
      <c r="AD523" s="199">
        <v>0</v>
      </c>
      <c r="AE523" s="199">
        <v>29.13</v>
      </c>
      <c r="AF523" s="199">
        <v>-3.26</v>
      </c>
      <c r="AG523" s="196" t="s">
        <v>279</v>
      </c>
      <c r="AH523" s="199">
        <v>0</v>
      </c>
      <c r="AI523" s="196" t="s">
        <v>279</v>
      </c>
      <c r="AJ523" s="199">
        <v>0</v>
      </c>
      <c r="AK523" s="196" t="s">
        <v>279</v>
      </c>
      <c r="AL523" s="199">
        <v>0</v>
      </c>
      <c r="AM523" s="196" t="s">
        <v>279</v>
      </c>
      <c r="AN523" s="199">
        <v>0</v>
      </c>
      <c r="AO523" s="196" t="s">
        <v>279</v>
      </c>
      <c r="AP523" s="199">
        <v>0</v>
      </c>
      <c r="AQ523" s="199">
        <v>31.88</v>
      </c>
      <c r="AR523" s="199">
        <v>0</v>
      </c>
      <c r="AS523" s="196" t="str">
        <f t="shared" si="9"/>
        <v>1.00000000</v>
      </c>
      <c r="AT523" s="196" t="str">
        <f>"24.8"</f>
        <v>24.8</v>
      </c>
      <c r="AU523" s="199">
        <v>0</v>
      </c>
    </row>
    <row r="524" spans="1:47" s="196" customFormat="1" x14ac:dyDescent="0.2">
      <c r="A524" s="196" t="str">
        <f t="shared" si="10"/>
        <v>0496002595700</v>
      </c>
      <c r="B524" s="196">
        <v>6</v>
      </c>
      <c r="C524" s="196" t="s">
        <v>156</v>
      </c>
      <c r="D524" s="196" t="s">
        <v>344</v>
      </c>
      <c r="E524" s="196" t="s">
        <v>345</v>
      </c>
      <c r="F524" s="196" t="s">
        <v>243</v>
      </c>
      <c r="G524" s="196">
        <v>2262</v>
      </c>
      <c r="H524" s="196" t="s">
        <v>270</v>
      </c>
      <c r="I524" s="196">
        <v>63319</v>
      </c>
      <c r="J524" s="197">
        <v>42831</v>
      </c>
      <c r="K524" s="198">
        <v>0.5493055555555556</v>
      </c>
      <c r="L524" s="197">
        <v>42835</v>
      </c>
      <c r="M524" s="196" t="s">
        <v>302</v>
      </c>
      <c r="N524" s="196" t="s">
        <v>346</v>
      </c>
      <c r="O524" s="196" t="s">
        <v>347</v>
      </c>
      <c r="P524" s="196" t="s">
        <v>348</v>
      </c>
      <c r="Q524" s="196" t="s">
        <v>275</v>
      </c>
      <c r="R524" s="196">
        <v>1238</v>
      </c>
      <c r="S524" s="196" t="s">
        <v>156</v>
      </c>
      <c r="T524" s="196" t="s">
        <v>277</v>
      </c>
      <c r="U524" s="196">
        <v>2262</v>
      </c>
      <c r="V524" s="196" t="s">
        <v>156</v>
      </c>
      <c r="W524" s="196" t="s">
        <v>280</v>
      </c>
      <c r="X524" s="196">
        <v>13.718999999999999</v>
      </c>
      <c r="Y524" s="199">
        <v>0</v>
      </c>
      <c r="Z524" s="199">
        <v>2.4</v>
      </c>
      <c r="AA524" s="199">
        <v>32.909999999999997</v>
      </c>
      <c r="AB524" s="199">
        <v>-2.5099999999999998</v>
      </c>
      <c r="AC524" s="199">
        <v>0</v>
      </c>
      <c r="AD524" s="199">
        <v>0</v>
      </c>
      <c r="AE524" s="199">
        <v>30.4</v>
      </c>
      <c r="AF524" s="199">
        <v>-3.29</v>
      </c>
      <c r="AG524" s="196" t="s">
        <v>279</v>
      </c>
      <c r="AH524" s="199">
        <v>0</v>
      </c>
      <c r="AI524" s="196" t="s">
        <v>279</v>
      </c>
      <c r="AJ524" s="199">
        <v>0</v>
      </c>
      <c r="AK524" s="196" t="s">
        <v>279</v>
      </c>
      <c r="AL524" s="199">
        <v>0</v>
      </c>
      <c r="AM524" s="196" t="s">
        <v>279</v>
      </c>
      <c r="AN524" s="199">
        <v>0</v>
      </c>
      <c r="AO524" s="196" t="s">
        <v>279</v>
      </c>
      <c r="AP524" s="199">
        <v>0</v>
      </c>
      <c r="AQ524" s="199">
        <v>32.909999999999997</v>
      </c>
      <c r="AR524" s="199">
        <v>0</v>
      </c>
      <c r="AS524" s="196" t="str">
        <f t="shared" si="9"/>
        <v>1.00000000</v>
      </c>
      <c r="AT524" s="196" t="str">
        <f>"28.1"</f>
        <v>28.1</v>
      </c>
      <c r="AU524" s="199">
        <v>0</v>
      </c>
    </row>
    <row r="525" spans="1:47" s="196" customFormat="1" x14ac:dyDescent="0.2">
      <c r="A525" s="196" t="str">
        <f t="shared" si="10"/>
        <v>0496002595700</v>
      </c>
      <c r="B525" s="196">
        <v>6</v>
      </c>
      <c r="C525" s="196" t="s">
        <v>156</v>
      </c>
      <c r="D525" s="196" t="s">
        <v>344</v>
      </c>
      <c r="E525" s="196" t="s">
        <v>345</v>
      </c>
      <c r="F525" s="196" t="s">
        <v>243</v>
      </c>
      <c r="G525" s="196">
        <v>2262</v>
      </c>
      <c r="H525" s="196" t="s">
        <v>270</v>
      </c>
      <c r="I525" s="196">
        <v>63631</v>
      </c>
      <c r="J525" s="197">
        <v>42836</v>
      </c>
      <c r="K525" s="198">
        <v>0.54513888888888895</v>
      </c>
      <c r="L525" s="197">
        <v>42838</v>
      </c>
      <c r="M525" s="196" t="s">
        <v>271</v>
      </c>
      <c r="N525" s="196" t="s">
        <v>272</v>
      </c>
      <c r="O525" s="196" t="s">
        <v>273</v>
      </c>
      <c r="P525" s="196" t="s">
        <v>274</v>
      </c>
      <c r="Q525" s="196" t="s">
        <v>275</v>
      </c>
      <c r="R525" s="196" t="s">
        <v>276</v>
      </c>
      <c r="S525" s="196" t="s">
        <v>156</v>
      </c>
      <c r="T525" s="196" t="s">
        <v>277</v>
      </c>
      <c r="U525" s="196">
        <v>2262</v>
      </c>
      <c r="V525" s="196" t="s">
        <v>156</v>
      </c>
      <c r="W525" s="196" t="s">
        <v>335</v>
      </c>
      <c r="X525" s="196">
        <v>11.590999999999999</v>
      </c>
      <c r="Y525" s="199">
        <v>-0.23</v>
      </c>
      <c r="Z525" s="199">
        <v>2.52</v>
      </c>
      <c r="AA525" s="199">
        <v>29.2</v>
      </c>
      <c r="AB525" s="199">
        <v>-2.12</v>
      </c>
      <c r="AC525" s="199">
        <v>0</v>
      </c>
      <c r="AD525" s="199">
        <v>0</v>
      </c>
      <c r="AE525" s="199">
        <v>26.85</v>
      </c>
      <c r="AF525" s="199">
        <v>-2.78</v>
      </c>
      <c r="AG525" s="196" t="s">
        <v>279</v>
      </c>
      <c r="AH525" s="199">
        <v>0</v>
      </c>
      <c r="AI525" s="196" t="s">
        <v>279</v>
      </c>
      <c r="AJ525" s="199">
        <v>0</v>
      </c>
      <c r="AK525" s="196" t="s">
        <v>279</v>
      </c>
      <c r="AL525" s="199">
        <v>0</v>
      </c>
      <c r="AM525" s="196" t="s">
        <v>279</v>
      </c>
      <c r="AN525" s="199">
        <v>0</v>
      </c>
      <c r="AO525" s="196" t="s">
        <v>279</v>
      </c>
      <c r="AP525" s="199">
        <v>0</v>
      </c>
      <c r="AQ525" s="199">
        <v>29.2</v>
      </c>
      <c r="AR525" s="199">
        <v>0</v>
      </c>
      <c r="AS525" s="196" t="str">
        <f t="shared" si="9"/>
        <v>1.00000000</v>
      </c>
      <c r="AT525" s="196" t="str">
        <f>"26.9"</f>
        <v>26.9</v>
      </c>
      <c r="AU525" s="199">
        <v>0</v>
      </c>
    </row>
    <row r="526" spans="1:47" s="196" customFormat="1" x14ac:dyDescent="0.2">
      <c r="A526" s="196" t="str">
        <f t="shared" si="10"/>
        <v>0496002595700</v>
      </c>
      <c r="B526" s="196">
        <v>6</v>
      </c>
      <c r="C526" s="196" t="s">
        <v>156</v>
      </c>
      <c r="D526" s="196" t="s">
        <v>344</v>
      </c>
      <c r="E526" s="196" t="s">
        <v>345</v>
      </c>
      <c r="F526" s="196" t="s">
        <v>243</v>
      </c>
      <c r="G526" s="196">
        <v>2262</v>
      </c>
      <c r="H526" s="196" t="s">
        <v>270</v>
      </c>
      <c r="I526" s="196">
        <v>63963</v>
      </c>
      <c r="J526" s="197">
        <v>42838</v>
      </c>
      <c r="K526" s="198">
        <v>0.40902777777777777</v>
      </c>
      <c r="L526" s="197">
        <v>42842</v>
      </c>
      <c r="M526" s="196" t="s">
        <v>271</v>
      </c>
      <c r="N526" s="196" t="s">
        <v>272</v>
      </c>
      <c r="O526" s="196" t="s">
        <v>273</v>
      </c>
      <c r="P526" s="196" t="s">
        <v>274</v>
      </c>
      <c r="Q526" s="196" t="s">
        <v>275</v>
      </c>
      <c r="R526" s="196" t="s">
        <v>276</v>
      </c>
      <c r="S526" s="196" t="s">
        <v>156</v>
      </c>
      <c r="T526" s="196" t="s">
        <v>277</v>
      </c>
      <c r="U526" s="196">
        <v>2262</v>
      </c>
      <c r="V526" s="196" t="s">
        <v>156</v>
      </c>
      <c r="W526" s="196" t="s">
        <v>335</v>
      </c>
      <c r="X526" s="196">
        <v>11</v>
      </c>
      <c r="Y526" s="199">
        <v>-0.22</v>
      </c>
      <c r="Z526" s="199">
        <v>2.52</v>
      </c>
      <c r="AA526" s="199">
        <v>27.71</v>
      </c>
      <c r="AB526" s="199">
        <v>-2.0099999999999998</v>
      </c>
      <c r="AC526" s="199">
        <v>0</v>
      </c>
      <c r="AD526" s="199">
        <v>0</v>
      </c>
      <c r="AE526" s="199">
        <v>25.48</v>
      </c>
      <c r="AF526" s="199">
        <v>-2.64</v>
      </c>
      <c r="AG526" s="196" t="s">
        <v>279</v>
      </c>
      <c r="AH526" s="199">
        <v>0</v>
      </c>
      <c r="AI526" s="196" t="s">
        <v>279</v>
      </c>
      <c r="AJ526" s="199">
        <v>0</v>
      </c>
      <c r="AK526" s="196" t="s">
        <v>279</v>
      </c>
      <c r="AL526" s="199">
        <v>0</v>
      </c>
      <c r="AM526" s="196" t="s">
        <v>279</v>
      </c>
      <c r="AN526" s="199">
        <v>0</v>
      </c>
      <c r="AO526" s="196" t="s">
        <v>279</v>
      </c>
      <c r="AP526" s="199">
        <v>0</v>
      </c>
      <c r="AQ526" s="199">
        <v>27.71</v>
      </c>
      <c r="AR526" s="199">
        <v>0</v>
      </c>
      <c r="AS526" s="196" t="str">
        <f t="shared" si="9"/>
        <v>1.00000000</v>
      </c>
      <c r="AT526" s="196" t="str">
        <f>"30.2"</f>
        <v>30.2</v>
      </c>
      <c r="AU526" s="199">
        <v>0</v>
      </c>
    </row>
    <row r="527" spans="1:47" s="196" customFormat="1" x14ac:dyDescent="0.2">
      <c r="A527" s="196" t="str">
        <f t="shared" si="10"/>
        <v>0496002595700</v>
      </c>
      <c r="B527" s="196">
        <v>6</v>
      </c>
      <c r="C527" s="196" t="s">
        <v>156</v>
      </c>
      <c r="D527" s="196" t="s">
        <v>344</v>
      </c>
      <c r="E527" s="196" t="s">
        <v>345</v>
      </c>
      <c r="F527" s="196" t="s">
        <v>243</v>
      </c>
      <c r="G527" s="196">
        <v>2262</v>
      </c>
      <c r="H527" s="196" t="s">
        <v>270</v>
      </c>
      <c r="I527" s="196">
        <v>64122</v>
      </c>
      <c r="J527" s="197">
        <v>42838</v>
      </c>
      <c r="K527" s="198">
        <v>0.58611111111111114</v>
      </c>
      <c r="L527" s="197">
        <v>42842</v>
      </c>
      <c r="M527" s="196" t="s">
        <v>354</v>
      </c>
      <c r="N527" s="196" t="s">
        <v>355</v>
      </c>
      <c r="O527" s="196" t="s">
        <v>356</v>
      </c>
      <c r="P527" s="196" t="s">
        <v>357</v>
      </c>
      <c r="Q527" s="196" t="s">
        <v>329</v>
      </c>
      <c r="R527" s="196" t="s">
        <v>358</v>
      </c>
      <c r="S527" s="196" t="s">
        <v>156</v>
      </c>
      <c r="T527" s="196" t="s">
        <v>277</v>
      </c>
      <c r="U527" s="196">
        <v>2262</v>
      </c>
      <c r="V527" s="196" t="s">
        <v>156</v>
      </c>
      <c r="W527" s="196" t="s">
        <v>278</v>
      </c>
      <c r="X527" s="196">
        <v>5.2190000000000003</v>
      </c>
      <c r="Y527" s="199">
        <v>0</v>
      </c>
      <c r="Z527" s="199">
        <v>2.99</v>
      </c>
      <c r="AA527" s="199">
        <v>15.6</v>
      </c>
      <c r="AB527" s="199">
        <v>-0.96</v>
      </c>
      <c r="AC527" s="199">
        <v>0</v>
      </c>
      <c r="AD527" s="199">
        <v>0</v>
      </c>
      <c r="AE527" s="199">
        <v>14.64</v>
      </c>
      <c r="AF527" s="199">
        <v>-2.36</v>
      </c>
      <c r="AG527" s="196" t="s">
        <v>279</v>
      </c>
      <c r="AH527" s="199">
        <v>0</v>
      </c>
      <c r="AI527" s="196" t="s">
        <v>279</v>
      </c>
      <c r="AJ527" s="199">
        <v>0</v>
      </c>
      <c r="AK527" s="196" t="s">
        <v>279</v>
      </c>
      <c r="AL527" s="199">
        <v>0</v>
      </c>
      <c r="AM527" s="196" t="s">
        <v>279</v>
      </c>
      <c r="AN527" s="199">
        <v>0</v>
      </c>
      <c r="AO527" s="196" t="s">
        <v>279</v>
      </c>
      <c r="AP527" s="199">
        <v>0</v>
      </c>
      <c r="AQ527" s="199">
        <v>15.6</v>
      </c>
      <c r="AR527" s="199">
        <v>0</v>
      </c>
      <c r="AS527" s="196" t="str">
        <f t="shared" si="9"/>
        <v>1.00000000</v>
      </c>
      <c r="AT527" s="196" t="str">
        <f>"30.5"</f>
        <v>30.5</v>
      </c>
      <c r="AU527" s="199">
        <v>0</v>
      </c>
    </row>
    <row r="528" spans="1:47" s="196" customFormat="1" x14ac:dyDescent="0.2">
      <c r="A528" s="196" t="str">
        <f t="shared" si="10"/>
        <v>0496002595700</v>
      </c>
      <c r="B528" s="196">
        <v>6</v>
      </c>
      <c r="C528" s="196" t="s">
        <v>156</v>
      </c>
      <c r="D528" s="196" t="s">
        <v>344</v>
      </c>
      <c r="E528" s="196" t="s">
        <v>345</v>
      </c>
      <c r="F528" s="196" t="s">
        <v>243</v>
      </c>
      <c r="G528" s="196">
        <v>2262</v>
      </c>
      <c r="H528" s="196" t="s">
        <v>270</v>
      </c>
      <c r="I528" s="196">
        <v>64525</v>
      </c>
      <c r="J528" s="197">
        <v>42838</v>
      </c>
      <c r="K528" s="198">
        <v>0.9868055555555556</v>
      </c>
      <c r="L528" s="197">
        <v>42842</v>
      </c>
      <c r="M528" s="196" t="s">
        <v>271</v>
      </c>
      <c r="N528" s="196" t="s">
        <v>359</v>
      </c>
      <c r="O528" s="196" t="s">
        <v>360</v>
      </c>
      <c r="P528" s="196" t="s">
        <v>361</v>
      </c>
      <c r="Q528" s="196" t="s">
        <v>275</v>
      </c>
      <c r="R528" s="196">
        <v>1581</v>
      </c>
      <c r="S528" s="196" t="s">
        <v>156</v>
      </c>
      <c r="T528" s="196" t="s">
        <v>277</v>
      </c>
      <c r="U528" s="196">
        <v>2262</v>
      </c>
      <c r="V528" s="196" t="s">
        <v>156</v>
      </c>
      <c r="W528" s="196" t="s">
        <v>278</v>
      </c>
      <c r="X528" s="196">
        <v>4.1390000000000002</v>
      </c>
      <c r="Y528" s="199">
        <v>-0.12</v>
      </c>
      <c r="Z528" s="199">
        <v>2.9</v>
      </c>
      <c r="AA528" s="199">
        <v>12</v>
      </c>
      <c r="AB528" s="199">
        <v>-0.76</v>
      </c>
      <c r="AC528" s="199">
        <v>0</v>
      </c>
      <c r="AD528" s="199">
        <v>0</v>
      </c>
      <c r="AE528" s="199">
        <v>11.12</v>
      </c>
      <c r="AF528" s="199">
        <v>-0.99</v>
      </c>
      <c r="AG528" s="196" t="s">
        <v>279</v>
      </c>
      <c r="AH528" s="199">
        <v>0</v>
      </c>
      <c r="AI528" s="196" t="s">
        <v>279</v>
      </c>
      <c r="AJ528" s="199">
        <v>0</v>
      </c>
      <c r="AK528" s="196" t="s">
        <v>279</v>
      </c>
      <c r="AL528" s="199">
        <v>0</v>
      </c>
      <c r="AM528" s="196" t="s">
        <v>279</v>
      </c>
      <c r="AN528" s="199">
        <v>0</v>
      </c>
      <c r="AO528" s="196" t="s">
        <v>279</v>
      </c>
      <c r="AP528" s="199">
        <v>0</v>
      </c>
      <c r="AQ528" s="199">
        <v>12</v>
      </c>
      <c r="AR528" s="199">
        <v>0</v>
      </c>
      <c r="AS528" s="196" t="str">
        <f t="shared" si="9"/>
        <v>1.00000000</v>
      </c>
      <c r="AT528" s="196" t="str">
        <f>"24.9"</f>
        <v>24.9</v>
      </c>
      <c r="AU528" s="199">
        <v>0</v>
      </c>
    </row>
    <row r="529" spans="1:47" s="196" customFormat="1" x14ac:dyDescent="0.2">
      <c r="A529" s="196" t="str">
        <f t="shared" si="10"/>
        <v>0496002595700</v>
      </c>
      <c r="B529" s="196">
        <v>6</v>
      </c>
      <c r="C529" s="196" t="s">
        <v>156</v>
      </c>
      <c r="D529" s="196" t="s">
        <v>344</v>
      </c>
      <c r="E529" s="196" t="s">
        <v>345</v>
      </c>
      <c r="F529" s="196" t="s">
        <v>243</v>
      </c>
      <c r="G529" s="196">
        <v>2262</v>
      </c>
      <c r="H529" s="196" t="s">
        <v>270</v>
      </c>
      <c r="I529" s="196">
        <v>64588</v>
      </c>
      <c r="J529" s="197">
        <v>42839</v>
      </c>
      <c r="K529" s="198">
        <v>0.50416666666666665</v>
      </c>
      <c r="L529" s="197">
        <v>42843</v>
      </c>
      <c r="M529" s="196" t="s">
        <v>271</v>
      </c>
      <c r="N529" s="196" t="s">
        <v>272</v>
      </c>
      <c r="O529" s="196" t="s">
        <v>273</v>
      </c>
      <c r="P529" s="196" t="s">
        <v>274</v>
      </c>
      <c r="Q529" s="196" t="s">
        <v>275</v>
      </c>
      <c r="R529" s="196" t="s">
        <v>276</v>
      </c>
      <c r="S529" s="196" t="s">
        <v>156</v>
      </c>
      <c r="T529" s="196" t="s">
        <v>277</v>
      </c>
      <c r="U529" s="196">
        <v>2262</v>
      </c>
      <c r="V529" s="196" t="s">
        <v>156</v>
      </c>
      <c r="W529" s="196" t="s">
        <v>335</v>
      </c>
      <c r="X529" s="196">
        <v>11.541</v>
      </c>
      <c r="Y529" s="199">
        <v>-0.23</v>
      </c>
      <c r="Z529" s="199">
        <v>2.5499999999999998</v>
      </c>
      <c r="AA529" s="199">
        <v>29.42</v>
      </c>
      <c r="AB529" s="199">
        <v>-2.11</v>
      </c>
      <c r="AC529" s="199">
        <v>0</v>
      </c>
      <c r="AD529" s="199">
        <v>0</v>
      </c>
      <c r="AE529" s="199">
        <v>27.08</v>
      </c>
      <c r="AF529" s="199">
        <v>-2.77</v>
      </c>
      <c r="AG529" s="196" t="s">
        <v>279</v>
      </c>
      <c r="AH529" s="199">
        <v>0</v>
      </c>
      <c r="AI529" s="196" t="s">
        <v>279</v>
      </c>
      <c r="AJ529" s="199">
        <v>0</v>
      </c>
      <c r="AK529" s="196" t="s">
        <v>279</v>
      </c>
      <c r="AL529" s="199">
        <v>0</v>
      </c>
      <c r="AM529" s="196" t="s">
        <v>279</v>
      </c>
      <c r="AN529" s="199">
        <v>0</v>
      </c>
      <c r="AO529" s="196" t="s">
        <v>279</v>
      </c>
      <c r="AP529" s="199">
        <v>0</v>
      </c>
      <c r="AQ529" s="199">
        <v>29.42</v>
      </c>
      <c r="AR529" s="199">
        <v>0</v>
      </c>
      <c r="AS529" s="196" t="str">
        <f t="shared" si="9"/>
        <v>1.00000000</v>
      </c>
      <c r="AT529" s="196" t="str">
        <f>"31.4"</f>
        <v>31.4</v>
      </c>
      <c r="AU529" s="199">
        <v>0</v>
      </c>
    </row>
    <row r="530" spans="1:47" s="196" customFormat="1" x14ac:dyDescent="0.2">
      <c r="A530" s="196" t="str">
        <f t="shared" si="10"/>
        <v>0496002595700</v>
      </c>
      <c r="B530" s="196">
        <v>6</v>
      </c>
      <c r="C530" s="196" t="s">
        <v>156</v>
      </c>
      <c r="D530" s="196" t="s">
        <v>344</v>
      </c>
      <c r="E530" s="196" t="s">
        <v>345</v>
      </c>
      <c r="F530" s="196" t="s">
        <v>243</v>
      </c>
      <c r="G530" s="196">
        <v>2262</v>
      </c>
      <c r="H530" s="196" t="s">
        <v>270</v>
      </c>
      <c r="I530" s="196">
        <v>64664</v>
      </c>
      <c r="J530" s="197">
        <v>42850</v>
      </c>
      <c r="K530" s="198">
        <v>0.51388888888888895</v>
      </c>
      <c r="L530" s="197">
        <v>42852</v>
      </c>
      <c r="M530" s="196" t="s">
        <v>271</v>
      </c>
      <c r="N530" s="196" t="s">
        <v>272</v>
      </c>
      <c r="O530" s="196" t="s">
        <v>273</v>
      </c>
      <c r="P530" s="196" t="s">
        <v>274</v>
      </c>
      <c r="Q530" s="196" t="s">
        <v>275</v>
      </c>
      <c r="R530" s="196" t="s">
        <v>276</v>
      </c>
      <c r="S530" s="196" t="s">
        <v>156</v>
      </c>
      <c r="T530" s="196" t="s">
        <v>277</v>
      </c>
      <c r="U530" s="196">
        <v>2262</v>
      </c>
      <c r="V530" s="196" t="s">
        <v>156</v>
      </c>
      <c r="W530" s="196" t="s">
        <v>335</v>
      </c>
      <c r="X530" s="196">
        <v>3.5680000000000001</v>
      </c>
      <c r="Y530" s="199">
        <v>-7.0000000000000007E-2</v>
      </c>
      <c r="Z530" s="199">
        <v>2.58</v>
      </c>
      <c r="AA530" s="199">
        <v>9.1999999999999993</v>
      </c>
      <c r="AB530" s="199">
        <v>-0.65</v>
      </c>
      <c r="AC530" s="199">
        <v>0</v>
      </c>
      <c r="AD530" s="199">
        <v>0</v>
      </c>
      <c r="AE530" s="199">
        <v>8.48</v>
      </c>
      <c r="AF530" s="199">
        <v>-0.86</v>
      </c>
      <c r="AG530" s="196" t="s">
        <v>279</v>
      </c>
      <c r="AH530" s="199">
        <v>0</v>
      </c>
      <c r="AI530" s="196" t="s">
        <v>279</v>
      </c>
      <c r="AJ530" s="199">
        <v>0</v>
      </c>
      <c r="AK530" s="196" t="s">
        <v>279</v>
      </c>
      <c r="AL530" s="199">
        <v>0</v>
      </c>
      <c r="AM530" s="196" t="s">
        <v>279</v>
      </c>
      <c r="AN530" s="199">
        <v>0</v>
      </c>
      <c r="AO530" s="196" t="s">
        <v>279</v>
      </c>
      <c r="AP530" s="199">
        <v>0</v>
      </c>
      <c r="AQ530" s="199">
        <v>9.1999999999999993</v>
      </c>
      <c r="AR530" s="199">
        <v>0</v>
      </c>
      <c r="AS530" s="196" t="str">
        <f t="shared" si="9"/>
        <v>1.00000000</v>
      </c>
      <c r="AT530" s="196" t="str">
        <f>"21.3"</f>
        <v>21.3</v>
      </c>
      <c r="AU530" s="199">
        <v>0</v>
      </c>
    </row>
    <row r="531" spans="1:47" s="196" customFormat="1" x14ac:dyDescent="0.2">
      <c r="A531" s="196" t="str">
        <f t="shared" si="10"/>
        <v>0496002595700</v>
      </c>
      <c r="B531" s="196">
        <v>6</v>
      </c>
      <c r="C531" s="196" t="s">
        <v>156</v>
      </c>
      <c r="D531" s="196" t="s">
        <v>344</v>
      </c>
      <c r="E531" s="196" t="s">
        <v>345</v>
      </c>
      <c r="F531" s="196" t="s">
        <v>243</v>
      </c>
      <c r="G531" s="196">
        <v>2262</v>
      </c>
      <c r="H531" s="196" t="s">
        <v>270</v>
      </c>
      <c r="I531" s="196">
        <v>64851</v>
      </c>
      <c r="J531" s="197">
        <v>42851</v>
      </c>
      <c r="K531" s="198">
        <v>0.51666666666666672</v>
      </c>
      <c r="L531" s="197">
        <v>42853</v>
      </c>
      <c r="M531" s="196" t="s">
        <v>271</v>
      </c>
      <c r="N531" s="196" t="s">
        <v>272</v>
      </c>
      <c r="O531" s="196" t="s">
        <v>273</v>
      </c>
      <c r="P531" s="196" t="s">
        <v>274</v>
      </c>
      <c r="Q531" s="196" t="s">
        <v>275</v>
      </c>
      <c r="R531" s="196" t="s">
        <v>276</v>
      </c>
      <c r="S531" s="196" t="s">
        <v>156</v>
      </c>
      <c r="T531" s="196" t="s">
        <v>277</v>
      </c>
      <c r="U531" s="196">
        <v>2262</v>
      </c>
      <c r="V531" s="196" t="s">
        <v>156</v>
      </c>
      <c r="W531" s="196" t="s">
        <v>335</v>
      </c>
      <c r="X531" s="196">
        <v>6.4790000000000001</v>
      </c>
      <c r="Y531" s="199">
        <v>-0.13</v>
      </c>
      <c r="Z531" s="199">
        <v>2.58</v>
      </c>
      <c r="AA531" s="199">
        <v>16.71</v>
      </c>
      <c r="AB531" s="199">
        <v>-1.19</v>
      </c>
      <c r="AC531" s="199">
        <v>0</v>
      </c>
      <c r="AD531" s="199">
        <v>0</v>
      </c>
      <c r="AE531" s="199">
        <v>15.39</v>
      </c>
      <c r="AF531" s="199">
        <v>-1.55</v>
      </c>
      <c r="AG531" s="196" t="s">
        <v>279</v>
      </c>
      <c r="AH531" s="199">
        <v>0</v>
      </c>
      <c r="AI531" s="196" t="s">
        <v>279</v>
      </c>
      <c r="AJ531" s="199">
        <v>0</v>
      </c>
      <c r="AK531" s="196" t="s">
        <v>279</v>
      </c>
      <c r="AL531" s="199">
        <v>0</v>
      </c>
      <c r="AM531" s="196" t="s">
        <v>279</v>
      </c>
      <c r="AN531" s="199">
        <v>0</v>
      </c>
      <c r="AO531" s="196" t="s">
        <v>279</v>
      </c>
      <c r="AP531" s="199">
        <v>0</v>
      </c>
      <c r="AQ531" s="199">
        <v>16.71</v>
      </c>
      <c r="AR531" s="199">
        <v>0</v>
      </c>
      <c r="AS531" s="196" t="str">
        <f t="shared" si="9"/>
        <v>1.00000000</v>
      </c>
      <c r="AT531" s="196" t="str">
        <f>"53.1"</f>
        <v>53.1</v>
      </c>
      <c r="AU531" s="199">
        <v>0</v>
      </c>
    </row>
    <row r="532" spans="1:47" s="196" customFormat="1" x14ac:dyDescent="0.2">
      <c r="A532" s="196" t="str">
        <f t="shared" si="10"/>
        <v>0496002595700</v>
      </c>
      <c r="B532" s="196">
        <v>6</v>
      </c>
      <c r="C532" s="196" t="s">
        <v>156</v>
      </c>
      <c r="D532" s="196" t="s">
        <v>344</v>
      </c>
      <c r="E532" s="196" t="s">
        <v>345</v>
      </c>
      <c r="F532" s="196" t="s">
        <v>243</v>
      </c>
      <c r="G532" s="196">
        <v>2262</v>
      </c>
      <c r="H532" s="196" t="s">
        <v>270</v>
      </c>
      <c r="I532" s="196">
        <v>65036</v>
      </c>
      <c r="J532" s="197">
        <v>42852</v>
      </c>
      <c r="K532" s="198">
        <v>0.50486111111111109</v>
      </c>
      <c r="L532" s="197">
        <v>42856</v>
      </c>
      <c r="M532" s="196" t="s">
        <v>271</v>
      </c>
      <c r="N532" s="196" t="s">
        <v>272</v>
      </c>
      <c r="O532" s="196" t="s">
        <v>273</v>
      </c>
      <c r="P532" s="196" t="s">
        <v>274</v>
      </c>
      <c r="Q532" s="196" t="s">
        <v>275</v>
      </c>
      <c r="R532" s="196" t="s">
        <v>276</v>
      </c>
      <c r="S532" s="196" t="s">
        <v>156</v>
      </c>
      <c r="T532" s="196" t="s">
        <v>277</v>
      </c>
      <c r="U532" s="196">
        <v>2262</v>
      </c>
      <c r="V532" s="196" t="s">
        <v>156</v>
      </c>
      <c r="W532" s="196" t="s">
        <v>335</v>
      </c>
      <c r="X532" s="196">
        <v>5.9480000000000004</v>
      </c>
      <c r="Y532" s="199">
        <v>-0.12</v>
      </c>
      <c r="Z532" s="199">
        <v>2.58</v>
      </c>
      <c r="AA532" s="199">
        <v>15.34</v>
      </c>
      <c r="AB532" s="199">
        <v>-1.0900000000000001</v>
      </c>
      <c r="AC532" s="199">
        <v>0</v>
      </c>
      <c r="AD532" s="199">
        <v>0</v>
      </c>
      <c r="AE532" s="199">
        <v>14.13</v>
      </c>
      <c r="AF532" s="199">
        <v>-1.43</v>
      </c>
      <c r="AG532" s="196" t="s">
        <v>279</v>
      </c>
      <c r="AH532" s="199">
        <v>0</v>
      </c>
      <c r="AI532" s="196" t="s">
        <v>279</v>
      </c>
      <c r="AJ532" s="199">
        <v>0</v>
      </c>
      <c r="AK532" s="196" t="s">
        <v>279</v>
      </c>
      <c r="AL532" s="199">
        <v>0</v>
      </c>
      <c r="AM532" s="196" t="s">
        <v>279</v>
      </c>
      <c r="AN532" s="199">
        <v>0</v>
      </c>
      <c r="AO532" s="196" t="s">
        <v>279</v>
      </c>
      <c r="AP532" s="199">
        <v>0</v>
      </c>
      <c r="AQ532" s="199">
        <v>15.34</v>
      </c>
      <c r="AR532" s="199">
        <v>0</v>
      </c>
      <c r="AS532" s="196" t="str">
        <f t="shared" si="9"/>
        <v>1.00000000</v>
      </c>
      <c r="AT532" s="196" t="str">
        <f>"53.0"</f>
        <v>53.0</v>
      </c>
      <c r="AU532" s="199">
        <v>0</v>
      </c>
    </row>
    <row r="533" spans="1:47" s="196" customFormat="1" x14ac:dyDescent="0.2">
      <c r="A533" s="196" t="str">
        <f t="shared" si="10"/>
        <v>0496002595700</v>
      </c>
      <c r="B533" s="196">
        <v>6</v>
      </c>
      <c r="C533" s="196" t="s">
        <v>156</v>
      </c>
      <c r="D533" s="196" t="s">
        <v>344</v>
      </c>
      <c r="E533" s="196" t="s">
        <v>345</v>
      </c>
      <c r="F533" s="196" t="s">
        <v>243</v>
      </c>
      <c r="G533" s="196">
        <v>2262</v>
      </c>
      <c r="H533" s="196" t="s">
        <v>270</v>
      </c>
      <c r="I533" s="196">
        <v>65357</v>
      </c>
      <c r="J533" s="197">
        <v>42863</v>
      </c>
      <c r="K533" s="198">
        <v>0.45277777777777778</v>
      </c>
      <c r="L533" s="197">
        <v>42865</v>
      </c>
      <c r="M533" s="196" t="s">
        <v>271</v>
      </c>
      <c r="N533" s="196" t="s">
        <v>352</v>
      </c>
      <c r="O533" s="196" t="s">
        <v>353</v>
      </c>
      <c r="P533" s="196" t="s">
        <v>343</v>
      </c>
      <c r="Q533" s="196" t="s">
        <v>275</v>
      </c>
      <c r="R533" s="196">
        <v>1035</v>
      </c>
      <c r="S533" s="196" t="s">
        <v>156</v>
      </c>
      <c r="T533" s="196" t="s">
        <v>277</v>
      </c>
      <c r="U533" s="196">
        <v>2262</v>
      </c>
      <c r="V533" s="196" t="s">
        <v>156</v>
      </c>
      <c r="W533" s="196" t="s">
        <v>280</v>
      </c>
      <c r="X533" s="196">
        <v>6.3819999999999997</v>
      </c>
      <c r="Y533" s="199">
        <v>-0.13</v>
      </c>
      <c r="Z533" s="199">
        <v>2.35</v>
      </c>
      <c r="AA533" s="199">
        <v>15</v>
      </c>
      <c r="AB533" s="199">
        <v>-1.17</v>
      </c>
      <c r="AC533" s="199">
        <v>0</v>
      </c>
      <c r="AD533" s="199">
        <v>0</v>
      </c>
      <c r="AE533" s="199">
        <v>13.7</v>
      </c>
      <c r="AF533" s="199">
        <v>-1.53</v>
      </c>
      <c r="AG533" s="196" t="s">
        <v>279</v>
      </c>
      <c r="AH533" s="199">
        <v>0</v>
      </c>
      <c r="AI533" s="196" t="s">
        <v>279</v>
      </c>
      <c r="AJ533" s="199">
        <v>0</v>
      </c>
      <c r="AK533" s="196" t="s">
        <v>279</v>
      </c>
      <c r="AL533" s="199">
        <v>0</v>
      </c>
      <c r="AM533" s="196" t="s">
        <v>279</v>
      </c>
      <c r="AN533" s="199">
        <v>0</v>
      </c>
      <c r="AO533" s="196" t="s">
        <v>279</v>
      </c>
      <c r="AP533" s="199">
        <v>0</v>
      </c>
      <c r="AQ533" s="199">
        <v>15</v>
      </c>
      <c r="AR533" s="199">
        <v>0</v>
      </c>
      <c r="AS533" s="196" t="str">
        <f t="shared" si="9"/>
        <v>1.00000000</v>
      </c>
      <c r="AT533" s="196" t="str">
        <f>"50.3"</f>
        <v>50.3</v>
      </c>
      <c r="AU533" s="199">
        <v>0</v>
      </c>
    </row>
    <row r="534" spans="1:47" s="196" customFormat="1" x14ac:dyDescent="0.2">
      <c r="A534" s="196" t="str">
        <f t="shared" si="10"/>
        <v>0496002595700</v>
      </c>
      <c r="B534" s="196">
        <v>6</v>
      </c>
      <c r="C534" s="196" t="s">
        <v>156</v>
      </c>
      <c r="D534" s="196" t="s">
        <v>344</v>
      </c>
      <c r="E534" s="196" t="s">
        <v>345</v>
      </c>
      <c r="F534" s="196" t="s">
        <v>243</v>
      </c>
      <c r="G534" s="196">
        <v>2262</v>
      </c>
      <c r="H534" s="196" t="s">
        <v>270</v>
      </c>
      <c r="I534" s="196">
        <v>65680</v>
      </c>
      <c r="J534" s="197">
        <v>42864</v>
      </c>
      <c r="K534" s="198">
        <v>0.79166666666666663</v>
      </c>
      <c r="L534" s="197">
        <v>42866</v>
      </c>
      <c r="M534" s="196" t="s">
        <v>285</v>
      </c>
      <c r="N534" s="196" t="s">
        <v>362</v>
      </c>
      <c r="O534" s="196" t="s">
        <v>363</v>
      </c>
      <c r="P534" s="196" t="s">
        <v>364</v>
      </c>
      <c r="Q534" s="196" t="s">
        <v>275</v>
      </c>
      <c r="R534" s="196" t="s">
        <v>365</v>
      </c>
      <c r="S534" s="196" t="s">
        <v>156</v>
      </c>
      <c r="T534" s="196" t="s">
        <v>277</v>
      </c>
      <c r="U534" s="196">
        <v>2262</v>
      </c>
      <c r="V534" s="196" t="s">
        <v>156</v>
      </c>
      <c r="W534" s="196" t="s">
        <v>278</v>
      </c>
      <c r="X534" s="196">
        <v>15.442</v>
      </c>
      <c r="Y534" s="199">
        <v>0</v>
      </c>
      <c r="Z534" s="199">
        <v>2.68</v>
      </c>
      <c r="AA534" s="199">
        <v>41.37</v>
      </c>
      <c r="AB534" s="199">
        <v>-2.83</v>
      </c>
      <c r="AC534" s="199">
        <v>0</v>
      </c>
      <c r="AD534" s="199">
        <v>0</v>
      </c>
      <c r="AE534" s="199">
        <v>38.54</v>
      </c>
      <c r="AF534" s="199">
        <v>-3.71</v>
      </c>
      <c r="AG534" s="196" t="s">
        <v>279</v>
      </c>
      <c r="AH534" s="199">
        <v>0</v>
      </c>
      <c r="AI534" s="196" t="s">
        <v>279</v>
      </c>
      <c r="AJ534" s="199">
        <v>0</v>
      </c>
      <c r="AK534" s="196" t="s">
        <v>279</v>
      </c>
      <c r="AL534" s="199">
        <v>0</v>
      </c>
      <c r="AM534" s="196" t="s">
        <v>279</v>
      </c>
      <c r="AN534" s="199">
        <v>0</v>
      </c>
      <c r="AO534" s="196" t="s">
        <v>279</v>
      </c>
      <c r="AP534" s="199">
        <v>0</v>
      </c>
      <c r="AQ534" s="199">
        <v>41.37</v>
      </c>
      <c r="AR534" s="199">
        <v>0</v>
      </c>
      <c r="AS534" s="196" t="str">
        <f t="shared" si="9"/>
        <v>1.00000000</v>
      </c>
      <c r="AT534" s="196" t="str">
        <f t="shared" ref="AT534:AT539" si="11">"53.0"</f>
        <v>53.0</v>
      </c>
      <c r="AU534" s="199">
        <v>0</v>
      </c>
    </row>
    <row r="535" spans="1:47" s="196" customFormat="1" x14ac:dyDescent="0.2">
      <c r="A535" s="196" t="str">
        <f t="shared" si="10"/>
        <v>0496002595700</v>
      </c>
      <c r="B535" s="196">
        <v>6</v>
      </c>
      <c r="C535" s="196" t="s">
        <v>156</v>
      </c>
      <c r="D535" s="196" t="s">
        <v>344</v>
      </c>
      <c r="E535" s="196" t="s">
        <v>345</v>
      </c>
      <c r="F535" s="196" t="s">
        <v>243</v>
      </c>
      <c r="G535" s="196">
        <v>2262</v>
      </c>
      <c r="H535" s="196" t="s">
        <v>270</v>
      </c>
      <c r="I535" s="196">
        <v>440</v>
      </c>
      <c r="J535" s="197">
        <v>42867</v>
      </c>
      <c r="K535" s="198">
        <v>0.51527777777777783</v>
      </c>
      <c r="L535" s="197">
        <v>42871</v>
      </c>
      <c r="M535" s="196" t="s">
        <v>271</v>
      </c>
      <c r="N535" s="196" t="s">
        <v>272</v>
      </c>
      <c r="O535" s="196" t="s">
        <v>273</v>
      </c>
      <c r="P535" s="196" t="s">
        <v>274</v>
      </c>
      <c r="Q535" s="196" t="s">
        <v>275</v>
      </c>
      <c r="R535" s="196" t="s">
        <v>276</v>
      </c>
      <c r="S535" s="196" t="s">
        <v>156</v>
      </c>
      <c r="T535" s="196" t="s">
        <v>277</v>
      </c>
      <c r="U535" s="196">
        <v>2262</v>
      </c>
      <c r="V535" s="196" t="s">
        <v>156</v>
      </c>
      <c r="W535" s="196" t="s">
        <v>278</v>
      </c>
      <c r="X535" s="196">
        <v>19.027999999999999</v>
      </c>
      <c r="Y535" s="199">
        <v>-0.38</v>
      </c>
      <c r="Z535" s="199">
        <v>2.75</v>
      </c>
      <c r="AA535" s="199">
        <v>52.31</v>
      </c>
      <c r="AB535" s="199">
        <v>-3.48</v>
      </c>
      <c r="AC535" s="199">
        <v>0</v>
      </c>
      <c r="AD535" s="199">
        <v>0</v>
      </c>
      <c r="AE535" s="199">
        <v>48.45</v>
      </c>
      <c r="AF535" s="199">
        <v>-4.57</v>
      </c>
      <c r="AG535" s="196" t="s">
        <v>279</v>
      </c>
      <c r="AH535" s="199">
        <v>0</v>
      </c>
      <c r="AI535" s="196" t="s">
        <v>279</v>
      </c>
      <c r="AJ535" s="199">
        <v>0</v>
      </c>
      <c r="AK535" s="196" t="s">
        <v>279</v>
      </c>
      <c r="AL535" s="199">
        <v>0</v>
      </c>
      <c r="AM535" s="196" t="s">
        <v>279</v>
      </c>
      <c r="AN535" s="199">
        <v>0</v>
      </c>
      <c r="AO535" s="196" t="s">
        <v>279</v>
      </c>
      <c r="AP535" s="199">
        <v>0</v>
      </c>
      <c r="AQ535" s="199">
        <v>52.31</v>
      </c>
      <c r="AR535" s="199">
        <v>0</v>
      </c>
      <c r="AS535" s="196" t="str">
        <f t="shared" si="9"/>
        <v>1.00000000</v>
      </c>
      <c r="AT535" s="196" t="str">
        <f t="shared" si="11"/>
        <v>53.0</v>
      </c>
      <c r="AU535" s="199">
        <v>0</v>
      </c>
    </row>
    <row r="536" spans="1:47" s="196" customFormat="1" x14ac:dyDescent="0.2">
      <c r="A536" s="196" t="str">
        <f t="shared" si="10"/>
        <v>0496002595700</v>
      </c>
      <c r="B536" s="196">
        <v>6</v>
      </c>
      <c r="C536" s="196" t="s">
        <v>156</v>
      </c>
      <c r="D536" s="196" t="s">
        <v>344</v>
      </c>
      <c r="E536" s="196" t="s">
        <v>345</v>
      </c>
      <c r="F536" s="196" t="s">
        <v>243</v>
      </c>
      <c r="G536" s="196">
        <v>2262</v>
      </c>
      <c r="H536" s="196" t="s">
        <v>270</v>
      </c>
      <c r="I536" s="196">
        <v>844</v>
      </c>
      <c r="J536" s="197">
        <v>42892</v>
      </c>
      <c r="K536" s="198">
        <v>0.66666666666666663</v>
      </c>
      <c r="L536" s="197">
        <v>42894</v>
      </c>
      <c r="M536" s="196" t="s">
        <v>271</v>
      </c>
      <c r="N536" s="196" t="s">
        <v>272</v>
      </c>
      <c r="O536" s="196" t="s">
        <v>273</v>
      </c>
      <c r="P536" s="196" t="s">
        <v>274</v>
      </c>
      <c r="Q536" s="196" t="s">
        <v>275</v>
      </c>
      <c r="R536" s="196" t="s">
        <v>276</v>
      </c>
      <c r="S536" s="196" t="s">
        <v>156</v>
      </c>
      <c r="T536" s="196" t="s">
        <v>277</v>
      </c>
      <c r="U536" s="196">
        <v>2262</v>
      </c>
      <c r="V536" s="196" t="s">
        <v>156</v>
      </c>
      <c r="W536" s="196" t="s">
        <v>278</v>
      </c>
      <c r="X536" s="196">
        <v>19.09</v>
      </c>
      <c r="Y536" s="199">
        <v>-0.38</v>
      </c>
      <c r="Z536" s="199">
        <v>2.75</v>
      </c>
      <c r="AA536" s="199">
        <v>52.48</v>
      </c>
      <c r="AB536" s="199">
        <v>-3.49</v>
      </c>
      <c r="AC536" s="199">
        <v>0</v>
      </c>
      <c r="AD536" s="199">
        <v>0</v>
      </c>
      <c r="AE536" s="199">
        <v>48.61</v>
      </c>
      <c r="AF536" s="199">
        <v>-4.58</v>
      </c>
      <c r="AG536" s="196" t="s">
        <v>279</v>
      </c>
      <c r="AH536" s="199">
        <v>0</v>
      </c>
      <c r="AI536" s="196" t="s">
        <v>279</v>
      </c>
      <c r="AJ536" s="199">
        <v>0</v>
      </c>
      <c r="AK536" s="196" t="s">
        <v>279</v>
      </c>
      <c r="AL536" s="199">
        <v>0</v>
      </c>
      <c r="AM536" s="196" t="s">
        <v>279</v>
      </c>
      <c r="AN536" s="199">
        <v>0</v>
      </c>
      <c r="AO536" s="196" t="s">
        <v>279</v>
      </c>
      <c r="AP536" s="199">
        <v>0</v>
      </c>
      <c r="AQ536" s="199">
        <v>52.48</v>
      </c>
      <c r="AR536" s="199">
        <v>0</v>
      </c>
      <c r="AS536" s="196" t="str">
        <f t="shared" si="9"/>
        <v>1.00000000</v>
      </c>
      <c r="AT536" s="196" t="str">
        <f t="shared" si="11"/>
        <v>53.0</v>
      </c>
      <c r="AU536" s="199">
        <v>0</v>
      </c>
    </row>
    <row r="537" spans="1:47" s="196" customFormat="1" x14ac:dyDescent="0.2">
      <c r="A537" s="196" t="str">
        <f t="shared" si="10"/>
        <v>0496002595700</v>
      </c>
      <c r="B537" s="196">
        <v>6</v>
      </c>
      <c r="C537" s="196" t="s">
        <v>156</v>
      </c>
      <c r="D537" s="196" t="s">
        <v>344</v>
      </c>
      <c r="E537" s="196" t="s">
        <v>345</v>
      </c>
      <c r="F537" s="196" t="s">
        <v>243</v>
      </c>
      <c r="G537" s="196">
        <v>2262</v>
      </c>
      <c r="H537" s="196" t="s">
        <v>270</v>
      </c>
      <c r="I537" s="196">
        <v>1241</v>
      </c>
      <c r="J537" s="197">
        <v>42900</v>
      </c>
      <c r="K537" s="198">
        <v>0.50138888888888888</v>
      </c>
      <c r="L537" s="197">
        <v>42902</v>
      </c>
      <c r="M537" s="196" t="s">
        <v>366</v>
      </c>
      <c r="N537" s="196" t="s">
        <v>367</v>
      </c>
      <c r="O537" s="196" t="s">
        <v>368</v>
      </c>
      <c r="P537" s="196" t="s">
        <v>369</v>
      </c>
      <c r="Q537" s="196" t="s">
        <v>275</v>
      </c>
      <c r="R537" s="196" t="s">
        <v>370</v>
      </c>
      <c r="S537" s="196" t="s">
        <v>156</v>
      </c>
      <c r="T537" s="196" t="s">
        <v>277</v>
      </c>
      <c r="U537" s="196">
        <v>2262</v>
      </c>
      <c r="V537" s="196" t="s">
        <v>156</v>
      </c>
      <c r="W537" s="196" t="s">
        <v>280</v>
      </c>
      <c r="X537" s="196">
        <v>14.898999999999999</v>
      </c>
      <c r="Y537" s="199">
        <v>0</v>
      </c>
      <c r="Z537" s="199">
        <v>2.31</v>
      </c>
      <c r="AA537" s="199">
        <v>34.549999999999997</v>
      </c>
      <c r="AB537" s="199">
        <v>-2.73</v>
      </c>
      <c r="AC537" s="199">
        <v>0</v>
      </c>
      <c r="AD537" s="199">
        <v>0</v>
      </c>
      <c r="AE537" s="199">
        <v>31.82</v>
      </c>
      <c r="AF537" s="199">
        <v>-3.58</v>
      </c>
      <c r="AG537" s="196" t="s">
        <v>279</v>
      </c>
      <c r="AH537" s="199">
        <v>0</v>
      </c>
      <c r="AI537" s="196" t="s">
        <v>279</v>
      </c>
      <c r="AJ537" s="199">
        <v>0</v>
      </c>
      <c r="AK537" s="196" t="s">
        <v>279</v>
      </c>
      <c r="AL537" s="199">
        <v>0</v>
      </c>
      <c r="AM537" s="196" t="s">
        <v>279</v>
      </c>
      <c r="AN537" s="199">
        <v>0</v>
      </c>
      <c r="AO537" s="196" t="s">
        <v>279</v>
      </c>
      <c r="AP537" s="199">
        <v>0</v>
      </c>
      <c r="AQ537" s="199">
        <v>34.549999999999997</v>
      </c>
      <c r="AR537" s="199">
        <v>0</v>
      </c>
      <c r="AS537" s="196" t="str">
        <f t="shared" si="9"/>
        <v>1.00000000</v>
      </c>
      <c r="AT537" s="196" t="str">
        <f t="shared" si="11"/>
        <v>53.0</v>
      </c>
      <c r="AU537" s="199">
        <v>0</v>
      </c>
    </row>
    <row r="538" spans="1:47" s="196" customFormat="1" x14ac:dyDescent="0.2">
      <c r="A538" s="196" t="str">
        <f t="shared" si="10"/>
        <v>0496002595700</v>
      </c>
      <c r="B538" s="196">
        <v>6</v>
      </c>
      <c r="C538" s="196" t="s">
        <v>156</v>
      </c>
      <c r="D538" s="196" t="s">
        <v>344</v>
      </c>
      <c r="E538" s="196" t="s">
        <v>345</v>
      </c>
      <c r="F538" s="196" t="s">
        <v>243</v>
      </c>
      <c r="G538" s="196">
        <v>2262</v>
      </c>
      <c r="H538" s="196" t="s">
        <v>270</v>
      </c>
      <c r="I538" s="196">
        <v>1364</v>
      </c>
      <c r="J538" s="197">
        <v>42902</v>
      </c>
      <c r="K538" s="198">
        <v>0.51597222222222217</v>
      </c>
      <c r="L538" s="197">
        <v>42906</v>
      </c>
      <c r="M538" s="196" t="s">
        <v>271</v>
      </c>
      <c r="N538" s="196" t="s">
        <v>272</v>
      </c>
      <c r="O538" s="196" t="s">
        <v>273</v>
      </c>
      <c r="P538" s="196" t="s">
        <v>274</v>
      </c>
      <c r="Q538" s="196" t="s">
        <v>275</v>
      </c>
      <c r="R538" s="196" t="s">
        <v>276</v>
      </c>
      <c r="S538" s="196" t="s">
        <v>156</v>
      </c>
      <c r="T538" s="196" t="s">
        <v>277</v>
      </c>
      <c r="U538" s="196">
        <v>2262</v>
      </c>
      <c r="V538" s="196" t="s">
        <v>156</v>
      </c>
      <c r="W538" s="196" t="s">
        <v>278</v>
      </c>
      <c r="X538" s="196">
        <v>9.5640000000000001</v>
      </c>
      <c r="Y538" s="199">
        <v>-0.19</v>
      </c>
      <c r="Z538" s="199">
        <v>2.71</v>
      </c>
      <c r="AA538" s="199">
        <v>25.91</v>
      </c>
      <c r="AB538" s="199">
        <v>-1.75</v>
      </c>
      <c r="AC538" s="199">
        <v>0</v>
      </c>
      <c r="AD538" s="199">
        <v>0</v>
      </c>
      <c r="AE538" s="199">
        <v>23.97</v>
      </c>
      <c r="AF538" s="199">
        <v>-2.2999999999999998</v>
      </c>
      <c r="AG538" s="196" t="s">
        <v>279</v>
      </c>
      <c r="AH538" s="199">
        <v>0</v>
      </c>
      <c r="AI538" s="196" t="s">
        <v>279</v>
      </c>
      <c r="AJ538" s="199">
        <v>0</v>
      </c>
      <c r="AK538" s="196" t="s">
        <v>279</v>
      </c>
      <c r="AL538" s="199">
        <v>0</v>
      </c>
      <c r="AM538" s="196" t="s">
        <v>279</v>
      </c>
      <c r="AN538" s="199">
        <v>0</v>
      </c>
      <c r="AO538" s="196" t="s">
        <v>279</v>
      </c>
      <c r="AP538" s="199">
        <v>0</v>
      </c>
      <c r="AQ538" s="199">
        <v>25.91</v>
      </c>
      <c r="AR538" s="199">
        <v>0</v>
      </c>
      <c r="AS538" s="196" t="str">
        <f t="shared" si="9"/>
        <v>1.00000000</v>
      </c>
      <c r="AT538" s="196" t="str">
        <f t="shared" si="11"/>
        <v>53.0</v>
      </c>
      <c r="AU538" s="199">
        <v>0</v>
      </c>
    </row>
    <row r="539" spans="1:47" s="196" customFormat="1" x14ac:dyDescent="0.2">
      <c r="A539" s="196" t="str">
        <f t="shared" si="10"/>
        <v>0496002595700</v>
      </c>
      <c r="B539" s="196">
        <v>6</v>
      </c>
      <c r="C539" s="196" t="s">
        <v>156</v>
      </c>
      <c r="D539" s="196" t="s">
        <v>344</v>
      </c>
      <c r="E539" s="196" t="s">
        <v>345</v>
      </c>
      <c r="F539" s="196" t="s">
        <v>243</v>
      </c>
      <c r="G539" s="196">
        <v>2262</v>
      </c>
      <c r="H539" s="196" t="s">
        <v>270</v>
      </c>
      <c r="I539" s="196">
        <v>1560</v>
      </c>
      <c r="J539" s="197">
        <v>42909</v>
      </c>
      <c r="K539" s="198">
        <v>0.61111111111111105</v>
      </c>
      <c r="L539" s="197">
        <v>42913</v>
      </c>
      <c r="M539" s="196" t="s">
        <v>271</v>
      </c>
      <c r="N539" s="196" t="s">
        <v>272</v>
      </c>
      <c r="O539" s="196" t="s">
        <v>273</v>
      </c>
      <c r="P539" s="196" t="s">
        <v>274</v>
      </c>
      <c r="Q539" s="196" t="s">
        <v>275</v>
      </c>
      <c r="R539" s="196" t="s">
        <v>276</v>
      </c>
      <c r="S539" s="196" t="s">
        <v>156</v>
      </c>
      <c r="T539" s="196" t="s">
        <v>277</v>
      </c>
      <c r="U539" s="196">
        <v>2262</v>
      </c>
      <c r="V539" s="196" t="s">
        <v>156</v>
      </c>
      <c r="W539" s="196" t="s">
        <v>278</v>
      </c>
      <c r="X539" s="196">
        <v>8.9990000000000006</v>
      </c>
      <c r="Y539" s="199">
        <v>-0.18</v>
      </c>
      <c r="Z539" s="199">
        <v>2.78</v>
      </c>
      <c r="AA539" s="199">
        <v>25.01</v>
      </c>
      <c r="AB539" s="199">
        <v>-1.65</v>
      </c>
      <c r="AC539" s="199">
        <v>0</v>
      </c>
      <c r="AD539" s="199">
        <v>0</v>
      </c>
      <c r="AE539" s="199">
        <v>23.18</v>
      </c>
      <c r="AF539" s="199">
        <v>-2.16</v>
      </c>
      <c r="AG539" s="196" t="s">
        <v>279</v>
      </c>
      <c r="AH539" s="199">
        <v>0</v>
      </c>
      <c r="AI539" s="196" t="s">
        <v>279</v>
      </c>
      <c r="AJ539" s="199">
        <v>0</v>
      </c>
      <c r="AK539" s="196" t="s">
        <v>279</v>
      </c>
      <c r="AL539" s="199">
        <v>0</v>
      </c>
      <c r="AM539" s="196" t="s">
        <v>279</v>
      </c>
      <c r="AN539" s="199">
        <v>0</v>
      </c>
      <c r="AO539" s="196" t="s">
        <v>279</v>
      </c>
      <c r="AP539" s="199">
        <v>0</v>
      </c>
      <c r="AQ539" s="199">
        <v>25.01</v>
      </c>
      <c r="AR539" s="199">
        <v>0</v>
      </c>
      <c r="AS539" s="196" t="str">
        <f t="shared" si="9"/>
        <v>1.00000000</v>
      </c>
      <c r="AT539" s="196" t="str">
        <f t="shared" si="11"/>
        <v>53.0</v>
      </c>
      <c r="AU539" s="199">
        <v>0</v>
      </c>
    </row>
    <row r="540" spans="1:47" s="196" customFormat="1" x14ac:dyDescent="0.2">
      <c r="A540" s="196" t="str">
        <f t="shared" si="10"/>
        <v>0496002595700</v>
      </c>
      <c r="B540" s="196">
        <v>7</v>
      </c>
      <c r="C540" s="196" t="s">
        <v>156</v>
      </c>
      <c r="D540" s="196" t="s">
        <v>371</v>
      </c>
      <c r="E540" s="196">
        <v>45</v>
      </c>
      <c r="F540" s="196" t="s">
        <v>243</v>
      </c>
      <c r="G540" s="196">
        <v>2262</v>
      </c>
      <c r="H540" s="196" t="s">
        <v>270</v>
      </c>
      <c r="I540" s="196">
        <v>23697</v>
      </c>
      <c r="J540" s="197">
        <v>42745</v>
      </c>
      <c r="K540" s="198">
        <v>0.20694444444444446</v>
      </c>
      <c r="L540" s="197">
        <v>42747</v>
      </c>
      <c r="M540" s="196" t="s">
        <v>325</v>
      </c>
      <c r="N540" s="196" t="s">
        <v>326</v>
      </c>
      <c r="O540" s="196" t="s">
        <v>372</v>
      </c>
      <c r="P540" s="196" t="s">
        <v>373</v>
      </c>
      <c r="Q540" s="196" t="s">
        <v>275</v>
      </c>
      <c r="R540" s="196">
        <v>2124</v>
      </c>
      <c r="S540" s="196" t="s">
        <v>156</v>
      </c>
      <c r="T540" s="196" t="s">
        <v>277</v>
      </c>
      <c r="U540" s="196">
        <v>2262</v>
      </c>
      <c r="V540" s="196" t="s">
        <v>156</v>
      </c>
      <c r="W540" s="196" t="s">
        <v>330</v>
      </c>
      <c r="X540" s="196">
        <v>12.712999999999999</v>
      </c>
      <c r="Y540" s="199">
        <v>0</v>
      </c>
      <c r="Z540" s="199">
        <v>2.4</v>
      </c>
      <c r="AA540" s="199">
        <v>30.5</v>
      </c>
      <c r="AB540" s="199">
        <v>-2.33</v>
      </c>
      <c r="AC540" s="199">
        <v>0</v>
      </c>
      <c r="AD540" s="199">
        <v>0</v>
      </c>
      <c r="AE540" s="199">
        <v>28.17</v>
      </c>
      <c r="AF540" s="199">
        <v>-3.05</v>
      </c>
      <c r="AG540" s="196" t="s">
        <v>279</v>
      </c>
      <c r="AH540" s="199">
        <v>0</v>
      </c>
      <c r="AI540" s="196" t="s">
        <v>279</v>
      </c>
      <c r="AJ540" s="199">
        <v>0</v>
      </c>
      <c r="AK540" s="196" t="s">
        <v>279</v>
      </c>
      <c r="AL540" s="199">
        <v>0</v>
      </c>
      <c r="AM540" s="196" t="s">
        <v>279</v>
      </c>
      <c r="AN540" s="199">
        <v>0</v>
      </c>
      <c r="AO540" s="196" t="s">
        <v>279</v>
      </c>
      <c r="AP540" s="199">
        <v>0</v>
      </c>
      <c r="AQ540" s="199">
        <v>30.5</v>
      </c>
      <c r="AR540" s="199">
        <v>0</v>
      </c>
      <c r="AS540" s="196" t="str">
        <f t="shared" si="9"/>
        <v>1.00000000</v>
      </c>
      <c r="AT540" s="196" t="str">
        <f>"24.8"</f>
        <v>24.8</v>
      </c>
      <c r="AU540" s="199">
        <v>0</v>
      </c>
    </row>
    <row r="541" spans="1:47" s="196" customFormat="1" x14ac:dyDescent="0.2">
      <c r="A541" s="196" t="str">
        <f t="shared" si="10"/>
        <v>0496002595700</v>
      </c>
      <c r="B541" s="196">
        <v>7</v>
      </c>
      <c r="C541" s="196" t="s">
        <v>156</v>
      </c>
      <c r="D541" s="196" t="s">
        <v>371</v>
      </c>
      <c r="E541" s="196">
        <v>45</v>
      </c>
      <c r="F541" s="196" t="s">
        <v>243</v>
      </c>
      <c r="G541" s="196">
        <v>2262</v>
      </c>
      <c r="H541" s="196" t="s">
        <v>270</v>
      </c>
      <c r="I541" s="196">
        <v>23862</v>
      </c>
      <c r="J541" s="197">
        <v>42749</v>
      </c>
      <c r="K541" s="198">
        <v>0.75714120370370364</v>
      </c>
      <c r="L541" s="197">
        <v>42752</v>
      </c>
      <c r="M541" s="196" t="s">
        <v>310</v>
      </c>
      <c r="N541" s="196" t="s">
        <v>331</v>
      </c>
      <c r="O541" s="196" t="s">
        <v>332</v>
      </c>
      <c r="P541" s="196" t="s">
        <v>274</v>
      </c>
      <c r="Q541" s="196" t="s">
        <v>275</v>
      </c>
      <c r="R541" s="196">
        <v>1002</v>
      </c>
      <c r="S541" s="196" t="s">
        <v>156</v>
      </c>
      <c r="T541" s="196" t="s">
        <v>277</v>
      </c>
      <c r="U541" s="196">
        <v>2262</v>
      </c>
      <c r="V541" s="196" t="s">
        <v>156</v>
      </c>
      <c r="W541" s="196" t="s">
        <v>280</v>
      </c>
      <c r="X541" s="196">
        <v>9.5380000000000003</v>
      </c>
      <c r="Y541" s="199">
        <v>0</v>
      </c>
      <c r="Z541" s="199">
        <v>2.36</v>
      </c>
      <c r="AA541" s="199">
        <v>22.5</v>
      </c>
      <c r="AB541" s="199">
        <v>-1.75</v>
      </c>
      <c r="AC541" s="199">
        <v>0</v>
      </c>
      <c r="AD541" s="199">
        <v>0</v>
      </c>
      <c r="AE541" s="199">
        <v>20.75</v>
      </c>
      <c r="AF541" s="199">
        <v>-2.29</v>
      </c>
      <c r="AG541" s="196" t="s">
        <v>279</v>
      </c>
      <c r="AH541" s="199">
        <v>0</v>
      </c>
      <c r="AI541" s="196" t="s">
        <v>279</v>
      </c>
      <c r="AJ541" s="199">
        <v>0</v>
      </c>
      <c r="AK541" s="196" t="s">
        <v>279</v>
      </c>
      <c r="AL541" s="199">
        <v>0</v>
      </c>
      <c r="AM541" s="196" t="s">
        <v>279</v>
      </c>
      <c r="AN541" s="199">
        <v>0</v>
      </c>
      <c r="AO541" s="196" t="s">
        <v>279</v>
      </c>
      <c r="AP541" s="199">
        <v>0</v>
      </c>
      <c r="AQ541" s="199">
        <v>22.5</v>
      </c>
      <c r="AR541" s="199">
        <v>0</v>
      </c>
      <c r="AS541" s="196" t="str">
        <f t="shared" si="9"/>
        <v>1.00000000</v>
      </c>
      <c r="AT541" s="196" t="str">
        <f>"17.3"</f>
        <v>17.3</v>
      </c>
      <c r="AU541" s="199">
        <v>0</v>
      </c>
    </row>
    <row r="542" spans="1:47" s="196" customFormat="1" x14ac:dyDescent="0.2">
      <c r="A542" s="196" t="str">
        <f t="shared" si="10"/>
        <v>0496002595700</v>
      </c>
      <c r="B542" s="196">
        <v>7</v>
      </c>
      <c r="C542" s="196" t="s">
        <v>156</v>
      </c>
      <c r="D542" s="196" t="s">
        <v>371</v>
      </c>
      <c r="E542" s="196">
        <v>45</v>
      </c>
      <c r="F542" s="196" t="s">
        <v>243</v>
      </c>
      <c r="G542" s="196">
        <v>2262</v>
      </c>
      <c r="H542" s="196" t="s">
        <v>270</v>
      </c>
      <c r="I542" s="196">
        <v>22022</v>
      </c>
      <c r="J542" s="197">
        <v>42756</v>
      </c>
      <c r="K542" s="198">
        <v>0.3611111111111111</v>
      </c>
      <c r="L542" s="197">
        <v>42759</v>
      </c>
      <c r="M542" s="196" t="s">
        <v>271</v>
      </c>
      <c r="N542" s="196" t="s">
        <v>272</v>
      </c>
      <c r="O542" s="196" t="s">
        <v>273</v>
      </c>
      <c r="P542" s="196" t="s">
        <v>274</v>
      </c>
      <c r="Q542" s="196" t="s">
        <v>275</v>
      </c>
      <c r="R542" s="196" t="s">
        <v>276</v>
      </c>
      <c r="S542" s="196" t="s">
        <v>156</v>
      </c>
      <c r="T542" s="196" t="s">
        <v>277</v>
      </c>
      <c r="U542" s="196">
        <v>2262</v>
      </c>
      <c r="V542" s="196" t="s">
        <v>156</v>
      </c>
      <c r="W542" s="196" t="s">
        <v>280</v>
      </c>
      <c r="X542" s="196">
        <v>11.368</v>
      </c>
      <c r="Y542" s="199">
        <v>-0.23</v>
      </c>
      <c r="Z542" s="199">
        <v>2.2000000000000002</v>
      </c>
      <c r="AA542" s="199">
        <v>25</v>
      </c>
      <c r="AB542" s="199">
        <v>-2.08</v>
      </c>
      <c r="AC542" s="199">
        <v>0</v>
      </c>
      <c r="AD542" s="199">
        <v>0</v>
      </c>
      <c r="AE542" s="199">
        <v>22.69</v>
      </c>
      <c r="AF542" s="199">
        <v>-2.73</v>
      </c>
      <c r="AG542" s="196" t="s">
        <v>279</v>
      </c>
      <c r="AH542" s="199">
        <v>0</v>
      </c>
      <c r="AI542" s="196" t="s">
        <v>279</v>
      </c>
      <c r="AJ542" s="199">
        <v>0</v>
      </c>
      <c r="AK542" s="196" t="s">
        <v>279</v>
      </c>
      <c r="AL542" s="199">
        <v>0</v>
      </c>
      <c r="AM542" s="196" t="s">
        <v>279</v>
      </c>
      <c r="AN542" s="199">
        <v>0</v>
      </c>
      <c r="AO542" s="196" t="s">
        <v>279</v>
      </c>
      <c r="AP542" s="199">
        <v>0</v>
      </c>
      <c r="AQ542" s="199">
        <v>25</v>
      </c>
      <c r="AR542" s="199">
        <v>0</v>
      </c>
      <c r="AS542" s="196" t="str">
        <f t="shared" si="9"/>
        <v>1.00000000</v>
      </c>
      <c r="AT542" s="196" t="str">
        <f>"24.7"</f>
        <v>24.7</v>
      </c>
      <c r="AU542" s="199">
        <v>0</v>
      </c>
    </row>
    <row r="543" spans="1:47" s="196" customFormat="1" x14ac:dyDescent="0.2">
      <c r="A543" s="196" t="str">
        <f t="shared" si="10"/>
        <v>0496002595700</v>
      </c>
      <c r="B543" s="196">
        <v>7</v>
      </c>
      <c r="C543" s="196" t="s">
        <v>156</v>
      </c>
      <c r="D543" s="196" t="s">
        <v>371</v>
      </c>
      <c r="E543" s="196">
        <v>45</v>
      </c>
      <c r="F543" s="196" t="s">
        <v>243</v>
      </c>
      <c r="G543" s="196">
        <v>2262</v>
      </c>
      <c r="H543" s="196" t="s">
        <v>270</v>
      </c>
      <c r="I543" s="196">
        <v>24458</v>
      </c>
      <c r="J543" s="197">
        <v>42763</v>
      </c>
      <c r="K543" s="198">
        <v>0.44791666666666669</v>
      </c>
      <c r="L543" s="197">
        <v>42766</v>
      </c>
      <c r="M543" s="196" t="s">
        <v>294</v>
      </c>
      <c r="N543" s="196" t="s">
        <v>374</v>
      </c>
      <c r="O543" s="196" t="s">
        <v>375</v>
      </c>
      <c r="P543" s="196" t="s">
        <v>376</v>
      </c>
      <c r="Q543" s="196" t="s">
        <v>377</v>
      </c>
      <c r="R543" s="196" t="s">
        <v>378</v>
      </c>
      <c r="S543" s="196" t="s">
        <v>156</v>
      </c>
      <c r="T543" s="196" t="s">
        <v>277</v>
      </c>
      <c r="U543" s="196">
        <v>2262</v>
      </c>
      <c r="V543" s="196" t="s">
        <v>156</v>
      </c>
      <c r="W543" s="196" t="s">
        <v>280</v>
      </c>
      <c r="X543" s="196">
        <v>15.84</v>
      </c>
      <c r="Y543" s="199">
        <v>0</v>
      </c>
      <c r="Z543" s="199">
        <v>2.4</v>
      </c>
      <c r="AA543" s="199">
        <v>38.01</v>
      </c>
      <c r="AB543" s="199">
        <v>-2.9</v>
      </c>
      <c r="AC543" s="199">
        <v>0</v>
      </c>
      <c r="AD543" s="199">
        <v>0</v>
      </c>
      <c r="AE543" s="199">
        <v>35.11</v>
      </c>
      <c r="AF543" s="199">
        <v>-3.8</v>
      </c>
      <c r="AG543" s="196" t="s">
        <v>279</v>
      </c>
      <c r="AH543" s="199">
        <v>0</v>
      </c>
      <c r="AI543" s="196" t="s">
        <v>279</v>
      </c>
      <c r="AJ543" s="199">
        <v>0</v>
      </c>
      <c r="AK543" s="196" t="s">
        <v>279</v>
      </c>
      <c r="AL543" s="199">
        <v>0</v>
      </c>
      <c r="AM543" s="196" t="s">
        <v>279</v>
      </c>
      <c r="AN543" s="199">
        <v>0</v>
      </c>
      <c r="AO543" s="196" t="s">
        <v>279</v>
      </c>
      <c r="AP543" s="199">
        <v>0</v>
      </c>
      <c r="AQ543" s="199">
        <v>38.01</v>
      </c>
      <c r="AR543" s="199">
        <v>0</v>
      </c>
      <c r="AS543" s="196" t="str">
        <f t="shared" si="9"/>
        <v>1.00000000</v>
      </c>
      <c r="AT543" s="196" t="str">
        <f>"19.9"</f>
        <v>19.9</v>
      </c>
      <c r="AU543" s="199">
        <v>0</v>
      </c>
    </row>
    <row r="544" spans="1:47" s="196" customFormat="1" x14ac:dyDescent="0.2">
      <c r="A544" s="196" t="str">
        <f t="shared" si="10"/>
        <v>0496002595700</v>
      </c>
      <c r="B544" s="196">
        <v>7</v>
      </c>
      <c r="C544" s="196" t="s">
        <v>156</v>
      </c>
      <c r="D544" s="196" t="s">
        <v>371</v>
      </c>
      <c r="E544" s="196">
        <v>45</v>
      </c>
      <c r="F544" s="196" t="s">
        <v>243</v>
      </c>
      <c r="G544" s="196">
        <v>2262</v>
      </c>
      <c r="H544" s="196" t="s">
        <v>270</v>
      </c>
      <c r="I544" s="196">
        <v>24840</v>
      </c>
      <c r="J544" s="197">
        <v>42765</v>
      </c>
      <c r="K544" s="198">
        <v>0.74861111111111101</v>
      </c>
      <c r="L544" s="197">
        <v>42767</v>
      </c>
      <c r="M544" s="196" t="s">
        <v>294</v>
      </c>
      <c r="N544" s="196" t="s">
        <v>379</v>
      </c>
      <c r="O544" s="196" t="s">
        <v>380</v>
      </c>
      <c r="P544" s="196" t="s">
        <v>381</v>
      </c>
      <c r="Q544" s="196" t="s">
        <v>329</v>
      </c>
      <c r="R544" s="196">
        <v>10805</v>
      </c>
      <c r="S544" s="196" t="s">
        <v>156</v>
      </c>
      <c r="T544" s="196" t="s">
        <v>277</v>
      </c>
      <c r="U544" s="196">
        <v>2262</v>
      </c>
      <c r="V544" s="196" t="s">
        <v>156</v>
      </c>
      <c r="W544" s="196" t="s">
        <v>280</v>
      </c>
      <c r="X544" s="196">
        <v>14.24</v>
      </c>
      <c r="Y544" s="199">
        <v>0</v>
      </c>
      <c r="Z544" s="199">
        <v>2.7</v>
      </c>
      <c r="AA544" s="199">
        <v>38.450000000000003</v>
      </c>
      <c r="AB544" s="199">
        <v>-2.61</v>
      </c>
      <c r="AC544" s="199">
        <v>0</v>
      </c>
      <c r="AD544" s="199">
        <v>0</v>
      </c>
      <c r="AE544" s="199">
        <v>35.840000000000003</v>
      </c>
      <c r="AF544" s="199">
        <v>-6.09</v>
      </c>
      <c r="AG544" s="196" t="s">
        <v>279</v>
      </c>
      <c r="AH544" s="199">
        <v>0</v>
      </c>
      <c r="AI544" s="196" t="s">
        <v>279</v>
      </c>
      <c r="AJ544" s="199">
        <v>0</v>
      </c>
      <c r="AK544" s="196" t="s">
        <v>279</v>
      </c>
      <c r="AL544" s="199">
        <v>0</v>
      </c>
      <c r="AM544" s="196" t="s">
        <v>279</v>
      </c>
      <c r="AN544" s="199">
        <v>0</v>
      </c>
      <c r="AO544" s="196" t="s">
        <v>279</v>
      </c>
      <c r="AP544" s="199">
        <v>0</v>
      </c>
      <c r="AQ544" s="199">
        <v>38.450000000000003</v>
      </c>
      <c r="AR544" s="199">
        <v>0</v>
      </c>
      <c r="AS544" s="196" t="str">
        <f t="shared" si="9"/>
        <v>1.00000000</v>
      </c>
      <c r="AT544" s="196" t="str">
        <f>"26.8"</f>
        <v>26.8</v>
      </c>
      <c r="AU544" s="199">
        <v>0</v>
      </c>
    </row>
    <row r="545" spans="1:47" s="196" customFormat="1" x14ac:dyDescent="0.2">
      <c r="A545" s="196" t="str">
        <f t="shared" si="10"/>
        <v>0496002595700</v>
      </c>
      <c r="B545" s="196">
        <v>7</v>
      </c>
      <c r="C545" s="196" t="s">
        <v>156</v>
      </c>
      <c r="D545" s="196" t="s">
        <v>371</v>
      </c>
      <c r="E545" s="196">
        <v>45</v>
      </c>
      <c r="F545" s="196" t="s">
        <v>243</v>
      </c>
      <c r="G545" s="196">
        <v>2262</v>
      </c>
      <c r="H545" s="196" t="s">
        <v>270</v>
      </c>
      <c r="I545" s="196">
        <v>25150</v>
      </c>
      <c r="J545" s="197">
        <v>42770</v>
      </c>
      <c r="K545" s="198">
        <v>0.95927083333333341</v>
      </c>
      <c r="L545" s="197">
        <v>42773</v>
      </c>
      <c r="M545" s="196" t="s">
        <v>340</v>
      </c>
      <c r="N545" s="196" t="s">
        <v>341</v>
      </c>
      <c r="O545" s="196" t="s">
        <v>382</v>
      </c>
      <c r="P545" s="196" t="s">
        <v>383</v>
      </c>
      <c r="Q545" s="196" t="s">
        <v>275</v>
      </c>
      <c r="R545" s="196">
        <v>1056</v>
      </c>
      <c r="S545" s="196" t="s">
        <v>156</v>
      </c>
      <c r="T545" s="196" t="s">
        <v>277</v>
      </c>
      <c r="U545" s="196">
        <v>2262</v>
      </c>
      <c r="V545" s="196" t="s">
        <v>156</v>
      </c>
      <c r="W545" s="196" t="s">
        <v>280</v>
      </c>
      <c r="X545" s="196">
        <v>8.8249999999999993</v>
      </c>
      <c r="Y545" s="199">
        <v>0</v>
      </c>
      <c r="Z545" s="199">
        <v>2.2599999999999998</v>
      </c>
      <c r="AA545" s="199">
        <v>19.940000000000001</v>
      </c>
      <c r="AB545" s="199">
        <v>-1.61</v>
      </c>
      <c r="AC545" s="199">
        <v>0</v>
      </c>
      <c r="AD545" s="199">
        <v>0</v>
      </c>
      <c r="AE545" s="199">
        <v>18.329999999999998</v>
      </c>
      <c r="AF545" s="199">
        <v>-2.12</v>
      </c>
      <c r="AG545" s="196" t="s">
        <v>279</v>
      </c>
      <c r="AH545" s="199">
        <v>0</v>
      </c>
      <c r="AI545" s="196" t="s">
        <v>279</v>
      </c>
      <c r="AJ545" s="199">
        <v>0</v>
      </c>
      <c r="AK545" s="196" t="s">
        <v>279</v>
      </c>
      <c r="AL545" s="199">
        <v>0</v>
      </c>
      <c r="AM545" s="196" t="s">
        <v>279</v>
      </c>
      <c r="AN545" s="199">
        <v>0</v>
      </c>
      <c r="AO545" s="196" t="s">
        <v>279</v>
      </c>
      <c r="AP545" s="199">
        <v>0</v>
      </c>
      <c r="AQ545" s="199">
        <v>19.940000000000001</v>
      </c>
      <c r="AR545" s="199">
        <v>0</v>
      </c>
      <c r="AS545" s="196" t="str">
        <f t="shared" si="9"/>
        <v>1.00000000</v>
      </c>
      <c r="AT545" s="196" t="str">
        <f>"35.1"</f>
        <v>35.1</v>
      </c>
      <c r="AU545" s="199">
        <v>0</v>
      </c>
    </row>
    <row r="546" spans="1:47" s="196" customFormat="1" x14ac:dyDescent="0.2">
      <c r="A546" s="196" t="str">
        <f t="shared" si="10"/>
        <v>0496002595700</v>
      </c>
      <c r="B546" s="196">
        <v>7</v>
      </c>
      <c r="C546" s="196" t="s">
        <v>156</v>
      </c>
      <c r="D546" s="196" t="s">
        <v>371</v>
      </c>
      <c r="E546" s="196">
        <v>45</v>
      </c>
      <c r="F546" s="196" t="s">
        <v>243</v>
      </c>
      <c r="G546" s="196">
        <v>2262</v>
      </c>
      <c r="H546" s="196" t="s">
        <v>270</v>
      </c>
      <c r="I546" s="196">
        <v>25385</v>
      </c>
      <c r="J546" s="197">
        <v>42784</v>
      </c>
      <c r="K546" s="198">
        <v>0.62430555555555556</v>
      </c>
      <c r="L546" s="197">
        <v>42787</v>
      </c>
      <c r="M546" s="196" t="s">
        <v>271</v>
      </c>
      <c r="N546" s="196" t="s">
        <v>272</v>
      </c>
      <c r="O546" s="196" t="s">
        <v>273</v>
      </c>
      <c r="P546" s="196" t="s">
        <v>274</v>
      </c>
      <c r="Q546" s="196" t="s">
        <v>275</v>
      </c>
      <c r="R546" s="196" t="s">
        <v>276</v>
      </c>
      <c r="S546" s="196" t="s">
        <v>156</v>
      </c>
      <c r="T546" s="196" t="s">
        <v>277</v>
      </c>
      <c r="U546" s="196">
        <v>2262</v>
      </c>
      <c r="V546" s="196" t="s">
        <v>156</v>
      </c>
      <c r="W546" s="196" t="s">
        <v>280</v>
      </c>
      <c r="X546" s="196">
        <v>5.9930000000000003</v>
      </c>
      <c r="Y546" s="199">
        <v>-0.12</v>
      </c>
      <c r="Z546" s="199">
        <v>2.17</v>
      </c>
      <c r="AA546" s="199">
        <v>13</v>
      </c>
      <c r="AB546" s="199">
        <v>-1.1000000000000001</v>
      </c>
      <c r="AC546" s="199">
        <v>0</v>
      </c>
      <c r="AD546" s="199">
        <v>0</v>
      </c>
      <c r="AE546" s="199">
        <v>11.78</v>
      </c>
      <c r="AF546" s="199">
        <v>-1.44</v>
      </c>
      <c r="AG546" s="196" t="s">
        <v>279</v>
      </c>
      <c r="AH546" s="199">
        <v>0</v>
      </c>
      <c r="AI546" s="196" t="s">
        <v>279</v>
      </c>
      <c r="AJ546" s="199">
        <v>0</v>
      </c>
      <c r="AK546" s="196" t="s">
        <v>279</v>
      </c>
      <c r="AL546" s="199">
        <v>0</v>
      </c>
      <c r="AM546" s="196" t="s">
        <v>279</v>
      </c>
      <c r="AN546" s="199">
        <v>0</v>
      </c>
      <c r="AO546" s="196" t="s">
        <v>279</v>
      </c>
      <c r="AP546" s="199">
        <v>0</v>
      </c>
      <c r="AQ546" s="199">
        <v>13</v>
      </c>
      <c r="AR546" s="199">
        <v>0</v>
      </c>
      <c r="AS546" s="196" t="str">
        <f t="shared" si="9"/>
        <v>1.00000000</v>
      </c>
      <c r="AT546" s="196" t="str">
        <f>"39.2"</f>
        <v>39.2</v>
      </c>
      <c r="AU546" s="199">
        <v>0</v>
      </c>
    </row>
    <row r="547" spans="1:47" s="196" customFormat="1" x14ac:dyDescent="0.2">
      <c r="A547" s="196" t="str">
        <f t="shared" si="10"/>
        <v>0496002595700</v>
      </c>
      <c r="B547" s="196">
        <v>7</v>
      </c>
      <c r="C547" s="196" t="s">
        <v>156</v>
      </c>
      <c r="D547" s="196" t="s">
        <v>371</v>
      </c>
      <c r="E547" s="196">
        <v>45</v>
      </c>
      <c r="F547" s="196" t="s">
        <v>243</v>
      </c>
      <c r="G547" s="196">
        <v>2262</v>
      </c>
      <c r="H547" s="196" t="s">
        <v>270</v>
      </c>
      <c r="I547" s="196">
        <v>25000</v>
      </c>
      <c r="J547" s="197">
        <v>42788</v>
      </c>
      <c r="K547" s="198">
        <v>0.67950231481481482</v>
      </c>
      <c r="L547" s="197">
        <v>42790</v>
      </c>
      <c r="M547" s="196" t="s">
        <v>384</v>
      </c>
      <c r="N547" s="196" t="s">
        <v>385</v>
      </c>
      <c r="O547" s="196" t="s">
        <v>386</v>
      </c>
      <c r="P547" s="196" t="s">
        <v>343</v>
      </c>
      <c r="Q547" s="196" t="s">
        <v>275</v>
      </c>
      <c r="R547" s="196" t="s">
        <v>387</v>
      </c>
      <c r="S547" s="196" t="s">
        <v>156</v>
      </c>
      <c r="T547" s="196" t="s">
        <v>277</v>
      </c>
      <c r="U547" s="196">
        <v>2262</v>
      </c>
      <c r="V547" s="196" t="s">
        <v>156</v>
      </c>
      <c r="W547" s="196" t="s">
        <v>335</v>
      </c>
      <c r="X547" s="196">
        <v>16.143000000000001</v>
      </c>
      <c r="Y547" s="199">
        <v>0</v>
      </c>
      <c r="Z547" s="199">
        <v>2.36</v>
      </c>
      <c r="AA547" s="199">
        <v>38.08</v>
      </c>
      <c r="AB547" s="199">
        <v>-2.95</v>
      </c>
      <c r="AC547" s="199">
        <v>0</v>
      </c>
      <c r="AD547" s="199">
        <v>0</v>
      </c>
      <c r="AE547" s="199">
        <v>35.130000000000003</v>
      </c>
      <c r="AF547" s="199">
        <v>-3.87</v>
      </c>
      <c r="AG547" s="196" t="s">
        <v>279</v>
      </c>
      <c r="AH547" s="199">
        <v>0</v>
      </c>
      <c r="AI547" s="196" t="s">
        <v>279</v>
      </c>
      <c r="AJ547" s="199">
        <v>0</v>
      </c>
      <c r="AK547" s="196" t="s">
        <v>279</v>
      </c>
      <c r="AL547" s="199">
        <v>0</v>
      </c>
      <c r="AM547" s="196" t="s">
        <v>279</v>
      </c>
      <c r="AN547" s="199">
        <v>0</v>
      </c>
      <c r="AO547" s="196" t="s">
        <v>279</v>
      </c>
      <c r="AP547" s="199">
        <v>0</v>
      </c>
      <c r="AQ547" s="199">
        <v>38.08</v>
      </c>
      <c r="AR547" s="199">
        <v>0</v>
      </c>
      <c r="AS547" s="196" t="str">
        <f t="shared" si="9"/>
        <v>1.00000000</v>
      </c>
      <c r="AT547" s="196" t="str">
        <f>"24.8"</f>
        <v>24.8</v>
      </c>
      <c r="AU547" s="199">
        <v>0</v>
      </c>
    </row>
    <row r="548" spans="1:47" s="196" customFormat="1" x14ac:dyDescent="0.2">
      <c r="A548" s="196" t="str">
        <f t="shared" si="10"/>
        <v>0496002595700</v>
      </c>
      <c r="B548" s="196">
        <v>7</v>
      </c>
      <c r="C548" s="196" t="s">
        <v>156</v>
      </c>
      <c r="D548" s="196" t="s">
        <v>371</v>
      </c>
      <c r="E548" s="196">
        <v>45</v>
      </c>
      <c r="F548" s="196" t="s">
        <v>243</v>
      </c>
      <c r="G548" s="196">
        <v>2262</v>
      </c>
      <c r="H548" s="196" t="s">
        <v>270</v>
      </c>
      <c r="I548" s="196">
        <v>25715</v>
      </c>
      <c r="J548" s="197">
        <v>42792</v>
      </c>
      <c r="K548" s="198">
        <v>0.96180555555555547</v>
      </c>
      <c r="L548" s="197">
        <v>42794</v>
      </c>
      <c r="M548" s="196" t="s">
        <v>294</v>
      </c>
      <c r="N548" s="196" t="s">
        <v>295</v>
      </c>
      <c r="O548" s="196" t="s">
        <v>296</v>
      </c>
      <c r="P548" s="196" t="s">
        <v>297</v>
      </c>
      <c r="Q548" s="196" t="s">
        <v>275</v>
      </c>
      <c r="R548" s="196" t="s">
        <v>298</v>
      </c>
      <c r="S548" s="196" t="s">
        <v>156</v>
      </c>
      <c r="T548" s="196" t="s">
        <v>277</v>
      </c>
      <c r="U548" s="196">
        <v>2262</v>
      </c>
      <c r="V548" s="196" t="s">
        <v>156</v>
      </c>
      <c r="W548" s="196" t="s">
        <v>280</v>
      </c>
      <c r="X548" s="196">
        <v>12.73</v>
      </c>
      <c r="Y548" s="199">
        <v>0</v>
      </c>
      <c r="Z548" s="199">
        <v>2.2000000000000002</v>
      </c>
      <c r="AA548" s="199">
        <v>28</v>
      </c>
      <c r="AB548" s="199">
        <v>-2.33</v>
      </c>
      <c r="AC548" s="199">
        <v>0</v>
      </c>
      <c r="AD548" s="199">
        <v>0</v>
      </c>
      <c r="AE548" s="199">
        <v>25.67</v>
      </c>
      <c r="AF548" s="199">
        <v>-3.06</v>
      </c>
      <c r="AG548" s="196" t="s">
        <v>279</v>
      </c>
      <c r="AH548" s="199">
        <v>0</v>
      </c>
      <c r="AI548" s="196" t="s">
        <v>279</v>
      </c>
      <c r="AJ548" s="199">
        <v>0</v>
      </c>
      <c r="AK548" s="196" t="s">
        <v>279</v>
      </c>
      <c r="AL548" s="199">
        <v>0</v>
      </c>
      <c r="AM548" s="196" t="s">
        <v>279</v>
      </c>
      <c r="AN548" s="199">
        <v>0</v>
      </c>
      <c r="AO548" s="196" t="s">
        <v>279</v>
      </c>
      <c r="AP548" s="199">
        <v>0</v>
      </c>
      <c r="AQ548" s="199">
        <v>28</v>
      </c>
      <c r="AR548" s="199">
        <v>0</v>
      </c>
      <c r="AS548" s="196" t="str">
        <f t="shared" si="9"/>
        <v>1.00000000</v>
      </c>
      <c r="AT548" s="196" t="str">
        <f>"56.2"</f>
        <v>56.2</v>
      </c>
      <c r="AU548" s="199">
        <v>0</v>
      </c>
    </row>
    <row r="549" spans="1:47" s="196" customFormat="1" x14ac:dyDescent="0.2">
      <c r="A549" s="196" t="str">
        <f t="shared" si="10"/>
        <v>0496002595700</v>
      </c>
      <c r="B549" s="196">
        <v>7</v>
      </c>
      <c r="C549" s="196" t="s">
        <v>156</v>
      </c>
      <c r="D549" s="196" t="s">
        <v>371</v>
      </c>
      <c r="E549" s="196">
        <v>45</v>
      </c>
      <c r="F549" s="196" t="s">
        <v>243</v>
      </c>
      <c r="G549" s="196">
        <v>2262</v>
      </c>
      <c r="H549" s="196" t="s">
        <v>270</v>
      </c>
      <c r="I549" s="196">
        <v>26072</v>
      </c>
      <c r="J549" s="197">
        <v>42798</v>
      </c>
      <c r="K549" s="198">
        <v>0.70624999999999993</v>
      </c>
      <c r="L549" s="197">
        <v>42801</v>
      </c>
      <c r="M549" s="196" t="s">
        <v>325</v>
      </c>
      <c r="N549" s="196" t="s">
        <v>326</v>
      </c>
      <c r="O549" s="196" t="s">
        <v>388</v>
      </c>
      <c r="P549" s="196" t="s">
        <v>389</v>
      </c>
      <c r="Q549" s="196" t="s">
        <v>275</v>
      </c>
      <c r="R549" s="196">
        <v>1364</v>
      </c>
      <c r="S549" s="196" t="s">
        <v>156</v>
      </c>
      <c r="T549" s="196" t="s">
        <v>277</v>
      </c>
      <c r="U549" s="196">
        <v>2262</v>
      </c>
      <c r="V549" s="196" t="s">
        <v>156</v>
      </c>
      <c r="W549" s="196" t="s">
        <v>280</v>
      </c>
      <c r="X549" s="196">
        <v>17.172000000000001</v>
      </c>
      <c r="Y549" s="199">
        <v>0</v>
      </c>
      <c r="Z549" s="199">
        <v>2.36</v>
      </c>
      <c r="AA549" s="199">
        <v>40.51</v>
      </c>
      <c r="AB549" s="199">
        <v>-3.14</v>
      </c>
      <c r="AC549" s="199">
        <v>0</v>
      </c>
      <c r="AD549" s="199">
        <v>0</v>
      </c>
      <c r="AE549" s="199">
        <v>37.369999999999997</v>
      </c>
      <c r="AF549" s="199">
        <v>-4.12</v>
      </c>
      <c r="AG549" s="196" t="s">
        <v>279</v>
      </c>
      <c r="AH549" s="199">
        <v>0</v>
      </c>
      <c r="AI549" s="196" t="s">
        <v>279</v>
      </c>
      <c r="AJ549" s="199">
        <v>0</v>
      </c>
      <c r="AK549" s="196" t="s">
        <v>279</v>
      </c>
      <c r="AL549" s="199">
        <v>0</v>
      </c>
      <c r="AM549" s="196" t="s">
        <v>279</v>
      </c>
      <c r="AN549" s="199">
        <v>0</v>
      </c>
      <c r="AO549" s="196" t="s">
        <v>279</v>
      </c>
      <c r="AP549" s="199">
        <v>0</v>
      </c>
      <c r="AQ549" s="199">
        <v>40.51</v>
      </c>
      <c r="AR549" s="199">
        <v>0</v>
      </c>
      <c r="AS549" s="196" t="str">
        <f t="shared" si="9"/>
        <v>1.00000000</v>
      </c>
      <c r="AT549" s="196" t="str">
        <f>"20.8"</f>
        <v>20.8</v>
      </c>
      <c r="AU549" s="199">
        <v>0</v>
      </c>
    </row>
    <row r="550" spans="1:47" s="196" customFormat="1" x14ac:dyDescent="0.2">
      <c r="A550" s="196" t="str">
        <f t="shared" si="10"/>
        <v>0496002595700</v>
      </c>
      <c r="B550" s="196">
        <v>7</v>
      </c>
      <c r="C550" s="196" t="s">
        <v>156</v>
      </c>
      <c r="D550" s="196" t="s">
        <v>371</v>
      </c>
      <c r="E550" s="196">
        <v>45</v>
      </c>
      <c r="F550" s="196" t="s">
        <v>243</v>
      </c>
      <c r="G550" s="196">
        <v>2262</v>
      </c>
      <c r="H550" s="196" t="s">
        <v>270</v>
      </c>
      <c r="I550" s="196">
        <v>26000</v>
      </c>
      <c r="J550" s="197">
        <v>42820</v>
      </c>
      <c r="K550" s="198">
        <v>0.64930555555555558</v>
      </c>
      <c r="L550" s="197">
        <v>42822</v>
      </c>
      <c r="M550" s="196" t="s">
        <v>271</v>
      </c>
      <c r="N550" s="196" t="s">
        <v>390</v>
      </c>
      <c r="O550" s="196" t="s">
        <v>391</v>
      </c>
      <c r="P550" s="196" t="s">
        <v>383</v>
      </c>
      <c r="Q550" s="196" t="s">
        <v>275</v>
      </c>
      <c r="R550" s="196">
        <v>1056</v>
      </c>
      <c r="S550" s="196" t="s">
        <v>156</v>
      </c>
      <c r="T550" s="196" t="s">
        <v>277</v>
      </c>
      <c r="U550" s="196">
        <v>2262</v>
      </c>
      <c r="V550" s="196" t="s">
        <v>156</v>
      </c>
      <c r="W550" s="196" t="s">
        <v>280</v>
      </c>
      <c r="X550" s="196">
        <v>17.286000000000001</v>
      </c>
      <c r="Y550" s="199">
        <v>-0.52</v>
      </c>
      <c r="Z550" s="199">
        <v>2.36</v>
      </c>
      <c r="AA550" s="199">
        <v>40.78</v>
      </c>
      <c r="AB550" s="199">
        <v>-3.16</v>
      </c>
      <c r="AC550" s="199">
        <v>0</v>
      </c>
      <c r="AD550" s="199">
        <v>0</v>
      </c>
      <c r="AE550" s="199">
        <v>37.1</v>
      </c>
      <c r="AF550" s="199">
        <v>-4.1500000000000004</v>
      </c>
      <c r="AG550" s="196" t="s">
        <v>279</v>
      </c>
      <c r="AH550" s="199">
        <v>0</v>
      </c>
      <c r="AI550" s="196" t="s">
        <v>279</v>
      </c>
      <c r="AJ550" s="199">
        <v>0</v>
      </c>
      <c r="AK550" s="196" t="s">
        <v>279</v>
      </c>
      <c r="AL550" s="199">
        <v>0</v>
      </c>
      <c r="AM550" s="196" t="s">
        <v>279</v>
      </c>
      <c r="AN550" s="199">
        <v>0</v>
      </c>
      <c r="AO550" s="196" t="s">
        <v>279</v>
      </c>
      <c r="AP550" s="199">
        <v>0</v>
      </c>
      <c r="AQ550" s="199">
        <v>40.78</v>
      </c>
      <c r="AR550" s="199">
        <v>0</v>
      </c>
      <c r="AS550" s="196" t="str">
        <f t="shared" si="9"/>
        <v>1.00000000</v>
      </c>
      <c r="AT550" s="196" t="str">
        <f>"24.8"</f>
        <v>24.8</v>
      </c>
      <c r="AU550" s="199">
        <v>0</v>
      </c>
    </row>
    <row r="551" spans="1:47" s="196" customFormat="1" x14ac:dyDescent="0.2">
      <c r="A551" s="196" t="str">
        <f t="shared" si="10"/>
        <v>0496002595700</v>
      </c>
      <c r="B551" s="196">
        <v>7</v>
      </c>
      <c r="C551" s="196" t="s">
        <v>156</v>
      </c>
      <c r="D551" s="196" t="s">
        <v>371</v>
      </c>
      <c r="E551" s="196">
        <v>45</v>
      </c>
      <c r="F551" s="196" t="s">
        <v>243</v>
      </c>
      <c r="G551" s="196">
        <v>2262</v>
      </c>
      <c r="H551" s="196" t="s">
        <v>270</v>
      </c>
      <c r="I551" s="196">
        <v>26727</v>
      </c>
      <c r="J551" s="197">
        <v>42828</v>
      </c>
      <c r="K551" s="198">
        <v>0.47083333333333338</v>
      </c>
      <c r="L551" s="197">
        <v>42830</v>
      </c>
      <c r="M551" s="196" t="s">
        <v>271</v>
      </c>
      <c r="N551" s="196" t="s">
        <v>272</v>
      </c>
      <c r="O551" s="196" t="s">
        <v>273</v>
      </c>
      <c r="P551" s="196" t="s">
        <v>274</v>
      </c>
      <c r="Q551" s="196" t="s">
        <v>275</v>
      </c>
      <c r="R551" s="196" t="s">
        <v>276</v>
      </c>
      <c r="S551" s="196" t="s">
        <v>156</v>
      </c>
      <c r="T551" s="196" t="s">
        <v>277</v>
      </c>
      <c r="U551" s="196">
        <v>2262</v>
      </c>
      <c r="V551" s="196" t="s">
        <v>156</v>
      </c>
      <c r="W551" s="196" t="s">
        <v>280</v>
      </c>
      <c r="X551" s="196">
        <v>15.579000000000001</v>
      </c>
      <c r="Y551" s="199">
        <v>-0.31</v>
      </c>
      <c r="Z551" s="199">
        <v>2.2000000000000002</v>
      </c>
      <c r="AA551" s="199">
        <v>34.26</v>
      </c>
      <c r="AB551" s="199">
        <v>-2.85</v>
      </c>
      <c r="AC551" s="199">
        <v>0</v>
      </c>
      <c r="AD551" s="199">
        <v>0</v>
      </c>
      <c r="AE551" s="199">
        <v>31.1</v>
      </c>
      <c r="AF551" s="199">
        <v>-3.74</v>
      </c>
      <c r="AG551" s="196" t="s">
        <v>279</v>
      </c>
      <c r="AH551" s="199">
        <v>0</v>
      </c>
      <c r="AI551" s="196" t="s">
        <v>279</v>
      </c>
      <c r="AJ551" s="199">
        <v>0</v>
      </c>
      <c r="AK551" s="196" t="s">
        <v>279</v>
      </c>
      <c r="AL551" s="199">
        <v>0</v>
      </c>
      <c r="AM551" s="196" t="s">
        <v>279</v>
      </c>
      <c r="AN551" s="199">
        <v>0</v>
      </c>
      <c r="AO551" s="196" t="s">
        <v>279</v>
      </c>
      <c r="AP551" s="199">
        <v>0</v>
      </c>
      <c r="AQ551" s="199">
        <v>34.26</v>
      </c>
      <c r="AR551" s="199">
        <v>0</v>
      </c>
      <c r="AS551" s="196" t="str">
        <f t="shared" si="9"/>
        <v>1.00000000</v>
      </c>
      <c r="AT551" s="196" t="str">
        <f>"46.7"</f>
        <v>46.7</v>
      </c>
      <c r="AU551" s="199">
        <v>0</v>
      </c>
    </row>
    <row r="552" spans="1:47" s="196" customFormat="1" x14ac:dyDescent="0.2">
      <c r="A552" s="196" t="str">
        <f t="shared" si="10"/>
        <v>0496002595700</v>
      </c>
      <c r="B552" s="196">
        <v>7</v>
      </c>
      <c r="C552" s="196" t="s">
        <v>156</v>
      </c>
      <c r="D552" s="196" t="s">
        <v>371</v>
      </c>
      <c r="E552" s="196">
        <v>45</v>
      </c>
      <c r="F552" s="196" t="s">
        <v>243</v>
      </c>
      <c r="G552" s="196">
        <v>2262</v>
      </c>
      <c r="H552" s="196" t="s">
        <v>270</v>
      </c>
      <c r="I552" s="196">
        <v>27164</v>
      </c>
      <c r="J552" s="197">
        <v>42837</v>
      </c>
      <c r="K552" s="198">
        <v>0.68776620370370367</v>
      </c>
      <c r="L552" s="197">
        <v>42839</v>
      </c>
      <c r="M552" s="196" t="s">
        <v>384</v>
      </c>
      <c r="N552" s="196" t="s">
        <v>385</v>
      </c>
      <c r="O552" s="196" t="s">
        <v>386</v>
      </c>
      <c r="P552" s="196" t="s">
        <v>343</v>
      </c>
      <c r="Q552" s="196" t="s">
        <v>275</v>
      </c>
      <c r="R552" s="196" t="s">
        <v>387</v>
      </c>
      <c r="S552" s="196" t="s">
        <v>156</v>
      </c>
      <c r="T552" s="196" t="s">
        <v>277</v>
      </c>
      <c r="U552" s="196">
        <v>2262</v>
      </c>
      <c r="V552" s="196" t="s">
        <v>156</v>
      </c>
      <c r="W552" s="196" t="s">
        <v>280</v>
      </c>
      <c r="X552" s="196">
        <v>17.939</v>
      </c>
      <c r="Y552" s="199">
        <v>0</v>
      </c>
      <c r="Z552" s="199">
        <v>2.2799999999999998</v>
      </c>
      <c r="AA552" s="199">
        <v>40.880000000000003</v>
      </c>
      <c r="AB552" s="199">
        <v>-3.28</v>
      </c>
      <c r="AC552" s="199">
        <v>0</v>
      </c>
      <c r="AD552" s="199">
        <v>0</v>
      </c>
      <c r="AE552" s="199">
        <v>37.6</v>
      </c>
      <c r="AF552" s="199">
        <v>-4.3099999999999996</v>
      </c>
      <c r="AG552" s="196" t="s">
        <v>279</v>
      </c>
      <c r="AH552" s="199">
        <v>0</v>
      </c>
      <c r="AI552" s="196" t="s">
        <v>279</v>
      </c>
      <c r="AJ552" s="199">
        <v>0</v>
      </c>
      <c r="AK552" s="196" t="s">
        <v>279</v>
      </c>
      <c r="AL552" s="199">
        <v>0</v>
      </c>
      <c r="AM552" s="196" t="s">
        <v>279</v>
      </c>
      <c r="AN552" s="199">
        <v>0</v>
      </c>
      <c r="AO552" s="196" t="s">
        <v>279</v>
      </c>
      <c r="AP552" s="199">
        <v>0</v>
      </c>
      <c r="AQ552" s="199">
        <v>40.880000000000003</v>
      </c>
      <c r="AR552" s="199">
        <v>0</v>
      </c>
      <c r="AS552" s="196" t="str">
        <f t="shared" si="9"/>
        <v>1.00000000</v>
      </c>
      <c r="AT552" s="196" t="str">
        <f>"24.4"</f>
        <v>24.4</v>
      </c>
      <c r="AU552" s="199">
        <v>0</v>
      </c>
    </row>
    <row r="553" spans="1:47" s="196" customFormat="1" x14ac:dyDescent="0.2">
      <c r="A553" s="196" t="str">
        <f t="shared" si="10"/>
        <v>0496002595700</v>
      </c>
      <c r="B553" s="196">
        <v>7</v>
      </c>
      <c r="C553" s="196" t="s">
        <v>156</v>
      </c>
      <c r="D553" s="196" t="s">
        <v>371</v>
      </c>
      <c r="E553" s="196">
        <v>45</v>
      </c>
      <c r="F553" s="196" t="s">
        <v>243</v>
      </c>
      <c r="G553" s="196">
        <v>2262</v>
      </c>
      <c r="H553" s="196" t="s">
        <v>270</v>
      </c>
      <c r="I553" s="196">
        <v>27881</v>
      </c>
      <c r="J553" s="197">
        <v>42846</v>
      </c>
      <c r="K553" s="198">
        <v>0.44791666666666669</v>
      </c>
      <c r="L553" s="197">
        <v>42850</v>
      </c>
      <c r="M553" s="196" t="s">
        <v>271</v>
      </c>
      <c r="N553" s="196" t="s">
        <v>272</v>
      </c>
      <c r="O553" s="196" t="s">
        <v>273</v>
      </c>
      <c r="P553" s="196" t="s">
        <v>274</v>
      </c>
      <c r="Q553" s="196" t="s">
        <v>275</v>
      </c>
      <c r="R553" s="196" t="s">
        <v>276</v>
      </c>
      <c r="S553" s="196" t="s">
        <v>156</v>
      </c>
      <c r="T553" s="196" t="s">
        <v>277</v>
      </c>
      <c r="U553" s="196">
        <v>2262</v>
      </c>
      <c r="V553" s="196" t="s">
        <v>156</v>
      </c>
      <c r="W553" s="196" t="s">
        <v>280</v>
      </c>
      <c r="X553" s="196">
        <v>16.834</v>
      </c>
      <c r="Y553" s="199">
        <v>-0.34</v>
      </c>
      <c r="Z553" s="199">
        <v>2.38</v>
      </c>
      <c r="AA553" s="199">
        <v>40.049999999999997</v>
      </c>
      <c r="AB553" s="199">
        <v>-3.08</v>
      </c>
      <c r="AC553" s="199">
        <v>0</v>
      </c>
      <c r="AD553" s="199">
        <v>0</v>
      </c>
      <c r="AE553" s="199">
        <v>36.630000000000003</v>
      </c>
      <c r="AF553" s="199">
        <v>-4.04</v>
      </c>
      <c r="AG553" s="196" t="s">
        <v>279</v>
      </c>
      <c r="AH553" s="199">
        <v>0</v>
      </c>
      <c r="AI553" s="196" t="s">
        <v>279</v>
      </c>
      <c r="AJ553" s="199">
        <v>0</v>
      </c>
      <c r="AK553" s="196" t="s">
        <v>279</v>
      </c>
      <c r="AL553" s="199">
        <v>0</v>
      </c>
      <c r="AM553" s="196" t="s">
        <v>279</v>
      </c>
      <c r="AN553" s="199">
        <v>0</v>
      </c>
      <c r="AO553" s="196" t="s">
        <v>279</v>
      </c>
      <c r="AP553" s="199">
        <v>0</v>
      </c>
      <c r="AQ553" s="199">
        <v>40.049999999999997</v>
      </c>
      <c r="AR553" s="199">
        <v>0</v>
      </c>
      <c r="AS553" s="196" t="str">
        <f t="shared" si="9"/>
        <v>1.00000000</v>
      </c>
      <c r="AT553" s="196" t="str">
        <f>"42.6"</f>
        <v>42.6</v>
      </c>
      <c r="AU553" s="199">
        <v>0</v>
      </c>
    </row>
    <row r="554" spans="1:47" s="196" customFormat="1" x14ac:dyDescent="0.2">
      <c r="A554" s="196" t="str">
        <f t="shared" si="10"/>
        <v>0496002595700</v>
      </c>
      <c r="B554" s="196">
        <v>7</v>
      </c>
      <c r="C554" s="196" t="s">
        <v>156</v>
      </c>
      <c r="D554" s="196" t="s">
        <v>371</v>
      </c>
      <c r="E554" s="196">
        <v>45</v>
      </c>
      <c r="F554" s="196" t="s">
        <v>243</v>
      </c>
      <c r="G554" s="196">
        <v>2262</v>
      </c>
      <c r="H554" s="196" t="s">
        <v>270</v>
      </c>
      <c r="I554" s="196">
        <v>28236</v>
      </c>
      <c r="J554" s="197">
        <v>42857</v>
      </c>
      <c r="K554" s="198">
        <v>0.60277777777777775</v>
      </c>
      <c r="L554" s="197">
        <v>42859</v>
      </c>
      <c r="M554" s="196" t="s">
        <v>271</v>
      </c>
      <c r="N554" s="196" t="s">
        <v>272</v>
      </c>
      <c r="O554" s="196" t="s">
        <v>273</v>
      </c>
      <c r="P554" s="196" t="s">
        <v>274</v>
      </c>
      <c r="Q554" s="196" t="s">
        <v>275</v>
      </c>
      <c r="R554" s="196" t="s">
        <v>276</v>
      </c>
      <c r="S554" s="196" t="s">
        <v>156</v>
      </c>
      <c r="T554" s="196" t="s">
        <v>277</v>
      </c>
      <c r="U554" s="196">
        <v>2262</v>
      </c>
      <c r="V554" s="196" t="s">
        <v>156</v>
      </c>
      <c r="W554" s="196" t="s">
        <v>280</v>
      </c>
      <c r="X554" s="196">
        <v>16.234999999999999</v>
      </c>
      <c r="Y554" s="199">
        <v>-0.32</v>
      </c>
      <c r="Z554" s="199">
        <v>2.4</v>
      </c>
      <c r="AA554" s="199">
        <v>38.950000000000003</v>
      </c>
      <c r="AB554" s="199">
        <v>-2.97</v>
      </c>
      <c r="AC554" s="199">
        <v>0</v>
      </c>
      <c r="AD554" s="199">
        <v>0</v>
      </c>
      <c r="AE554" s="199">
        <v>35.659999999999997</v>
      </c>
      <c r="AF554" s="199">
        <v>-3.9</v>
      </c>
      <c r="AG554" s="196" t="s">
        <v>279</v>
      </c>
      <c r="AH554" s="199">
        <v>0</v>
      </c>
      <c r="AI554" s="196" t="s">
        <v>279</v>
      </c>
      <c r="AJ554" s="199">
        <v>0</v>
      </c>
      <c r="AK554" s="196" t="s">
        <v>279</v>
      </c>
      <c r="AL554" s="199">
        <v>0</v>
      </c>
      <c r="AM554" s="196" t="s">
        <v>279</v>
      </c>
      <c r="AN554" s="199">
        <v>0</v>
      </c>
      <c r="AO554" s="196" t="s">
        <v>279</v>
      </c>
      <c r="AP554" s="199">
        <v>0</v>
      </c>
      <c r="AQ554" s="199">
        <v>38.950000000000003</v>
      </c>
      <c r="AR554" s="199">
        <v>0</v>
      </c>
      <c r="AS554" s="196" t="str">
        <f t="shared" si="9"/>
        <v>1.00000000</v>
      </c>
      <c r="AT554" s="196" t="str">
        <f>"21.9"</f>
        <v>21.9</v>
      </c>
      <c r="AU554" s="199">
        <v>0</v>
      </c>
    </row>
    <row r="555" spans="1:47" s="196" customFormat="1" x14ac:dyDescent="0.2">
      <c r="A555" s="196" t="str">
        <f t="shared" si="10"/>
        <v>0496002595700</v>
      </c>
      <c r="B555" s="196">
        <v>7</v>
      </c>
      <c r="C555" s="196" t="s">
        <v>156</v>
      </c>
      <c r="D555" s="196" t="s">
        <v>371</v>
      </c>
      <c r="E555" s="196">
        <v>45</v>
      </c>
      <c r="F555" s="196" t="s">
        <v>243</v>
      </c>
      <c r="G555" s="196">
        <v>2262</v>
      </c>
      <c r="H555" s="196" t="s">
        <v>270</v>
      </c>
      <c r="I555" s="196">
        <v>28674</v>
      </c>
      <c r="J555" s="197">
        <v>42861</v>
      </c>
      <c r="K555" s="198">
        <v>0.42515046296296299</v>
      </c>
      <c r="L555" s="197">
        <v>42864</v>
      </c>
      <c r="M555" s="196" t="s">
        <v>305</v>
      </c>
      <c r="N555" s="196" t="s">
        <v>392</v>
      </c>
      <c r="O555" s="196" t="s">
        <v>393</v>
      </c>
      <c r="P555" s="196" t="s">
        <v>394</v>
      </c>
      <c r="Q555" s="196" t="s">
        <v>395</v>
      </c>
      <c r="R555" s="196">
        <v>4011</v>
      </c>
      <c r="S555" s="196" t="s">
        <v>156</v>
      </c>
      <c r="T555" s="196" t="s">
        <v>277</v>
      </c>
      <c r="U555" s="196">
        <v>2262</v>
      </c>
      <c r="V555" s="196" t="s">
        <v>156</v>
      </c>
      <c r="W555" s="196" t="s">
        <v>280</v>
      </c>
      <c r="X555" s="196">
        <v>19.219000000000001</v>
      </c>
      <c r="Y555" s="199">
        <v>0</v>
      </c>
      <c r="Z555" s="199">
        <v>2.34</v>
      </c>
      <c r="AA555" s="199">
        <v>44.95</v>
      </c>
      <c r="AB555" s="199">
        <v>-3.52</v>
      </c>
      <c r="AC555" s="199">
        <v>0</v>
      </c>
      <c r="AD555" s="199">
        <v>0</v>
      </c>
      <c r="AE555" s="199">
        <v>41.43</v>
      </c>
      <c r="AF555" s="199">
        <v>-5.77</v>
      </c>
      <c r="AG555" s="196" t="s">
        <v>279</v>
      </c>
      <c r="AH555" s="199">
        <v>0</v>
      </c>
      <c r="AI555" s="196" t="s">
        <v>279</v>
      </c>
      <c r="AJ555" s="199">
        <v>0</v>
      </c>
      <c r="AK555" s="196" t="s">
        <v>279</v>
      </c>
      <c r="AL555" s="199">
        <v>0</v>
      </c>
      <c r="AM555" s="196" t="s">
        <v>279</v>
      </c>
      <c r="AN555" s="199">
        <v>0</v>
      </c>
      <c r="AO555" s="196" t="s">
        <v>279</v>
      </c>
      <c r="AP555" s="199">
        <v>0</v>
      </c>
      <c r="AQ555" s="199">
        <v>44.95</v>
      </c>
      <c r="AR555" s="199">
        <v>0</v>
      </c>
      <c r="AS555" s="196" t="str">
        <f t="shared" si="9"/>
        <v>1.00000000</v>
      </c>
      <c r="AT555" s="196" t="str">
        <f>"22.8"</f>
        <v>22.8</v>
      </c>
      <c r="AU555" s="199">
        <v>0</v>
      </c>
    </row>
    <row r="556" spans="1:47" s="196" customFormat="1" x14ac:dyDescent="0.2">
      <c r="A556" s="196" t="str">
        <f t="shared" si="10"/>
        <v>0496002595700</v>
      </c>
      <c r="B556" s="196">
        <v>7</v>
      </c>
      <c r="C556" s="196" t="s">
        <v>156</v>
      </c>
      <c r="D556" s="196" t="s">
        <v>371</v>
      </c>
      <c r="E556" s="196">
        <v>45</v>
      </c>
      <c r="F556" s="196" t="s">
        <v>243</v>
      </c>
      <c r="G556" s="196">
        <v>2262</v>
      </c>
      <c r="H556" s="196" t="s">
        <v>270</v>
      </c>
      <c r="I556" s="196">
        <v>29006</v>
      </c>
      <c r="J556" s="197">
        <v>42864</v>
      </c>
      <c r="K556" s="198">
        <v>0.40326388888888887</v>
      </c>
      <c r="L556" s="197">
        <v>42866</v>
      </c>
      <c r="M556" s="196" t="s">
        <v>396</v>
      </c>
      <c r="N556" s="196" t="s">
        <v>397</v>
      </c>
      <c r="O556" s="196" t="s">
        <v>398</v>
      </c>
      <c r="P556" s="196" t="s">
        <v>343</v>
      </c>
      <c r="Q556" s="196" t="s">
        <v>275</v>
      </c>
      <c r="R556" s="196">
        <v>1035</v>
      </c>
      <c r="S556" s="196" t="s">
        <v>156</v>
      </c>
      <c r="T556" s="196" t="s">
        <v>277</v>
      </c>
      <c r="U556" s="196">
        <v>2262</v>
      </c>
      <c r="V556" s="196" t="s">
        <v>156</v>
      </c>
      <c r="W556" s="196" t="s">
        <v>280</v>
      </c>
      <c r="X556" s="196">
        <v>12.215999999999999</v>
      </c>
      <c r="Y556" s="199">
        <v>0</v>
      </c>
      <c r="Z556" s="199">
        <v>2.35</v>
      </c>
      <c r="AA556" s="199">
        <v>28.7</v>
      </c>
      <c r="AB556" s="199">
        <v>-2.2400000000000002</v>
      </c>
      <c r="AC556" s="199">
        <v>0</v>
      </c>
      <c r="AD556" s="199">
        <v>0</v>
      </c>
      <c r="AE556" s="199">
        <v>26.46</v>
      </c>
      <c r="AF556" s="199">
        <v>-2.93</v>
      </c>
      <c r="AG556" s="196" t="s">
        <v>279</v>
      </c>
      <c r="AH556" s="199">
        <v>0</v>
      </c>
      <c r="AI556" s="196" t="s">
        <v>279</v>
      </c>
      <c r="AJ556" s="199">
        <v>0</v>
      </c>
      <c r="AK556" s="196" t="s">
        <v>279</v>
      </c>
      <c r="AL556" s="199">
        <v>0</v>
      </c>
      <c r="AM556" s="196" t="s">
        <v>279</v>
      </c>
      <c r="AN556" s="199">
        <v>0</v>
      </c>
      <c r="AO556" s="196" t="s">
        <v>279</v>
      </c>
      <c r="AP556" s="199">
        <v>0</v>
      </c>
      <c r="AQ556" s="199">
        <v>28.7</v>
      </c>
      <c r="AR556" s="199">
        <v>0</v>
      </c>
      <c r="AS556" s="196" t="str">
        <f t="shared" si="9"/>
        <v>1.00000000</v>
      </c>
      <c r="AT556" s="196" t="str">
        <f>"27.2"</f>
        <v>27.2</v>
      </c>
      <c r="AU556" s="199">
        <v>0</v>
      </c>
    </row>
    <row r="557" spans="1:47" s="196" customFormat="1" x14ac:dyDescent="0.2">
      <c r="A557" s="196" t="str">
        <f t="shared" si="10"/>
        <v>0496002595700</v>
      </c>
      <c r="B557" s="196">
        <v>7</v>
      </c>
      <c r="C557" s="196" t="s">
        <v>156</v>
      </c>
      <c r="D557" s="196">
        <v>45</v>
      </c>
      <c r="E557" s="196">
        <v>45</v>
      </c>
      <c r="F557" s="196" t="s">
        <v>243</v>
      </c>
      <c r="G557" s="196">
        <v>2262</v>
      </c>
      <c r="H557" s="196" t="s">
        <v>270</v>
      </c>
      <c r="I557" s="196">
        <v>29351</v>
      </c>
      <c r="J557" s="197">
        <v>42868</v>
      </c>
      <c r="K557" s="198">
        <v>0.35486111111111113</v>
      </c>
      <c r="L557" s="197">
        <v>42871</v>
      </c>
      <c r="M557" s="196" t="s">
        <v>271</v>
      </c>
      <c r="N557" s="196" t="s">
        <v>272</v>
      </c>
      <c r="O557" s="196" t="s">
        <v>273</v>
      </c>
      <c r="P557" s="196" t="s">
        <v>274</v>
      </c>
      <c r="Q557" s="196" t="s">
        <v>275</v>
      </c>
      <c r="R557" s="196" t="s">
        <v>276</v>
      </c>
      <c r="S557" s="196" t="s">
        <v>156</v>
      </c>
      <c r="T557" s="196" t="s">
        <v>277</v>
      </c>
      <c r="U557" s="196">
        <v>2262</v>
      </c>
      <c r="V557" s="196" t="s">
        <v>156</v>
      </c>
      <c r="W557" s="196" t="s">
        <v>280</v>
      </c>
      <c r="X557" s="196">
        <v>15.766</v>
      </c>
      <c r="Y557" s="199">
        <v>-0.32</v>
      </c>
      <c r="Z557" s="199">
        <v>2.37</v>
      </c>
      <c r="AA557" s="199">
        <v>37.35</v>
      </c>
      <c r="AB557" s="199">
        <v>-2.89</v>
      </c>
      <c r="AC557" s="199">
        <v>0</v>
      </c>
      <c r="AD557" s="199">
        <v>0</v>
      </c>
      <c r="AE557" s="199">
        <v>34.14</v>
      </c>
      <c r="AF557" s="199">
        <v>-3.78</v>
      </c>
      <c r="AG557" s="196" t="s">
        <v>279</v>
      </c>
      <c r="AH557" s="199">
        <v>0</v>
      </c>
      <c r="AI557" s="196" t="s">
        <v>279</v>
      </c>
      <c r="AJ557" s="199">
        <v>0</v>
      </c>
      <c r="AK557" s="196" t="s">
        <v>279</v>
      </c>
      <c r="AL557" s="199">
        <v>0</v>
      </c>
      <c r="AM557" s="196" t="s">
        <v>279</v>
      </c>
      <c r="AN557" s="199">
        <v>0</v>
      </c>
      <c r="AO557" s="196" t="s">
        <v>279</v>
      </c>
      <c r="AP557" s="199">
        <v>0</v>
      </c>
      <c r="AQ557" s="199">
        <v>37.35</v>
      </c>
      <c r="AR557" s="199">
        <v>0</v>
      </c>
      <c r="AS557" s="196" t="str">
        <f t="shared" si="9"/>
        <v>1.00000000</v>
      </c>
      <c r="AT557" s="196" t="str">
        <f>"21.9"</f>
        <v>21.9</v>
      </c>
      <c r="AU557" s="199">
        <v>0</v>
      </c>
    </row>
    <row r="558" spans="1:47" s="196" customFormat="1" x14ac:dyDescent="0.2">
      <c r="A558" s="196" t="str">
        <f t="shared" si="10"/>
        <v>0496002595700</v>
      </c>
      <c r="B558" s="196">
        <v>7</v>
      </c>
      <c r="C558" s="196" t="s">
        <v>156</v>
      </c>
      <c r="D558" s="196">
        <v>45</v>
      </c>
      <c r="E558" s="196">
        <v>45</v>
      </c>
      <c r="F558" s="196" t="s">
        <v>243</v>
      </c>
      <c r="G558" s="196">
        <v>2262</v>
      </c>
      <c r="H558" s="196" t="s">
        <v>270</v>
      </c>
      <c r="I558" s="196">
        <v>29797</v>
      </c>
      <c r="J558" s="197">
        <v>42873</v>
      </c>
      <c r="K558" s="198">
        <v>0.43611111111111112</v>
      </c>
      <c r="L558" s="197">
        <v>42877</v>
      </c>
      <c r="M558" s="196" t="s">
        <v>285</v>
      </c>
      <c r="N558" s="196" t="s">
        <v>399</v>
      </c>
      <c r="O558" s="196" t="s">
        <v>400</v>
      </c>
      <c r="P558" s="196" t="s">
        <v>274</v>
      </c>
      <c r="Q558" s="196" t="s">
        <v>275</v>
      </c>
      <c r="R558" s="196" t="s">
        <v>401</v>
      </c>
      <c r="S558" s="196" t="s">
        <v>156</v>
      </c>
      <c r="T558" s="196" t="s">
        <v>277</v>
      </c>
      <c r="U558" s="196">
        <v>2262</v>
      </c>
      <c r="V558" s="196" t="s">
        <v>156</v>
      </c>
      <c r="W558" s="196" t="s">
        <v>280</v>
      </c>
      <c r="X558" s="196">
        <v>13.983000000000001</v>
      </c>
      <c r="Y558" s="199">
        <v>0</v>
      </c>
      <c r="Z558" s="199">
        <v>2.2999999999999998</v>
      </c>
      <c r="AA558" s="199">
        <v>32.15</v>
      </c>
      <c r="AB558" s="199">
        <v>-2.56</v>
      </c>
      <c r="AC558" s="199">
        <v>0</v>
      </c>
      <c r="AD558" s="199">
        <v>0</v>
      </c>
      <c r="AE558" s="199">
        <v>29.59</v>
      </c>
      <c r="AF558" s="199">
        <v>-3.36</v>
      </c>
      <c r="AG558" s="196" t="s">
        <v>279</v>
      </c>
      <c r="AH558" s="199">
        <v>0</v>
      </c>
      <c r="AI558" s="196" t="s">
        <v>279</v>
      </c>
      <c r="AJ558" s="199">
        <v>0</v>
      </c>
      <c r="AK558" s="196" t="s">
        <v>279</v>
      </c>
      <c r="AL558" s="199">
        <v>0</v>
      </c>
      <c r="AM558" s="196" t="s">
        <v>279</v>
      </c>
      <c r="AN558" s="199">
        <v>0</v>
      </c>
      <c r="AO558" s="196" t="s">
        <v>279</v>
      </c>
      <c r="AP558" s="199">
        <v>0</v>
      </c>
      <c r="AQ558" s="199">
        <v>32.15</v>
      </c>
      <c r="AR558" s="199">
        <v>0</v>
      </c>
      <c r="AS558" s="196" t="str">
        <f t="shared" si="9"/>
        <v>1.00000000</v>
      </c>
      <c r="AT558" s="196" t="str">
        <f>"31.9"</f>
        <v>31.9</v>
      </c>
      <c r="AU558" s="199">
        <v>0</v>
      </c>
    </row>
    <row r="559" spans="1:47" s="196" customFormat="1" x14ac:dyDescent="0.2">
      <c r="A559" s="196" t="str">
        <f t="shared" si="10"/>
        <v>0496002595700</v>
      </c>
      <c r="B559" s="196">
        <v>7</v>
      </c>
      <c r="C559" s="196" t="s">
        <v>156</v>
      </c>
      <c r="D559" s="196">
        <v>45</v>
      </c>
      <c r="E559" s="196">
        <v>45</v>
      </c>
      <c r="F559" s="196" t="s">
        <v>243</v>
      </c>
      <c r="G559" s="196">
        <v>2262</v>
      </c>
      <c r="H559" s="196" t="s">
        <v>270</v>
      </c>
      <c r="I559" s="196">
        <v>30173</v>
      </c>
      <c r="J559" s="197">
        <v>42874</v>
      </c>
      <c r="K559" s="198">
        <v>0.43263888888888885</v>
      </c>
      <c r="L559" s="197">
        <v>42878</v>
      </c>
      <c r="M559" s="196" t="s">
        <v>325</v>
      </c>
      <c r="N559" s="196" t="s">
        <v>326</v>
      </c>
      <c r="O559" s="196" t="s">
        <v>402</v>
      </c>
      <c r="P559" s="196" t="s">
        <v>403</v>
      </c>
      <c r="Q559" s="196" t="s">
        <v>289</v>
      </c>
      <c r="R559" s="196">
        <v>7095</v>
      </c>
      <c r="S559" s="196" t="s">
        <v>156</v>
      </c>
      <c r="T559" s="196" t="s">
        <v>277</v>
      </c>
      <c r="U559" s="196">
        <v>2262</v>
      </c>
      <c r="V559" s="196" t="s">
        <v>156</v>
      </c>
      <c r="W559" s="196" t="s">
        <v>330</v>
      </c>
      <c r="X559" s="196">
        <v>15.75</v>
      </c>
      <c r="Y559" s="199">
        <v>0</v>
      </c>
      <c r="Z559" s="199">
        <v>2.35</v>
      </c>
      <c r="AA559" s="199">
        <v>37</v>
      </c>
      <c r="AB559" s="199">
        <v>-2.88</v>
      </c>
      <c r="AC559" s="199">
        <v>0</v>
      </c>
      <c r="AD559" s="199">
        <v>0</v>
      </c>
      <c r="AE559" s="199">
        <v>34.119999999999997</v>
      </c>
      <c r="AF559" s="199">
        <v>-5.84</v>
      </c>
      <c r="AG559" s="196" t="s">
        <v>279</v>
      </c>
      <c r="AH559" s="199">
        <v>0</v>
      </c>
      <c r="AI559" s="196" t="s">
        <v>279</v>
      </c>
      <c r="AJ559" s="199">
        <v>0</v>
      </c>
      <c r="AK559" s="196" t="s">
        <v>279</v>
      </c>
      <c r="AL559" s="199">
        <v>0</v>
      </c>
      <c r="AM559" s="196" t="s">
        <v>279</v>
      </c>
      <c r="AN559" s="199">
        <v>0</v>
      </c>
      <c r="AO559" s="196" t="s">
        <v>279</v>
      </c>
      <c r="AP559" s="199">
        <v>0</v>
      </c>
      <c r="AQ559" s="199">
        <v>37</v>
      </c>
      <c r="AR559" s="199">
        <v>0</v>
      </c>
      <c r="AS559" s="196" t="str">
        <f t="shared" si="9"/>
        <v>1.00000000</v>
      </c>
      <c r="AT559" s="196" t="str">
        <f>"23.9"</f>
        <v>23.9</v>
      </c>
      <c r="AU559" s="199">
        <v>0</v>
      </c>
    </row>
    <row r="560" spans="1:47" s="196" customFormat="1" x14ac:dyDescent="0.2">
      <c r="A560" s="196" t="str">
        <f t="shared" si="10"/>
        <v>0496002595700</v>
      </c>
      <c r="B560" s="196">
        <v>7</v>
      </c>
      <c r="C560" s="196" t="s">
        <v>156</v>
      </c>
      <c r="D560" s="196">
        <v>45</v>
      </c>
      <c r="E560" s="196">
        <v>45</v>
      </c>
      <c r="F560" s="196" t="s">
        <v>243</v>
      </c>
      <c r="G560" s="196">
        <v>2262</v>
      </c>
      <c r="H560" s="196" t="s">
        <v>270</v>
      </c>
      <c r="I560" s="196">
        <v>30579</v>
      </c>
      <c r="J560" s="197">
        <v>42880</v>
      </c>
      <c r="K560" s="198">
        <v>0.84583333333333333</v>
      </c>
      <c r="L560" s="197">
        <v>42884</v>
      </c>
      <c r="M560" s="196" t="s">
        <v>271</v>
      </c>
      <c r="N560" s="196" t="s">
        <v>272</v>
      </c>
      <c r="O560" s="196" t="s">
        <v>273</v>
      </c>
      <c r="P560" s="196" t="s">
        <v>274</v>
      </c>
      <c r="Q560" s="196" t="s">
        <v>275</v>
      </c>
      <c r="R560" s="196" t="s">
        <v>276</v>
      </c>
      <c r="S560" s="196" t="s">
        <v>156</v>
      </c>
      <c r="T560" s="196" t="s">
        <v>277</v>
      </c>
      <c r="U560" s="196">
        <v>2262</v>
      </c>
      <c r="V560" s="196" t="s">
        <v>156</v>
      </c>
      <c r="W560" s="196" t="s">
        <v>280</v>
      </c>
      <c r="X560" s="196">
        <v>15.191000000000001</v>
      </c>
      <c r="Y560" s="199">
        <v>-0.3</v>
      </c>
      <c r="Z560" s="199">
        <v>2.4300000000000002</v>
      </c>
      <c r="AA560" s="199">
        <v>36.9</v>
      </c>
      <c r="AB560" s="199">
        <v>-2.78</v>
      </c>
      <c r="AC560" s="199">
        <v>0</v>
      </c>
      <c r="AD560" s="199">
        <v>0</v>
      </c>
      <c r="AE560" s="199">
        <v>33.82</v>
      </c>
      <c r="AF560" s="199">
        <v>-3.65</v>
      </c>
      <c r="AG560" s="196" t="s">
        <v>279</v>
      </c>
      <c r="AH560" s="199">
        <v>0</v>
      </c>
      <c r="AI560" s="196" t="s">
        <v>279</v>
      </c>
      <c r="AJ560" s="199">
        <v>0</v>
      </c>
      <c r="AK560" s="196" t="s">
        <v>279</v>
      </c>
      <c r="AL560" s="199">
        <v>0</v>
      </c>
      <c r="AM560" s="196" t="s">
        <v>279</v>
      </c>
      <c r="AN560" s="199">
        <v>0</v>
      </c>
      <c r="AO560" s="196" t="s">
        <v>279</v>
      </c>
      <c r="AP560" s="199">
        <v>0</v>
      </c>
      <c r="AQ560" s="199">
        <v>36.9</v>
      </c>
      <c r="AR560" s="199">
        <v>0</v>
      </c>
      <c r="AS560" s="196" t="str">
        <f t="shared" si="9"/>
        <v>1.00000000</v>
      </c>
      <c r="AT560" s="196" t="str">
        <f>"26.7"</f>
        <v>26.7</v>
      </c>
      <c r="AU560" s="199">
        <v>0</v>
      </c>
    </row>
    <row r="561" spans="1:47" s="196" customFormat="1" x14ac:dyDescent="0.2">
      <c r="A561" s="196" t="str">
        <f t="shared" si="10"/>
        <v>0496002595700</v>
      </c>
      <c r="B561" s="196">
        <v>7</v>
      </c>
      <c r="C561" s="196" t="s">
        <v>156</v>
      </c>
      <c r="D561" s="196">
        <v>45</v>
      </c>
      <c r="E561" s="196">
        <v>45</v>
      </c>
      <c r="F561" s="196" t="s">
        <v>243</v>
      </c>
      <c r="G561" s="196">
        <v>2262</v>
      </c>
      <c r="H561" s="196" t="s">
        <v>270</v>
      </c>
      <c r="I561" s="196">
        <v>30757</v>
      </c>
      <c r="J561" s="197">
        <v>42882</v>
      </c>
      <c r="K561" s="198">
        <v>0.6166666666666667</v>
      </c>
      <c r="L561" s="197">
        <v>42885</v>
      </c>
      <c r="M561" s="196" t="s">
        <v>271</v>
      </c>
      <c r="N561" s="196" t="s">
        <v>272</v>
      </c>
      <c r="O561" s="196" t="s">
        <v>273</v>
      </c>
      <c r="P561" s="196" t="s">
        <v>274</v>
      </c>
      <c r="Q561" s="196" t="s">
        <v>275</v>
      </c>
      <c r="R561" s="196" t="s">
        <v>276</v>
      </c>
      <c r="S561" s="196" t="s">
        <v>156</v>
      </c>
      <c r="T561" s="196" t="s">
        <v>277</v>
      </c>
      <c r="U561" s="196">
        <v>2262</v>
      </c>
      <c r="V561" s="196" t="s">
        <v>156</v>
      </c>
      <c r="W561" s="196" t="s">
        <v>280</v>
      </c>
      <c r="X561" s="196">
        <v>16.381</v>
      </c>
      <c r="Y561" s="199">
        <v>-0.33</v>
      </c>
      <c r="Z561" s="199">
        <v>2.4300000000000002</v>
      </c>
      <c r="AA561" s="199">
        <v>39.79</v>
      </c>
      <c r="AB561" s="199">
        <v>-3</v>
      </c>
      <c r="AC561" s="199">
        <v>0</v>
      </c>
      <c r="AD561" s="199">
        <v>0</v>
      </c>
      <c r="AE561" s="199">
        <v>36.46</v>
      </c>
      <c r="AF561" s="199">
        <v>-3.93</v>
      </c>
      <c r="AG561" s="196" t="s">
        <v>279</v>
      </c>
      <c r="AH561" s="199">
        <v>0</v>
      </c>
      <c r="AI561" s="196" t="s">
        <v>279</v>
      </c>
      <c r="AJ561" s="199">
        <v>0</v>
      </c>
      <c r="AK561" s="196" t="s">
        <v>279</v>
      </c>
      <c r="AL561" s="199">
        <v>0</v>
      </c>
      <c r="AM561" s="196" t="s">
        <v>279</v>
      </c>
      <c r="AN561" s="199">
        <v>0</v>
      </c>
      <c r="AO561" s="196" t="s">
        <v>279</v>
      </c>
      <c r="AP561" s="199">
        <v>0</v>
      </c>
      <c r="AQ561" s="199">
        <v>39.79</v>
      </c>
      <c r="AR561" s="199">
        <v>0</v>
      </c>
      <c r="AS561" s="196" t="str">
        <f t="shared" si="9"/>
        <v>1.00000000</v>
      </c>
      <c r="AT561" s="196" t="str">
        <f>"10.9"</f>
        <v>10.9</v>
      </c>
      <c r="AU561" s="199">
        <v>0</v>
      </c>
    </row>
    <row r="562" spans="1:47" s="196" customFormat="1" x14ac:dyDescent="0.2">
      <c r="A562" s="196" t="str">
        <f t="shared" si="10"/>
        <v>0496002595700</v>
      </c>
      <c r="B562" s="196">
        <v>7</v>
      </c>
      <c r="C562" s="196" t="s">
        <v>156</v>
      </c>
      <c r="D562" s="196">
        <v>45</v>
      </c>
      <c r="E562" s="196">
        <v>45</v>
      </c>
      <c r="F562" s="196" t="s">
        <v>243</v>
      </c>
      <c r="G562" s="196">
        <v>2262</v>
      </c>
      <c r="H562" s="196" t="s">
        <v>270</v>
      </c>
      <c r="I562" s="196">
        <v>31028</v>
      </c>
      <c r="J562" s="197">
        <v>42890</v>
      </c>
      <c r="K562" s="198">
        <v>0.62083333333333335</v>
      </c>
      <c r="L562" s="197">
        <v>42892</v>
      </c>
      <c r="M562" s="196" t="s">
        <v>271</v>
      </c>
      <c r="N562" s="196" t="s">
        <v>352</v>
      </c>
      <c r="O562" s="196" t="s">
        <v>353</v>
      </c>
      <c r="P562" s="196" t="s">
        <v>343</v>
      </c>
      <c r="Q562" s="196" t="s">
        <v>275</v>
      </c>
      <c r="R562" s="196">
        <v>1035</v>
      </c>
      <c r="S562" s="196" t="s">
        <v>156</v>
      </c>
      <c r="T562" s="196" t="s">
        <v>277</v>
      </c>
      <c r="U562" s="196">
        <v>2262</v>
      </c>
      <c r="V562" s="196" t="s">
        <v>156</v>
      </c>
      <c r="W562" s="196" t="s">
        <v>280</v>
      </c>
      <c r="X562" s="196">
        <v>14.791</v>
      </c>
      <c r="Y562" s="199">
        <v>-0.3</v>
      </c>
      <c r="Z562" s="199">
        <v>2.33</v>
      </c>
      <c r="AA562" s="199">
        <v>34.450000000000003</v>
      </c>
      <c r="AB562" s="199">
        <v>-2.71</v>
      </c>
      <c r="AC562" s="199">
        <v>0</v>
      </c>
      <c r="AD562" s="199">
        <v>0</v>
      </c>
      <c r="AE562" s="199">
        <v>31.44</v>
      </c>
      <c r="AF562" s="199">
        <v>-3.55</v>
      </c>
      <c r="AG562" s="196" t="s">
        <v>279</v>
      </c>
      <c r="AH562" s="199">
        <v>0</v>
      </c>
      <c r="AI562" s="196" t="s">
        <v>279</v>
      </c>
      <c r="AJ562" s="199">
        <v>0</v>
      </c>
      <c r="AK562" s="196" t="s">
        <v>279</v>
      </c>
      <c r="AL562" s="199">
        <v>0</v>
      </c>
      <c r="AM562" s="196" t="s">
        <v>279</v>
      </c>
      <c r="AN562" s="199">
        <v>0</v>
      </c>
      <c r="AO562" s="196" t="s">
        <v>279</v>
      </c>
      <c r="AP562" s="199">
        <v>0</v>
      </c>
      <c r="AQ562" s="199">
        <v>34.450000000000003</v>
      </c>
      <c r="AR562" s="199">
        <v>0</v>
      </c>
      <c r="AS562" s="196" t="str">
        <f t="shared" si="9"/>
        <v>1.00000000</v>
      </c>
      <c r="AT562" s="196" t="str">
        <f>"18.3"</f>
        <v>18.3</v>
      </c>
      <c r="AU562" s="199">
        <v>0</v>
      </c>
    </row>
    <row r="563" spans="1:47" s="196" customFormat="1" x14ac:dyDescent="0.2">
      <c r="A563" s="196" t="str">
        <f t="shared" si="10"/>
        <v>0496002595700</v>
      </c>
      <c r="B563" s="196">
        <v>7</v>
      </c>
      <c r="C563" s="196" t="s">
        <v>156</v>
      </c>
      <c r="D563" s="196">
        <v>45</v>
      </c>
      <c r="E563" s="196">
        <v>45</v>
      </c>
      <c r="F563" s="196" t="s">
        <v>243</v>
      </c>
      <c r="G563" s="196">
        <v>2262</v>
      </c>
      <c r="H563" s="196" t="s">
        <v>270</v>
      </c>
      <c r="I563" s="196">
        <v>31489</v>
      </c>
      <c r="J563" s="197">
        <v>42901</v>
      </c>
      <c r="K563" s="198">
        <v>0.84722222222222221</v>
      </c>
      <c r="L563" s="197">
        <v>42906</v>
      </c>
      <c r="M563" s="196" t="s">
        <v>325</v>
      </c>
      <c r="N563" s="196" t="s">
        <v>326</v>
      </c>
      <c r="O563" s="196" t="s">
        <v>404</v>
      </c>
      <c r="P563" s="196" t="s">
        <v>405</v>
      </c>
      <c r="Q563" s="196" t="s">
        <v>289</v>
      </c>
      <c r="R563" s="196">
        <v>8512</v>
      </c>
      <c r="S563" s="196" t="s">
        <v>156</v>
      </c>
      <c r="T563" s="196" t="s">
        <v>277</v>
      </c>
      <c r="U563" s="196">
        <v>2262</v>
      </c>
      <c r="V563" s="196" t="s">
        <v>156</v>
      </c>
      <c r="W563" s="196" t="s">
        <v>330</v>
      </c>
      <c r="X563" s="196">
        <v>18.100000000000001</v>
      </c>
      <c r="Y563" s="199">
        <v>0</v>
      </c>
      <c r="Z563" s="199">
        <v>2.39</v>
      </c>
      <c r="AA563" s="199">
        <v>43.24</v>
      </c>
      <c r="AB563" s="199">
        <v>-3.31</v>
      </c>
      <c r="AC563" s="199">
        <v>0</v>
      </c>
      <c r="AD563" s="199">
        <v>0</v>
      </c>
      <c r="AE563" s="199">
        <v>39.93</v>
      </c>
      <c r="AF563" s="199">
        <v>-6.71</v>
      </c>
      <c r="AG563" s="196" t="s">
        <v>279</v>
      </c>
      <c r="AH563" s="199">
        <v>0</v>
      </c>
      <c r="AI563" s="196" t="s">
        <v>279</v>
      </c>
      <c r="AJ563" s="199">
        <v>0</v>
      </c>
      <c r="AK563" s="196" t="s">
        <v>279</v>
      </c>
      <c r="AL563" s="199">
        <v>0</v>
      </c>
      <c r="AM563" s="196" t="s">
        <v>279</v>
      </c>
      <c r="AN563" s="199">
        <v>0</v>
      </c>
      <c r="AO563" s="196" t="s">
        <v>279</v>
      </c>
      <c r="AP563" s="199">
        <v>0</v>
      </c>
      <c r="AQ563" s="199">
        <v>43.24</v>
      </c>
      <c r="AR563" s="199">
        <v>0</v>
      </c>
      <c r="AS563" s="196" t="str">
        <f t="shared" si="9"/>
        <v>1.00000000</v>
      </c>
      <c r="AT563" s="196" t="str">
        <f>"25.5"</f>
        <v>25.5</v>
      </c>
      <c r="AU563" s="199">
        <v>0</v>
      </c>
    </row>
    <row r="564" spans="1:47" s="196" customFormat="1" x14ac:dyDescent="0.2">
      <c r="A564" s="196" t="str">
        <f t="shared" si="10"/>
        <v>0496002595700</v>
      </c>
      <c r="B564" s="196">
        <v>7</v>
      </c>
      <c r="C564" s="196" t="s">
        <v>156</v>
      </c>
      <c r="D564" s="196">
        <v>45</v>
      </c>
      <c r="E564" s="196">
        <v>45</v>
      </c>
      <c r="F564" s="196" t="s">
        <v>243</v>
      </c>
      <c r="G564" s="196">
        <v>2262</v>
      </c>
      <c r="H564" s="196" t="s">
        <v>270</v>
      </c>
      <c r="I564" s="196">
        <v>31927</v>
      </c>
      <c r="J564" s="197">
        <v>42904</v>
      </c>
      <c r="K564" s="198">
        <v>0.63194444444444442</v>
      </c>
      <c r="L564" s="197">
        <v>42907</v>
      </c>
      <c r="M564" s="196" t="s">
        <v>325</v>
      </c>
      <c r="N564" s="196" t="s">
        <v>326</v>
      </c>
      <c r="O564" s="196" t="s">
        <v>406</v>
      </c>
      <c r="P564" s="196" t="s">
        <v>407</v>
      </c>
      <c r="Q564" s="196" t="s">
        <v>289</v>
      </c>
      <c r="R564" s="196">
        <v>7657</v>
      </c>
      <c r="S564" s="196" t="s">
        <v>156</v>
      </c>
      <c r="T564" s="196" t="s">
        <v>277</v>
      </c>
      <c r="U564" s="196">
        <v>2262</v>
      </c>
      <c r="V564" s="196" t="s">
        <v>156</v>
      </c>
      <c r="W564" s="196" t="s">
        <v>330</v>
      </c>
      <c r="X564" s="196">
        <v>16.45</v>
      </c>
      <c r="Y564" s="199">
        <v>0</v>
      </c>
      <c r="Z564" s="199">
        <v>2.35</v>
      </c>
      <c r="AA564" s="199">
        <v>38.64</v>
      </c>
      <c r="AB564" s="199">
        <v>-3.01</v>
      </c>
      <c r="AC564" s="199">
        <v>0</v>
      </c>
      <c r="AD564" s="199">
        <v>0</v>
      </c>
      <c r="AE564" s="199">
        <v>35.630000000000003</v>
      </c>
      <c r="AF564" s="199">
        <v>-6.11</v>
      </c>
      <c r="AG564" s="196" t="s">
        <v>279</v>
      </c>
      <c r="AH564" s="199">
        <v>0</v>
      </c>
      <c r="AI564" s="196" t="s">
        <v>279</v>
      </c>
      <c r="AJ564" s="199">
        <v>0</v>
      </c>
      <c r="AK564" s="196" t="s">
        <v>279</v>
      </c>
      <c r="AL564" s="199">
        <v>0</v>
      </c>
      <c r="AM564" s="196" t="s">
        <v>279</v>
      </c>
      <c r="AN564" s="199">
        <v>0</v>
      </c>
      <c r="AO564" s="196" t="s">
        <v>279</v>
      </c>
      <c r="AP564" s="199">
        <v>0</v>
      </c>
      <c r="AQ564" s="199">
        <v>38.64</v>
      </c>
      <c r="AR564" s="199">
        <v>0</v>
      </c>
      <c r="AS564" s="196" t="str">
        <f t="shared" si="9"/>
        <v>1.00000000</v>
      </c>
      <c r="AT564" s="196" t="str">
        <f>"26.6"</f>
        <v>26.6</v>
      </c>
      <c r="AU564" s="199">
        <v>0</v>
      </c>
    </row>
    <row r="565" spans="1:47" s="196" customFormat="1" x14ac:dyDescent="0.2">
      <c r="A565" s="196" t="str">
        <f t="shared" si="10"/>
        <v>0496002595700</v>
      </c>
      <c r="B565" s="196">
        <v>7</v>
      </c>
      <c r="C565" s="196" t="s">
        <v>156</v>
      </c>
      <c r="D565" s="196">
        <v>45</v>
      </c>
      <c r="E565" s="196">
        <v>45</v>
      </c>
      <c r="F565" s="196" t="s">
        <v>243</v>
      </c>
      <c r="G565" s="196">
        <v>2262</v>
      </c>
      <c r="H565" s="196" t="s">
        <v>270</v>
      </c>
      <c r="I565" s="196">
        <v>32145</v>
      </c>
      <c r="J565" s="197">
        <v>42907</v>
      </c>
      <c r="K565" s="198">
        <v>0.79791666666666661</v>
      </c>
      <c r="L565" s="197">
        <v>42909</v>
      </c>
      <c r="M565" s="196" t="s">
        <v>271</v>
      </c>
      <c r="N565" s="196" t="s">
        <v>272</v>
      </c>
      <c r="O565" s="196" t="s">
        <v>273</v>
      </c>
      <c r="P565" s="196" t="s">
        <v>274</v>
      </c>
      <c r="Q565" s="196" t="s">
        <v>275</v>
      </c>
      <c r="R565" s="196" t="s">
        <v>276</v>
      </c>
      <c r="S565" s="196" t="s">
        <v>156</v>
      </c>
      <c r="T565" s="196" t="s">
        <v>277</v>
      </c>
      <c r="U565" s="196">
        <v>2262</v>
      </c>
      <c r="V565" s="196" t="s">
        <v>156</v>
      </c>
      <c r="W565" s="196" t="s">
        <v>280</v>
      </c>
      <c r="X565" s="196">
        <v>7.5250000000000004</v>
      </c>
      <c r="Y565" s="199">
        <v>-0.15</v>
      </c>
      <c r="Z565" s="199">
        <v>2.2599999999999998</v>
      </c>
      <c r="AA565" s="199">
        <v>17</v>
      </c>
      <c r="AB565" s="199">
        <v>-1.38</v>
      </c>
      <c r="AC565" s="199">
        <v>0</v>
      </c>
      <c r="AD565" s="199">
        <v>0</v>
      </c>
      <c r="AE565" s="199">
        <v>15.47</v>
      </c>
      <c r="AF565" s="199">
        <v>-1.81</v>
      </c>
      <c r="AG565" s="196" t="s">
        <v>279</v>
      </c>
      <c r="AH565" s="199">
        <v>0</v>
      </c>
      <c r="AI565" s="196" t="s">
        <v>279</v>
      </c>
      <c r="AJ565" s="199">
        <v>0</v>
      </c>
      <c r="AK565" s="196" t="s">
        <v>279</v>
      </c>
      <c r="AL565" s="199">
        <v>0</v>
      </c>
      <c r="AM565" s="196" t="s">
        <v>279</v>
      </c>
      <c r="AN565" s="199">
        <v>0</v>
      </c>
      <c r="AO565" s="196" t="s">
        <v>279</v>
      </c>
      <c r="AP565" s="199">
        <v>0</v>
      </c>
      <c r="AQ565" s="199">
        <v>17</v>
      </c>
      <c r="AR565" s="199">
        <v>0</v>
      </c>
      <c r="AS565" s="196" t="str">
        <f t="shared" si="9"/>
        <v>1.00000000</v>
      </c>
      <c r="AT565" s="196" t="str">
        <f>"29.0"</f>
        <v>29.0</v>
      </c>
      <c r="AU565" s="199">
        <v>0</v>
      </c>
    </row>
    <row r="566" spans="1:47" s="196" customFormat="1" x14ac:dyDescent="0.2">
      <c r="A566" s="196" t="str">
        <f t="shared" si="10"/>
        <v>0496002595700</v>
      </c>
      <c r="B566" s="196">
        <v>7</v>
      </c>
      <c r="C566" s="196" t="s">
        <v>156</v>
      </c>
      <c r="D566" s="196">
        <v>45</v>
      </c>
      <c r="E566" s="196">
        <v>45</v>
      </c>
      <c r="F566" s="196" t="s">
        <v>243</v>
      </c>
      <c r="G566" s="196">
        <v>2262</v>
      </c>
      <c r="H566" s="196" t="s">
        <v>270</v>
      </c>
      <c r="I566" s="196">
        <v>32392</v>
      </c>
      <c r="J566" s="197">
        <v>42911</v>
      </c>
      <c r="K566" s="198">
        <v>0.77569444444444446</v>
      </c>
      <c r="L566" s="197">
        <v>42913</v>
      </c>
      <c r="M566" s="196" t="s">
        <v>271</v>
      </c>
      <c r="N566" s="196" t="s">
        <v>272</v>
      </c>
      <c r="O566" s="196" t="s">
        <v>273</v>
      </c>
      <c r="P566" s="196" t="s">
        <v>274</v>
      </c>
      <c r="Q566" s="196" t="s">
        <v>275</v>
      </c>
      <c r="R566" s="196" t="s">
        <v>276</v>
      </c>
      <c r="S566" s="196" t="s">
        <v>156</v>
      </c>
      <c r="T566" s="196" t="s">
        <v>277</v>
      </c>
      <c r="U566" s="196">
        <v>2262</v>
      </c>
      <c r="V566" s="196" t="s">
        <v>156</v>
      </c>
      <c r="W566" s="196" t="s">
        <v>280</v>
      </c>
      <c r="X566" s="196">
        <v>14.276</v>
      </c>
      <c r="Y566" s="199">
        <v>-0.28999999999999998</v>
      </c>
      <c r="Z566" s="199">
        <v>2.2599999999999998</v>
      </c>
      <c r="AA566" s="199">
        <v>32.25</v>
      </c>
      <c r="AB566" s="199">
        <v>-2.61</v>
      </c>
      <c r="AC566" s="199">
        <v>0</v>
      </c>
      <c r="AD566" s="199">
        <v>0</v>
      </c>
      <c r="AE566" s="199">
        <v>29.35</v>
      </c>
      <c r="AF566" s="199">
        <v>-3.43</v>
      </c>
      <c r="AG566" s="196" t="s">
        <v>279</v>
      </c>
      <c r="AH566" s="199">
        <v>0</v>
      </c>
      <c r="AI566" s="196" t="s">
        <v>279</v>
      </c>
      <c r="AJ566" s="199">
        <v>0</v>
      </c>
      <c r="AK566" s="196" t="s">
        <v>279</v>
      </c>
      <c r="AL566" s="199">
        <v>0</v>
      </c>
      <c r="AM566" s="196" t="s">
        <v>279</v>
      </c>
      <c r="AN566" s="199">
        <v>0</v>
      </c>
      <c r="AO566" s="196" t="s">
        <v>279</v>
      </c>
      <c r="AP566" s="199">
        <v>0</v>
      </c>
      <c r="AQ566" s="199">
        <v>32.25</v>
      </c>
      <c r="AR566" s="199">
        <v>0</v>
      </c>
      <c r="AS566" s="196" t="str">
        <f t="shared" si="9"/>
        <v>1.00000000</v>
      </c>
      <c r="AT566" s="196" t="str">
        <f>"17.3"</f>
        <v>17.3</v>
      </c>
      <c r="AU566" s="199">
        <v>0</v>
      </c>
    </row>
    <row r="567" spans="1:47" s="196" customFormat="1" x14ac:dyDescent="0.2">
      <c r="A567" s="196" t="str">
        <f t="shared" si="10"/>
        <v>0496002595700</v>
      </c>
      <c r="B567" s="196">
        <v>7</v>
      </c>
      <c r="C567" s="196" t="s">
        <v>156</v>
      </c>
      <c r="D567" s="196">
        <v>45</v>
      </c>
      <c r="E567" s="196">
        <v>45</v>
      </c>
      <c r="F567" s="196" t="s">
        <v>243</v>
      </c>
      <c r="G567" s="196">
        <v>2262</v>
      </c>
      <c r="H567" s="196" t="s">
        <v>270</v>
      </c>
      <c r="I567" s="196">
        <v>33373</v>
      </c>
      <c r="J567" s="197">
        <v>42915</v>
      </c>
      <c r="K567" s="198">
        <v>0.73137731481481483</v>
      </c>
      <c r="L567" s="197">
        <v>42919</v>
      </c>
      <c r="M567" s="196" t="s">
        <v>408</v>
      </c>
      <c r="N567" s="196" t="s">
        <v>409</v>
      </c>
      <c r="O567" s="196" t="s">
        <v>410</v>
      </c>
      <c r="P567" s="196" t="s">
        <v>411</v>
      </c>
      <c r="Q567" s="196" t="s">
        <v>412</v>
      </c>
      <c r="R567" s="196" t="s">
        <v>413</v>
      </c>
      <c r="S567" s="196" t="s">
        <v>156</v>
      </c>
      <c r="T567" s="196" t="s">
        <v>277</v>
      </c>
      <c r="U567" s="196">
        <v>2262</v>
      </c>
      <c r="V567" s="196" t="s">
        <v>156</v>
      </c>
      <c r="W567" s="196" t="s">
        <v>280</v>
      </c>
      <c r="X567" s="196">
        <v>16.695</v>
      </c>
      <c r="Y567" s="199">
        <v>0</v>
      </c>
      <c r="Z567" s="199">
        <v>2.14</v>
      </c>
      <c r="AA567" s="199">
        <v>35.71</v>
      </c>
      <c r="AB567" s="199">
        <v>-3.06</v>
      </c>
      <c r="AC567" s="199">
        <v>0</v>
      </c>
      <c r="AD567" s="199">
        <v>0</v>
      </c>
      <c r="AE567" s="199">
        <v>32.65</v>
      </c>
      <c r="AF567" s="199">
        <v>-5.59</v>
      </c>
      <c r="AG567" s="196" t="s">
        <v>279</v>
      </c>
      <c r="AH567" s="199">
        <v>0</v>
      </c>
      <c r="AI567" s="196" t="s">
        <v>279</v>
      </c>
      <c r="AJ567" s="199">
        <v>0</v>
      </c>
      <c r="AK567" s="196" t="s">
        <v>279</v>
      </c>
      <c r="AL567" s="199">
        <v>0</v>
      </c>
      <c r="AM567" s="196" t="s">
        <v>279</v>
      </c>
      <c r="AN567" s="199">
        <v>0</v>
      </c>
      <c r="AO567" s="196" t="s">
        <v>279</v>
      </c>
      <c r="AP567" s="199">
        <v>0</v>
      </c>
      <c r="AQ567" s="199">
        <v>35.71</v>
      </c>
      <c r="AR567" s="199">
        <v>0</v>
      </c>
      <c r="AS567" s="196" t="str">
        <f t="shared" si="9"/>
        <v>1.00000000</v>
      </c>
      <c r="AT567" s="196" t="str">
        <f>"58.8"</f>
        <v>58.8</v>
      </c>
      <c r="AU567" s="199">
        <v>0</v>
      </c>
    </row>
    <row r="568" spans="1:47" s="196" customFormat="1" x14ac:dyDescent="0.2">
      <c r="A568" s="196" t="str">
        <f t="shared" si="10"/>
        <v>0496002595700</v>
      </c>
      <c r="B568" s="196">
        <v>7</v>
      </c>
      <c r="C568" s="196" t="s">
        <v>156</v>
      </c>
      <c r="D568" s="196">
        <v>45</v>
      </c>
      <c r="E568" s="196">
        <v>45</v>
      </c>
      <c r="F568" s="196" t="s">
        <v>243</v>
      </c>
      <c r="G568" s="196">
        <v>2262</v>
      </c>
      <c r="H568" s="196" t="s">
        <v>270</v>
      </c>
      <c r="I568" s="196">
        <v>33799</v>
      </c>
      <c r="J568" s="197">
        <v>42916</v>
      </c>
      <c r="K568" s="198">
        <v>0.87354166666666666</v>
      </c>
      <c r="L568" s="197">
        <v>42920</v>
      </c>
      <c r="M568" s="196" t="s">
        <v>384</v>
      </c>
      <c r="N568" s="196" t="s">
        <v>385</v>
      </c>
      <c r="O568" s="196" t="s">
        <v>386</v>
      </c>
      <c r="P568" s="196" t="s">
        <v>343</v>
      </c>
      <c r="Q568" s="196" t="s">
        <v>275</v>
      </c>
      <c r="R568" s="196" t="s">
        <v>387</v>
      </c>
      <c r="S568" s="196" t="s">
        <v>156</v>
      </c>
      <c r="T568" s="196" t="s">
        <v>277</v>
      </c>
      <c r="U568" s="196">
        <v>2262</v>
      </c>
      <c r="V568" s="196" t="s">
        <v>156</v>
      </c>
      <c r="W568" s="196" t="s">
        <v>280</v>
      </c>
      <c r="X568" s="196">
        <v>16.603000000000002</v>
      </c>
      <c r="Y568" s="199">
        <v>0</v>
      </c>
      <c r="Z568" s="199">
        <v>2.2599999999999998</v>
      </c>
      <c r="AA568" s="199">
        <v>37.51</v>
      </c>
      <c r="AB568" s="199">
        <v>-3.04</v>
      </c>
      <c r="AC568" s="199">
        <v>0</v>
      </c>
      <c r="AD568" s="199">
        <v>0</v>
      </c>
      <c r="AE568" s="199">
        <v>34.47</v>
      </c>
      <c r="AF568" s="199">
        <v>-3.98</v>
      </c>
      <c r="AG568" s="196" t="s">
        <v>279</v>
      </c>
      <c r="AH568" s="199">
        <v>0</v>
      </c>
      <c r="AI568" s="196" t="s">
        <v>279</v>
      </c>
      <c r="AJ568" s="199">
        <v>0</v>
      </c>
      <c r="AK568" s="196" t="s">
        <v>279</v>
      </c>
      <c r="AL568" s="199">
        <v>0</v>
      </c>
      <c r="AM568" s="196" t="s">
        <v>279</v>
      </c>
      <c r="AN568" s="199">
        <v>0</v>
      </c>
      <c r="AO568" s="196" t="s">
        <v>279</v>
      </c>
      <c r="AP568" s="199">
        <v>0</v>
      </c>
      <c r="AQ568" s="199">
        <v>37.51</v>
      </c>
      <c r="AR568" s="199">
        <v>0</v>
      </c>
      <c r="AS568" s="196" t="str">
        <f t="shared" si="9"/>
        <v>1.00000000</v>
      </c>
      <c r="AT568" s="196" t="str">
        <f>"25.7"</f>
        <v>25.7</v>
      </c>
      <c r="AU568" s="199">
        <v>0</v>
      </c>
    </row>
    <row r="569" spans="1:47" s="196" customFormat="1" x14ac:dyDescent="0.2">
      <c r="A569" s="196" t="str">
        <f t="shared" si="10"/>
        <v>0496002595700</v>
      </c>
      <c r="B569" s="196">
        <v>8</v>
      </c>
      <c r="C569" s="196" t="s">
        <v>156</v>
      </c>
      <c r="D569" s="196" t="s">
        <v>414</v>
      </c>
      <c r="E569" s="196">
        <v>47</v>
      </c>
      <c r="F569" s="196" t="s">
        <v>243</v>
      </c>
      <c r="G569" s="196">
        <v>2262</v>
      </c>
      <c r="H569" s="196" t="s">
        <v>270</v>
      </c>
      <c r="I569" s="196">
        <v>25617</v>
      </c>
      <c r="J569" s="197">
        <v>42740</v>
      </c>
      <c r="K569" s="198">
        <v>0.41319444444444442</v>
      </c>
      <c r="L569" s="197">
        <v>42744</v>
      </c>
      <c r="M569" s="196" t="s">
        <v>271</v>
      </c>
      <c r="N569" s="196" t="s">
        <v>272</v>
      </c>
      <c r="O569" s="196" t="s">
        <v>273</v>
      </c>
      <c r="P569" s="196" t="s">
        <v>274</v>
      </c>
      <c r="Q569" s="196" t="s">
        <v>275</v>
      </c>
      <c r="R569" s="196" t="s">
        <v>276</v>
      </c>
      <c r="S569" s="196" t="s">
        <v>156</v>
      </c>
      <c r="T569" s="196" t="s">
        <v>277</v>
      </c>
      <c r="U569" s="196">
        <v>2262</v>
      </c>
      <c r="V569" s="196" t="s">
        <v>156</v>
      </c>
      <c r="W569" s="196" t="s">
        <v>280</v>
      </c>
      <c r="X569" s="196">
        <v>11.238</v>
      </c>
      <c r="Y569" s="199">
        <v>-0.22</v>
      </c>
      <c r="Z569" s="199">
        <v>2.35</v>
      </c>
      <c r="AA569" s="199">
        <v>26.4</v>
      </c>
      <c r="AB569" s="199">
        <v>-2.06</v>
      </c>
      <c r="AC569" s="199">
        <v>0</v>
      </c>
      <c r="AD569" s="199">
        <v>0</v>
      </c>
      <c r="AE569" s="199">
        <v>24.12</v>
      </c>
      <c r="AF569" s="199">
        <v>-2.7</v>
      </c>
      <c r="AG569" s="196" t="s">
        <v>279</v>
      </c>
      <c r="AH569" s="199">
        <v>0</v>
      </c>
      <c r="AI569" s="196" t="s">
        <v>279</v>
      </c>
      <c r="AJ569" s="199">
        <v>0</v>
      </c>
      <c r="AK569" s="196" t="s">
        <v>279</v>
      </c>
      <c r="AL569" s="199">
        <v>0</v>
      </c>
      <c r="AM569" s="196" t="s">
        <v>279</v>
      </c>
      <c r="AN569" s="199">
        <v>0</v>
      </c>
      <c r="AO569" s="196" t="s">
        <v>279</v>
      </c>
      <c r="AP569" s="199">
        <v>0</v>
      </c>
      <c r="AQ569" s="199">
        <v>26.4</v>
      </c>
      <c r="AR569" s="199">
        <v>0</v>
      </c>
      <c r="AS569" s="196" t="str">
        <f t="shared" si="9"/>
        <v>1.00000000</v>
      </c>
      <c r="AT569" s="196" t="str">
        <f>"26.5"</f>
        <v>26.5</v>
      </c>
      <c r="AU569" s="199">
        <v>0</v>
      </c>
    </row>
    <row r="570" spans="1:47" s="196" customFormat="1" x14ac:dyDescent="0.2">
      <c r="A570" s="196" t="str">
        <f t="shared" si="10"/>
        <v>0496002595700</v>
      </c>
      <c r="B570" s="196">
        <v>8</v>
      </c>
      <c r="C570" s="196" t="s">
        <v>156</v>
      </c>
      <c r="D570" s="196" t="s">
        <v>414</v>
      </c>
      <c r="E570" s="196">
        <v>47</v>
      </c>
      <c r="F570" s="196" t="s">
        <v>243</v>
      </c>
      <c r="G570" s="196">
        <v>2262</v>
      </c>
      <c r="H570" s="196" t="s">
        <v>270</v>
      </c>
      <c r="I570" s="196">
        <v>25840</v>
      </c>
      <c r="J570" s="197">
        <v>42743</v>
      </c>
      <c r="K570" s="198">
        <v>0.4145833333333333</v>
      </c>
      <c r="L570" s="197">
        <v>42745</v>
      </c>
      <c r="M570" s="196" t="s">
        <v>271</v>
      </c>
      <c r="N570" s="196" t="s">
        <v>272</v>
      </c>
      <c r="O570" s="196" t="s">
        <v>273</v>
      </c>
      <c r="P570" s="196" t="s">
        <v>274</v>
      </c>
      <c r="Q570" s="196" t="s">
        <v>275</v>
      </c>
      <c r="R570" s="196" t="s">
        <v>276</v>
      </c>
      <c r="S570" s="196" t="s">
        <v>156</v>
      </c>
      <c r="T570" s="196" t="s">
        <v>277</v>
      </c>
      <c r="U570" s="196">
        <v>2262</v>
      </c>
      <c r="V570" s="196" t="s">
        <v>156</v>
      </c>
      <c r="W570" s="196" t="s">
        <v>280</v>
      </c>
      <c r="X570" s="196">
        <v>8.5139999999999993</v>
      </c>
      <c r="Y570" s="199">
        <v>-0.17</v>
      </c>
      <c r="Z570" s="199">
        <v>2.35</v>
      </c>
      <c r="AA570" s="199">
        <v>20</v>
      </c>
      <c r="AB570" s="199">
        <v>-1.56</v>
      </c>
      <c r="AC570" s="199">
        <v>0</v>
      </c>
      <c r="AD570" s="199">
        <v>0</v>
      </c>
      <c r="AE570" s="199">
        <v>18.27</v>
      </c>
      <c r="AF570" s="199">
        <v>-2.04</v>
      </c>
      <c r="AG570" s="196" t="s">
        <v>279</v>
      </c>
      <c r="AH570" s="199">
        <v>0</v>
      </c>
      <c r="AI570" s="196" t="s">
        <v>279</v>
      </c>
      <c r="AJ570" s="199">
        <v>0</v>
      </c>
      <c r="AK570" s="196" t="s">
        <v>279</v>
      </c>
      <c r="AL570" s="199">
        <v>0</v>
      </c>
      <c r="AM570" s="196" t="s">
        <v>279</v>
      </c>
      <c r="AN570" s="199">
        <v>0</v>
      </c>
      <c r="AO570" s="196" t="s">
        <v>279</v>
      </c>
      <c r="AP570" s="199">
        <v>0</v>
      </c>
      <c r="AQ570" s="199">
        <v>20</v>
      </c>
      <c r="AR570" s="199">
        <v>0</v>
      </c>
      <c r="AS570" s="196" t="str">
        <f t="shared" si="9"/>
        <v>1.00000000</v>
      </c>
      <c r="AT570" s="196" t="str">
        <f>"26.2"</f>
        <v>26.2</v>
      </c>
      <c r="AU570" s="199">
        <v>0</v>
      </c>
    </row>
    <row r="571" spans="1:47" s="196" customFormat="1" x14ac:dyDescent="0.2">
      <c r="A571" s="196" t="str">
        <f t="shared" si="10"/>
        <v>0496002595700</v>
      </c>
      <c r="B571" s="196">
        <v>8</v>
      </c>
      <c r="C571" s="196" t="s">
        <v>156</v>
      </c>
      <c r="D571" s="196" t="s">
        <v>414</v>
      </c>
      <c r="E571" s="196">
        <v>47</v>
      </c>
      <c r="F571" s="196" t="s">
        <v>243</v>
      </c>
      <c r="G571" s="196">
        <v>2262</v>
      </c>
      <c r="H571" s="196" t="s">
        <v>270</v>
      </c>
      <c r="I571" s="196">
        <v>26094</v>
      </c>
      <c r="J571" s="197">
        <v>42765</v>
      </c>
      <c r="K571" s="198">
        <v>6.9444444444444447E-4</v>
      </c>
      <c r="L571" s="197">
        <v>42766</v>
      </c>
      <c r="M571" s="196" t="s">
        <v>271</v>
      </c>
      <c r="N571" s="196" t="s">
        <v>272</v>
      </c>
      <c r="O571" s="196" t="s">
        <v>273</v>
      </c>
      <c r="P571" s="196" t="s">
        <v>274</v>
      </c>
      <c r="Q571" s="196" t="s">
        <v>275</v>
      </c>
      <c r="R571" s="196" t="s">
        <v>276</v>
      </c>
      <c r="S571" s="196" t="s">
        <v>156</v>
      </c>
      <c r="T571" s="196" t="s">
        <v>277</v>
      </c>
      <c r="U571" s="196">
        <v>2262</v>
      </c>
      <c r="V571" s="196" t="s">
        <v>156</v>
      </c>
      <c r="W571" s="196" t="s">
        <v>280</v>
      </c>
      <c r="X571" s="196">
        <v>14.750999999999999</v>
      </c>
      <c r="Y571" s="199">
        <v>-0.3</v>
      </c>
      <c r="Z571" s="199">
        <v>2.15</v>
      </c>
      <c r="AA571" s="199">
        <v>31.7</v>
      </c>
      <c r="AB571" s="199">
        <v>-2.7</v>
      </c>
      <c r="AC571" s="199">
        <v>0</v>
      </c>
      <c r="AD571" s="199">
        <v>0</v>
      </c>
      <c r="AE571" s="199">
        <v>28.7</v>
      </c>
      <c r="AF571" s="199">
        <v>-3.54</v>
      </c>
      <c r="AG571" s="196" t="s">
        <v>279</v>
      </c>
      <c r="AH571" s="199">
        <v>0</v>
      </c>
      <c r="AI571" s="196" t="s">
        <v>279</v>
      </c>
      <c r="AJ571" s="199">
        <v>0</v>
      </c>
      <c r="AK571" s="196" t="s">
        <v>279</v>
      </c>
      <c r="AL571" s="199">
        <v>0</v>
      </c>
      <c r="AM571" s="196" t="s">
        <v>279</v>
      </c>
      <c r="AN571" s="199">
        <v>0</v>
      </c>
      <c r="AO571" s="196" t="s">
        <v>279</v>
      </c>
      <c r="AP571" s="199">
        <v>0</v>
      </c>
      <c r="AQ571" s="199">
        <v>31.7</v>
      </c>
      <c r="AR571" s="199">
        <v>0</v>
      </c>
      <c r="AS571" s="196" t="str">
        <f t="shared" si="9"/>
        <v>1.00000000</v>
      </c>
      <c r="AT571" s="196" t="str">
        <f>"26.5"</f>
        <v>26.5</v>
      </c>
      <c r="AU571" s="199">
        <v>0</v>
      </c>
    </row>
    <row r="572" spans="1:47" s="196" customFormat="1" x14ac:dyDescent="0.2">
      <c r="A572" s="196" t="str">
        <f t="shared" si="10"/>
        <v>0496002595700</v>
      </c>
      <c r="B572" s="196">
        <v>8</v>
      </c>
      <c r="C572" s="196" t="s">
        <v>156</v>
      </c>
      <c r="D572" s="196" t="s">
        <v>414</v>
      </c>
      <c r="E572" s="196">
        <v>47</v>
      </c>
      <c r="F572" s="196" t="s">
        <v>243</v>
      </c>
      <c r="G572" s="196">
        <v>2262</v>
      </c>
      <c r="H572" s="196" t="s">
        <v>270</v>
      </c>
      <c r="I572" s="196">
        <v>26347</v>
      </c>
      <c r="J572" s="197">
        <v>42776</v>
      </c>
      <c r="K572" s="198">
        <v>0.64374999999999993</v>
      </c>
      <c r="L572" s="197">
        <v>42780</v>
      </c>
      <c r="M572" s="196" t="s">
        <v>271</v>
      </c>
      <c r="N572" s="196" t="s">
        <v>272</v>
      </c>
      <c r="O572" s="196" t="s">
        <v>273</v>
      </c>
      <c r="P572" s="196" t="s">
        <v>274</v>
      </c>
      <c r="Q572" s="196" t="s">
        <v>275</v>
      </c>
      <c r="R572" s="196" t="s">
        <v>276</v>
      </c>
      <c r="S572" s="196" t="s">
        <v>156</v>
      </c>
      <c r="T572" s="196" t="s">
        <v>277</v>
      </c>
      <c r="U572" s="196">
        <v>2262</v>
      </c>
      <c r="V572" s="196" t="s">
        <v>156</v>
      </c>
      <c r="W572" s="196" t="s">
        <v>280</v>
      </c>
      <c r="X572" s="196">
        <v>14.378</v>
      </c>
      <c r="Y572" s="199">
        <v>-0.28999999999999998</v>
      </c>
      <c r="Z572" s="199">
        <v>2.15</v>
      </c>
      <c r="AA572" s="199">
        <v>30.9</v>
      </c>
      <c r="AB572" s="199">
        <v>-2.63</v>
      </c>
      <c r="AC572" s="199">
        <v>0</v>
      </c>
      <c r="AD572" s="199">
        <v>0</v>
      </c>
      <c r="AE572" s="199">
        <v>27.98</v>
      </c>
      <c r="AF572" s="199">
        <v>-3.45</v>
      </c>
      <c r="AG572" s="196" t="s">
        <v>279</v>
      </c>
      <c r="AH572" s="199">
        <v>0</v>
      </c>
      <c r="AI572" s="196" t="s">
        <v>279</v>
      </c>
      <c r="AJ572" s="199">
        <v>0</v>
      </c>
      <c r="AK572" s="196" t="s">
        <v>279</v>
      </c>
      <c r="AL572" s="199">
        <v>0</v>
      </c>
      <c r="AM572" s="196" t="s">
        <v>279</v>
      </c>
      <c r="AN572" s="199">
        <v>0</v>
      </c>
      <c r="AO572" s="196" t="s">
        <v>279</v>
      </c>
      <c r="AP572" s="199">
        <v>0</v>
      </c>
      <c r="AQ572" s="199">
        <v>30.9</v>
      </c>
      <c r="AR572" s="199">
        <v>0</v>
      </c>
      <c r="AS572" s="196" t="str">
        <f t="shared" si="9"/>
        <v>1.00000000</v>
      </c>
      <c r="AT572" s="196" t="str">
        <f>"26.5"</f>
        <v>26.5</v>
      </c>
      <c r="AU572" s="199">
        <v>0</v>
      </c>
    </row>
    <row r="573" spans="1:47" s="196" customFormat="1" x14ac:dyDescent="0.2">
      <c r="A573" s="196" t="str">
        <f t="shared" si="10"/>
        <v>0496002595700</v>
      </c>
      <c r="B573" s="196">
        <v>8</v>
      </c>
      <c r="C573" s="196" t="s">
        <v>156</v>
      </c>
      <c r="D573" s="196" t="s">
        <v>414</v>
      </c>
      <c r="E573" s="196">
        <v>47</v>
      </c>
      <c r="F573" s="196" t="s">
        <v>243</v>
      </c>
      <c r="G573" s="196">
        <v>2262</v>
      </c>
      <c r="H573" s="196" t="s">
        <v>270</v>
      </c>
      <c r="I573" s="196">
        <v>26763</v>
      </c>
      <c r="J573" s="197">
        <v>42784</v>
      </c>
      <c r="K573" s="198">
        <v>0.75026620370370367</v>
      </c>
      <c r="L573" s="197">
        <v>42787</v>
      </c>
      <c r="M573" s="196" t="s">
        <v>384</v>
      </c>
      <c r="N573" s="196" t="s">
        <v>385</v>
      </c>
      <c r="O573" s="196" t="s">
        <v>386</v>
      </c>
      <c r="P573" s="196" t="s">
        <v>343</v>
      </c>
      <c r="Q573" s="196" t="s">
        <v>275</v>
      </c>
      <c r="R573" s="196" t="s">
        <v>387</v>
      </c>
      <c r="S573" s="196" t="s">
        <v>156</v>
      </c>
      <c r="T573" s="196" t="s">
        <v>277</v>
      </c>
      <c r="U573" s="196">
        <v>2262</v>
      </c>
      <c r="V573" s="196" t="s">
        <v>156</v>
      </c>
      <c r="W573" s="196" t="s">
        <v>280</v>
      </c>
      <c r="X573" s="196">
        <v>19.641999999999999</v>
      </c>
      <c r="Y573" s="199">
        <v>0</v>
      </c>
      <c r="Z573" s="199">
        <v>2.16</v>
      </c>
      <c r="AA573" s="199">
        <v>42.41</v>
      </c>
      <c r="AB573" s="199">
        <v>-3.59</v>
      </c>
      <c r="AC573" s="199">
        <v>0</v>
      </c>
      <c r="AD573" s="199">
        <v>0</v>
      </c>
      <c r="AE573" s="199">
        <v>38.82</v>
      </c>
      <c r="AF573" s="199">
        <v>-4.71</v>
      </c>
      <c r="AG573" s="196" t="s">
        <v>279</v>
      </c>
      <c r="AH573" s="199">
        <v>0</v>
      </c>
      <c r="AI573" s="196" t="s">
        <v>279</v>
      </c>
      <c r="AJ573" s="199">
        <v>0</v>
      </c>
      <c r="AK573" s="196" t="s">
        <v>279</v>
      </c>
      <c r="AL573" s="199">
        <v>0</v>
      </c>
      <c r="AM573" s="196" t="s">
        <v>279</v>
      </c>
      <c r="AN573" s="199">
        <v>0</v>
      </c>
      <c r="AO573" s="196" t="s">
        <v>279</v>
      </c>
      <c r="AP573" s="199">
        <v>0</v>
      </c>
      <c r="AQ573" s="199">
        <v>42.41</v>
      </c>
      <c r="AR573" s="199">
        <v>0</v>
      </c>
      <c r="AS573" s="196" t="str">
        <f t="shared" si="9"/>
        <v>1.00000000</v>
      </c>
      <c r="AT573" s="196" t="str">
        <f>"26.5"</f>
        <v>26.5</v>
      </c>
      <c r="AU573" s="199">
        <v>0</v>
      </c>
    </row>
    <row r="574" spans="1:47" s="196" customFormat="1" x14ac:dyDescent="0.2">
      <c r="A574" s="196" t="str">
        <f t="shared" si="10"/>
        <v>0496002595700</v>
      </c>
      <c r="B574" s="196">
        <v>8</v>
      </c>
      <c r="C574" s="196" t="s">
        <v>156</v>
      </c>
      <c r="D574" s="196" t="s">
        <v>414</v>
      </c>
      <c r="E574" s="196">
        <v>47</v>
      </c>
      <c r="F574" s="196" t="s">
        <v>243</v>
      </c>
      <c r="G574" s="196">
        <v>2262</v>
      </c>
      <c r="H574" s="196" t="s">
        <v>270</v>
      </c>
      <c r="I574" s="196">
        <v>27167</v>
      </c>
      <c r="J574" s="197">
        <v>42790</v>
      </c>
      <c r="K574" s="198">
        <v>0.37637731481481485</v>
      </c>
      <c r="L574" s="197">
        <v>42794</v>
      </c>
      <c r="M574" s="196" t="s">
        <v>314</v>
      </c>
      <c r="N574" s="196" t="s">
        <v>415</v>
      </c>
      <c r="O574" s="196" t="s">
        <v>416</v>
      </c>
      <c r="P574" s="196" t="s">
        <v>417</v>
      </c>
      <c r="Q574" s="196" t="s">
        <v>275</v>
      </c>
      <c r="R574" s="196" t="s">
        <v>418</v>
      </c>
      <c r="S574" s="196" t="s">
        <v>156</v>
      </c>
      <c r="T574" s="196" t="s">
        <v>277</v>
      </c>
      <c r="U574" s="196">
        <v>2262</v>
      </c>
      <c r="V574" s="196" t="s">
        <v>156</v>
      </c>
      <c r="W574" s="196" t="s">
        <v>280</v>
      </c>
      <c r="X574" s="196">
        <v>16.468</v>
      </c>
      <c r="Y574" s="199">
        <v>0</v>
      </c>
      <c r="Z574" s="199">
        <v>2.16</v>
      </c>
      <c r="AA574" s="199">
        <v>35.549999999999997</v>
      </c>
      <c r="AB574" s="199">
        <v>-3.01</v>
      </c>
      <c r="AC574" s="199">
        <v>0</v>
      </c>
      <c r="AD574" s="199">
        <v>0</v>
      </c>
      <c r="AE574" s="199">
        <v>32.54</v>
      </c>
      <c r="AF574" s="199">
        <v>-3.95</v>
      </c>
      <c r="AG574" s="196" t="s">
        <v>279</v>
      </c>
      <c r="AH574" s="199">
        <v>0</v>
      </c>
      <c r="AI574" s="196" t="s">
        <v>279</v>
      </c>
      <c r="AJ574" s="199">
        <v>0</v>
      </c>
      <c r="AK574" s="196" t="s">
        <v>279</v>
      </c>
      <c r="AL574" s="199">
        <v>0</v>
      </c>
      <c r="AM574" s="196" t="s">
        <v>279</v>
      </c>
      <c r="AN574" s="199">
        <v>0</v>
      </c>
      <c r="AO574" s="196" t="s">
        <v>279</v>
      </c>
      <c r="AP574" s="199">
        <v>0</v>
      </c>
      <c r="AQ574" s="199">
        <v>35.549999999999997</v>
      </c>
      <c r="AR574" s="199">
        <v>0</v>
      </c>
      <c r="AS574" s="196" t="str">
        <f t="shared" si="9"/>
        <v>1.00000000</v>
      </c>
      <c r="AT574" s="196" t="str">
        <f>"24.5"</f>
        <v>24.5</v>
      </c>
      <c r="AU574" s="199">
        <v>0</v>
      </c>
    </row>
    <row r="575" spans="1:47" s="196" customFormat="1" x14ac:dyDescent="0.2">
      <c r="A575" s="196" t="str">
        <f t="shared" si="10"/>
        <v>0496002595700</v>
      </c>
      <c r="B575" s="196">
        <v>8</v>
      </c>
      <c r="C575" s="196" t="s">
        <v>156</v>
      </c>
      <c r="D575" s="196" t="s">
        <v>414</v>
      </c>
      <c r="E575" s="196">
        <v>47</v>
      </c>
      <c r="F575" s="196" t="s">
        <v>243</v>
      </c>
      <c r="G575" s="196">
        <v>2262</v>
      </c>
      <c r="H575" s="196" t="s">
        <v>270</v>
      </c>
      <c r="I575" s="196">
        <v>26000</v>
      </c>
      <c r="J575" s="197">
        <v>42814</v>
      </c>
      <c r="K575" s="198">
        <v>0.70000000000000007</v>
      </c>
      <c r="L575" s="197">
        <v>42816</v>
      </c>
      <c r="M575" s="196" t="s">
        <v>294</v>
      </c>
      <c r="N575" s="196" t="s">
        <v>379</v>
      </c>
      <c r="O575" s="196" t="s">
        <v>419</v>
      </c>
      <c r="P575" s="196" t="s">
        <v>420</v>
      </c>
      <c r="Q575" s="196" t="s">
        <v>275</v>
      </c>
      <c r="R575" s="196" t="s">
        <v>421</v>
      </c>
      <c r="S575" s="196" t="s">
        <v>156</v>
      </c>
      <c r="T575" s="196" t="s">
        <v>277</v>
      </c>
      <c r="U575" s="196">
        <v>2262</v>
      </c>
      <c r="V575" s="196" t="s">
        <v>156</v>
      </c>
      <c r="W575" s="196" t="s">
        <v>280</v>
      </c>
      <c r="X575" s="196">
        <v>19.600000000000001</v>
      </c>
      <c r="Y575" s="199">
        <v>0</v>
      </c>
      <c r="Z575" s="199">
        <v>2.2000000000000002</v>
      </c>
      <c r="AA575" s="199">
        <v>43.11</v>
      </c>
      <c r="AB575" s="199">
        <v>-3.59</v>
      </c>
      <c r="AC575" s="199">
        <v>0</v>
      </c>
      <c r="AD575" s="199">
        <v>0</v>
      </c>
      <c r="AE575" s="199">
        <v>39.520000000000003</v>
      </c>
      <c r="AF575" s="199">
        <v>-4.7</v>
      </c>
      <c r="AG575" s="196" t="s">
        <v>279</v>
      </c>
      <c r="AH575" s="199">
        <v>0</v>
      </c>
      <c r="AI575" s="196" t="s">
        <v>279</v>
      </c>
      <c r="AJ575" s="199">
        <v>0</v>
      </c>
      <c r="AK575" s="196" t="s">
        <v>279</v>
      </c>
      <c r="AL575" s="199">
        <v>0</v>
      </c>
      <c r="AM575" s="196" t="s">
        <v>279</v>
      </c>
      <c r="AN575" s="199">
        <v>0</v>
      </c>
      <c r="AO575" s="196" t="s">
        <v>279</v>
      </c>
      <c r="AP575" s="199">
        <v>0</v>
      </c>
      <c r="AQ575" s="199">
        <v>43.11</v>
      </c>
      <c r="AR575" s="199">
        <v>0</v>
      </c>
      <c r="AS575" s="196" t="str">
        <f t="shared" si="9"/>
        <v>1.00000000</v>
      </c>
      <c r="AT575" s="196" t="str">
        <f>"26.5"</f>
        <v>26.5</v>
      </c>
      <c r="AU575" s="199">
        <v>0</v>
      </c>
    </row>
    <row r="576" spans="1:47" s="196" customFormat="1" x14ac:dyDescent="0.2">
      <c r="A576" s="196" t="str">
        <f t="shared" si="10"/>
        <v>0496002595700</v>
      </c>
      <c r="B576" s="196">
        <v>8</v>
      </c>
      <c r="C576" s="196" t="s">
        <v>156</v>
      </c>
      <c r="D576" s="196" t="s">
        <v>414</v>
      </c>
      <c r="E576" s="196">
        <v>47</v>
      </c>
      <c r="F576" s="196" t="s">
        <v>243</v>
      </c>
      <c r="G576" s="196">
        <v>2262</v>
      </c>
      <c r="H576" s="196" t="s">
        <v>270</v>
      </c>
      <c r="I576" s="196">
        <v>28454</v>
      </c>
      <c r="J576" s="197">
        <v>42848</v>
      </c>
      <c r="K576" s="198">
        <v>3.8194444444444441E-2</v>
      </c>
      <c r="L576" s="197">
        <v>42850</v>
      </c>
      <c r="M576" s="196" t="s">
        <v>271</v>
      </c>
      <c r="N576" s="196" t="s">
        <v>422</v>
      </c>
      <c r="O576" s="196" t="s">
        <v>423</v>
      </c>
      <c r="P576" s="196" t="s">
        <v>424</v>
      </c>
      <c r="Q576" s="196" t="s">
        <v>275</v>
      </c>
      <c r="R576" s="196">
        <v>1267</v>
      </c>
      <c r="S576" s="196" t="s">
        <v>156</v>
      </c>
      <c r="T576" s="196" t="s">
        <v>277</v>
      </c>
      <c r="U576" s="196">
        <v>2262</v>
      </c>
      <c r="V576" s="196" t="s">
        <v>156</v>
      </c>
      <c r="W576" s="196" t="s">
        <v>280</v>
      </c>
      <c r="X576" s="196">
        <v>18.971</v>
      </c>
      <c r="Y576" s="199">
        <v>-0.38</v>
      </c>
      <c r="Z576" s="199">
        <v>2.4500000000000002</v>
      </c>
      <c r="AA576" s="199">
        <v>46.46</v>
      </c>
      <c r="AB576" s="199">
        <v>-3.47</v>
      </c>
      <c r="AC576" s="199">
        <v>0</v>
      </c>
      <c r="AD576" s="199">
        <v>0</v>
      </c>
      <c r="AE576" s="199">
        <v>42.61</v>
      </c>
      <c r="AF576" s="199">
        <v>-4.55</v>
      </c>
      <c r="AG576" s="196" t="s">
        <v>279</v>
      </c>
      <c r="AH576" s="199">
        <v>0</v>
      </c>
      <c r="AI576" s="196" t="s">
        <v>279</v>
      </c>
      <c r="AJ576" s="199">
        <v>0</v>
      </c>
      <c r="AK576" s="196" t="s">
        <v>279</v>
      </c>
      <c r="AL576" s="199">
        <v>0</v>
      </c>
      <c r="AM576" s="196" t="s">
        <v>279</v>
      </c>
      <c r="AN576" s="199">
        <v>0</v>
      </c>
      <c r="AO576" s="196" t="s">
        <v>279</v>
      </c>
      <c r="AP576" s="199">
        <v>0</v>
      </c>
      <c r="AQ576" s="199">
        <v>46.46</v>
      </c>
      <c r="AR576" s="199">
        <v>0</v>
      </c>
      <c r="AS576" s="196" t="str">
        <f t="shared" si="9"/>
        <v>1.00000000</v>
      </c>
      <c r="AT576" s="196" t="str">
        <f>"26.5"</f>
        <v>26.5</v>
      </c>
      <c r="AU576" s="199">
        <v>0</v>
      </c>
    </row>
    <row r="577" spans="1:47" s="196" customFormat="1" x14ac:dyDescent="0.2">
      <c r="A577" s="196" t="str">
        <f t="shared" si="10"/>
        <v>0496002595700</v>
      </c>
      <c r="B577" s="196">
        <v>8</v>
      </c>
      <c r="C577" s="196" t="s">
        <v>156</v>
      </c>
      <c r="D577" s="196" t="s">
        <v>414</v>
      </c>
      <c r="E577" s="196">
        <v>47</v>
      </c>
      <c r="F577" s="196" t="s">
        <v>243</v>
      </c>
      <c r="G577" s="196">
        <v>2262</v>
      </c>
      <c r="H577" s="196" t="s">
        <v>270</v>
      </c>
      <c r="I577" s="196">
        <v>28734</v>
      </c>
      <c r="J577" s="197">
        <v>42852</v>
      </c>
      <c r="K577" s="198">
        <v>0.86597222222222225</v>
      </c>
      <c r="L577" s="197">
        <v>42856</v>
      </c>
      <c r="M577" s="196" t="s">
        <v>285</v>
      </c>
      <c r="N577" s="196" t="s">
        <v>399</v>
      </c>
      <c r="O577" s="196" t="s">
        <v>400</v>
      </c>
      <c r="P577" s="196" t="s">
        <v>274</v>
      </c>
      <c r="Q577" s="196" t="s">
        <v>275</v>
      </c>
      <c r="R577" s="196" t="s">
        <v>401</v>
      </c>
      <c r="S577" s="196" t="s">
        <v>156</v>
      </c>
      <c r="T577" s="196" t="s">
        <v>277</v>
      </c>
      <c r="U577" s="196">
        <v>2262</v>
      </c>
      <c r="V577" s="196" t="s">
        <v>156</v>
      </c>
      <c r="W577" s="196" t="s">
        <v>280</v>
      </c>
      <c r="X577" s="196">
        <v>12.941000000000001</v>
      </c>
      <c r="Y577" s="199">
        <v>0</v>
      </c>
      <c r="Z577" s="199">
        <v>2.36</v>
      </c>
      <c r="AA577" s="199">
        <v>30.53</v>
      </c>
      <c r="AB577" s="199">
        <v>-2.37</v>
      </c>
      <c r="AC577" s="199">
        <v>0</v>
      </c>
      <c r="AD577" s="199">
        <v>0</v>
      </c>
      <c r="AE577" s="199">
        <v>28.16</v>
      </c>
      <c r="AF577" s="199">
        <v>-3.11</v>
      </c>
      <c r="AG577" s="196" t="s">
        <v>279</v>
      </c>
      <c r="AH577" s="199">
        <v>0</v>
      </c>
      <c r="AI577" s="196" t="s">
        <v>279</v>
      </c>
      <c r="AJ577" s="199">
        <v>0</v>
      </c>
      <c r="AK577" s="196" t="s">
        <v>279</v>
      </c>
      <c r="AL577" s="199">
        <v>0</v>
      </c>
      <c r="AM577" s="196" t="s">
        <v>279</v>
      </c>
      <c r="AN577" s="199">
        <v>0</v>
      </c>
      <c r="AO577" s="196" t="s">
        <v>279</v>
      </c>
      <c r="AP577" s="199">
        <v>0</v>
      </c>
      <c r="AQ577" s="199">
        <v>30.53</v>
      </c>
      <c r="AR577" s="199">
        <v>0</v>
      </c>
      <c r="AS577" s="196" t="str">
        <f t="shared" si="9"/>
        <v>1.00000000</v>
      </c>
      <c r="AT577" s="196" t="str">
        <f>"26.5"</f>
        <v>26.5</v>
      </c>
      <c r="AU577" s="199">
        <v>0</v>
      </c>
    </row>
    <row r="578" spans="1:47" s="196" customFormat="1" x14ac:dyDescent="0.2">
      <c r="A578" s="196" t="str">
        <f t="shared" si="10"/>
        <v>0496002595700</v>
      </c>
      <c r="B578" s="196">
        <v>8</v>
      </c>
      <c r="C578" s="196" t="s">
        <v>156</v>
      </c>
      <c r="D578" s="196" t="s">
        <v>414</v>
      </c>
      <c r="E578" s="196">
        <v>47</v>
      </c>
      <c r="F578" s="196" t="s">
        <v>243</v>
      </c>
      <c r="G578" s="196">
        <v>2262</v>
      </c>
      <c r="H578" s="196" t="s">
        <v>270</v>
      </c>
      <c r="I578" s="196">
        <v>29152</v>
      </c>
      <c r="J578" s="197">
        <v>42855</v>
      </c>
      <c r="K578" s="198">
        <v>0.64131944444444444</v>
      </c>
      <c r="L578" s="197">
        <v>42857</v>
      </c>
      <c r="M578" s="196" t="s">
        <v>310</v>
      </c>
      <c r="N578" s="196" t="s">
        <v>425</v>
      </c>
      <c r="O578" s="196" t="s">
        <v>426</v>
      </c>
      <c r="P578" s="196" t="s">
        <v>427</v>
      </c>
      <c r="Q578" s="196" t="s">
        <v>377</v>
      </c>
      <c r="R578" s="196">
        <v>5733</v>
      </c>
      <c r="S578" s="196" t="s">
        <v>156</v>
      </c>
      <c r="T578" s="196" t="s">
        <v>277</v>
      </c>
      <c r="U578" s="196">
        <v>2262</v>
      </c>
      <c r="V578" s="196" t="s">
        <v>156</v>
      </c>
      <c r="W578" s="196" t="s">
        <v>280</v>
      </c>
      <c r="X578" s="196">
        <v>17.48</v>
      </c>
      <c r="Y578" s="199">
        <v>0</v>
      </c>
      <c r="Z578" s="199">
        <v>2.3199999999999998</v>
      </c>
      <c r="AA578" s="199">
        <v>40.54</v>
      </c>
      <c r="AB578" s="199">
        <v>-3.2</v>
      </c>
      <c r="AC578" s="199">
        <v>0</v>
      </c>
      <c r="AD578" s="199">
        <v>0</v>
      </c>
      <c r="AE578" s="199">
        <v>37.340000000000003</v>
      </c>
      <c r="AF578" s="199">
        <v>-4.1900000000000004</v>
      </c>
      <c r="AG578" s="196" t="s">
        <v>279</v>
      </c>
      <c r="AH578" s="199">
        <v>0</v>
      </c>
      <c r="AI578" s="196" t="s">
        <v>279</v>
      </c>
      <c r="AJ578" s="199">
        <v>0</v>
      </c>
      <c r="AK578" s="196" t="s">
        <v>279</v>
      </c>
      <c r="AL578" s="199">
        <v>0</v>
      </c>
      <c r="AM578" s="196" t="s">
        <v>279</v>
      </c>
      <c r="AN578" s="199">
        <v>0</v>
      </c>
      <c r="AO578" s="196" t="s">
        <v>279</v>
      </c>
      <c r="AP578" s="199">
        <v>0</v>
      </c>
      <c r="AQ578" s="199">
        <v>40.54</v>
      </c>
      <c r="AR578" s="199">
        <v>0</v>
      </c>
      <c r="AS578" s="196" t="str">
        <f t="shared" ref="AS578:AS641" si="12">"1.00000000"</f>
        <v>1.00000000</v>
      </c>
      <c r="AT578" s="196" t="str">
        <f>"23.9"</f>
        <v>23.9</v>
      </c>
      <c r="AU578" s="199">
        <v>0</v>
      </c>
    </row>
    <row r="579" spans="1:47" s="196" customFormat="1" x14ac:dyDescent="0.2">
      <c r="A579" s="196" t="str">
        <f t="shared" si="10"/>
        <v>0496002595700</v>
      </c>
      <c r="B579" s="196">
        <v>8</v>
      </c>
      <c r="C579" s="196" t="s">
        <v>156</v>
      </c>
      <c r="D579" s="196" t="s">
        <v>414</v>
      </c>
      <c r="E579" s="196">
        <v>47</v>
      </c>
      <c r="F579" s="196" t="s">
        <v>243</v>
      </c>
      <c r="G579" s="196">
        <v>2262</v>
      </c>
      <c r="H579" s="196" t="s">
        <v>270</v>
      </c>
      <c r="I579" s="196">
        <v>29420</v>
      </c>
      <c r="J579" s="197">
        <v>42865</v>
      </c>
      <c r="K579" s="198">
        <v>0.44930555555555557</v>
      </c>
      <c r="L579" s="197">
        <v>42867</v>
      </c>
      <c r="M579" s="196" t="s">
        <v>271</v>
      </c>
      <c r="N579" s="196" t="s">
        <v>272</v>
      </c>
      <c r="O579" s="196" t="s">
        <v>273</v>
      </c>
      <c r="P579" s="196" t="s">
        <v>274</v>
      </c>
      <c r="Q579" s="196" t="s">
        <v>275</v>
      </c>
      <c r="R579" s="196" t="s">
        <v>276</v>
      </c>
      <c r="S579" s="196" t="s">
        <v>156</v>
      </c>
      <c r="T579" s="196" t="s">
        <v>277</v>
      </c>
      <c r="U579" s="196">
        <v>2262</v>
      </c>
      <c r="V579" s="196" t="s">
        <v>156</v>
      </c>
      <c r="W579" s="196" t="s">
        <v>278</v>
      </c>
      <c r="X579" s="196">
        <v>14.058999999999999</v>
      </c>
      <c r="Y579" s="199">
        <v>-0.28000000000000003</v>
      </c>
      <c r="Z579" s="199">
        <v>2.75</v>
      </c>
      <c r="AA579" s="199">
        <v>38.65</v>
      </c>
      <c r="AB579" s="199">
        <v>-2.57</v>
      </c>
      <c r="AC579" s="199">
        <v>0</v>
      </c>
      <c r="AD579" s="199">
        <v>0</v>
      </c>
      <c r="AE579" s="199">
        <v>35.799999999999997</v>
      </c>
      <c r="AF579" s="199">
        <v>-3.37</v>
      </c>
      <c r="AG579" s="196" t="s">
        <v>279</v>
      </c>
      <c r="AH579" s="199">
        <v>0</v>
      </c>
      <c r="AI579" s="196" t="s">
        <v>279</v>
      </c>
      <c r="AJ579" s="199">
        <v>0</v>
      </c>
      <c r="AK579" s="196" t="s">
        <v>279</v>
      </c>
      <c r="AL579" s="199">
        <v>0</v>
      </c>
      <c r="AM579" s="196" t="s">
        <v>279</v>
      </c>
      <c r="AN579" s="199">
        <v>0</v>
      </c>
      <c r="AO579" s="196" t="s">
        <v>279</v>
      </c>
      <c r="AP579" s="199">
        <v>0</v>
      </c>
      <c r="AQ579" s="199">
        <v>38.65</v>
      </c>
      <c r="AR579" s="199">
        <v>0</v>
      </c>
      <c r="AS579" s="196" t="str">
        <f t="shared" si="12"/>
        <v>1.00000000</v>
      </c>
      <c r="AT579" s="196" t="str">
        <f>"26.5"</f>
        <v>26.5</v>
      </c>
      <c r="AU579" s="199">
        <v>0</v>
      </c>
    </row>
    <row r="580" spans="1:47" s="196" customFormat="1" x14ac:dyDescent="0.2">
      <c r="A580" s="196" t="str">
        <f t="shared" si="10"/>
        <v>0496002595700</v>
      </c>
      <c r="B580" s="196">
        <v>8</v>
      </c>
      <c r="C580" s="196" t="s">
        <v>156</v>
      </c>
      <c r="D580" s="196">
        <v>47</v>
      </c>
      <c r="E580" s="196">
        <v>47</v>
      </c>
      <c r="F580" s="196" t="s">
        <v>243</v>
      </c>
      <c r="G580" s="196">
        <v>2262</v>
      </c>
      <c r="H580" s="196" t="s">
        <v>270</v>
      </c>
      <c r="I580" s="196">
        <v>29743</v>
      </c>
      <c r="J580" s="197">
        <v>42880</v>
      </c>
      <c r="K580" s="198">
        <v>0.3430555555555555</v>
      </c>
      <c r="L580" s="197">
        <v>42884</v>
      </c>
      <c r="M580" s="196" t="s">
        <v>271</v>
      </c>
      <c r="N580" s="196" t="s">
        <v>272</v>
      </c>
      <c r="O580" s="196" t="s">
        <v>273</v>
      </c>
      <c r="P580" s="196" t="s">
        <v>274</v>
      </c>
      <c r="Q580" s="196" t="s">
        <v>275</v>
      </c>
      <c r="R580" s="196" t="s">
        <v>276</v>
      </c>
      <c r="S580" s="196" t="s">
        <v>156</v>
      </c>
      <c r="T580" s="196" t="s">
        <v>277</v>
      </c>
      <c r="U580" s="196">
        <v>2262</v>
      </c>
      <c r="V580" s="196" t="s">
        <v>156</v>
      </c>
      <c r="W580" s="196" t="s">
        <v>280</v>
      </c>
      <c r="X580" s="196">
        <v>8.8260000000000005</v>
      </c>
      <c r="Y580" s="199">
        <v>-0.18</v>
      </c>
      <c r="Z580" s="199">
        <v>2.4300000000000002</v>
      </c>
      <c r="AA580" s="199">
        <v>21.44</v>
      </c>
      <c r="AB580" s="199">
        <v>-1.62</v>
      </c>
      <c r="AC580" s="199">
        <v>0</v>
      </c>
      <c r="AD580" s="199">
        <v>0</v>
      </c>
      <c r="AE580" s="199">
        <v>19.64</v>
      </c>
      <c r="AF580" s="199">
        <v>-2.12</v>
      </c>
      <c r="AG580" s="196" t="s">
        <v>279</v>
      </c>
      <c r="AH580" s="199">
        <v>0</v>
      </c>
      <c r="AI580" s="196" t="s">
        <v>279</v>
      </c>
      <c r="AJ580" s="199">
        <v>0</v>
      </c>
      <c r="AK580" s="196" t="s">
        <v>279</v>
      </c>
      <c r="AL580" s="199">
        <v>0</v>
      </c>
      <c r="AM580" s="196" t="s">
        <v>279</v>
      </c>
      <c r="AN580" s="199">
        <v>0</v>
      </c>
      <c r="AO580" s="196" t="s">
        <v>279</v>
      </c>
      <c r="AP580" s="199">
        <v>0</v>
      </c>
      <c r="AQ580" s="199">
        <v>21.44</v>
      </c>
      <c r="AR580" s="199">
        <v>0</v>
      </c>
      <c r="AS580" s="196" t="str">
        <f t="shared" si="12"/>
        <v>1.00000000</v>
      </c>
      <c r="AT580" s="196" t="str">
        <f>"24.8"</f>
        <v>24.8</v>
      </c>
      <c r="AU580" s="199">
        <v>0</v>
      </c>
    </row>
    <row r="581" spans="1:47" s="196" customFormat="1" x14ac:dyDescent="0.2">
      <c r="A581" s="196" t="str">
        <f t="shared" si="10"/>
        <v>0496002595700</v>
      </c>
      <c r="B581" s="196">
        <v>8</v>
      </c>
      <c r="C581" s="196" t="s">
        <v>156</v>
      </c>
      <c r="D581" s="196">
        <v>47</v>
      </c>
      <c r="E581" s="196">
        <v>47</v>
      </c>
      <c r="F581" s="196" t="s">
        <v>243</v>
      </c>
      <c r="G581" s="196">
        <v>2262</v>
      </c>
      <c r="H581" s="196" t="s">
        <v>270</v>
      </c>
      <c r="I581" s="196">
        <v>29836</v>
      </c>
      <c r="J581" s="197">
        <v>42881</v>
      </c>
      <c r="K581" s="198">
        <v>0.34513888888888888</v>
      </c>
      <c r="L581" s="197">
        <v>42885</v>
      </c>
      <c r="M581" s="196" t="s">
        <v>271</v>
      </c>
      <c r="N581" s="196" t="s">
        <v>272</v>
      </c>
      <c r="O581" s="196" t="s">
        <v>273</v>
      </c>
      <c r="P581" s="196" t="s">
        <v>274</v>
      </c>
      <c r="Q581" s="196" t="s">
        <v>275</v>
      </c>
      <c r="R581" s="196" t="s">
        <v>276</v>
      </c>
      <c r="S581" s="196" t="s">
        <v>156</v>
      </c>
      <c r="T581" s="196" t="s">
        <v>277</v>
      </c>
      <c r="U581" s="196">
        <v>2262</v>
      </c>
      <c r="V581" s="196" t="s">
        <v>156</v>
      </c>
      <c r="W581" s="196" t="s">
        <v>280</v>
      </c>
      <c r="X581" s="196">
        <v>7.9080000000000004</v>
      </c>
      <c r="Y581" s="199">
        <v>-0.16</v>
      </c>
      <c r="Z581" s="199">
        <v>2.4300000000000002</v>
      </c>
      <c r="AA581" s="199">
        <v>19.21</v>
      </c>
      <c r="AB581" s="199">
        <v>-1.45</v>
      </c>
      <c r="AC581" s="199">
        <v>0</v>
      </c>
      <c r="AD581" s="199">
        <v>0</v>
      </c>
      <c r="AE581" s="199">
        <v>17.600000000000001</v>
      </c>
      <c r="AF581" s="199">
        <v>-1.9</v>
      </c>
      <c r="AG581" s="196" t="s">
        <v>279</v>
      </c>
      <c r="AH581" s="199">
        <v>0</v>
      </c>
      <c r="AI581" s="196" t="s">
        <v>279</v>
      </c>
      <c r="AJ581" s="199">
        <v>0</v>
      </c>
      <c r="AK581" s="196" t="s">
        <v>279</v>
      </c>
      <c r="AL581" s="199">
        <v>0</v>
      </c>
      <c r="AM581" s="196" t="s">
        <v>279</v>
      </c>
      <c r="AN581" s="199">
        <v>0</v>
      </c>
      <c r="AO581" s="196" t="s">
        <v>279</v>
      </c>
      <c r="AP581" s="199">
        <v>0</v>
      </c>
      <c r="AQ581" s="199">
        <v>19.21</v>
      </c>
      <c r="AR581" s="199">
        <v>0</v>
      </c>
      <c r="AS581" s="196" t="str">
        <f t="shared" si="12"/>
        <v>1.00000000</v>
      </c>
      <c r="AT581" s="196" t="str">
        <f>"26.4"</f>
        <v>26.4</v>
      </c>
      <c r="AU581" s="199">
        <v>0</v>
      </c>
    </row>
    <row r="582" spans="1:47" s="196" customFormat="1" x14ac:dyDescent="0.2">
      <c r="A582" s="196" t="str">
        <f t="shared" si="10"/>
        <v>0496002595700</v>
      </c>
      <c r="B582" s="196">
        <v>8</v>
      </c>
      <c r="C582" s="196" t="s">
        <v>156</v>
      </c>
      <c r="D582" s="196">
        <v>47</v>
      </c>
      <c r="E582" s="196">
        <v>47</v>
      </c>
      <c r="F582" s="196" t="s">
        <v>243</v>
      </c>
      <c r="G582" s="196">
        <v>2262</v>
      </c>
      <c r="H582" s="196" t="s">
        <v>270</v>
      </c>
      <c r="I582" s="196">
        <v>29955</v>
      </c>
      <c r="J582" s="197">
        <v>42885</v>
      </c>
      <c r="K582" s="198">
        <v>0.39069444444444446</v>
      </c>
      <c r="L582" s="197">
        <v>42887</v>
      </c>
      <c r="M582" s="196" t="s">
        <v>396</v>
      </c>
      <c r="N582" s="196" t="s">
        <v>397</v>
      </c>
      <c r="O582" s="196" t="s">
        <v>398</v>
      </c>
      <c r="P582" s="196" t="s">
        <v>343</v>
      </c>
      <c r="Q582" s="196" t="s">
        <v>275</v>
      </c>
      <c r="R582" s="196">
        <v>1035</v>
      </c>
      <c r="S582" s="196" t="s">
        <v>156</v>
      </c>
      <c r="T582" s="196" t="s">
        <v>277</v>
      </c>
      <c r="U582" s="196">
        <v>2262</v>
      </c>
      <c r="V582" s="196" t="s">
        <v>156</v>
      </c>
      <c r="W582" s="196" t="s">
        <v>280</v>
      </c>
      <c r="X582" s="196">
        <v>11.148</v>
      </c>
      <c r="Y582" s="199">
        <v>0</v>
      </c>
      <c r="Z582" s="199">
        <v>2.4</v>
      </c>
      <c r="AA582" s="199">
        <v>26.74</v>
      </c>
      <c r="AB582" s="199">
        <v>-2.04</v>
      </c>
      <c r="AC582" s="199">
        <v>0</v>
      </c>
      <c r="AD582" s="199">
        <v>0</v>
      </c>
      <c r="AE582" s="199">
        <v>24.7</v>
      </c>
      <c r="AF582" s="199">
        <v>-2.68</v>
      </c>
      <c r="AG582" s="196" t="s">
        <v>279</v>
      </c>
      <c r="AH582" s="199">
        <v>0</v>
      </c>
      <c r="AI582" s="196" t="s">
        <v>279</v>
      </c>
      <c r="AJ582" s="199">
        <v>0</v>
      </c>
      <c r="AK582" s="196" t="s">
        <v>279</v>
      </c>
      <c r="AL582" s="199">
        <v>0</v>
      </c>
      <c r="AM582" s="196" t="s">
        <v>279</v>
      </c>
      <c r="AN582" s="199">
        <v>0</v>
      </c>
      <c r="AO582" s="196" t="s">
        <v>279</v>
      </c>
      <c r="AP582" s="199">
        <v>0</v>
      </c>
      <c r="AQ582" s="199">
        <v>26.74</v>
      </c>
      <c r="AR582" s="199">
        <v>0</v>
      </c>
      <c r="AS582" s="196" t="str">
        <f t="shared" si="12"/>
        <v>1.00000000</v>
      </c>
      <c r="AT582" s="196" t="str">
        <f>"26.5"</f>
        <v>26.5</v>
      </c>
      <c r="AU582" s="199">
        <v>0</v>
      </c>
    </row>
    <row r="583" spans="1:47" s="196" customFormat="1" x14ac:dyDescent="0.2">
      <c r="A583" s="196" t="str">
        <f t="shared" si="10"/>
        <v>0496002595700</v>
      </c>
      <c r="B583" s="196">
        <v>8</v>
      </c>
      <c r="C583" s="196" t="s">
        <v>156</v>
      </c>
      <c r="D583" s="196">
        <v>47</v>
      </c>
      <c r="E583" s="196">
        <v>47</v>
      </c>
      <c r="F583" s="196" t="s">
        <v>243</v>
      </c>
      <c r="G583" s="196">
        <v>2262</v>
      </c>
      <c r="H583" s="196" t="s">
        <v>270</v>
      </c>
      <c r="I583" s="196">
        <v>30605</v>
      </c>
      <c r="J583" s="197">
        <v>42887</v>
      </c>
      <c r="K583" s="198">
        <v>0.24652777777777779</v>
      </c>
      <c r="L583" s="197">
        <v>42891</v>
      </c>
      <c r="M583" s="196" t="s">
        <v>325</v>
      </c>
      <c r="N583" s="196" t="s">
        <v>326</v>
      </c>
      <c r="O583" s="196" t="s">
        <v>428</v>
      </c>
      <c r="P583" s="196" t="s">
        <v>428</v>
      </c>
      <c r="Q583" s="196" t="s">
        <v>329</v>
      </c>
      <c r="R583" s="196">
        <v>10974</v>
      </c>
      <c r="S583" s="196" t="s">
        <v>156</v>
      </c>
      <c r="T583" s="196" t="s">
        <v>277</v>
      </c>
      <c r="U583" s="196">
        <v>2262</v>
      </c>
      <c r="V583" s="196" t="s">
        <v>156</v>
      </c>
      <c r="W583" s="196" t="s">
        <v>330</v>
      </c>
      <c r="X583" s="196">
        <v>11.592000000000001</v>
      </c>
      <c r="Y583" s="199">
        <v>0</v>
      </c>
      <c r="Z583" s="199">
        <v>2.72</v>
      </c>
      <c r="AA583" s="199">
        <v>31.52</v>
      </c>
      <c r="AB583" s="199">
        <v>-2.12</v>
      </c>
      <c r="AC583" s="199">
        <v>0</v>
      </c>
      <c r="AD583" s="199">
        <v>0</v>
      </c>
      <c r="AE583" s="199">
        <v>29.4</v>
      </c>
      <c r="AF583" s="199">
        <v>-3.74</v>
      </c>
      <c r="AG583" s="196" t="s">
        <v>279</v>
      </c>
      <c r="AH583" s="199">
        <v>0</v>
      </c>
      <c r="AI583" s="196" t="s">
        <v>279</v>
      </c>
      <c r="AJ583" s="199">
        <v>0</v>
      </c>
      <c r="AK583" s="196" t="s">
        <v>279</v>
      </c>
      <c r="AL583" s="199">
        <v>0</v>
      </c>
      <c r="AM583" s="196" t="s">
        <v>279</v>
      </c>
      <c r="AN583" s="199">
        <v>0</v>
      </c>
      <c r="AO583" s="196" t="s">
        <v>279</v>
      </c>
      <c r="AP583" s="199">
        <v>0</v>
      </c>
      <c r="AQ583" s="199">
        <v>31.52</v>
      </c>
      <c r="AR583" s="199">
        <v>0</v>
      </c>
      <c r="AS583" s="196" t="str">
        <f t="shared" si="12"/>
        <v>1.00000000</v>
      </c>
      <c r="AT583" s="196" t="str">
        <f>"26.5"</f>
        <v>26.5</v>
      </c>
      <c r="AU583" s="199">
        <v>0</v>
      </c>
    </row>
    <row r="584" spans="1:47" s="196" customFormat="1" x14ac:dyDescent="0.2">
      <c r="A584" s="196" t="str">
        <f t="shared" si="10"/>
        <v>0496002595700</v>
      </c>
      <c r="B584" s="196">
        <v>8</v>
      </c>
      <c r="C584" s="196" t="s">
        <v>156</v>
      </c>
      <c r="D584" s="196">
        <v>47</v>
      </c>
      <c r="E584" s="196">
        <v>47</v>
      </c>
      <c r="F584" s="196" t="s">
        <v>243</v>
      </c>
      <c r="G584" s="196">
        <v>2262</v>
      </c>
      <c r="H584" s="196" t="s">
        <v>270</v>
      </c>
      <c r="I584" s="196">
        <v>30899</v>
      </c>
      <c r="J584" s="197">
        <v>42888</v>
      </c>
      <c r="K584" s="198">
        <v>0.34984953703703708</v>
      </c>
      <c r="L584" s="197">
        <v>42892</v>
      </c>
      <c r="M584" s="196" t="s">
        <v>314</v>
      </c>
      <c r="N584" s="196" t="s">
        <v>415</v>
      </c>
      <c r="O584" s="196" t="s">
        <v>416</v>
      </c>
      <c r="P584" s="196" t="s">
        <v>417</v>
      </c>
      <c r="Q584" s="196" t="s">
        <v>275</v>
      </c>
      <c r="R584" s="196" t="s">
        <v>418</v>
      </c>
      <c r="S584" s="196" t="s">
        <v>156</v>
      </c>
      <c r="T584" s="196" t="s">
        <v>277</v>
      </c>
      <c r="U584" s="196">
        <v>2262</v>
      </c>
      <c r="V584" s="196" t="s">
        <v>156</v>
      </c>
      <c r="W584" s="196" t="s">
        <v>280</v>
      </c>
      <c r="X584" s="196">
        <v>11.706</v>
      </c>
      <c r="Y584" s="199">
        <v>0</v>
      </c>
      <c r="Z584" s="199">
        <v>2.2999999999999998</v>
      </c>
      <c r="AA584" s="199">
        <v>26.91</v>
      </c>
      <c r="AB584" s="199">
        <v>-2.14</v>
      </c>
      <c r="AC584" s="199">
        <v>0</v>
      </c>
      <c r="AD584" s="199">
        <v>0</v>
      </c>
      <c r="AE584" s="199">
        <v>24.77</v>
      </c>
      <c r="AF584" s="199">
        <v>-2.81</v>
      </c>
      <c r="AG584" s="196" t="s">
        <v>279</v>
      </c>
      <c r="AH584" s="199">
        <v>0</v>
      </c>
      <c r="AI584" s="196" t="s">
        <v>279</v>
      </c>
      <c r="AJ584" s="199">
        <v>0</v>
      </c>
      <c r="AK584" s="196" t="s">
        <v>279</v>
      </c>
      <c r="AL584" s="199">
        <v>0</v>
      </c>
      <c r="AM584" s="196" t="s">
        <v>279</v>
      </c>
      <c r="AN584" s="199">
        <v>0</v>
      </c>
      <c r="AO584" s="196" t="s">
        <v>279</v>
      </c>
      <c r="AP584" s="199">
        <v>0</v>
      </c>
      <c r="AQ584" s="199">
        <v>26.91</v>
      </c>
      <c r="AR584" s="199">
        <v>0</v>
      </c>
      <c r="AS584" s="196" t="str">
        <f t="shared" si="12"/>
        <v>1.00000000</v>
      </c>
      <c r="AT584" s="196" t="str">
        <f>"25.1"</f>
        <v>25.1</v>
      </c>
      <c r="AU584" s="199">
        <v>0</v>
      </c>
    </row>
    <row r="585" spans="1:47" s="196" customFormat="1" x14ac:dyDescent="0.2">
      <c r="A585" s="196" t="str">
        <f t="shared" si="10"/>
        <v>0496002595700</v>
      </c>
      <c r="B585" s="196">
        <v>8</v>
      </c>
      <c r="C585" s="196" t="s">
        <v>156</v>
      </c>
      <c r="D585" s="196">
        <v>47</v>
      </c>
      <c r="E585" s="196">
        <v>47</v>
      </c>
      <c r="F585" s="196" t="s">
        <v>243</v>
      </c>
      <c r="G585" s="196">
        <v>2262</v>
      </c>
      <c r="H585" s="196" t="s">
        <v>270</v>
      </c>
      <c r="I585" s="196">
        <v>31252</v>
      </c>
      <c r="J585" s="197">
        <v>42896</v>
      </c>
      <c r="K585" s="198">
        <v>0.81388888888888899</v>
      </c>
      <c r="L585" s="197">
        <v>42899</v>
      </c>
      <c r="M585" s="196" t="s">
        <v>302</v>
      </c>
      <c r="N585" s="196" t="s">
        <v>429</v>
      </c>
      <c r="O585" s="196" t="s">
        <v>430</v>
      </c>
      <c r="P585" s="196" t="s">
        <v>431</v>
      </c>
      <c r="Q585" s="196" t="s">
        <v>329</v>
      </c>
      <c r="R585" s="196">
        <v>11576</v>
      </c>
      <c r="S585" s="196" t="s">
        <v>156</v>
      </c>
      <c r="T585" s="196" t="s">
        <v>277</v>
      </c>
      <c r="U585" s="196">
        <v>2262</v>
      </c>
      <c r="V585" s="196" t="s">
        <v>156</v>
      </c>
      <c r="W585" s="196" t="s">
        <v>280</v>
      </c>
      <c r="X585" s="196">
        <v>15.452</v>
      </c>
      <c r="Y585" s="199">
        <v>0</v>
      </c>
      <c r="Z585" s="199">
        <v>2.62</v>
      </c>
      <c r="AA585" s="199">
        <v>40.47</v>
      </c>
      <c r="AB585" s="199">
        <v>-2.83</v>
      </c>
      <c r="AC585" s="199">
        <v>0</v>
      </c>
      <c r="AD585" s="199">
        <v>0</v>
      </c>
      <c r="AE585" s="199">
        <v>37.64</v>
      </c>
      <c r="AF585" s="199">
        <v>-6.64</v>
      </c>
      <c r="AG585" s="196" t="s">
        <v>279</v>
      </c>
      <c r="AH585" s="199">
        <v>0</v>
      </c>
      <c r="AI585" s="196" t="s">
        <v>279</v>
      </c>
      <c r="AJ585" s="199">
        <v>0</v>
      </c>
      <c r="AK585" s="196" t="s">
        <v>279</v>
      </c>
      <c r="AL585" s="199">
        <v>0</v>
      </c>
      <c r="AM585" s="196" t="s">
        <v>279</v>
      </c>
      <c r="AN585" s="199">
        <v>0</v>
      </c>
      <c r="AO585" s="196" t="s">
        <v>279</v>
      </c>
      <c r="AP585" s="199">
        <v>0</v>
      </c>
      <c r="AQ585" s="199">
        <v>40.47</v>
      </c>
      <c r="AR585" s="199">
        <v>0</v>
      </c>
      <c r="AS585" s="196" t="str">
        <f t="shared" si="12"/>
        <v>1.00000000</v>
      </c>
      <c r="AT585" s="196" t="str">
        <f>"26.5"</f>
        <v>26.5</v>
      </c>
      <c r="AU585" s="199">
        <v>0</v>
      </c>
    </row>
    <row r="586" spans="1:47" s="196" customFormat="1" x14ac:dyDescent="0.2">
      <c r="A586" s="196" t="str">
        <f t="shared" ref="A586:A590" si="13">"0496002595700"</f>
        <v>0496002595700</v>
      </c>
      <c r="B586" s="196">
        <v>8</v>
      </c>
      <c r="C586" s="196" t="s">
        <v>156</v>
      </c>
      <c r="D586" s="196">
        <v>47</v>
      </c>
      <c r="E586" s="196">
        <v>47</v>
      </c>
      <c r="F586" s="196" t="s">
        <v>243</v>
      </c>
      <c r="G586" s="196">
        <v>2262</v>
      </c>
      <c r="H586" s="196" t="s">
        <v>270</v>
      </c>
      <c r="I586" s="196">
        <v>31643</v>
      </c>
      <c r="J586" s="197">
        <v>42897</v>
      </c>
      <c r="K586" s="198">
        <v>0.73472222222222217</v>
      </c>
      <c r="L586" s="197">
        <v>42900</v>
      </c>
      <c r="M586" s="196" t="s">
        <v>325</v>
      </c>
      <c r="N586" s="196" t="s">
        <v>326</v>
      </c>
      <c r="O586" s="196" t="s">
        <v>432</v>
      </c>
      <c r="P586" s="196" t="s">
        <v>432</v>
      </c>
      <c r="Q586" s="196" t="s">
        <v>329</v>
      </c>
      <c r="R586" s="196">
        <v>13490</v>
      </c>
      <c r="S586" s="196" t="s">
        <v>156</v>
      </c>
      <c r="T586" s="196" t="s">
        <v>277</v>
      </c>
      <c r="U586" s="196">
        <v>2262</v>
      </c>
      <c r="V586" s="196" t="s">
        <v>156</v>
      </c>
      <c r="W586" s="196" t="s">
        <v>330</v>
      </c>
      <c r="X586" s="196">
        <v>8.2520000000000007</v>
      </c>
      <c r="Y586" s="199">
        <v>0</v>
      </c>
      <c r="Z586" s="199">
        <v>2.42</v>
      </c>
      <c r="AA586" s="199">
        <v>19.96</v>
      </c>
      <c r="AB586" s="199">
        <v>-1.51</v>
      </c>
      <c r="AC586" s="199">
        <v>0</v>
      </c>
      <c r="AD586" s="199">
        <v>0</v>
      </c>
      <c r="AE586" s="199">
        <v>18.45</v>
      </c>
      <c r="AF586" s="199">
        <v>-2.66</v>
      </c>
      <c r="AG586" s="196" t="s">
        <v>279</v>
      </c>
      <c r="AH586" s="199">
        <v>0</v>
      </c>
      <c r="AI586" s="196" t="s">
        <v>279</v>
      </c>
      <c r="AJ586" s="199">
        <v>0</v>
      </c>
      <c r="AK586" s="196" t="s">
        <v>279</v>
      </c>
      <c r="AL586" s="199">
        <v>0</v>
      </c>
      <c r="AM586" s="196" t="s">
        <v>279</v>
      </c>
      <c r="AN586" s="199">
        <v>0</v>
      </c>
      <c r="AO586" s="196" t="s">
        <v>279</v>
      </c>
      <c r="AP586" s="199">
        <v>0</v>
      </c>
      <c r="AQ586" s="199">
        <v>19.96</v>
      </c>
      <c r="AR586" s="199">
        <v>0</v>
      </c>
      <c r="AS586" s="196" t="str">
        <f t="shared" si="12"/>
        <v>1.00000000</v>
      </c>
      <c r="AT586" s="196" t="str">
        <f>"26.5"</f>
        <v>26.5</v>
      </c>
      <c r="AU586" s="199">
        <v>0</v>
      </c>
    </row>
    <row r="587" spans="1:47" s="196" customFormat="1" x14ac:dyDescent="0.2">
      <c r="A587" s="196" t="str">
        <f t="shared" si="13"/>
        <v>0496002595700</v>
      </c>
      <c r="B587" s="196">
        <v>8</v>
      </c>
      <c r="C587" s="196" t="s">
        <v>156</v>
      </c>
      <c r="D587" s="196">
        <v>47</v>
      </c>
      <c r="E587" s="196">
        <v>47</v>
      </c>
      <c r="F587" s="196" t="s">
        <v>243</v>
      </c>
      <c r="G587" s="196">
        <v>2262</v>
      </c>
      <c r="H587" s="196" t="s">
        <v>270</v>
      </c>
      <c r="I587" s="196">
        <v>31931</v>
      </c>
      <c r="J587" s="197">
        <v>42898</v>
      </c>
      <c r="K587" s="198">
        <v>0.43429398148148146</v>
      </c>
      <c r="L587" s="197">
        <v>42900</v>
      </c>
      <c r="M587" s="196" t="s">
        <v>384</v>
      </c>
      <c r="N587" s="196" t="s">
        <v>385</v>
      </c>
      <c r="O587" s="196" t="s">
        <v>386</v>
      </c>
      <c r="P587" s="196" t="s">
        <v>343</v>
      </c>
      <c r="Q587" s="196" t="s">
        <v>275</v>
      </c>
      <c r="R587" s="196" t="s">
        <v>387</v>
      </c>
      <c r="S587" s="196" t="s">
        <v>156</v>
      </c>
      <c r="T587" s="196" t="s">
        <v>277</v>
      </c>
      <c r="U587" s="196">
        <v>2262</v>
      </c>
      <c r="V587" s="196" t="s">
        <v>156</v>
      </c>
      <c r="W587" s="196" t="s">
        <v>280</v>
      </c>
      <c r="X587" s="196">
        <v>10.106</v>
      </c>
      <c r="Y587" s="199">
        <v>0</v>
      </c>
      <c r="Z587" s="199">
        <v>2.2999999999999998</v>
      </c>
      <c r="AA587" s="199">
        <v>23.23</v>
      </c>
      <c r="AB587" s="199">
        <v>-1.85</v>
      </c>
      <c r="AC587" s="199">
        <v>0</v>
      </c>
      <c r="AD587" s="199">
        <v>0</v>
      </c>
      <c r="AE587" s="199">
        <v>21.38</v>
      </c>
      <c r="AF587" s="199">
        <v>-2.4300000000000002</v>
      </c>
      <c r="AG587" s="196" t="s">
        <v>279</v>
      </c>
      <c r="AH587" s="199">
        <v>0</v>
      </c>
      <c r="AI587" s="196" t="s">
        <v>279</v>
      </c>
      <c r="AJ587" s="199">
        <v>0</v>
      </c>
      <c r="AK587" s="196" t="s">
        <v>279</v>
      </c>
      <c r="AL587" s="199">
        <v>0</v>
      </c>
      <c r="AM587" s="196" t="s">
        <v>279</v>
      </c>
      <c r="AN587" s="199">
        <v>0</v>
      </c>
      <c r="AO587" s="196" t="s">
        <v>279</v>
      </c>
      <c r="AP587" s="199">
        <v>0</v>
      </c>
      <c r="AQ587" s="199">
        <v>23.23</v>
      </c>
      <c r="AR587" s="199">
        <v>0</v>
      </c>
      <c r="AS587" s="196" t="str">
        <f t="shared" si="12"/>
        <v>1.00000000</v>
      </c>
      <c r="AT587" s="196" t="str">
        <f>"28.5"</f>
        <v>28.5</v>
      </c>
      <c r="AU587" s="199">
        <v>0</v>
      </c>
    </row>
    <row r="588" spans="1:47" s="196" customFormat="1" x14ac:dyDescent="0.2">
      <c r="A588" s="196" t="str">
        <f t="shared" si="13"/>
        <v>0496002595700</v>
      </c>
      <c r="B588" s="196">
        <v>8</v>
      </c>
      <c r="C588" s="196" t="s">
        <v>156</v>
      </c>
      <c r="D588" s="196">
        <v>47</v>
      </c>
      <c r="E588" s="196">
        <v>47</v>
      </c>
      <c r="F588" s="196" t="s">
        <v>243</v>
      </c>
      <c r="G588" s="196">
        <v>2262</v>
      </c>
      <c r="H588" s="196" t="s">
        <v>270</v>
      </c>
      <c r="I588" s="196">
        <v>31944</v>
      </c>
      <c r="J588" s="197">
        <v>42903</v>
      </c>
      <c r="K588" s="198">
        <v>0.36180555555555555</v>
      </c>
      <c r="L588" s="197">
        <v>42906</v>
      </c>
      <c r="M588" s="196" t="s">
        <v>271</v>
      </c>
      <c r="N588" s="196" t="s">
        <v>272</v>
      </c>
      <c r="O588" s="196" t="s">
        <v>273</v>
      </c>
      <c r="P588" s="196" t="s">
        <v>274</v>
      </c>
      <c r="Q588" s="196" t="s">
        <v>275</v>
      </c>
      <c r="R588" s="196" t="s">
        <v>276</v>
      </c>
      <c r="S588" s="196" t="s">
        <v>156</v>
      </c>
      <c r="T588" s="196" t="s">
        <v>277</v>
      </c>
      <c r="U588" s="196">
        <v>2262</v>
      </c>
      <c r="V588" s="196" t="s">
        <v>156</v>
      </c>
      <c r="W588" s="196" t="s">
        <v>280</v>
      </c>
      <c r="X588" s="196">
        <v>8.8529999999999998</v>
      </c>
      <c r="Y588" s="199">
        <v>-0.18</v>
      </c>
      <c r="Z588" s="199">
        <v>2.2599999999999998</v>
      </c>
      <c r="AA588" s="199">
        <v>20</v>
      </c>
      <c r="AB588" s="199">
        <v>-1.62</v>
      </c>
      <c r="AC588" s="199">
        <v>0</v>
      </c>
      <c r="AD588" s="199">
        <v>0</v>
      </c>
      <c r="AE588" s="199">
        <v>18.2</v>
      </c>
      <c r="AF588" s="199">
        <v>-2.12</v>
      </c>
      <c r="AG588" s="196" t="s">
        <v>279</v>
      </c>
      <c r="AH588" s="199">
        <v>0</v>
      </c>
      <c r="AI588" s="196" t="s">
        <v>279</v>
      </c>
      <c r="AJ588" s="199">
        <v>0</v>
      </c>
      <c r="AK588" s="196" t="s">
        <v>279</v>
      </c>
      <c r="AL588" s="199">
        <v>0</v>
      </c>
      <c r="AM588" s="196" t="s">
        <v>279</v>
      </c>
      <c r="AN588" s="199">
        <v>0</v>
      </c>
      <c r="AO588" s="196" t="s">
        <v>279</v>
      </c>
      <c r="AP588" s="199">
        <v>0</v>
      </c>
      <c r="AQ588" s="199">
        <v>20</v>
      </c>
      <c r="AR588" s="199">
        <v>0</v>
      </c>
      <c r="AS588" s="196" t="str">
        <f t="shared" si="12"/>
        <v>1.00000000</v>
      </c>
      <c r="AT588" s="196" t="str">
        <f>"28.5"</f>
        <v>28.5</v>
      </c>
      <c r="AU588" s="199">
        <v>0</v>
      </c>
    </row>
    <row r="589" spans="1:47" s="196" customFormat="1" x14ac:dyDescent="0.2">
      <c r="A589" s="196" t="str">
        <f t="shared" si="13"/>
        <v>0496002595700</v>
      </c>
      <c r="B589" s="196">
        <v>8</v>
      </c>
      <c r="C589" s="196" t="s">
        <v>156</v>
      </c>
      <c r="D589" s="196">
        <v>47</v>
      </c>
      <c r="E589" s="196">
        <v>47</v>
      </c>
      <c r="F589" s="196" t="s">
        <v>243</v>
      </c>
      <c r="G589" s="196">
        <v>2262</v>
      </c>
      <c r="H589" s="196" t="s">
        <v>270</v>
      </c>
      <c r="I589" s="196">
        <v>32126</v>
      </c>
      <c r="J589" s="197">
        <v>42904</v>
      </c>
      <c r="K589" s="198">
        <v>0.64513888888888882</v>
      </c>
      <c r="L589" s="197">
        <v>42906</v>
      </c>
      <c r="M589" s="196" t="s">
        <v>271</v>
      </c>
      <c r="N589" s="196" t="s">
        <v>272</v>
      </c>
      <c r="O589" s="196" t="s">
        <v>273</v>
      </c>
      <c r="P589" s="196" t="s">
        <v>274</v>
      </c>
      <c r="Q589" s="196" t="s">
        <v>275</v>
      </c>
      <c r="R589" s="196" t="s">
        <v>276</v>
      </c>
      <c r="S589" s="196" t="s">
        <v>156</v>
      </c>
      <c r="T589" s="196" t="s">
        <v>277</v>
      </c>
      <c r="U589" s="196">
        <v>2262</v>
      </c>
      <c r="V589" s="196" t="s">
        <v>156</v>
      </c>
      <c r="W589" s="196" t="s">
        <v>280</v>
      </c>
      <c r="X589" s="196">
        <v>2.6539999999999999</v>
      </c>
      <c r="Y589" s="199">
        <v>-0.05</v>
      </c>
      <c r="Z589" s="199">
        <v>2.2599999999999998</v>
      </c>
      <c r="AA589" s="199">
        <v>6</v>
      </c>
      <c r="AB589" s="199">
        <v>-0.49</v>
      </c>
      <c r="AC589" s="199">
        <v>0</v>
      </c>
      <c r="AD589" s="199">
        <v>0</v>
      </c>
      <c r="AE589" s="199">
        <v>5.46</v>
      </c>
      <c r="AF589" s="199">
        <v>-0.64</v>
      </c>
      <c r="AG589" s="196" t="s">
        <v>279</v>
      </c>
      <c r="AH589" s="199">
        <v>0</v>
      </c>
      <c r="AI589" s="196" t="s">
        <v>279</v>
      </c>
      <c r="AJ589" s="199">
        <v>0</v>
      </c>
      <c r="AK589" s="196" t="s">
        <v>279</v>
      </c>
      <c r="AL589" s="199">
        <v>0</v>
      </c>
      <c r="AM589" s="196" t="s">
        <v>279</v>
      </c>
      <c r="AN589" s="199">
        <v>0</v>
      </c>
      <c r="AO589" s="196" t="s">
        <v>279</v>
      </c>
      <c r="AP589" s="199">
        <v>0</v>
      </c>
      <c r="AQ589" s="199">
        <v>6</v>
      </c>
      <c r="AR589" s="199">
        <v>0</v>
      </c>
      <c r="AS589" s="196" t="str">
        <f t="shared" si="12"/>
        <v>1.00000000</v>
      </c>
      <c r="AT589" s="196" t="str">
        <f>"28.6"</f>
        <v>28.6</v>
      </c>
      <c r="AU589" s="199">
        <v>0</v>
      </c>
    </row>
    <row r="590" spans="1:47" s="196" customFormat="1" x14ac:dyDescent="0.2">
      <c r="A590" s="196" t="str">
        <f t="shared" si="13"/>
        <v>0496002595700</v>
      </c>
      <c r="B590" s="196">
        <v>8</v>
      </c>
      <c r="C590" s="196" t="s">
        <v>156</v>
      </c>
      <c r="D590" s="196">
        <v>47</v>
      </c>
      <c r="E590" s="196">
        <v>47</v>
      </c>
      <c r="F590" s="196" t="s">
        <v>243</v>
      </c>
      <c r="G590" s="196">
        <v>2262</v>
      </c>
      <c r="H590" s="196" t="s">
        <v>270</v>
      </c>
      <c r="I590" s="196">
        <v>37</v>
      </c>
      <c r="J590" s="197">
        <v>42906</v>
      </c>
      <c r="K590" s="198">
        <v>0.69791666666666663</v>
      </c>
      <c r="L590" s="197">
        <v>42908</v>
      </c>
      <c r="M590" s="196" t="s">
        <v>294</v>
      </c>
      <c r="N590" s="196" t="s">
        <v>379</v>
      </c>
      <c r="O590" s="196" t="s">
        <v>433</v>
      </c>
      <c r="P590" s="196" t="s">
        <v>434</v>
      </c>
      <c r="Q590" s="196" t="s">
        <v>275</v>
      </c>
      <c r="R590" s="196">
        <v>1009</v>
      </c>
      <c r="S590" s="196" t="s">
        <v>156</v>
      </c>
      <c r="T590" s="196" t="s">
        <v>277</v>
      </c>
      <c r="U590" s="196">
        <v>2262</v>
      </c>
      <c r="V590" s="196" t="s">
        <v>156</v>
      </c>
      <c r="W590" s="196" t="s">
        <v>280</v>
      </c>
      <c r="X590" s="196">
        <v>18.46</v>
      </c>
      <c r="Y590" s="199">
        <v>0</v>
      </c>
      <c r="Z590" s="199">
        <v>2.2799999999999998</v>
      </c>
      <c r="AA590" s="199">
        <v>42.07</v>
      </c>
      <c r="AB590" s="199">
        <v>-3.38</v>
      </c>
      <c r="AC590" s="199">
        <v>0</v>
      </c>
      <c r="AD590" s="199">
        <v>0</v>
      </c>
      <c r="AE590" s="199">
        <v>38.69</v>
      </c>
      <c r="AF590" s="199">
        <v>-4.43</v>
      </c>
      <c r="AG590" s="196" t="s">
        <v>279</v>
      </c>
      <c r="AH590" s="199">
        <v>0</v>
      </c>
      <c r="AI590" s="196" t="s">
        <v>279</v>
      </c>
      <c r="AJ590" s="199">
        <v>0</v>
      </c>
      <c r="AK590" s="196" t="s">
        <v>279</v>
      </c>
      <c r="AL590" s="199">
        <v>0</v>
      </c>
      <c r="AM590" s="196" t="s">
        <v>279</v>
      </c>
      <c r="AN590" s="199">
        <v>0</v>
      </c>
      <c r="AO590" s="196" t="s">
        <v>279</v>
      </c>
      <c r="AP590" s="199">
        <v>0</v>
      </c>
      <c r="AQ590" s="199">
        <v>42.07</v>
      </c>
      <c r="AR590" s="199">
        <v>0</v>
      </c>
      <c r="AS590" s="196" t="str">
        <f t="shared" si="12"/>
        <v>1.00000000</v>
      </c>
      <c r="AT590" s="196" t="str">
        <f>"28.5"</f>
        <v>28.5</v>
      </c>
      <c r="AU590" s="199">
        <v>0</v>
      </c>
    </row>
    <row r="591" spans="1:47" s="196" customFormat="1" x14ac:dyDescent="0.2">
      <c r="A591" s="196" t="str">
        <f t="shared" ref="A591:A654" si="14">"0496002595734"</f>
        <v>0496002595734</v>
      </c>
      <c r="B591" s="196">
        <v>1</v>
      </c>
      <c r="C591" s="196" t="s">
        <v>435</v>
      </c>
      <c r="D591" s="196">
        <v>81</v>
      </c>
      <c r="E591" s="196">
        <v>81</v>
      </c>
      <c r="F591" s="196" t="s">
        <v>243</v>
      </c>
      <c r="G591" s="196">
        <v>2086</v>
      </c>
      <c r="H591" s="196" t="s">
        <v>270</v>
      </c>
      <c r="I591" s="196">
        <v>72226</v>
      </c>
      <c r="J591" s="197">
        <v>42741</v>
      </c>
      <c r="K591" s="198">
        <v>0.53055555555555556</v>
      </c>
      <c r="L591" s="197">
        <v>42745</v>
      </c>
      <c r="M591" s="196" t="s">
        <v>271</v>
      </c>
      <c r="N591" s="196" t="s">
        <v>272</v>
      </c>
      <c r="O591" s="196" t="s">
        <v>273</v>
      </c>
      <c r="P591" s="196" t="s">
        <v>274</v>
      </c>
      <c r="Q591" s="196" t="s">
        <v>275</v>
      </c>
      <c r="R591" s="196" t="s">
        <v>276</v>
      </c>
      <c r="S591" s="196" t="s">
        <v>436</v>
      </c>
      <c r="T591" s="196" t="s">
        <v>435</v>
      </c>
      <c r="U591" s="196">
        <v>2086</v>
      </c>
      <c r="V591" s="196" t="s">
        <v>435</v>
      </c>
      <c r="W591" s="196" t="s">
        <v>280</v>
      </c>
      <c r="X591" s="196">
        <v>11.047000000000001</v>
      </c>
      <c r="Y591" s="199">
        <v>-0.22</v>
      </c>
      <c r="Z591" s="199">
        <v>2.35</v>
      </c>
      <c r="AA591" s="199">
        <v>25.95</v>
      </c>
      <c r="AB591" s="199">
        <v>-2.02</v>
      </c>
      <c r="AC591" s="199">
        <v>0</v>
      </c>
      <c r="AD591" s="199">
        <v>0</v>
      </c>
      <c r="AE591" s="199">
        <v>23.71</v>
      </c>
      <c r="AF591" s="199">
        <v>-2.65</v>
      </c>
      <c r="AG591" s="196" t="s">
        <v>279</v>
      </c>
      <c r="AH591" s="199">
        <v>0</v>
      </c>
      <c r="AI591" s="196" t="s">
        <v>279</v>
      </c>
      <c r="AJ591" s="199">
        <v>0</v>
      </c>
      <c r="AK591" s="196" t="s">
        <v>279</v>
      </c>
      <c r="AL591" s="199">
        <v>0</v>
      </c>
      <c r="AM591" s="196" t="s">
        <v>279</v>
      </c>
      <c r="AN591" s="199">
        <v>0</v>
      </c>
      <c r="AO591" s="196" t="s">
        <v>279</v>
      </c>
      <c r="AP591" s="199">
        <v>0</v>
      </c>
      <c r="AQ591" s="199">
        <v>25.95</v>
      </c>
      <c r="AR591" s="199">
        <v>0</v>
      </c>
      <c r="AS591" s="196" t="str">
        <f t="shared" si="12"/>
        <v>1.00000000</v>
      </c>
      <c r="AT591" s="196" t="str">
        <f>"19.9"</f>
        <v>19.9</v>
      </c>
      <c r="AU591" s="199">
        <v>0</v>
      </c>
    </row>
    <row r="592" spans="1:47" s="196" customFormat="1" x14ac:dyDescent="0.2">
      <c r="A592" s="196" t="str">
        <f t="shared" si="14"/>
        <v>0496002595734</v>
      </c>
      <c r="B592" s="196">
        <v>1</v>
      </c>
      <c r="C592" s="196" t="s">
        <v>435</v>
      </c>
      <c r="D592" s="196">
        <v>81</v>
      </c>
      <c r="E592" s="196">
        <v>81</v>
      </c>
      <c r="F592" s="196" t="s">
        <v>243</v>
      </c>
      <c r="G592" s="196">
        <v>2086</v>
      </c>
      <c r="H592" s="196" t="s">
        <v>270</v>
      </c>
      <c r="I592" s="196">
        <v>72557</v>
      </c>
      <c r="J592" s="197">
        <v>42742</v>
      </c>
      <c r="K592" s="198">
        <v>0.64722222222222225</v>
      </c>
      <c r="L592" s="197">
        <v>42745</v>
      </c>
      <c r="M592" s="196" t="s">
        <v>271</v>
      </c>
      <c r="N592" s="196" t="s">
        <v>272</v>
      </c>
      <c r="O592" s="196" t="s">
        <v>273</v>
      </c>
      <c r="P592" s="196" t="s">
        <v>274</v>
      </c>
      <c r="Q592" s="196" t="s">
        <v>275</v>
      </c>
      <c r="R592" s="196" t="s">
        <v>276</v>
      </c>
      <c r="S592" s="196" t="s">
        <v>436</v>
      </c>
      <c r="T592" s="196" t="s">
        <v>435</v>
      </c>
      <c r="U592" s="196">
        <v>2086</v>
      </c>
      <c r="V592" s="196" t="s">
        <v>435</v>
      </c>
      <c r="W592" s="196" t="s">
        <v>280</v>
      </c>
      <c r="X592" s="196">
        <v>14.959</v>
      </c>
      <c r="Y592" s="199">
        <v>-0.3</v>
      </c>
      <c r="Z592" s="199">
        <v>2.35</v>
      </c>
      <c r="AA592" s="199">
        <v>35.14</v>
      </c>
      <c r="AB592" s="199">
        <v>-2.74</v>
      </c>
      <c r="AC592" s="199">
        <v>0</v>
      </c>
      <c r="AD592" s="199">
        <v>0</v>
      </c>
      <c r="AE592" s="199">
        <v>32.1</v>
      </c>
      <c r="AF592" s="199">
        <v>-3.59</v>
      </c>
      <c r="AG592" s="196" t="s">
        <v>279</v>
      </c>
      <c r="AH592" s="199">
        <v>0</v>
      </c>
      <c r="AI592" s="196" t="s">
        <v>279</v>
      </c>
      <c r="AJ592" s="199">
        <v>0</v>
      </c>
      <c r="AK592" s="196" t="s">
        <v>279</v>
      </c>
      <c r="AL592" s="199">
        <v>0</v>
      </c>
      <c r="AM592" s="196" t="s">
        <v>279</v>
      </c>
      <c r="AN592" s="199">
        <v>0</v>
      </c>
      <c r="AO592" s="196" t="s">
        <v>279</v>
      </c>
      <c r="AP592" s="199">
        <v>0</v>
      </c>
      <c r="AQ592" s="199">
        <v>35.14</v>
      </c>
      <c r="AR592" s="199">
        <v>0</v>
      </c>
      <c r="AS592" s="196" t="str">
        <f t="shared" si="12"/>
        <v>1.00000000</v>
      </c>
      <c r="AT592" s="196" t="str">
        <f>"22.1"</f>
        <v>22.1</v>
      </c>
      <c r="AU592" s="199">
        <v>0</v>
      </c>
    </row>
    <row r="593" spans="1:47" s="196" customFormat="1" x14ac:dyDescent="0.2">
      <c r="A593" s="196" t="str">
        <f t="shared" si="14"/>
        <v>0496002595734</v>
      </c>
      <c r="B593" s="196">
        <v>1</v>
      </c>
      <c r="C593" s="196" t="s">
        <v>435</v>
      </c>
      <c r="D593" s="196">
        <v>81</v>
      </c>
      <c r="E593" s="196">
        <v>81</v>
      </c>
      <c r="F593" s="196" t="s">
        <v>243</v>
      </c>
      <c r="G593" s="196">
        <v>2086</v>
      </c>
      <c r="H593" s="196" t="s">
        <v>270</v>
      </c>
      <c r="I593" s="196">
        <v>72777</v>
      </c>
      <c r="J593" s="197">
        <v>42743</v>
      </c>
      <c r="K593" s="198">
        <v>0.73888888888888893</v>
      </c>
      <c r="L593" s="197">
        <v>42745</v>
      </c>
      <c r="M593" s="196" t="s">
        <v>271</v>
      </c>
      <c r="N593" s="196" t="s">
        <v>272</v>
      </c>
      <c r="O593" s="196" t="s">
        <v>273</v>
      </c>
      <c r="P593" s="196" t="s">
        <v>274</v>
      </c>
      <c r="Q593" s="196" t="s">
        <v>275</v>
      </c>
      <c r="R593" s="196" t="s">
        <v>276</v>
      </c>
      <c r="S593" s="196" t="s">
        <v>436</v>
      </c>
      <c r="T593" s="196" t="s">
        <v>435</v>
      </c>
      <c r="U593" s="196">
        <v>2086</v>
      </c>
      <c r="V593" s="196" t="s">
        <v>435</v>
      </c>
      <c r="W593" s="196" t="s">
        <v>280</v>
      </c>
      <c r="X593" s="196">
        <v>11.795999999999999</v>
      </c>
      <c r="Y593" s="199">
        <v>-0.24</v>
      </c>
      <c r="Z593" s="199">
        <v>2.35</v>
      </c>
      <c r="AA593" s="199">
        <v>27.71</v>
      </c>
      <c r="AB593" s="199">
        <v>-2.16</v>
      </c>
      <c r="AC593" s="199">
        <v>0</v>
      </c>
      <c r="AD593" s="199">
        <v>0</v>
      </c>
      <c r="AE593" s="199">
        <v>25.31</v>
      </c>
      <c r="AF593" s="199">
        <v>-2.83</v>
      </c>
      <c r="AG593" s="196" t="s">
        <v>279</v>
      </c>
      <c r="AH593" s="199">
        <v>0</v>
      </c>
      <c r="AI593" s="196" t="s">
        <v>279</v>
      </c>
      <c r="AJ593" s="199">
        <v>0</v>
      </c>
      <c r="AK593" s="196" t="s">
        <v>279</v>
      </c>
      <c r="AL593" s="199">
        <v>0</v>
      </c>
      <c r="AM593" s="196" t="s">
        <v>279</v>
      </c>
      <c r="AN593" s="199">
        <v>0</v>
      </c>
      <c r="AO593" s="196" t="s">
        <v>279</v>
      </c>
      <c r="AP593" s="199">
        <v>0</v>
      </c>
      <c r="AQ593" s="199">
        <v>27.71</v>
      </c>
      <c r="AR593" s="199">
        <v>0</v>
      </c>
      <c r="AS593" s="196" t="str">
        <f t="shared" si="12"/>
        <v>1.00000000</v>
      </c>
      <c r="AT593" s="196" t="str">
        <f>"18.6"</f>
        <v>18.6</v>
      </c>
      <c r="AU593" s="199">
        <v>0</v>
      </c>
    </row>
    <row r="594" spans="1:47" s="196" customFormat="1" x14ac:dyDescent="0.2">
      <c r="A594" s="196" t="str">
        <f t="shared" si="14"/>
        <v>0496002595734</v>
      </c>
      <c r="B594" s="196">
        <v>1</v>
      </c>
      <c r="C594" s="196" t="s">
        <v>435</v>
      </c>
      <c r="D594" s="196">
        <v>81</v>
      </c>
      <c r="E594" s="196">
        <v>81</v>
      </c>
      <c r="F594" s="196" t="s">
        <v>243</v>
      </c>
      <c r="G594" s="196">
        <v>2086</v>
      </c>
      <c r="H594" s="196" t="s">
        <v>270</v>
      </c>
      <c r="I594" s="196">
        <v>72000</v>
      </c>
      <c r="J594" s="197">
        <v>42766</v>
      </c>
      <c r="K594" s="198">
        <v>0.18194444444444444</v>
      </c>
      <c r="L594" s="197">
        <v>42768</v>
      </c>
      <c r="M594" s="196" t="s">
        <v>271</v>
      </c>
      <c r="N594" s="196" t="s">
        <v>437</v>
      </c>
      <c r="O594" s="196" t="s">
        <v>438</v>
      </c>
      <c r="P594" s="196" t="s">
        <v>439</v>
      </c>
      <c r="Q594" s="196" t="s">
        <v>275</v>
      </c>
      <c r="R594" s="196">
        <v>1701</v>
      </c>
      <c r="S594" s="196" t="s">
        <v>436</v>
      </c>
      <c r="T594" s="196" t="s">
        <v>435</v>
      </c>
      <c r="U594" s="196">
        <v>2086</v>
      </c>
      <c r="V594" s="196" t="s">
        <v>435</v>
      </c>
      <c r="W594" s="196" t="s">
        <v>280</v>
      </c>
      <c r="X594" s="196">
        <v>8.5980000000000008</v>
      </c>
      <c r="Y594" s="199">
        <v>-0.26</v>
      </c>
      <c r="Z594" s="199">
        <v>2.42</v>
      </c>
      <c r="AA594" s="199">
        <v>20.8</v>
      </c>
      <c r="AB594" s="199">
        <v>-1.57</v>
      </c>
      <c r="AC594" s="199">
        <v>0</v>
      </c>
      <c r="AD594" s="199">
        <v>0</v>
      </c>
      <c r="AE594" s="199">
        <v>18.97</v>
      </c>
      <c r="AF594" s="199">
        <v>-2.06</v>
      </c>
      <c r="AG594" s="196" t="s">
        <v>279</v>
      </c>
      <c r="AH594" s="199">
        <v>0</v>
      </c>
      <c r="AI594" s="196" t="s">
        <v>279</v>
      </c>
      <c r="AJ594" s="199">
        <v>0</v>
      </c>
      <c r="AK594" s="196" t="s">
        <v>279</v>
      </c>
      <c r="AL594" s="199">
        <v>0</v>
      </c>
      <c r="AM594" s="196" t="s">
        <v>279</v>
      </c>
      <c r="AN594" s="199">
        <v>0</v>
      </c>
      <c r="AO594" s="196" t="s">
        <v>279</v>
      </c>
      <c r="AP594" s="199">
        <v>0</v>
      </c>
      <c r="AQ594" s="199">
        <v>20.8</v>
      </c>
      <c r="AR594" s="199">
        <v>0</v>
      </c>
      <c r="AS594" s="196" t="str">
        <f t="shared" si="12"/>
        <v>1.00000000</v>
      </c>
      <c r="AT594" s="196" t="str">
        <f>"10.8"</f>
        <v>10.8</v>
      </c>
      <c r="AU594" s="199">
        <v>0</v>
      </c>
    </row>
    <row r="595" spans="1:47" s="196" customFormat="1" x14ac:dyDescent="0.2">
      <c r="A595" s="196" t="str">
        <f t="shared" si="14"/>
        <v>0496002595734</v>
      </c>
      <c r="B595" s="196">
        <v>1</v>
      </c>
      <c r="C595" s="196" t="s">
        <v>435</v>
      </c>
      <c r="D595" s="196">
        <v>81</v>
      </c>
      <c r="E595" s="196">
        <v>81</v>
      </c>
      <c r="F595" s="196" t="s">
        <v>243</v>
      </c>
      <c r="G595" s="196">
        <v>2086</v>
      </c>
      <c r="H595" s="196" t="s">
        <v>270</v>
      </c>
      <c r="I595" s="196">
        <v>72973</v>
      </c>
      <c r="J595" s="197">
        <v>42766</v>
      </c>
      <c r="K595" s="198">
        <v>0.24583333333333335</v>
      </c>
      <c r="L595" s="197">
        <v>42768</v>
      </c>
      <c r="M595" s="196" t="s">
        <v>285</v>
      </c>
      <c r="N595" s="196" t="s">
        <v>399</v>
      </c>
      <c r="O595" s="196" t="s">
        <v>400</v>
      </c>
      <c r="P595" s="196" t="s">
        <v>274</v>
      </c>
      <c r="Q595" s="196" t="s">
        <v>275</v>
      </c>
      <c r="R595" s="196" t="s">
        <v>401</v>
      </c>
      <c r="S595" s="196" t="s">
        <v>436</v>
      </c>
      <c r="T595" s="196" t="s">
        <v>435</v>
      </c>
      <c r="U595" s="196">
        <v>2086</v>
      </c>
      <c r="V595" s="196" t="s">
        <v>435</v>
      </c>
      <c r="W595" s="196" t="s">
        <v>280</v>
      </c>
      <c r="X595" s="196">
        <v>9.7360000000000007</v>
      </c>
      <c r="Y595" s="199">
        <v>0</v>
      </c>
      <c r="Z595" s="199">
        <v>2.2000000000000002</v>
      </c>
      <c r="AA595" s="199">
        <v>21.41</v>
      </c>
      <c r="AB595" s="199">
        <v>-1.78</v>
      </c>
      <c r="AC595" s="199">
        <v>0</v>
      </c>
      <c r="AD595" s="199">
        <v>0</v>
      </c>
      <c r="AE595" s="199">
        <v>19.63</v>
      </c>
      <c r="AF595" s="199">
        <v>-2.34</v>
      </c>
      <c r="AG595" s="196" t="s">
        <v>279</v>
      </c>
      <c r="AH595" s="199">
        <v>0</v>
      </c>
      <c r="AI595" s="196" t="s">
        <v>279</v>
      </c>
      <c r="AJ595" s="199">
        <v>0</v>
      </c>
      <c r="AK595" s="196" t="s">
        <v>279</v>
      </c>
      <c r="AL595" s="199">
        <v>0</v>
      </c>
      <c r="AM595" s="196" t="s">
        <v>279</v>
      </c>
      <c r="AN595" s="199">
        <v>0</v>
      </c>
      <c r="AO595" s="196" t="s">
        <v>279</v>
      </c>
      <c r="AP595" s="199">
        <v>0</v>
      </c>
      <c r="AQ595" s="199">
        <v>21.41</v>
      </c>
      <c r="AR595" s="199">
        <v>0</v>
      </c>
      <c r="AS595" s="196" t="str">
        <f t="shared" si="12"/>
        <v>1.00000000</v>
      </c>
      <c r="AT595" s="196" t="str">
        <f>"10.8"</f>
        <v>10.8</v>
      </c>
      <c r="AU595" s="199">
        <v>0</v>
      </c>
    </row>
    <row r="596" spans="1:47" s="196" customFormat="1" x14ac:dyDescent="0.2">
      <c r="A596" s="196" t="str">
        <f t="shared" si="14"/>
        <v>0496002595734</v>
      </c>
      <c r="B596" s="196">
        <v>1</v>
      </c>
      <c r="C596" s="196" t="s">
        <v>435</v>
      </c>
      <c r="D596" s="196">
        <v>81</v>
      </c>
      <c r="E596" s="196">
        <v>81</v>
      </c>
      <c r="F596" s="196" t="s">
        <v>243</v>
      </c>
      <c r="G596" s="196">
        <v>2086</v>
      </c>
      <c r="H596" s="196" t="s">
        <v>270</v>
      </c>
      <c r="I596" s="196">
        <v>73168</v>
      </c>
      <c r="J596" s="197">
        <v>42767</v>
      </c>
      <c r="K596" s="198">
        <v>0.98125000000000007</v>
      </c>
      <c r="L596" s="197">
        <v>42769</v>
      </c>
      <c r="M596" s="196" t="s">
        <v>271</v>
      </c>
      <c r="N596" s="196" t="s">
        <v>272</v>
      </c>
      <c r="O596" s="196" t="s">
        <v>273</v>
      </c>
      <c r="P596" s="196" t="s">
        <v>274</v>
      </c>
      <c r="Q596" s="196" t="s">
        <v>275</v>
      </c>
      <c r="R596" s="196" t="s">
        <v>276</v>
      </c>
      <c r="S596" s="196" t="s">
        <v>436</v>
      </c>
      <c r="T596" s="196" t="s">
        <v>435</v>
      </c>
      <c r="U596" s="196">
        <v>2086</v>
      </c>
      <c r="V596" s="196" t="s">
        <v>435</v>
      </c>
      <c r="W596" s="196" t="s">
        <v>280</v>
      </c>
      <c r="X596" s="196">
        <v>13.582000000000001</v>
      </c>
      <c r="Y596" s="199">
        <v>-0.27</v>
      </c>
      <c r="Z596" s="199">
        <v>2.1</v>
      </c>
      <c r="AA596" s="199">
        <v>28.51</v>
      </c>
      <c r="AB596" s="199">
        <v>-2.4900000000000002</v>
      </c>
      <c r="AC596" s="199">
        <v>0</v>
      </c>
      <c r="AD596" s="199">
        <v>0</v>
      </c>
      <c r="AE596" s="199">
        <v>25.75</v>
      </c>
      <c r="AF596" s="199">
        <v>-3.26</v>
      </c>
      <c r="AG596" s="196" t="s">
        <v>279</v>
      </c>
      <c r="AH596" s="199">
        <v>0</v>
      </c>
      <c r="AI596" s="196" t="s">
        <v>279</v>
      </c>
      <c r="AJ596" s="199">
        <v>0</v>
      </c>
      <c r="AK596" s="196" t="s">
        <v>279</v>
      </c>
      <c r="AL596" s="199">
        <v>0</v>
      </c>
      <c r="AM596" s="196" t="s">
        <v>279</v>
      </c>
      <c r="AN596" s="199">
        <v>0</v>
      </c>
      <c r="AO596" s="196" t="s">
        <v>279</v>
      </c>
      <c r="AP596" s="199">
        <v>0</v>
      </c>
      <c r="AQ596" s="199">
        <v>28.51</v>
      </c>
      <c r="AR596" s="199">
        <v>0</v>
      </c>
      <c r="AS596" s="196" t="str">
        <f t="shared" si="12"/>
        <v>1.00000000</v>
      </c>
      <c r="AT596" s="196" t="str">
        <f>"14.4"</f>
        <v>14.4</v>
      </c>
      <c r="AU596" s="199">
        <v>0</v>
      </c>
    </row>
    <row r="597" spans="1:47" s="196" customFormat="1" x14ac:dyDescent="0.2">
      <c r="A597" s="196" t="str">
        <f t="shared" si="14"/>
        <v>0496002595734</v>
      </c>
      <c r="B597" s="196">
        <v>1</v>
      </c>
      <c r="C597" s="196" t="s">
        <v>435</v>
      </c>
      <c r="D597" s="196">
        <v>81</v>
      </c>
      <c r="E597" s="196">
        <v>81</v>
      </c>
      <c r="F597" s="196" t="s">
        <v>243</v>
      </c>
      <c r="G597" s="196">
        <v>2086</v>
      </c>
      <c r="H597" s="196" t="s">
        <v>270</v>
      </c>
      <c r="I597" s="196">
        <v>73311</v>
      </c>
      <c r="J597" s="197">
        <v>42771</v>
      </c>
      <c r="K597" s="198">
        <v>0.47444444444444445</v>
      </c>
      <c r="L597" s="197">
        <v>42773</v>
      </c>
      <c r="M597" s="196" t="s">
        <v>349</v>
      </c>
      <c r="N597" s="196" t="s">
        <v>350</v>
      </c>
      <c r="O597" s="196" t="s">
        <v>351</v>
      </c>
      <c r="P597" s="196" t="s">
        <v>343</v>
      </c>
      <c r="Q597" s="196" t="s">
        <v>275</v>
      </c>
      <c r="R597" s="196">
        <v>1035</v>
      </c>
      <c r="S597" s="196" t="s">
        <v>436</v>
      </c>
      <c r="T597" s="196" t="s">
        <v>435</v>
      </c>
      <c r="U597" s="196">
        <v>2086</v>
      </c>
      <c r="V597" s="196" t="s">
        <v>435</v>
      </c>
      <c r="W597" s="196" t="s">
        <v>280</v>
      </c>
      <c r="X597" s="196">
        <v>9.6170000000000009</v>
      </c>
      <c r="Y597" s="199">
        <v>0</v>
      </c>
      <c r="Z597" s="199">
        <v>2.16</v>
      </c>
      <c r="AA597" s="199">
        <v>20.76</v>
      </c>
      <c r="AB597" s="199">
        <v>-1.76</v>
      </c>
      <c r="AC597" s="199">
        <v>0</v>
      </c>
      <c r="AD597" s="199">
        <v>0</v>
      </c>
      <c r="AE597" s="199">
        <v>19</v>
      </c>
      <c r="AF597" s="199">
        <v>-2.31</v>
      </c>
      <c r="AG597" s="196" t="s">
        <v>279</v>
      </c>
      <c r="AH597" s="199">
        <v>0</v>
      </c>
      <c r="AI597" s="196" t="s">
        <v>279</v>
      </c>
      <c r="AJ597" s="199">
        <v>0</v>
      </c>
      <c r="AK597" s="196" t="s">
        <v>279</v>
      </c>
      <c r="AL597" s="199">
        <v>0</v>
      </c>
      <c r="AM597" s="196" t="s">
        <v>279</v>
      </c>
      <c r="AN597" s="199">
        <v>0</v>
      </c>
      <c r="AO597" s="196" t="s">
        <v>279</v>
      </c>
      <c r="AP597" s="199">
        <v>0</v>
      </c>
      <c r="AQ597" s="199">
        <v>20.76</v>
      </c>
      <c r="AR597" s="199">
        <v>0</v>
      </c>
      <c r="AS597" s="196" t="str">
        <f t="shared" si="12"/>
        <v>1.00000000</v>
      </c>
      <c r="AT597" s="196" t="str">
        <f>"14.9"</f>
        <v>14.9</v>
      </c>
      <c r="AU597" s="199">
        <v>0</v>
      </c>
    </row>
    <row r="598" spans="1:47" s="196" customFormat="1" x14ac:dyDescent="0.2">
      <c r="A598" s="196" t="str">
        <f t="shared" si="14"/>
        <v>0496002595734</v>
      </c>
      <c r="B598" s="196">
        <v>1</v>
      </c>
      <c r="C598" s="196" t="s">
        <v>435</v>
      </c>
      <c r="D598" s="196">
        <v>81</v>
      </c>
      <c r="E598" s="196">
        <v>81</v>
      </c>
      <c r="F598" s="196" t="s">
        <v>243</v>
      </c>
      <c r="G598" s="196">
        <v>2086</v>
      </c>
      <c r="H598" s="196" t="s">
        <v>270</v>
      </c>
      <c r="I598" s="196">
        <v>73541</v>
      </c>
      <c r="J598" s="197">
        <v>42771</v>
      </c>
      <c r="K598" s="198">
        <v>0.8470833333333333</v>
      </c>
      <c r="L598" s="197">
        <v>42774</v>
      </c>
      <c r="M598" s="196" t="s">
        <v>319</v>
      </c>
      <c r="N598" s="196" t="s">
        <v>440</v>
      </c>
      <c r="O598" s="196" t="s">
        <v>441</v>
      </c>
      <c r="P598" s="196" t="s">
        <v>442</v>
      </c>
      <c r="Q598" s="196" t="s">
        <v>275</v>
      </c>
      <c r="R598" s="196">
        <v>1093</v>
      </c>
      <c r="S598" s="196" t="s">
        <v>436</v>
      </c>
      <c r="T598" s="196" t="s">
        <v>435</v>
      </c>
      <c r="U598" s="196">
        <v>2086</v>
      </c>
      <c r="V598" s="196" t="s">
        <v>435</v>
      </c>
      <c r="W598" s="196" t="s">
        <v>280</v>
      </c>
      <c r="X598" s="196">
        <v>11.278</v>
      </c>
      <c r="Y598" s="199">
        <v>0</v>
      </c>
      <c r="Z598" s="199">
        <v>2.2200000000000002</v>
      </c>
      <c r="AA598" s="199">
        <v>25.03</v>
      </c>
      <c r="AB598" s="199">
        <v>-2.06</v>
      </c>
      <c r="AC598" s="199">
        <v>0</v>
      </c>
      <c r="AD598" s="199">
        <v>0</v>
      </c>
      <c r="AE598" s="199">
        <v>22.97</v>
      </c>
      <c r="AF598" s="199">
        <v>-2.71</v>
      </c>
      <c r="AG598" s="196" t="s">
        <v>279</v>
      </c>
      <c r="AH598" s="199">
        <v>0</v>
      </c>
      <c r="AI598" s="196" t="s">
        <v>279</v>
      </c>
      <c r="AJ598" s="199">
        <v>0</v>
      </c>
      <c r="AK598" s="196" t="s">
        <v>279</v>
      </c>
      <c r="AL598" s="199">
        <v>0</v>
      </c>
      <c r="AM598" s="196" t="s">
        <v>279</v>
      </c>
      <c r="AN598" s="199">
        <v>0</v>
      </c>
      <c r="AO598" s="196" t="s">
        <v>279</v>
      </c>
      <c r="AP598" s="199">
        <v>0</v>
      </c>
      <c r="AQ598" s="199">
        <v>25.03</v>
      </c>
      <c r="AR598" s="199">
        <v>0</v>
      </c>
      <c r="AS598" s="196" t="str">
        <f t="shared" si="12"/>
        <v>1.00000000</v>
      </c>
      <c r="AT598" s="196" t="str">
        <f>"20.4"</f>
        <v>20.4</v>
      </c>
      <c r="AU598" s="199">
        <v>0</v>
      </c>
    </row>
    <row r="599" spans="1:47" s="196" customFormat="1" x14ac:dyDescent="0.2">
      <c r="A599" s="196" t="str">
        <f t="shared" si="14"/>
        <v>0496002595734</v>
      </c>
      <c r="B599" s="196">
        <v>1</v>
      </c>
      <c r="C599" s="196" t="s">
        <v>435</v>
      </c>
      <c r="D599" s="196">
        <v>81</v>
      </c>
      <c r="E599" s="196">
        <v>81</v>
      </c>
      <c r="F599" s="196" t="s">
        <v>243</v>
      </c>
      <c r="G599" s="196">
        <v>2086</v>
      </c>
      <c r="H599" s="196" t="s">
        <v>270</v>
      </c>
      <c r="I599" s="196">
        <v>73693</v>
      </c>
      <c r="J599" s="197">
        <v>42776</v>
      </c>
      <c r="K599" s="198">
        <v>0.84027777777777779</v>
      </c>
      <c r="L599" s="197">
        <v>42780</v>
      </c>
      <c r="M599" s="196" t="s">
        <v>271</v>
      </c>
      <c r="N599" s="196" t="s">
        <v>443</v>
      </c>
      <c r="O599" s="196" t="s">
        <v>444</v>
      </c>
      <c r="P599" s="196" t="s">
        <v>445</v>
      </c>
      <c r="Q599" s="196" t="s">
        <v>309</v>
      </c>
      <c r="R599" s="196">
        <v>6825</v>
      </c>
      <c r="S599" s="196" t="s">
        <v>436</v>
      </c>
      <c r="T599" s="196" t="s">
        <v>435</v>
      </c>
      <c r="U599" s="196">
        <v>2086</v>
      </c>
      <c r="V599" s="196" t="s">
        <v>435</v>
      </c>
      <c r="W599" s="196" t="s">
        <v>280</v>
      </c>
      <c r="X599" s="196">
        <v>10.327999999999999</v>
      </c>
      <c r="Y599" s="199">
        <v>-0.21</v>
      </c>
      <c r="Z599" s="199">
        <v>2.5</v>
      </c>
      <c r="AA599" s="199">
        <v>25.81</v>
      </c>
      <c r="AB599" s="199">
        <v>-1.89</v>
      </c>
      <c r="AC599" s="199">
        <v>0</v>
      </c>
      <c r="AD599" s="199">
        <v>0</v>
      </c>
      <c r="AE599" s="199">
        <v>23.71</v>
      </c>
      <c r="AF599" s="199">
        <v>-2.58</v>
      </c>
      <c r="AG599" s="196" t="s">
        <v>279</v>
      </c>
      <c r="AH599" s="199">
        <v>0</v>
      </c>
      <c r="AI599" s="196" t="s">
        <v>279</v>
      </c>
      <c r="AJ599" s="199">
        <v>0</v>
      </c>
      <c r="AK599" s="196" t="s">
        <v>279</v>
      </c>
      <c r="AL599" s="199">
        <v>0</v>
      </c>
      <c r="AM599" s="196" t="s">
        <v>279</v>
      </c>
      <c r="AN599" s="199">
        <v>0</v>
      </c>
      <c r="AO599" s="196" t="s">
        <v>279</v>
      </c>
      <c r="AP599" s="199">
        <v>0</v>
      </c>
      <c r="AQ599" s="199">
        <v>25.81</v>
      </c>
      <c r="AR599" s="199">
        <v>0</v>
      </c>
      <c r="AS599" s="196" t="str">
        <f t="shared" si="12"/>
        <v>1.00000000</v>
      </c>
      <c r="AT599" s="196" t="str">
        <f>"14.7"</f>
        <v>14.7</v>
      </c>
      <c r="AU599" s="199">
        <v>0</v>
      </c>
    </row>
    <row r="600" spans="1:47" s="196" customFormat="1" x14ac:dyDescent="0.2">
      <c r="A600" s="196" t="str">
        <f t="shared" si="14"/>
        <v>0496002595734</v>
      </c>
      <c r="B600" s="196">
        <v>1</v>
      </c>
      <c r="C600" s="196" t="s">
        <v>435</v>
      </c>
      <c r="D600" s="196">
        <v>81</v>
      </c>
      <c r="E600" s="196">
        <v>81</v>
      </c>
      <c r="F600" s="196" t="s">
        <v>243</v>
      </c>
      <c r="G600" s="196">
        <v>2086</v>
      </c>
      <c r="H600" s="196" t="s">
        <v>270</v>
      </c>
      <c r="I600" s="196">
        <v>73812</v>
      </c>
      <c r="J600" s="197">
        <v>42778</v>
      </c>
      <c r="K600" s="198">
        <v>0.44305555555555554</v>
      </c>
      <c r="L600" s="197">
        <v>42780</v>
      </c>
      <c r="M600" s="196" t="s">
        <v>302</v>
      </c>
      <c r="N600" s="196" t="s">
        <v>446</v>
      </c>
      <c r="O600" s="196" t="s">
        <v>447</v>
      </c>
      <c r="P600" s="196" t="s">
        <v>445</v>
      </c>
      <c r="Q600" s="196" t="s">
        <v>309</v>
      </c>
      <c r="R600" s="196">
        <v>6825</v>
      </c>
      <c r="S600" s="196" t="s">
        <v>436</v>
      </c>
      <c r="T600" s="196" t="s">
        <v>435</v>
      </c>
      <c r="U600" s="196">
        <v>2086</v>
      </c>
      <c r="V600" s="196" t="s">
        <v>435</v>
      </c>
      <c r="W600" s="196" t="s">
        <v>280</v>
      </c>
      <c r="X600" s="196">
        <v>6.319</v>
      </c>
      <c r="Y600" s="199">
        <v>0</v>
      </c>
      <c r="Z600" s="199">
        <v>2.54</v>
      </c>
      <c r="AA600" s="199">
        <v>16.04</v>
      </c>
      <c r="AB600" s="199">
        <v>-1.1599999999999999</v>
      </c>
      <c r="AC600" s="199">
        <v>0</v>
      </c>
      <c r="AD600" s="199">
        <v>0</v>
      </c>
      <c r="AE600" s="199">
        <v>14.88</v>
      </c>
      <c r="AF600" s="199">
        <v>-1.58</v>
      </c>
      <c r="AG600" s="196" t="s">
        <v>279</v>
      </c>
      <c r="AH600" s="199">
        <v>0</v>
      </c>
      <c r="AI600" s="196" t="s">
        <v>279</v>
      </c>
      <c r="AJ600" s="199">
        <v>0</v>
      </c>
      <c r="AK600" s="196" t="s">
        <v>279</v>
      </c>
      <c r="AL600" s="199">
        <v>0</v>
      </c>
      <c r="AM600" s="196" t="s">
        <v>279</v>
      </c>
      <c r="AN600" s="199">
        <v>0</v>
      </c>
      <c r="AO600" s="196" t="s">
        <v>279</v>
      </c>
      <c r="AP600" s="199">
        <v>0</v>
      </c>
      <c r="AQ600" s="199">
        <v>16.04</v>
      </c>
      <c r="AR600" s="199">
        <v>0</v>
      </c>
      <c r="AS600" s="196" t="str">
        <f t="shared" si="12"/>
        <v>1.00000000</v>
      </c>
      <c r="AT600" s="196" t="str">
        <f>"18.8"</f>
        <v>18.8</v>
      </c>
      <c r="AU600" s="199">
        <v>0</v>
      </c>
    </row>
    <row r="601" spans="1:47" s="196" customFormat="1" x14ac:dyDescent="0.2">
      <c r="A601" s="196" t="str">
        <f t="shared" si="14"/>
        <v>0496002595734</v>
      </c>
      <c r="B601" s="196">
        <v>1</v>
      </c>
      <c r="C601" s="196" t="s">
        <v>435</v>
      </c>
      <c r="D601" s="196">
        <v>81</v>
      </c>
      <c r="E601" s="196">
        <v>81</v>
      </c>
      <c r="F601" s="196" t="s">
        <v>243</v>
      </c>
      <c r="G601" s="196">
        <v>2086</v>
      </c>
      <c r="H601" s="196" t="s">
        <v>270</v>
      </c>
      <c r="I601" s="196">
        <v>2086</v>
      </c>
      <c r="J601" s="197">
        <v>42780</v>
      </c>
      <c r="K601" s="198">
        <v>0.72706018518518523</v>
      </c>
      <c r="L601" s="197">
        <v>42782</v>
      </c>
      <c r="M601" s="196" t="s">
        <v>310</v>
      </c>
      <c r="N601" s="196" t="s">
        <v>331</v>
      </c>
      <c r="O601" s="196" t="s">
        <v>332</v>
      </c>
      <c r="P601" s="196" t="s">
        <v>274</v>
      </c>
      <c r="Q601" s="196" t="s">
        <v>275</v>
      </c>
      <c r="R601" s="196">
        <v>1002</v>
      </c>
      <c r="S601" s="196" t="s">
        <v>436</v>
      </c>
      <c r="T601" s="196" t="s">
        <v>435</v>
      </c>
      <c r="U601" s="196">
        <v>2086</v>
      </c>
      <c r="V601" s="196" t="s">
        <v>435</v>
      </c>
      <c r="W601" s="196" t="s">
        <v>280</v>
      </c>
      <c r="X601" s="196">
        <v>12.619</v>
      </c>
      <c r="Y601" s="199">
        <v>0</v>
      </c>
      <c r="Z601" s="199">
        <v>2.2000000000000002</v>
      </c>
      <c r="AA601" s="199">
        <v>27.75</v>
      </c>
      <c r="AB601" s="199">
        <v>-2.31</v>
      </c>
      <c r="AC601" s="199">
        <v>0</v>
      </c>
      <c r="AD601" s="199">
        <v>0</v>
      </c>
      <c r="AE601" s="199">
        <v>25.44</v>
      </c>
      <c r="AF601" s="199">
        <v>-3.03</v>
      </c>
      <c r="AG601" s="196" t="s">
        <v>279</v>
      </c>
      <c r="AH601" s="199">
        <v>0</v>
      </c>
      <c r="AI601" s="196" t="s">
        <v>279</v>
      </c>
      <c r="AJ601" s="199">
        <v>0</v>
      </c>
      <c r="AK601" s="196" t="s">
        <v>279</v>
      </c>
      <c r="AL601" s="199">
        <v>0</v>
      </c>
      <c r="AM601" s="196" t="s">
        <v>279</v>
      </c>
      <c r="AN601" s="199">
        <v>0</v>
      </c>
      <c r="AO601" s="196" t="s">
        <v>279</v>
      </c>
      <c r="AP601" s="199">
        <v>0</v>
      </c>
      <c r="AQ601" s="199">
        <v>27.75</v>
      </c>
      <c r="AR601" s="199">
        <v>0</v>
      </c>
      <c r="AS601" s="196" t="str">
        <f t="shared" si="12"/>
        <v>1.00000000</v>
      </c>
      <c r="AT601" s="196" t="str">
        <f>"19.9"</f>
        <v>19.9</v>
      </c>
      <c r="AU601" s="199">
        <v>0</v>
      </c>
    </row>
    <row r="602" spans="1:47" s="196" customFormat="1" x14ac:dyDescent="0.2">
      <c r="A602" s="196" t="str">
        <f t="shared" si="14"/>
        <v>0496002595734</v>
      </c>
      <c r="B602" s="196">
        <v>1</v>
      </c>
      <c r="C602" s="196" t="s">
        <v>435</v>
      </c>
      <c r="D602" s="196">
        <v>81</v>
      </c>
      <c r="E602" s="196">
        <v>81</v>
      </c>
      <c r="F602" s="196" t="s">
        <v>243</v>
      </c>
      <c r="G602" s="196">
        <v>2086</v>
      </c>
      <c r="H602" s="196" t="s">
        <v>270</v>
      </c>
      <c r="I602" s="196">
        <v>74250</v>
      </c>
      <c r="J602" s="197">
        <v>42783</v>
      </c>
      <c r="K602" s="198">
        <v>0.71944444444444444</v>
      </c>
      <c r="L602" s="197">
        <v>42787</v>
      </c>
      <c r="M602" s="196" t="s">
        <v>285</v>
      </c>
      <c r="N602" s="196" t="s">
        <v>399</v>
      </c>
      <c r="O602" s="196" t="s">
        <v>400</v>
      </c>
      <c r="P602" s="196" t="s">
        <v>274</v>
      </c>
      <c r="Q602" s="196" t="s">
        <v>275</v>
      </c>
      <c r="R602" s="196" t="s">
        <v>401</v>
      </c>
      <c r="S602" s="196" t="s">
        <v>436</v>
      </c>
      <c r="T602" s="196" t="s">
        <v>435</v>
      </c>
      <c r="U602" s="196">
        <v>2086</v>
      </c>
      <c r="V602" s="196" t="s">
        <v>435</v>
      </c>
      <c r="W602" s="196" t="s">
        <v>280</v>
      </c>
      <c r="X602" s="196">
        <v>13.816000000000001</v>
      </c>
      <c r="Y602" s="199">
        <v>0</v>
      </c>
      <c r="Z602" s="199">
        <v>2.2000000000000002</v>
      </c>
      <c r="AA602" s="199">
        <v>30.38</v>
      </c>
      <c r="AB602" s="199">
        <v>-2.5299999999999998</v>
      </c>
      <c r="AC602" s="199">
        <v>0</v>
      </c>
      <c r="AD602" s="199">
        <v>0</v>
      </c>
      <c r="AE602" s="199">
        <v>27.85</v>
      </c>
      <c r="AF602" s="199">
        <v>-3.32</v>
      </c>
      <c r="AG602" s="196" t="s">
        <v>279</v>
      </c>
      <c r="AH602" s="199">
        <v>0</v>
      </c>
      <c r="AI602" s="196" t="s">
        <v>279</v>
      </c>
      <c r="AJ602" s="199">
        <v>0</v>
      </c>
      <c r="AK602" s="196" t="s">
        <v>279</v>
      </c>
      <c r="AL602" s="199">
        <v>0</v>
      </c>
      <c r="AM602" s="196" t="s">
        <v>279</v>
      </c>
      <c r="AN602" s="199">
        <v>0</v>
      </c>
      <c r="AO602" s="196" t="s">
        <v>279</v>
      </c>
      <c r="AP602" s="199">
        <v>0</v>
      </c>
      <c r="AQ602" s="199">
        <v>30.38</v>
      </c>
      <c r="AR602" s="199">
        <v>0</v>
      </c>
      <c r="AS602" s="196" t="str">
        <f t="shared" si="12"/>
        <v>1.00000000</v>
      </c>
      <c r="AT602" s="196" t="str">
        <f>"19.9"</f>
        <v>19.9</v>
      </c>
      <c r="AU602" s="199">
        <v>0</v>
      </c>
    </row>
    <row r="603" spans="1:47" s="196" customFormat="1" x14ac:dyDescent="0.2">
      <c r="A603" s="196" t="str">
        <f t="shared" si="14"/>
        <v>0496002595734</v>
      </c>
      <c r="B603" s="196">
        <v>1</v>
      </c>
      <c r="C603" s="196" t="s">
        <v>435</v>
      </c>
      <c r="D603" s="196">
        <v>81</v>
      </c>
      <c r="E603" s="196">
        <v>81</v>
      </c>
      <c r="F603" s="196" t="s">
        <v>243</v>
      </c>
      <c r="G603" s="196">
        <v>2086</v>
      </c>
      <c r="H603" s="196" t="s">
        <v>270</v>
      </c>
      <c r="I603" s="196">
        <v>74476</v>
      </c>
      <c r="J603" s="197">
        <v>42785</v>
      </c>
      <c r="K603" s="198">
        <v>0.3666666666666667</v>
      </c>
      <c r="L603" s="197">
        <v>42787</v>
      </c>
      <c r="M603" s="196" t="s">
        <v>271</v>
      </c>
      <c r="N603" s="196" t="s">
        <v>272</v>
      </c>
      <c r="O603" s="196" t="s">
        <v>273</v>
      </c>
      <c r="P603" s="196" t="s">
        <v>274</v>
      </c>
      <c r="Q603" s="196" t="s">
        <v>275</v>
      </c>
      <c r="R603" s="196" t="s">
        <v>276</v>
      </c>
      <c r="S603" s="196" t="s">
        <v>436</v>
      </c>
      <c r="T603" s="196" t="s">
        <v>435</v>
      </c>
      <c r="U603" s="196">
        <v>2086</v>
      </c>
      <c r="V603" s="196" t="s">
        <v>435</v>
      </c>
      <c r="W603" s="196" t="s">
        <v>280</v>
      </c>
      <c r="X603" s="196">
        <v>11.446999999999999</v>
      </c>
      <c r="Y603" s="199">
        <v>-0.23</v>
      </c>
      <c r="Z603" s="199">
        <v>2.17</v>
      </c>
      <c r="AA603" s="199">
        <v>24.83</v>
      </c>
      <c r="AB603" s="199">
        <v>-2.09</v>
      </c>
      <c r="AC603" s="199">
        <v>0</v>
      </c>
      <c r="AD603" s="199">
        <v>0</v>
      </c>
      <c r="AE603" s="199">
        <v>22.51</v>
      </c>
      <c r="AF603" s="199">
        <v>-2.75</v>
      </c>
      <c r="AG603" s="196" t="s">
        <v>279</v>
      </c>
      <c r="AH603" s="199">
        <v>0</v>
      </c>
      <c r="AI603" s="196" t="s">
        <v>279</v>
      </c>
      <c r="AJ603" s="199">
        <v>0</v>
      </c>
      <c r="AK603" s="196" t="s">
        <v>279</v>
      </c>
      <c r="AL603" s="199">
        <v>0</v>
      </c>
      <c r="AM603" s="196" t="s">
        <v>279</v>
      </c>
      <c r="AN603" s="199">
        <v>0</v>
      </c>
      <c r="AO603" s="196" t="s">
        <v>279</v>
      </c>
      <c r="AP603" s="199">
        <v>0</v>
      </c>
      <c r="AQ603" s="199">
        <v>24.83</v>
      </c>
      <c r="AR603" s="199">
        <v>0</v>
      </c>
      <c r="AS603" s="196" t="str">
        <f t="shared" si="12"/>
        <v>1.00000000</v>
      </c>
      <c r="AT603" s="196" t="str">
        <f>"19.7"</f>
        <v>19.7</v>
      </c>
      <c r="AU603" s="199">
        <v>0</v>
      </c>
    </row>
    <row r="604" spans="1:47" s="196" customFormat="1" x14ac:dyDescent="0.2">
      <c r="A604" s="196" t="str">
        <f t="shared" si="14"/>
        <v>0496002595734</v>
      </c>
      <c r="B604" s="196">
        <v>1</v>
      </c>
      <c r="C604" s="196" t="s">
        <v>435</v>
      </c>
      <c r="D604" s="196">
        <v>81</v>
      </c>
      <c r="E604" s="196">
        <v>81</v>
      </c>
      <c r="F604" s="196" t="s">
        <v>243</v>
      </c>
      <c r="G604" s="196">
        <v>2086</v>
      </c>
      <c r="H604" s="196" t="s">
        <v>270</v>
      </c>
      <c r="I604" s="196">
        <v>74769</v>
      </c>
      <c r="J604" s="197">
        <v>42788</v>
      </c>
      <c r="K604" s="198">
        <v>0.40208333333333335</v>
      </c>
      <c r="L604" s="197">
        <v>42790</v>
      </c>
      <c r="M604" s="196" t="s">
        <v>302</v>
      </c>
      <c r="N604" s="196" t="s">
        <v>448</v>
      </c>
      <c r="O604" s="196" t="s">
        <v>449</v>
      </c>
      <c r="P604" s="196" t="s">
        <v>450</v>
      </c>
      <c r="Q604" s="196" t="s">
        <v>275</v>
      </c>
      <c r="R604" s="196">
        <v>2118</v>
      </c>
      <c r="S604" s="196" t="s">
        <v>436</v>
      </c>
      <c r="T604" s="196" t="s">
        <v>435</v>
      </c>
      <c r="U604" s="196">
        <v>2086</v>
      </c>
      <c r="V604" s="196" t="s">
        <v>435</v>
      </c>
      <c r="W604" s="196" t="s">
        <v>280</v>
      </c>
      <c r="X604" s="196">
        <v>14.420999999999999</v>
      </c>
      <c r="Y604" s="199">
        <v>0</v>
      </c>
      <c r="Z604" s="199">
        <v>2.82</v>
      </c>
      <c r="AA604" s="199">
        <v>40.65</v>
      </c>
      <c r="AB604" s="199">
        <v>-2.64</v>
      </c>
      <c r="AC604" s="199">
        <v>0</v>
      </c>
      <c r="AD604" s="199">
        <v>0</v>
      </c>
      <c r="AE604" s="199">
        <v>38.01</v>
      </c>
      <c r="AF604" s="199">
        <v>-3.46</v>
      </c>
      <c r="AG604" s="196" t="s">
        <v>279</v>
      </c>
      <c r="AH604" s="199">
        <v>0</v>
      </c>
      <c r="AI604" s="196" t="s">
        <v>279</v>
      </c>
      <c r="AJ604" s="199">
        <v>0</v>
      </c>
      <c r="AK604" s="196" t="s">
        <v>279</v>
      </c>
      <c r="AL604" s="199">
        <v>0</v>
      </c>
      <c r="AM604" s="196" t="s">
        <v>279</v>
      </c>
      <c r="AN604" s="199">
        <v>0</v>
      </c>
      <c r="AO604" s="196" t="s">
        <v>279</v>
      </c>
      <c r="AP604" s="199">
        <v>0</v>
      </c>
      <c r="AQ604" s="199">
        <v>40.65</v>
      </c>
      <c r="AR604" s="199">
        <v>0</v>
      </c>
      <c r="AS604" s="196" t="str">
        <f t="shared" si="12"/>
        <v>1.00000000</v>
      </c>
      <c r="AT604" s="196" t="str">
        <f>"20.3"</f>
        <v>20.3</v>
      </c>
      <c r="AU604" s="199">
        <v>0</v>
      </c>
    </row>
    <row r="605" spans="1:47" s="196" customFormat="1" x14ac:dyDescent="0.2">
      <c r="A605" s="196" t="str">
        <f t="shared" si="14"/>
        <v>0496002595734</v>
      </c>
      <c r="B605" s="196">
        <v>1</v>
      </c>
      <c r="C605" s="196" t="s">
        <v>435</v>
      </c>
      <c r="D605" s="196">
        <v>81</v>
      </c>
      <c r="E605" s="196">
        <v>81</v>
      </c>
      <c r="F605" s="196" t="s">
        <v>243</v>
      </c>
      <c r="G605" s="196">
        <v>2086</v>
      </c>
      <c r="H605" s="196" t="s">
        <v>270</v>
      </c>
      <c r="I605" s="196">
        <v>75031</v>
      </c>
      <c r="J605" s="197">
        <v>42790</v>
      </c>
      <c r="K605" s="198">
        <v>0.30694444444444441</v>
      </c>
      <c r="L605" s="197">
        <v>42794</v>
      </c>
      <c r="M605" s="196" t="s">
        <v>271</v>
      </c>
      <c r="N605" s="196" t="s">
        <v>272</v>
      </c>
      <c r="O605" s="196" t="s">
        <v>273</v>
      </c>
      <c r="P605" s="196" t="s">
        <v>274</v>
      </c>
      <c r="Q605" s="196" t="s">
        <v>275</v>
      </c>
      <c r="R605" s="196" t="s">
        <v>276</v>
      </c>
      <c r="S605" s="196" t="s">
        <v>436</v>
      </c>
      <c r="T605" s="196" t="s">
        <v>435</v>
      </c>
      <c r="U605" s="196">
        <v>2086</v>
      </c>
      <c r="V605" s="196" t="s">
        <v>435</v>
      </c>
      <c r="W605" s="196" t="s">
        <v>280</v>
      </c>
      <c r="X605" s="196">
        <v>13.156000000000001</v>
      </c>
      <c r="Y605" s="199">
        <v>-0.26</v>
      </c>
      <c r="Z605" s="199">
        <v>2.19</v>
      </c>
      <c r="AA605" s="199">
        <v>28.8</v>
      </c>
      <c r="AB605" s="199">
        <v>-2.41</v>
      </c>
      <c r="AC605" s="199">
        <v>0</v>
      </c>
      <c r="AD605" s="199">
        <v>0</v>
      </c>
      <c r="AE605" s="199">
        <v>26.13</v>
      </c>
      <c r="AF605" s="199">
        <v>-3.16</v>
      </c>
      <c r="AG605" s="196" t="s">
        <v>279</v>
      </c>
      <c r="AH605" s="199">
        <v>0</v>
      </c>
      <c r="AI605" s="196" t="s">
        <v>279</v>
      </c>
      <c r="AJ605" s="199">
        <v>0</v>
      </c>
      <c r="AK605" s="196" t="s">
        <v>279</v>
      </c>
      <c r="AL605" s="199">
        <v>0</v>
      </c>
      <c r="AM605" s="196" t="s">
        <v>279</v>
      </c>
      <c r="AN605" s="199">
        <v>0</v>
      </c>
      <c r="AO605" s="196" t="s">
        <v>279</v>
      </c>
      <c r="AP605" s="199">
        <v>0</v>
      </c>
      <c r="AQ605" s="199">
        <v>28.8</v>
      </c>
      <c r="AR605" s="199">
        <v>0</v>
      </c>
      <c r="AS605" s="196" t="str">
        <f t="shared" si="12"/>
        <v>1.00000000</v>
      </c>
      <c r="AT605" s="196" t="str">
        <f>"19.9"</f>
        <v>19.9</v>
      </c>
      <c r="AU605" s="199">
        <v>0</v>
      </c>
    </row>
    <row r="606" spans="1:47" s="196" customFormat="1" x14ac:dyDescent="0.2">
      <c r="A606" s="196" t="str">
        <f t="shared" si="14"/>
        <v>0496002595734</v>
      </c>
      <c r="B606" s="196">
        <v>1</v>
      </c>
      <c r="C606" s="196" t="s">
        <v>435</v>
      </c>
      <c r="D606" s="196">
        <v>81</v>
      </c>
      <c r="E606" s="196">
        <v>81</v>
      </c>
      <c r="F606" s="196" t="s">
        <v>243</v>
      </c>
      <c r="G606" s="196">
        <v>2086</v>
      </c>
      <c r="H606" s="196" t="s">
        <v>270</v>
      </c>
      <c r="I606" s="196">
        <v>75302</v>
      </c>
      <c r="J606" s="197">
        <v>42795</v>
      </c>
      <c r="K606" s="198">
        <v>0.66666666666666663</v>
      </c>
      <c r="L606" s="197">
        <v>42797</v>
      </c>
      <c r="M606" s="196" t="s">
        <v>271</v>
      </c>
      <c r="N606" s="196" t="s">
        <v>272</v>
      </c>
      <c r="O606" s="196" t="s">
        <v>273</v>
      </c>
      <c r="P606" s="196" t="s">
        <v>274</v>
      </c>
      <c r="Q606" s="196" t="s">
        <v>275</v>
      </c>
      <c r="R606" s="196" t="s">
        <v>276</v>
      </c>
      <c r="S606" s="196" t="s">
        <v>436</v>
      </c>
      <c r="T606" s="196" t="s">
        <v>435</v>
      </c>
      <c r="U606" s="196">
        <v>2086</v>
      </c>
      <c r="V606" s="196" t="s">
        <v>435</v>
      </c>
      <c r="W606" s="196" t="s">
        <v>280</v>
      </c>
      <c r="X606" s="196">
        <v>10.507</v>
      </c>
      <c r="Y606" s="199">
        <v>-0.21</v>
      </c>
      <c r="Z606" s="199">
        <v>2.19</v>
      </c>
      <c r="AA606" s="199">
        <v>23</v>
      </c>
      <c r="AB606" s="199">
        <v>-1.92</v>
      </c>
      <c r="AC606" s="199">
        <v>0</v>
      </c>
      <c r="AD606" s="199">
        <v>0</v>
      </c>
      <c r="AE606" s="199">
        <v>20.87</v>
      </c>
      <c r="AF606" s="199">
        <v>-2.52</v>
      </c>
      <c r="AG606" s="196" t="s">
        <v>279</v>
      </c>
      <c r="AH606" s="199">
        <v>0</v>
      </c>
      <c r="AI606" s="196" t="s">
        <v>279</v>
      </c>
      <c r="AJ606" s="199">
        <v>0</v>
      </c>
      <c r="AK606" s="196" t="s">
        <v>279</v>
      </c>
      <c r="AL606" s="199">
        <v>0</v>
      </c>
      <c r="AM606" s="196" t="s">
        <v>279</v>
      </c>
      <c r="AN606" s="199">
        <v>0</v>
      </c>
      <c r="AO606" s="196" t="s">
        <v>279</v>
      </c>
      <c r="AP606" s="199">
        <v>0</v>
      </c>
      <c r="AQ606" s="199">
        <v>23</v>
      </c>
      <c r="AR606" s="199">
        <v>0</v>
      </c>
      <c r="AS606" s="196" t="str">
        <f t="shared" si="12"/>
        <v>1.00000000</v>
      </c>
      <c r="AT606" s="196" t="str">
        <f>"25.8"</f>
        <v>25.8</v>
      </c>
      <c r="AU606" s="199">
        <v>0</v>
      </c>
    </row>
    <row r="607" spans="1:47" s="196" customFormat="1" x14ac:dyDescent="0.2">
      <c r="A607" s="196" t="str">
        <f t="shared" si="14"/>
        <v>0496002595734</v>
      </c>
      <c r="B607" s="196">
        <v>1</v>
      </c>
      <c r="C607" s="196" t="s">
        <v>435</v>
      </c>
      <c r="D607" s="196">
        <v>81</v>
      </c>
      <c r="E607" s="196">
        <v>81</v>
      </c>
      <c r="F607" s="196" t="s">
        <v>243</v>
      </c>
      <c r="G607" s="196">
        <v>2086</v>
      </c>
      <c r="H607" s="196" t="s">
        <v>270</v>
      </c>
      <c r="I607" s="196">
        <v>75492</v>
      </c>
      <c r="J607" s="197">
        <v>42799</v>
      </c>
      <c r="K607" s="198">
        <v>0.48125000000000001</v>
      </c>
      <c r="L607" s="197">
        <v>42801</v>
      </c>
      <c r="M607" s="196" t="s">
        <v>271</v>
      </c>
      <c r="N607" s="196" t="s">
        <v>272</v>
      </c>
      <c r="O607" s="196" t="s">
        <v>273</v>
      </c>
      <c r="P607" s="196" t="s">
        <v>274</v>
      </c>
      <c r="Q607" s="196" t="s">
        <v>275</v>
      </c>
      <c r="R607" s="196" t="s">
        <v>276</v>
      </c>
      <c r="S607" s="196" t="s">
        <v>436</v>
      </c>
      <c r="T607" s="196" t="s">
        <v>435</v>
      </c>
      <c r="U607" s="196">
        <v>2086</v>
      </c>
      <c r="V607" s="196" t="s">
        <v>435</v>
      </c>
      <c r="W607" s="196" t="s">
        <v>280</v>
      </c>
      <c r="X607" s="196">
        <v>9.1359999999999992</v>
      </c>
      <c r="Y607" s="199">
        <v>-0.18</v>
      </c>
      <c r="Z607" s="199">
        <v>2.19</v>
      </c>
      <c r="AA607" s="199">
        <v>20</v>
      </c>
      <c r="AB607" s="199">
        <v>-1.67</v>
      </c>
      <c r="AC607" s="199">
        <v>0</v>
      </c>
      <c r="AD607" s="199">
        <v>0</v>
      </c>
      <c r="AE607" s="199">
        <v>18.149999999999999</v>
      </c>
      <c r="AF607" s="199">
        <v>-2.19</v>
      </c>
      <c r="AG607" s="196" t="s">
        <v>279</v>
      </c>
      <c r="AH607" s="199">
        <v>0</v>
      </c>
      <c r="AI607" s="196" t="s">
        <v>279</v>
      </c>
      <c r="AJ607" s="199">
        <v>0</v>
      </c>
      <c r="AK607" s="196" t="s">
        <v>279</v>
      </c>
      <c r="AL607" s="199">
        <v>0</v>
      </c>
      <c r="AM607" s="196" t="s">
        <v>279</v>
      </c>
      <c r="AN607" s="199">
        <v>0</v>
      </c>
      <c r="AO607" s="196" t="s">
        <v>279</v>
      </c>
      <c r="AP607" s="199">
        <v>0</v>
      </c>
      <c r="AQ607" s="199">
        <v>20</v>
      </c>
      <c r="AR607" s="199">
        <v>0</v>
      </c>
      <c r="AS607" s="196" t="str">
        <f t="shared" si="12"/>
        <v>1.00000000</v>
      </c>
      <c r="AT607" s="196" t="str">
        <f>"20.8"</f>
        <v>20.8</v>
      </c>
      <c r="AU607" s="199">
        <v>0</v>
      </c>
    </row>
    <row r="608" spans="1:47" s="196" customFormat="1" x14ac:dyDescent="0.2">
      <c r="A608" s="196" t="str">
        <f t="shared" si="14"/>
        <v>0496002595734</v>
      </c>
      <c r="B608" s="196">
        <v>1</v>
      </c>
      <c r="C608" s="196" t="s">
        <v>435</v>
      </c>
      <c r="D608" s="196">
        <v>81</v>
      </c>
      <c r="E608" s="196">
        <v>81</v>
      </c>
      <c r="F608" s="196" t="s">
        <v>243</v>
      </c>
      <c r="G608" s="196">
        <v>2086</v>
      </c>
      <c r="H608" s="196" t="s">
        <v>270</v>
      </c>
      <c r="I608" s="196">
        <v>75578</v>
      </c>
      <c r="J608" s="197">
        <v>42800</v>
      </c>
      <c r="K608" s="198">
        <v>0.73819444444444438</v>
      </c>
      <c r="L608" s="197">
        <v>42802</v>
      </c>
      <c r="M608" s="196" t="s">
        <v>271</v>
      </c>
      <c r="N608" s="196" t="s">
        <v>272</v>
      </c>
      <c r="O608" s="196" t="s">
        <v>273</v>
      </c>
      <c r="P608" s="196" t="s">
        <v>274</v>
      </c>
      <c r="Q608" s="196" t="s">
        <v>275</v>
      </c>
      <c r="R608" s="196" t="s">
        <v>276</v>
      </c>
      <c r="S608" s="196" t="s">
        <v>436</v>
      </c>
      <c r="T608" s="196" t="s">
        <v>435</v>
      </c>
      <c r="U608" s="196">
        <v>2086</v>
      </c>
      <c r="V608" s="196" t="s">
        <v>435</v>
      </c>
      <c r="W608" s="196" t="s">
        <v>280</v>
      </c>
      <c r="X608" s="196">
        <v>10.218999999999999</v>
      </c>
      <c r="Y608" s="199">
        <v>-0.2</v>
      </c>
      <c r="Z608" s="199">
        <v>2.19</v>
      </c>
      <c r="AA608" s="199">
        <v>22.37</v>
      </c>
      <c r="AB608" s="199">
        <v>-1.87</v>
      </c>
      <c r="AC608" s="199">
        <v>0</v>
      </c>
      <c r="AD608" s="199">
        <v>0</v>
      </c>
      <c r="AE608" s="199">
        <v>20.3</v>
      </c>
      <c r="AF608" s="199">
        <v>-2.4500000000000002</v>
      </c>
      <c r="AG608" s="196" t="s">
        <v>279</v>
      </c>
      <c r="AH608" s="199">
        <v>0</v>
      </c>
      <c r="AI608" s="196" t="s">
        <v>279</v>
      </c>
      <c r="AJ608" s="199">
        <v>0</v>
      </c>
      <c r="AK608" s="196" t="s">
        <v>279</v>
      </c>
      <c r="AL608" s="199">
        <v>0</v>
      </c>
      <c r="AM608" s="196" t="s">
        <v>279</v>
      </c>
      <c r="AN608" s="199">
        <v>0</v>
      </c>
      <c r="AO608" s="196" t="s">
        <v>279</v>
      </c>
      <c r="AP608" s="199">
        <v>0</v>
      </c>
      <c r="AQ608" s="199">
        <v>22.37</v>
      </c>
      <c r="AR608" s="199">
        <v>0</v>
      </c>
      <c r="AS608" s="196" t="str">
        <f t="shared" si="12"/>
        <v>1.00000000</v>
      </c>
      <c r="AT608" s="196" t="str">
        <f>"19.9"</f>
        <v>19.9</v>
      </c>
      <c r="AU608" s="199">
        <v>0</v>
      </c>
    </row>
    <row r="609" spans="1:47" s="196" customFormat="1" x14ac:dyDescent="0.2">
      <c r="A609" s="196" t="str">
        <f t="shared" si="14"/>
        <v>0496002595734</v>
      </c>
      <c r="B609" s="196">
        <v>1</v>
      </c>
      <c r="C609" s="196" t="s">
        <v>435</v>
      </c>
      <c r="D609" s="196">
        <v>81</v>
      </c>
      <c r="E609" s="196">
        <v>81</v>
      </c>
      <c r="F609" s="196" t="s">
        <v>243</v>
      </c>
      <c r="G609" s="196">
        <v>2086</v>
      </c>
      <c r="H609" s="196" t="s">
        <v>270</v>
      </c>
      <c r="I609" s="196">
        <v>75906</v>
      </c>
      <c r="J609" s="197">
        <v>42803</v>
      </c>
      <c r="K609" s="198">
        <v>0.52569444444444446</v>
      </c>
      <c r="L609" s="197">
        <v>42807</v>
      </c>
      <c r="M609" s="196" t="s">
        <v>271</v>
      </c>
      <c r="N609" s="196" t="s">
        <v>272</v>
      </c>
      <c r="O609" s="196" t="s">
        <v>273</v>
      </c>
      <c r="P609" s="196" t="s">
        <v>274</v>
      </c>
      <c r="Q609" s="196" t="s">
        <v>275</v>
      </c>
      <c r="R609" s="196" t="s">
        <v>276</v>
      </c>
      <c r="S609" s="196" t="s">
        <v>436</v>
      </c>
      <c r="T609" s="196" t="s">
        <v>435</v>
      </c>
      <c r="U609" s="196">
        <v>2086</v>
      </c>
      <c r="V609" s="196" t="s">
        <v>435</v>
      </c>
      <c r="W609" s="196" t="s">
        <v>280</v>
      </c>
      <c r="X609" s="196">
        <v>17.428000000000001</v>
      </c>
      <c r="Y609" s="199">
        <v>-0.35</v>
      </c>
      <c r="Z609" s="199">
        <v>2.19</v>
      </c>
      <c r="AA609" s="199">
        <v>38.15</v>
      </c>
      <c r="AB609" s="199">
        <v>-3.19</v>
      </c>
      <c r="AC609" s="199">
        <v>0</v>
      </c>
      <c r="AD609" s="199">
        <v>0</v>
      </c>
      <c r="AE609" s="199">
        <v>34.61</v>
      </c>
      <c r="AF609" s="199">
        <v>-4.18</v>
      </c>
      <c r="AG609" s="196" t="s">
        <v>279</v>
      </c>
      <c r="AH609" s="199">
        <v>0</v>
      </c>
      <c r="AI609" s="196" t="s">
        <v>279</v>
      </c>
      <c r="AJ609" s="199">
        <v>0</v>
      </c>
      <c r="AK609" s="196" t="s">
        <v>279</v>
      </c>
      <c r="AL609" s="199">
        <v>0</v>
      </c>
      <c r="AM609" s="196" t="s">
        <v>279</v>
      </c>
      <c r="AN609" s="199">
        <v>0</v>
      </c>
      <c r="AO609" s="196" t="s">
        <v>279</v>
      </c>
      <c r="AP609" s="199">
        <v>0</v>
      </c>
      <c r="AQ609" s="199">
        <v>38.15</v>
      </c>
      <c r="AR609" s="199">
        <v>0</v>
      </c>
      <c r="AS609" s="196" t="str">
        <f t="shared" si="12"/>
        <v>1.00000000</v>
      </c>
      <c r="AT609" s="196" t="str">
        <f>"18.8"</f>
        <v>18.8</v>
      </c>
      <c r="AU609" s="199">
        <v>0</v>
      </c>
    </row>
    <row r="610" spans="1:47" s="196" customFormat="1" x14ac:dyDescent="0.2">
      <c r="A610" s="196" t="str">
        <f t="shared" si="14"/>
        <v>0496002595734</v>
      </c>
      <c r="B610" s="196">
        <v>1</v>
      </c>
      <c r="C610" s="196" t="s">
        <v>435</v>
      </c>
      <c r="D610" s="196">
        <v>81</v>
      </c>
      <c r="E610" s="196">
        <v>81</v>
      </c>
      <c r="F610" s="196" t="s">
        <v>243</v>
      </c>
      <c r="G610" s="196">
        <v>2086</v>
      </c>
      <c r="H610" s="196" t="s">
        <v>270</v>
      </c>
      <c r="I610" s="196">
        <v>76092</v>
      </c>
      <c r="J610" s="197">
        <v>42804</v>
      </c>
      <c r="K610" s="198">
        <v>0.90833333333333333</v>
      </c>
      <c r="L610" s="197">
        <v>42808</v>
      </c>
      <c r="M610" s="196" t="s">
        <v>271</v>
      </c>
      <c r="N610" s="196" t="s">
        <v>272</v>
      </c>
      <c r="O610" s="196" t="s">
        <v>273</v>
      </c>
      <c r="P610" s="196" t="s">
        <v>274</v>
      </c>
      <c r="Q610" s="196" t="s">
        <v>275</v>
      </c>
      <c r="R610" s="196" t="s">
        <v>276</v>
      </c>
      <c r="S610" s="196" t="s">
        <v>436</v>
      </c>
      <c r="T610" s="196" t="s">
        <v>435</v>
      </c>
      <c r="U610" s="196">
        <v>2086</v>
      </c>
      <c r="V610" s="196" t="s">
        <v>435</v>
      </c>
      <c r="W610" s="196" t="s">
        <v>335</v>
      </c>
      <c r="X610" s="196">
        <v>11.691000000000001</v>
      </c>
      <c r="Y610" s="199">
        <v>-0.23</v>
      </c>
      <c r="Z610" s="199">
        <v>2.39</v>
      </c>
      <c r="AA610" s="199">
        <v>27.93</v>
      </c>
      <c r="AB610" s="199">
        <v>-2.14</v>
      </c>
      <c r="AC610" s="199">
        <v>0</v>
      </c>
      <c r="AD610" s="199">
        <v>0</v>
      </c>
      <c r="AE610" s="199">
        <v>25.56</v>
      </c>
      <c r="AF610" s="199">
        <v>-2.81</v>
      </c>
      <c r="AG610" s="196" t="s">
        <v>279</v>
      </c>
      <c r="AH610" s="199">
        <v>0</v>
      </c>
      <c r="AI610" s="196" t="s">
        <v>279</v>
      </c>
      <c r="AJ610" s="199">
        <v>0</v>
      </c>
      <c r="AK610" s="196" t="s">
        <v>279</v>
      </c>
      <c r="AL610" s="199">
        <v>0</v>
      </c>
      <c r="AM610" s="196" t="s">
        <v>279</v>
      </c>
      <c r="AN610" s="199">
        <v>0</v>
      </c>
      <c r="AO610" s="196" t="s">
        <v>279</v>
      </c>
      <c r="AP610" s="199">
        <v>0</v>
      </c>
      <c r="AQ610" s="199">
        <v>27.93</v>
      </c>
      <c r="AR610" s="199">
        <v>0</v>
      </c>
      <c r="AS610" s="196" t="str">
        <f t="shared" si="12"/>
        <v>1.00000000</v>
      </c>
      <c r="AT610" s="196" t="str">
        <f>"15.9"</f>
        <v>15.9</v>
      </c>
      <c r="AU610" s="199">
        <v>0</v>
      </c>
    </row>
    <row r="611" spans="1:47" s="196" customFormat="1" x14ac:dyDescent="0.2">
      <c r="A611" s="196" t="str">
        <f t="shared" si="14"/>
        <v>0496002595734</v>
      </c>
      <c r="B611" s="196">
        <v>1</v>
      </c>
      <c r="C611" s="196" t="s">
        <v>435</v>
      </c>
      <c r="D611" s="196">
        <v>81</v>
      </c>
      <c r="E611" s="196">
        <v>81</v>
      </c>
      <c r="F611" s="196" t="s">
        <v>243</v>
      </c>
      <c r="G611" s="196">
        <v>2086</v>
      </c>
      <c r="H611" s="196" t="s">
        <v>270</v>
      </c>
      <c r="I611" s="196">
        <v>76345</v>
      </c>
      <c r="J611" s="197">
        <v>42805</v>
      </c>
      <c r="K611" s="198">
        <v>0.68194444444444446</v>
      </c>
      <c r="L611" s="197">
        <v>42808</v>
      </c>
      <c r="M611" s="196" t="s">
        <v>271</v>
      </c>
      <c r="N611" s="196" t="s">
        <v>272</v>
      </c>
      <c r="O611" s="196" t="s">
        <v>273</v>
      </c>
      <c r="P611" s="196" t="s">
        <v>274</v>
      </c>
      <c r="Q611" s="196" t="s">
        <v>275</v>
      </c>
      <c r="R611" s="196" t="s">
        <v>276</v>
      </c>
      <c r="S611" s="196" t="s">
        <v>436</v>
      </c>
      <c r="T611" s="196" t="s">
        <v>435</v>
      </c>
      <c r="U611" s="196">
        <v>2086</v>
      </c>
      <c r="V611" s="196" t="s">
        <v>435</v>
      </c>
      <c r="W611" s="196" t="s">
        <v>280</v>
      </c>
      <c r="X611" s="196">
        <v>13.375</v>
      </c>
      <c r="Y611" s="199">
        <v>-0.27</v>
      </c>
      <c r="Z611" s="199">
        <v>2.19</v>
      </c>
      <c r="AA611" s="199">
        <v>29.28</v>
      </c>
      <c r="AB611" s="199">
        <v>-2.4500000000000002</v>
      </c>
      <c r="AC611" s="199">
        <v>0</v>
      </c>
      <c r="AD611" s="199">
        <v>0</v>
      </c>
      <c r="AE611" s="199">
        <v>26.56</v>
      </c>
      <c r="AF611" s="199">
        <v>-3.21</v>
      </c>
      <c r="AG611" s="196" t="s">
        <v>279</v>
      </c>
      <c r="AH611" s="199">
        <v>0</v>
      </c>
      <c r="AI611" s="196" t="s">
        <v>279</v>
      </c>
      <c r="AJ611" s="199">
        <v>0</v>
      </c>
      <c r="AK611" s="196" t="s">
        <v>279</v>
      </c>
      <c r="AL611" s="199">
        <v>0</v>
      </c>
      <c r="AM611" s="196" t="s">
        <v>279</v>
      </c>
      <c r="AN611" s="199">
        <v>0</v>
      </c>
      <c r="AO611" s="196" t="s">
        <v>279</v>
      </c>
      <c r="AP611" s="199">
        <v>0</v>
      </c>
      <c r="AQ611" s="199">
        <v>29.28</v>
      </c>
      <c r="AR611" s="199">
        <v>0</v>
      </c>
      <c r="AS611" s="196" t="str">
        <f t="shared" si="12"/>
        <v>1.00000000</v>
      </c>
      <c r="AT611" s="196" t="str">
        <f>"18.9"</f>
        <v>18.9</v>
      </c>
      <c r="AU611" s="199">
        <v>0</v>
      </c>
    </row>
    <row r="612" spans="1:47" s="196" customFormat="1" x14ac:dyDescent="0.2">
      <c r="A612" s="196" t="str">
        <f t="shared" si="14"/>
        <v>0496002595734</v>
      </c>
      <c r="B612" s="196">
        <v>1</v>
      </c>
      <c r="C612" s="196" t="s">
        <v>435</v>
      </c>
      <c r="D612" s="196">
        <v>81</v>
      </c>
      <c r="E612" s="196">
        <v>81</v>
      </c>
      <c r="F612" s="196" t="s">
        <v>243</v>
      </c>
      <c r="G612" s="196">
        <v>2086</v>
      </c>
      <c r="H612" s="196" t="s">
        <v>270</v>
      </c>
      <c r="I612" s="196">
        <v>76470</v>
      </c>
      <c r="J612" s="197">
        <v>42805</v>
      </c>
      <c r="K612" s="198">
        <v>0.88958333333333339</v>
      </c>
      <c r="L612" s="197">
        <v>42808</v>
      </c>
      <c r="M612" s="196" t="s">
        <v>271</v>
      </c>
      <c r="N612" s="196" t="s">
        <v>272</v>
      </c>
      <c r="O612" s="196" t="s">
        <v>273</v>
      </c>
      <c r="P612" s="196" t="s">
        <v>274</v>
      </c>
      <c r="Q612" s="196" t="s">
        <v>275</v>
      </c>
      <c r="R612" s="196" t="s">
        <v>276</v>
      </c>
      <c r="S612" s="196" t="s">
        <v>436</v>
      </c>
      <c r="T612" s="196" t="s">
        <v>435</v>
      </c>
      <c r="U612" s="196">
        <v>2086</v>
      </c>
      <c r="V612" s="196" t="s">
        <v>435</v>
      </c>
      <c r="W612" s="196" t="s">
        <v>280</v>
      </c>
      <c r="X612" s="196">
        <v>6.851</v>
      </c>
      <c r="Y612" s="199">
        <v>-0.14000000000000001</v>
      </c>
      <c r="Z612" s="199">
        <v>2.19</v>
      </c>
      <c r="AA612" s="199">
        <v>14.99</v>
      </c>
      <c r="AB612" s="199">
        <v>-1.25</v>
      </c>
      <c r="AC612" s="199">
        <v>0</v>
      </c>
      <c r="AD612" s="199">
        <v>0</v>
      </c>
      <c r="AE612" s="199">
        <v>13.6</v>
      </c>
      <c r="AF612" s="199">
        <v>-1.64</v>
      </c>
      <c r="AG612" s="196" t="s">
        <v>279</v>
      </c>
      <c r="AH612" s="199">
        <v>0</v>
      </c>
      <c r="AI612" s="196" t="s">
        <v>279</v>
      </c>
      <c r="AJ612" s="199">
        <v>0</v>
      </c>
      <c r="AK612" s="196" t="s">
        <v>279</v>
      </c>
      <c r="AL612" s="199">
        <v>0</v>
      </c>
      <c r="AM612" s="196" t="s">
        <v>279</v>
      </c>
      <c r="AN612" s="199">
        <v>0</v>
      </c>
      <c r="AO612" s="196" t="s">
        <v>279</v>
      </c>
      <c r="AP612" s="199">
        <v>0</v>
      </c>
      <c r="AQ612" s="199">
        <v>14.99</v>
      </c>
      <c r="AR612" s="199">
        <v>0</v>
      </c>
      <c r="AS612" s="196" t="str">
        <f t="shared" si="12"/>
        <v>1.00000000</v>
      </c>
      <c r="AT612" s="196" t="str">
        <f>"18.2"</f>
        <v>18.2</v>
      </c>
      <c r="AU612" s="199">
        <v>0</v>
      </c>
    </row>
    <row r="613" spans="1:47" s="196" customFormat="1" x14ac:dyDescent="0.2">
      <c r="A613" s="196" t="str">
        <f t="shared" si="14"/>
        <v>0496002595734</v>
      </c>
      <c r="B613" s="196">
        <v>1</v>
      </c>
      <c r="C613" s="196" t="s">
        <v>435</v>
      </c>
      <c r="D613" s="196">
        <v>81</v>
      </c>
      <c r="E613" s="196">
        <v>81</v>
      </c>
      <c r="F613" s="196" t="s">
        <v>243</v>
      </c>
      <c r="G613" s="196">
        <v>2086</v>
      </c>
      <c r="H613" s="196" t="s">
        <v>270</v>
      </c>
      <c r="I613" s="196">
        <v>76565</v>
      </c>
      <c r="J613" s="197">
        <v>42806</v>
      </c>
      <c r="K613" s="198">
        <v>0.40416666666666662</v>
      </c>
      <c r="L613" s="197">
        <v>42808</v>
      </c>
      <c r="M613" s="196" t="s">
        <v>271</v>
      </c>
      <c r="N613" s="196" t="s">
        <v>272</v>
      </c>
      <c r="O613" s="196" t="s">
        <v>273</v>
      </c>
      <c r="P613" s="196" t="s">
        <v>274</v>
      </c>
      <c r="Q613" s="196" t="s">
        <v>275</v>
      </c>
      <c r="R613" s="196" t="s">
        <v>276</v>
      </c>
      <c r="S613" s="196" t="s">
        <v>436</v>
      </c>
      <c r="T613" s="196" t="s">
        <v>435</v>
      </c>
      <c r="U613" s="196">
        <v>2086</v>
      </c>
      <c r="V613" s="196" t="s">
        <v>435</v>
      </c>
      <c r="W613" s="196" t="s">
        <v>280</v>
      </c>
      <c r="X613" s="196">
        <v>4.984</v>
      </c>
      <c r="Y613" s="199">
        <v>-0.1</v>
      </c>
      <c r="Z613" s="199">
        <v>2.19</v>
      </c>
      <c r="AA613" s="199">
        <v>10.91</v>
      </c>
      <c r="AB613" s="199">
        <v>-0.91</v>
      </c>
      <c r="AC613" s="199">
        <v>0</v>
      </c>
      <c r="AD613" s="199">
        <v>0</v>
      </c>
      <c r="AE613" s="199">
        <v>9.9</v>
      </c>
      <c r="AF613" s="199">
        <v>-1.2</v>
      </c>
      <c r="AG613" s="196" t="s">
        <v>279</v>
      </c>
      <c r="AH613" s="199">
        <v>0</v>
      </c>
      <c r="AI613" s="196" t="s">
        <v>279</v>
      </c>
      <c r="AJ613" s="199">
        <v>0</v>
      </c>
      <c r="AK613" s="196" t="s">
        <v>279</v>
      </c>
      <c r="AL613" s="199">
        <v>0</v>
      </c>
      <c r="AM613" s="196" t="s">
        <v>279</v>
      </c>
      <c r="AN613" s="199">
        <v>0</v>
      </c>
      <c r="AO613" s="196" t="s">
        <v>279</v>
      </c>
      <c r="AP613" s="199">
        <v>0</v>
      </c>
      <c r="AQ613" s="199">
        <v>10.91</v>
      </c>
      <c r="AR613" s="199">
        <v>0</v>
      </c>
      <c r="AS613" s="196" t="str">
        <f t="shared" si="12"/>
        <v>1.00000000</v>
      </c>
      <c r="AT613" s="196" t="str">
        <f>"19.1"</f>
        <v>19.1</v>
      </c>
      <c r="AU613" s="199">
        <v>0</v>
      </c>
    </row>
    <row r="614" spans="1:47" s="196" customFormat="1" x14ac:dyDescent="0.2">
      <c r="A614" s="196" t="str">
        <f t="shared" si="14"/>
        <v>0496002595734</v>
      </c>
      <c r="B614" s="196">
        <v>1</v>
      </c>
      <c r="C614" s="196" t="s">
        <v>435</v>
      </c>
      <c r="D614" s="196">
        <v>81</v>
      </c>
      <c r="E614" s="196">
        <v>81</v>
      </c>
      <c r="F614" s="196" t="s">
        <v>243</v>
      </c>
      <c r="G614" s="196">
        <v>2086</v>
      </c>
      <c r="H614" s="196" t="s">
        <v>270</v>
      </c>
      <c r="I614" s="196">
        <v>76767</v>
      </c>
      <c r="J614" s="197">
        <v>42806</v>
      </c>
      <c r="K614" s="198">
        <v>0.66249999999999998</v>
      </c>
      <c r="L614" s="197">
        <v>42808</v>
      </c>
      <c r="M614" s="196" t="s">
        <v>271</v>
      </c>
      <c r="N614" s="196" t="s">
        <v>272</v>
      </c>
      <c r="O614" s="196" t="s">
        <v>273</v>
      </c>
      <c r="P614" s="196" t="s">
        <v>274</v>
      </c>
      <c r="Q614" s="196" t="s">
        <v>275</v>
      </c>
      <c r="R614" s="196" t="s">
        <v>276</v>
      </c>
      <c r="S614" s="196" t="s">
        <v>436</v>
      </c>
      <c r="T614" s="196" t="s">
        <v>435</v>
      </c>
      <c r="U614" s="196">
        <v>2086</v>
      </c>
      <c r="V614" s="196" t="s">
        <v>435</v>
      </c>
      <c r="W614" s="196" t="s">
        <v>280</v>
      </c>
      <c r="X614" s="196">
        <v>8.0440000000000005</v>
      </c>
      <c r="Y614" s="199">
        <v>-0.16</v>
      </c>
      <c r="Z614" s="199">
        <v>2.19</v>
      </c>
      <c r="AA614" s="199">
        <v>17.61</v>
      </c>
      <c r="AB614" s="199">
        <v>-1.47</v>
      </c>
      <c r="AC614" s="199">
        <v>0</v>
      </c>
      <c r="AD614" s="199">
        <v>0</v>
      </c>
      <c r="AE614" s="199">
        <v>15.98</v>
      </c>
      <c r="AF614" s="199">
        <v>-1.93</v>
      </c>
      <c r="AG614" s="196" t="s">
        <v>279</v>
      </c>
      <c r="AH614" s="199">
        <v>0</v>
      </c>
      <c r="AI614" s="196" t="s">
        <v>279</v>
      </c>
      <c r="AJ614" s="199">
        <v>0</v>
      </c>
      <c r="AK614" s="196" t="s">
        <v>279</v>
      </c>
      <c r="AL614" s="199">
        <v>0</v>
      </c>
      <c r="AM614" s="196" t="s">
        <v>279</v>
      </c>
      <c r="AN614" s="199">
        <v>0</v>
      </c>
      <c r="AO614" s="196" t="s">
        <v>279</v>
      </c>
      <c r="AP614" s="199">
        <v>0</v>
      </c>
      <c r="AQ614" s="199">
        <v>17.61</v>
      </c>
      <c r="AR614" s="199">
        <v>0</v>
      </c>
      <c r="AS614" s="196" t="str">
        <f t="shared" si="12"/>
        <v>1.00000000</v>
      </c>
      <c r="AT614" s="196" t="str">
        <f>"25.1"</f>
        <v>25.1</v>
      </c>
      <c r="AU614" s="199">
        <v>0</v>
      </c>
    </row>
    <row r="615" spans="1:47" s="196" customFormat="1" x14ac:dyDescent="0.2">
      <c r="A615" s="196" t="str">
        <f t="shared" si="14"/>
        <v>0496002595734</v>
      </c>
      <c r="B615" s="196">
        <v>1</v>
      </c>
      <c r="C615" s="196" t="s">
        <v>435</v>
      </c>
      <c r="D615" s="196">
        <v>81</v>
      </c>
      <c r="E615" s="196">
        <v>81</v>
      </c>
      <c r="F615" s="196" t="s">
        <v>243</v>
      </c>
      <c r="G615" s="196">
        <v>2086</v>
      </c>
      <c r="H615" s="196" t="s">
        <v>270</v>
      </c>
      <c r="I615" s="196">
        <v>77069</v>
      </c>
      <c r="J615" s="197">
        <v>42807</v>
      </c>
      <c r="K615" s="198">
        <v>0.88611111111111107</v>
      </c>
      <c r="L615" s="197">
        <v>42809</v>
      </c>
      <c r="M615" s="196" t="s">
        <v>271</v>
      </c>
      <c r="N615" s="196" t="s">
        <v>272</v>
      </c>
      <c r="O615" s="196" t="s">
        <v>273</v>
      </c>
      <c r="P615" s="196" t="s">
        <v>274</v>
      </c>
      <c r="Q615" s="196" t="s">
        <v>275</v>
      </c>
      <c r="R615" s="196" t="s">
        <v>276</v>
      </c>
      <c r="S615" s="196" t="s">
        <v>436</v>
      </c>
      <c r="T615" s="196" t="s">
        <v>435</v>
      </c>
      <c r="U615" s="196">
        <v>2086</v>
      </c>
      <c r="V615" s="196" t="s">
        <v>435</v>
      </c>
      <c r="W615" s="196" t="s">
        <v>280</v>
      </c>
      <c r="X615" s="196">
        <v>13.385</v>
      </c>
      <c r="Y615" s="199">
        <v>-0.27</v>
      </c>
      <c r="Z615" s="199">
        <v>2.19</v>
      </c>
      <c r="AA615" s="199">
        <v>29.3</v>
      </c>
      <c r="AB615" s="199">
        <v>-2.4500000000000002</v>
      </c>
      <c r="AC615" s="199">
        <v>0</v>
      </c>
      <c r="AD615" s="199">
        <v>0</v>
      </c>
      <c r="AE615" s="199">
        <v>26.58</v>
      </c>
      <c r="AF615" s="199">
        <v>-3.21</v>
      </c>
      <c r="AG615" s="196" t="s">
        <v>279</v>
      </c>
      <c r="AH615" s="199">
        <v>0</v>
      </c>
      <c r="AI615" s="196" t="s">
        <v>279</v>
      </c>
      <c r="AJ615" s="199">
        <v>0</v>
      </c>
      <c r="AK615" s="196" t="s">
        <v>279</v>
      </c>
      <c r="AL615" s="199">
        <v>0</v>
      </c>
      <c r="AM615" s="196" t="s">
        <v>279</v>
      </c>
      <c r="AN615" s="199">
        <v>0</v>
      </c>
      <c r="AO615" s="196" t="s">
        <v>279</v>
      </c>
      <c r="AP615" s="199">
        <v>0</v>
      </c>
      <c r="AQ615" s="199">
        <v>29.3</v>
      </c>
      <c r="AR615" s="199">
        <v>0</v>
      </c>
      <c r="AS615" s="196" t="str">
        <f t="shared" si="12"/>
        <v>1.00000000</v>
      </c>
      <c r="AT615" s="196" t="str">
        <f>"22.6"</f>
        <v>22.6</v>
      </c>
      <c r="AU615" s="199">
        <v>0</v>
      </c>
    </row>
    <row r="616" spans="1:47" s="196" customFormat="1" x14ac:dyDescent="0.2">
      <c r="A616" s="196" t="str">
        <f t="shared" si="14"/>
        <v>0496002595734</v>
      </c>
      <c r="B616" s="196">
        <v>1</v>
      </c>
      <c r="C616" s="196" t="s">
        <v>435</v>
      </c>
      <c r="D616" s="196">
        <v>81</v>
      </c>
      <c r="E616" s="196">
        <v>81</v>
      </c>
      <c r="F616" s="196" t="s">
        <v>243</v>
      </c>
      <c r="G616" s="196">
        <v>2086</v>
      </c>
      <c r="H616" s="196" t="s">
        <v>270</v>
      </c>
      <c r="I616" s="196">
        <v>77300</v>
      </c>
      <c r="J616" s="197">
        <v>42810</v>
      </c>
      <c r="K616" s="198">
        <v>0.8965277777777777</v>
      </c>
      <c r="L616" s="197">
        <v>42814</v>
      </c>
      <c r="M616" s="196" t="s">
        <v>271</v>
      </c>
      <c r="N616" s="196" t="s">
        <v>272</v>
      </c>
      <c r="O616" s="196" t="s">
        <v>273</v>
      </c>
      <c r="P616" s="196" t="s">
        <v>274</v>
      </c>
      <c r="Q616" s="196" t="s">
        <v>275</v>
      </c>
      <c r="R616" s="196" t="s">
        <v>276</v>
      </c>
      <c r="S616" s="196" t="s">
        <v>436</v>
      </c>
      <c r="T616" s="196" t="s">
        <v>435</v>
      </c>
      <c r="U616" s="196">
        <v>2086</v>
      </c>
      <c r="V616" s="196" t="s">
        <v>435</v>
      </c>
      <c r="W616" s="196" t="s">
        <v>280</v>
      </c>
      <c r="X616" s="196">
        <v>13.115</v>
      </c>
      <c r="Y616" s="199">
        <v>-0.26</v>
      </c>
      <c r="Z616" s="199">
        <v>2.19</v>
      </c>
      <c r="AA616" s="199">
        <v>28.71</v>
      </c>
      <c r="AB616" s="199">
        <v>-2.4</v>
      </c>
      <c r="AC616" s="199">
        <v>0</v>
      </c>
      <c r="AD616" s="199">
        <v>0</v>
      </c>
      <c r="AE616" s="199">
        <v>26.05</v>
      </c>
      <c r="AF616" s="199">
        <v>-3.15</v>
      </c>
      <c r="AG616" s="196" t="s">
        <v>279</v>
      </c>
      <c r="AH616" s="199">
        <v>0</v>
      </c>
      <c r="AI616" s="196" t="s">
        <v>279</v>
      </c>
      <c r="AJ616" s="199">
        <v>0</v>
      </c>
      <c r="AK616" s="196" t="s">
        <v>279</v>
      </c>
      <c r="AL616" s="199">
        <v>0</v>
      </c>
      <c r="AM616" s="196" t="s">
        <v>279</v>
      </c>
      <c r="AN616" s="199">
        <v>0</v>
      </c>
      <c r="AO616" s="196" t="s">
        <v>279</v>
      </c>
      <c r="AP616" s="199">
        <v>0</v>
      </c>
      <c r="AQ616" s="199">
        <v>28.71</v>
      </c>
      <c r="AR616" s="199">
        <v>0</v>
      </c>
      <c r="AS616" s="196" t="str">
        <f t="shared" si="12"/>
        <v>1.00000000</v>
      </c>
      <c r="AT616" s="196" t="str">
        <f>"17.6"</f>
        <v>17.6</v>
      </c>
      <c r="AU616" s="199">
        <v>0</v>
      </c>
    </row>
    <row r="617" spans="1:47" s="196" customFormat="1" x14ac:dyDescent="0.2">
      <c r="A617" s="196" t="str">
        <f t="shared" si="14"/>
        <v>0496002595734</v>
      </c>
      <c r="B617" s="196">
        <v>1</v>
      </c>
      <c r="C617" s="196" t="s">
        <v>435</v>
      </c>
      <c r="D617" s="196">
        <v>81</v>
      </c>
      <c r="E617" s="196">
        <v>81</v>
      </c>
      <c r="F617" s="196" t="s">
        <v>243</v>
      </c>
      <c r="G617" s="196">
        <v>2086</v>
      </c>
      <c r="H617" s="196" t="s">
        <v>270</v>
      </c>
      <c r="I617" s="196">
        <v>14000</v>
      </c>
      <c r="J617" s="197">
        <v>42814</v>
      </c>
      <c r="K617" s="198">
        <v>0.7284722222222223</v>
      </c>
      <c r="L617" s="197">
        <v>42816</v>
      </c>
      <c r="M617" s="196" t="s">
        <v>285</v>
      </c>
      <c r="N617" s="196" t="s">
        <v>399</v>
      </c>
      <c r="O617" s="196" t="s">
        <v>400</v>
      </c>
      <c r="P617" s="196" t="s">
        <v>274</v>
      </c>
      <c r="Q617" s="196" t="s">
        <v>275</v>
      </c>
      <c r="R617" s="196" t="s">
        <v>401</v>
      </c>
      <c r="S617" s="196" t="s">
        <v>436</v>
      </c>
      <c r="T617" s="196" t="s">
        <v>435</v>
      </c>
      <c r="U617" s="196">
        <v>2086</v>
      </c>
      <c r="V617" s="196" t="s">
        <v>435</v>
      </c>
      <c r="W617" s="196" t="s">
        <v>280</v>
      </c>
      <c r="X617" s="196">
        <v>9.44</v>
      </c>
      <c r="Y617" s="199">
        <v>0</v>
      </c>
      <c r="Z617" s="199">
        <v>2.1800000000000002</v>
      </c>
      <c r="AA617" s="199">
        <v>20.57</v>
      </c>
      <c r="AB617" s="199">
        <v>-1.73</v>
      </c>
      <c r="AC617" s="199">
        <v>0</v>
      </c>
      <c r="AD617" s="199">
        <v>0</v>
      </c>
      <c r="AE617" s="199">
        <v>18.84</v>
      </c>
      <c r="AF617" s="199">
        <v>-2.27</v>
      </c>
      <c r="AG617" s="196" t="s">
        <v>279</v>
      </c>
      <c r="AH617" s="199">
        <v>0</v>
      </c>
      <c r="AI617" s="196" t="s">
        <v>279</v>
      </c>
      <c r="AJ617" s="199">
        <v>0</v>
      </c>
      <c r="AK617" s="196" t="s">
        <v>279</v>
      </c>
      <c r="AL617" s="199">
        <v>0</v>
      </c>
      <c r="AM617" s="196" t="s">
        <v>279</v>
      </c>
      <c r="AN617" s="199">
        <v>0</v>
      </c>
      <c r="AO617" s="196" t="s">
        <v>279</v>
      </c>
      <c r="AP617" s="199">
        <v>0</v>
      </c>
      <c r="AQ617" s="199">
        <v>20.57</v>
      </c>
      <c r="AR617" s="199">
        <v>0</v>
      </c>
      <c r="AS617" s="196" t="str">
        <f t="shared" si="12"/>
        <v>1.00000000</v>
      </c>
      <c r="AT617" s="196" t="str">
        <f>"17.6"</f>
        <v>17.6</v>
      </c>
      <c r="AU617" s="199">
        <v>0</v>
      </c>
    </row>
    <row r="618" spans="1:47" s="196" customFormat="1" x14ac:dyDescent="0.2">
      <c r="A618" s="196" t="str">
        <f t="shared" si="14"/>
        <v>0496002595734</v>
      </c>
      <c r="B618" s="196">
        <v>1</v>
      </c>
      <c r="C618" s="196" t="s">
        <v>435</v>
      </c>
      <c r="D618" s="196">
        <v>81</v>
      </c>
      <c r="E618" s="196">
        <v>81</v>
      </c>
      <c r="F618" s="196" t="s">
        <v>243</v>
      </c>
      <c r="G618" s="196">
        <v>2086</v>
      </c>
      <c r="H618" s="196" t="s">
        <v>270</v>
      </c>
      <c r="I618" s="196">
        <v>77698</v>
      </c>
      <c r="J618" s="197">
        <v>42815</v>
      </c>
      <c r="K618" s="198">
        <v>0.98958333333333337</v>
      </c>
      <c r="L618" s="197">
        <v>42817</v>
      </c>
      <c r="M618" s="196" t="s">
        <v>271</v>
      </c>
      <c r="N618" s="196" t="s">
        <v>272</v>
      </c>
      <c r="O618" s="196" t="s">
        <v>273</v>
      </c>
      <c r="P618" s="196" t="s">
        <v>274</v>
      </c>
      <c r="Q618" s="196" t="s">
        <v>275</v>
      </c>
      <c r="R618" s="196" t="s">
        <v>276</v>
      </c>
      <c r="S618" s="196" t="s">
        <v>436</v>
      </c>
      <c r="T618" s="196" t="s">
        <v>435</v>
      </c>
      <c r="U618" s="196">
        <v>2086</v>
      </c>
      <c r="V618" s="196" t="s">
        <v>435</v>
      </c>
      <c r="W618" s="196" t="s">
        <v>335</v>
      </c>
      <c r="X618" s="196">
        <v>11.313000000000001</v>
      </c>
      <c r="Y618" s="199">
        <v>-0.23</v>
      </c>
      <c r="Z618" s="199">
        <v>2.4</v>
      </c>
      <c r="AA618" s="199">
        <v>27.14</v>
      </c>
      <c r="AB618" s="199">
        <v>-2.0699999999999998</v>
      </c>
      <c r="AC618" s="199">
        <v>0</v>
      </c>
      <c r="AD618" s="199">
        <v>0</v>
      </c>
      <c r="AE618" s="199">
        <v>24.84</v>
      </c>
      <c r="AF618" s="199">
        <v>-2.72</v>
      </c>
      <c r="AG618" s="196" t="s">
        <v>279</v>
      </c>
      <c r="AH618" s="199">
        <v>0</v>
      </c>
      <c r="AI618" s="196" t="s">
        <v>279</v>
      </c>
      <c r="AJ618" s="199">
        <v>0</v>
      </c>
      <c r="AK618" s="196" t="s">
        <v>279</v>
      </c>
      <c r="AL618" s="199">
        <v>0</v>
      </c>
      <c r="AM618" s="196" t="s">
        <v>279</v>
      </c>
      <c r="AN618" s="199">
        <v>0</v>
      </c>
      <c r="AO618" s="196" t="s">
        <v>279</v>
      </c>
      <c r="AP618" s="199">
        <v>0</v>
      </c>
      <c r="AQ618" s="199">
        <v>27.14</v>
      </c>
      <c r="AR618" s="199">
        <v>0</v>
      </c>
      <c r="AS618" s="196" t="str">
        <f t="shared" si="12"/>
        <v>1.00000000</v>
      </c>
      <c r="AT618" s="196" t="str">
        <f>"20.5"</f>
        <v>20.5</v>
      </c>
      <c r="AU618" s="199">
        <v>0</v>
      </c>
    </row>
    <row r="619" spans="1:47" s="196" customFormat="1" x14ac:dyDescent="0.2">
      <c r="A619" s="196" t="str">
        <f t="shared" si="14"/>
        <v>0496002595734</v>
      </c>
      <c r="B619" s="196">
        <v>1</v>
      </c>
      <c r="C619" s="196" t="s">
        <v>435</v>
      </c>
      <c r="D619" s="196">
        <v>81</v>
      </c>
      <c r="E619" s="196">
        <v>81</v>
      </c>
      <c r="F619" s="196" t="s">
        <v>243</v>
      </c>
      <c r="G619" s="196">
        <v>2086</v>
      </c>
      <c r="H619" s="196" t="s">
        <v>270</v>
      </c>
      <c r="I619" s="196">
        <v>78010</v>
      </c>
      <c r="J619" s="197">
        <v>42818</v>
      </c>
      <c r="K619" s="198">
        <v>0.39166666666666666</v>
      </c>
      <c r="L619" s="197">
        <v>42822</v>
      </c>
      <c r="M619" s="196" t="s">
        <v>271</v>
      </c>
      <c r="N619" s="196" t="s">
        <v>272</v>
      </c>
      <c r="O619" s="196" t="s">
        <v>273</v>
      </c>
      <c r="P619" s="196" t="s">
        <v>274</v>
      </c>
      <c r="Q619" s="196" t="s">
        <v>275</v>
      </c>
      <c r="R619" s="196" t="s">
        <v>276</v>
      </c>
      <c r="S619" s="196" t="s">
        <v>436</v>
      </c>
      <c r="T619" s="196" t="s">
        <v>435</v>
      </c>
      <c r="U619" s="196">
        <v>2086</v>
      </c>
      <c r="V619" s="196" t="s">
        <v>435</v>
      </c>
      <c r="W619" s="196" t="s">
        <v>280</v>
      </c>
      <c r="X619" s="196">
        <v>17.353000000000002</v>
      </c>
      <c r="Y619" s="199">
        <v>-0.35</v>
      </c>
      <c r="Z619" s="199">
        <v>2.2000000000000002</v>
      </c>
      <c r="AA619" s="199">
        <v>38.159999999999997</v>
      </c>
      <c r="AB619" s="199">
        <v>-3.18</v>
      </c>
      <c r="AC619" s="199">
        <v>0</v>
      </c>
      <c r="AD619" s="199">
        <v>0</v>
      </c>
      <c r="AE619" s="199">
        <v>34.630000000000003</v>
      </c>
      <c r="AF619" s="199">
        <v>-4.16</v>
      </c>
      <c r="AG619" s="196" t="s">
        <v>279</v>
      </c>
      <c r="AH619" s="199">
        <v>0</v>
      </c>
      <c r="AI619" s="196" t="s">
        <v>279</v>
      </c>
      <c r="AJ619" s="199">
        <v>0</v>
      </c>
      <c r="AK619" s="196" t="s">
        <v>279</v>
      </c>
      <c r="AL619" s="199">
        <v>0</v>
      </c>
      <c r="AM619" s="196" t="s">
        <v>279</v>
      </c>
      <c r="AN619" s="199">
        <v>0</v>
      </c>
      <c r="AO619" s="196" t="s">
        <v>279</v>
      </c>
      <c r="AP619" s="199">
        <v>0</v>
      </c>
      <c r="AQ619" s="199">
        <v>38.159999999999997</v>
      </c>
      <c r="AR619" s="199">
        <v>0</v>
      </c>
      <c r="AS619" s="196" t="str">
        <f t="shared" si="12"/>
        <v>1.00000000</v>
      </c>
      <c r="AT619" s="196" t="str">
        <f>"18.0"</f>
        <v>18.0</v>
      </c>
      <c r="AU619" s="199">
        <v>0</v>
      </c>
    </row>
    <row r="620" spans="1:47" s="196" customFormat="1" x14ac:dyDescent="0.2">
      <c r="A620" s="196" t="str">
        <f t="shared" si="14"/>
        <v>0496002595734</v>
      </c>
      <c r="B620" s="196">
        <v>1</v>
      </c>
      <c r="C620" s="196" t="s">
        <v>435</v>
      </c>
      <c r="D620" s="196">
        <v>81</v>
      </c>
      <c r="E620" s="196">
        <v>81</v>
      </c>
      <c r="F620" s="196" t="s">
        <v>243</v>
      </c>
      <c r="G620" s="196">
        <v>2086</v>
      </c>
      <c r="H620" s="196" t="s">
        <v>270</v>
      </c>
      <c r="I620" s="196">
        <v>728330</v>
      </c>
      <c r="J620" s="197">
        <v>42821</v>
      </c>
      <c r="K620" s="198">
        <v>0.61753472222222217</v>
      </c>
      <c r="L620" s="197">
        <v>42823</v>
      </c>
      <c r="M620" s="196" t="s">
        <v>314</v>
      </c>
      <c r="N620" s="196" t="s">
        <v>415</v>
      </c>
      <c r="O620" s="196" t="s">
        <v>416</v>
      </c>
      <c r="P620" s="196" t="s">
        <v>417</v>
      </c>
      <c r="Q620" s="196" t="s">
        <v>275</v>
      </c>
      <c r="R620" s="196" t="s">
        <v>418</v>
      </c>
      <c r="S620" s="196" t="s">
        <v>436</v>
      </c>
      <c r="T620" s="196" t="s">
        <v>435</v>
      </c>
      <c r="U620" s="196">
        <v>2086</v>
      </c>
      <c r="V620" s="196" t="s">
        <v>435</v>
      </c>
      <c r="W620" s="196" t="s">
        <v>280</v>
      </c>
      <c r="X620" s="196">
        <v>11.295</v>
      </c>
      <c r="Y620" s="199">
        <v>0</v>
      </c>
      <c r="Z620" s="199">
        <v>2.16</v>
      </c>
      <c r="AA620" s="199">
        <v>24.39</v>
      </c>
      <c r="AB620" s="199">
        <v>-2.0699999999999998</v>
      </c>
      <c r="AC620" s="199">
        <v>0</v>
      </c>
      <c r="AD620" s="199">
        <v>0</v>
      </c>
      <c r="AE620" s="199">
        <v>22.32</v>
      </c>
      <c r="AF620" s="199">
        <v>-2.71</v>
      </c>
      <c r="AG620" s="196" t="s">
        <v>279</v>
      </c>
      <c r="AH620" s="199">
        <v>0</v>
      </c>
      <c r="AI620" s="196" t="s">
        <v>279</v>
      </c>
      <c r="AJ620" s="199">
        <v>0</v>
      </c>
      <c r="AK620" s="196" t="s">
        <v>279</v>
      </c>
      <c r="AL620" s="199">
        <v>0</v>
      </c>
      <c r="AM620" s="196" t="s">
        <v>279</v>
      </c>
      <c r="AN620" s="199">
        <v>0</v>
      </c>
      <c r="AO620" s="196" t="s">
        <v>279</v>
      </c>
      <c r="AP620" s="199">
        <v>0</v>
      </c>
      <c r="AQ620" s="199">
        <v>24.39</v>
      </c>
      <c r="AR620" s="199">
        <v>0</v>
      </c>
      <c r="AS620" s="196" t="str">
        <f t="shared" si="12"/>
        <v>1.00000000</v>
      </c>
      <c r="AT620" s="196" t="str">
        <f>"17.6"</f>
        <v>17.6</v>
      </c>
      <c r="AU620" s="199">
        <v>0</v>
      </c>
    </row>
    <row r="621" spans="1:47" s="196" customFormat="1" x14ac:dyDescent="0.2">
      <c r="A621" s="196" t="str">
        <f t="shared" si="14"/>
        <v>0496002595734</v>
      </c>
      <c r="B621" s="196">
        <v>1</v>
      </c>
      <c r="C621" s="196" t="s">
        <v>435</v>
      </c>
      <c r="D621" s="196">
        <v>81</v>
      </c>
      <c r="E621" s="196">
        <v>81</v>
      </c>
      <c r="F621" s="196" t="s">
        <v>243</v>
      </c>
      <c r="G621" s="196">
        <v>2086</v>
      </c>
      <c r="H621" s="196" t="s">
        <v>270</v>
      </c>
      <c r="I621" s="196">
        <v>78300</v>
      </c>
      <c r="J621" s="197">
        <v>42821</v>
      </c>
      <c r="K621" s="198">
        <v>0.78611111111111109</v>
      </c>
      <c r="L621" s="197">
        <v>42824</v>
      </c>
      <c r="M621" s="196" t="s">
        <v>325</v>
      </c>
      <c r="N621" s="196" t="s">
        <v>326</v>
      </c>
      <c r="O621" s="196" t="s">
        <v>451</v>
      </c>
      <c r="P621" s="196" t="s">
        <v>452</v>
      </c>
      <c r="Q621" s="196" t="s">
        <v>275</v>
      </c>
      <c r="R621" s="196">
        <v>2149</v>
      </c>
      <c r="S621" s="196" t="s">
        <v>436</v>
      </c>
      <c r="T621" s="196" t="s">
        <v>435</v>
      </c>
      <c r="U621" s="196">
        <v>2086</v>
      </c>
      <c r="V621" s="196" t="s">
        <v>435</v>
      </c>
      <c r="W621" s="196" t="s">
        <v>453</v>
      </c>
      <c r="X621" s="196">
        <v>10.464</v>
      </c>
      <c r="Y621" s="199">
        <v>0</v>
      </c>
      <c r="Z621" s="199">
        <v>2.68</v>
      </c>
      <c r="AA621" s="199">
        <v>28.03</v>
      </c>
      <c r="AB621" s="199">
        <v>0</v>
      </c>
      <c r="AC621" s="199">
        <v>0</v>
      </c>
      <c r="AD621" s="199">
        <v>0</v>
      </c>
      <c r="AE621" s="199">
        <v>28.03</v>
      </c>
      <c r="AF621" s="199">
        <v>0</v>
      </c>
      <c r="AG621" s="196" t="s">
        <v>279</v>
      </c>
      <c r="AH621" s="199">
        <v>0</v>
      </c>
      <c r="AI621" s="196" t="s">
        <v>279</v>
      </c>
      <c r="AJ621" s="199">
        <v>0</v>
      </c>
      <c r="AK621" s="196" t="s">
        <v>279</v>
      </c>
      <c r="AL621" s="199">
        <v>0</v>
      </c>
      <c r="AM621" s="196" t="s">
        <v>279</v>
      </c>
      <c r="AN621" s="199">
        <v>0</v>
      </c>
      <c r="AO621" s="196" t="s">
        <v>279</v>
      </c>
      <c r="AP621" s="199">
        <v>0</v>
      </c>
      <c r="AQ621" s="199">
        <v>28.03</v>
      </c>
      <c r="AR621" s="199">
        <v>0</v>
      </c>
      <c r="AS621" s="196" t="str">
        <f t="shared" si="12"/>
        <v>1.00000000</v>
      </c>
      <c r="AT621" s="196" t="str">
        <f>"17.6"</f>
        <v>17.6</v>
      </c>
      <c r="AU621" s="199">
        <v>0</v>
      </c>
    </row>
    <row r="622" spans="1:47" s="196" customFormat="1" x14ac:dyDescent="0.2">
      <c r="A622" s="196" t="str">
        <f t="shared" si="14"/>
        <v>0496002595734</v>
      </c>
      <c r="B622" s="196">
        <v>1</v>
      </c>
      <c r="C622" s="196" t="s">
        <v>435</v>
      </c>
      <c r="D622" s="196">
        <v>81</v>
      </c>
      <c r="E622" s="196">
        <v>81</v>
      </c>
      <c r="F622" s="196" t="s">
        <v>243</v>
      </c>
      <c r="G622" s="196">
        <v>2086</v>
      </c>
      <c r="H622" s="196" t="s">
        <v>270</v>
      </c>
      <c r="I622" s="196">
        <v>78442</v>
      </c>
      <c r="J622" s="197">
        <v>42824</v>
      </c>
      <c r="K622" s="198">
        <v>0.61597222222222225</v>
      </c>
      <c r="L622" s="197">
        <v>42828</v>
      </c>
      <c r="M622" s="196" t="s">
        <v>271</v>
      </c>
      <c r="N622" s="196" t="s">
        <v>272</v>
      </c>
      <c r="O622" s="196" t="s">
        <v>273</v>
      </c>
      <c r="P622" s="196" t="s">
        <v>274</v>
      </c>
      <c r="Q622" s="196" t="s">
        <v>275</v>
      </c>
      <c r="R622" s="196" t="s">
        <v>276</v>
      </c>
      <c r="S622" s="196" t="s">
        <v>436</v>
      </c>
      <c r="T622" s="196" t="s">
        <v>435</v>
      </c>
      <c r="U622" s="196">
        <v>2086</v>
      </c>
      <c r="V622" s="196" t="s">
        <v>435</v>
      </c>
      <c r="W622" s="196" t="s">
        <v>280</v>
      </c>
      <c r="X622" s="196">
        <v>10.356999999999999</v>
      </c>
      <c r="Y622" s="199">
        <v>-0.21</v>
      </c>
      <c r="Z622" s="199">
        <v>2.1800000000000002</v>
      </c>
      <c r="AA622" s="199">
        <v>22.57</v>
      </c>
      <c r="AB622" s="199">
        <v>-1.9</v>
      </c>
      <c r="AC622" s="199">
        <v>0</v>
      </c>
      <c r="AD622" s="199">
        <v>0</v>
      </c>
      <c r="AE622" s="199">
        <v>20.46</v>
      </c>
      <c r="AF622" s="199">
        <v>-2.4900000000000002</v>
      </c>
      <c r="AG622" s="196" t="s">
        <v>279</v>
      </c>
      <c r="AH622" s="199">
        <v>0</v>
      </c>
      <c r="AI622" s="196" t="s">
        <v>279</v>
      </c>
      <c r="AJ622" s="199">
        <v>0</v>
      </c>
      <c r="AK622" s="196" t="s">
        <v>279</v>
      </c>
      <c r="AL622" s="199">
        <v>0</v>
      </c>
      <c r="AM622" s="196" t="s">
        <v>279</v>
      </c>
      <c r="AN622" s="199">
        <v>0</v>
      </c>
      <c r="AO622" s="196" t="s">
        <v>279</v>
      </c>
      <c r="AP622" s="199">
        <v>0</v>
      </c>
      <c r="AQ622" s="199">
        <v>22.57</v>
      </c>
      <c r="AR622" s="199">
        <v>0</v>
      </c>
      <c r="AS622" s="196" t="str">
        <f t="shared" si="12"/>
        <v>1.00000000</v>
      </c>
      <c r="AT622" s="196" t="str">
        <f>"13.7"</f>
        <v>13.7</v>
      </c>
      <c r="AU622" s="199">
        <v>0</v>
      </c>
    </row>
    <row r="623" spans="1:47" s="196" customFormat="1" x14ac:dyDescent="0.2">
      <c r="A623" s="196" t="str">
        <f t="shared" si="14"/>
        <v>0496002595734</v>
      </c>
      <c r="B623" s="196">
        <v>1</v>
      </c>
      <c r="C623" s="196" t="s">
        <v>435</v>
      </c>
      <c r="D623" s="196">
        <v>81</v>
      </c>
      <c r="E623" s="196">
        <v>81</v>
      </c>
      <c r="F623" s="196" t="s">
        <v>243</v>
      </c>
      <c r="G623" s="196">
        <v>2086</v>
      </c>
      <c r="H623" s="196" t="s">
        <v>270</v>
      </c>
      <c r="I623" s="196">
        <v>78646</v>
      </c>
      <c r="J623" s="197">
        <v>42825</v>
      </c>
      <c r="K623" s="198">
        <v>0.50763888888888886</v>
      </c>
      <c r="L623" s="197">
        <v>42829</v>
      </c>
      <c r="M623" s="196" t="s">
        <v>285</v>
      </c>
      <c r="N623" s="196" t="s">
        <v>399</v>
      </c>
      <c r="O623" s="196" t="s">
        <v>400</v>
      </c>
      <c r="P623" s="196" t="s">
        <v>274</v>
      </c>
      <c r="Q623" s="196" t="s">
        <v>275</v>
      </c>
      <c r="R623" s="196" t="s">
        <v>401</v>
      </c>
      <c r="S623" s="196" t="s">
        <v>436</v>
      </c>
      <c r="T623" s="196" t="s">
        <v>435</v>
      </c>
      <c r="U623" s="196">
        <v>2086</v>
      </c>
      <c r="V623" s="196" t="s">
        <v>435</v>
      </c>
      <c r="W623" s="196" t="s">
        <v>280</v>
      </c>
      <c r="X623" s="196">
        <v>11.249000000000001</v>
      </c>
      <c r="Y623" s="199">
        <v>0</v>
      </c>
      <c r="Z623" s="199">
        <v>2.29</v>
      </c>
      <c r="AA623" s="199">
        <v>25.75</v>
      </c>
      <c r="AB623" s="199">
        <v>-2.06</v>
      </c>
      <c r="AC623" s="199">
        <v>0</v>
      </c>
      <c r="AD623" s="199">
        <v>0</v>
      </c>
      <c r="AE623" s="199">
        <v>23.69</v>
      </c>
      <c r="AF623" s="199">
        <v>-2.7</v>
      </c>
      <c r="AG623" s="196" t="s">
        <v>279</v>
      </c>
      <c r="AH623" s="199">
        <v>0</v>
      </c>
      <c r="AI623" s="196" t="s">
        <v>279</v>
      </c>
      <c r="AJ623" s="199">
        <v>0</v>
      </c>
      <c r="AK623" s="196" t="s">
        <v>279</v>
      </c>
      <c r="AL623" s="199">
        <v>0</v>
      </c>
      <c r="AM623" s="196" t="s">
        <v>279</v>
      </c>
      <c r="AN623" s="199">
        <v>0</v>
      </c>
      <c r="AO623" s="196" t="s">
        <v>279</v>
      </c>
      <c r="AP623" s="199">
        <v>0</v>
      </c>
      <c r="AQ623" s="199">
        <v>25.75</v>
      </c>
      <c r="AR623" s="199">
        <v>0</v>
      </c>
      <c r="AS623" s="196" t="str">
        <f t="shared" si="12"/>
        <v>1.00000000</v>
      </c>
      <c r="AT623" s="196" t="str">
        <f>"18.1"</f>
        <v>18.1</v>
      </c>
      <c r="AU623" s="199">
        <v>0</v>
      </c>
    </row>
    <row r="624" spans="1:47" s="196" customFormat="1" x14ac:dyDescent="0.2">
      <c r="A624" s="196" t="str">
        <f t="shared" si="14"/>
        <v>0496002595734</v>
      </c>
      <c r="B624" s="196">
        <v>1</v>
      </c>
      <c r="C624" s="196" t="s">
        <v>435</v>
      </c>
      <c r="D624" s="196">
        <v>81</v>
      </c>
      <c r="E624" s="196">
        <v>81</v>
      </c>
      <c r="F624" s="196" t="s">
        <v>243</v>
      </c>
      <c r="G624" s="196">
        <v>2086</v>
      </c>
      <c r="H624" s="196" t="s">
        <v>270</v>
      </c>
      <c r="I624" s="196">
        <v>78727</v>
      </c>
      <c r="J624" s="197">
        <v>42829</v>
      </c>
      <c r="K624" s="198">
        <v>0.67708333333333337</v>
      </c>
      <c r="L624" s="197">
        <v>42831</v>
      </c>
      <c r="M624" s="196" t="s">
        <v>271</v>
      </c>
      <c r="N624" s="196" t="s">
        <v>272</v>
      </c>
      <c r="O624" s="196" t="s">
        <v>273</v>
      </c>
      <c r="P624" s="196" t="s">
        <v>274</v>
      </c>
      <c r="Q624" s="196" t="s">
        <v>275</v>
      </c>
      <c r="R624" s="196" t="s">
        <v>276</v>
      </c>
      <c r="S624" s="196" t="s">
        <v>436</v>
      </c>
      <c r="T624" s="196" t="s">
        <v>435</v>
      </c>
      <c r="U624" s="196">
        <v>2086</v>
      </c>
      <c r="V624" s="196" t="s">
        <v>435</v>
      </c>
      <c r="W624" s="196" t="s">
        <v>280</v>
      </c>
      <c r="X624" s="196">
        <v>5.3369999999999997</v>
      </c>
      <c r="Y624" s="199">
        <v>-0.11</v>
      </c>
      <c r="Z624" s="199">
        <v>2.2200000000000002</v>
      </c>
      <c r="AA624" s="199">
        <v>11.85</v>
      </c>
      <c r="AB624" s="199">
        <v>-0.98</v>
      </c>
      <c r="AC624" s="199">
        <v>0</v>
      </c>
      <c r="AD624" s="199">
        <v>0</v>
      </c>
      <c r="AE624" s="199">
        <v>10.76</v>
      </c>
      <c r="AF624" s="199">
        <v>-1.28</v>
      </c>
      <c r="AG624" s="196" t="s">
        <v>279</v>
      </c>
      <c r="AH624" s="199">
        <v>0</v>
      </c>
      <c r="AI624" s="196" t="s">
        <v>279</v>
      </c>
      <c r="AJ624" s="199">
        <v>0</v>
      </c>
      <c r="AK624" s="196" t="s">
        <v>279</v>
      </c>
      <c r="AL624" s="199">
        <v>0</v>
      </c>
      <c r="AM624" s="196" t="s">
        <v>279</v>
      </c>
      <c r="AN624" s="199">
        <v>0</v>
      </c>
      <c r="AO624" s="196" t="s">
        <v>279</v>
      </c>
      <c r="AP624" s="199">
        <v>0</v>
      </c>
      <c r="AQ624" s="199">
        <v>11.85</v>
      </c>
      <c r="AR624" s="199">
        <v>0</v>
      </c>
      <c r="AS624" s="196" t="str">
        <f t="shared" si="12"/>
        <v>1.00000000</v>
      </c>
      <c r="AT624" s="196" t="str">
        <f>"15.2"</f>
        <v>15.2</v>
      </c>
      <c r="AU624" s="199">
        <v>0</v>
      </c>
    </row>
    <row r="625" spans="1:47" s="196" customFormat="1" x14ac:dyDescent="0.2">
      <c r="A625" s="196" t="str">
        <f t="shared" si="14"/>
        <v>0496002595734</v>
      </c>
      <c r="B625" s="196">
        <v>1</v>
      </c>
      <c r="C625" s="196" t="s">
        <v>435</v>
      </c>
      <c r="D625" s="196">
        <v>81</v>
      </c>
      <c r="E625" s="196">
        <v>81</v>
      </c>
      <c r="F625" s="196" t="s">
        <v>243</v>
      </c>
      <c r="G625" s="196">
        <v>2086</v>
      </c>
      <c r="H625" s="196" t="s">
        <v>270</v>
      </c>
      <c r="I625" s="196">
        <v>78825</v>
      </c>
      <c r="J625" s="197">
        <v>42832</v>
      </c>
      <c r="K625" s="198">
        <v>0.79166666666666663</v>
      </c>
      <c r="L625" s="197">
        <v>42836</v>
      </c>
      <c r="M625" s="196" t="s">
        <v>271</v>
      </c>
      <c r="N625" s="196" t="s">
        <v>272</v>
      </c>
      <c r="O625" s="196" t="s">
        <v>273</v>
      </c>
      <c r="P625" s="196" t="s">
        <v>274</v>
      </c>
      <c r="Q625" s="196" t="s">
        <v>275</v>
      </c>
      <c r="R625" s="196" t="s">
        <v>276</v>
      </c>
      <c r="S625" s="196" t="s">
        <v>436</v>
      </c>
      <c r="T625" s="196" t="s">
        <v>435</v>
      </c>
      <c r="U625" s="196">
        <v>2086</v>
      </c>
      <c r="V625" s="196" t="s">
        <v>435</v>
      </c>
      <c r="W625" s="196" t="s">
        <v>280</v>
      </c>
      <c r="X625" s="196">
        <v>5.9610000000000003</v>
      </c>
      <c r="Y625" s="199">
        <v>-0.12</v>
      </c>
      <c r="Z625" s="199">
        <v>2.31</v>
      </c>
      <c r="AA625" s="199">
        <v>13.76</v>
      </c>
      <c r="AB625" s="199">
        <v>-1.0900000000000001</v>
      </c>
      <c r="AC625" s="199">
        <v>0</v>
      </c>
      <c r="AD625" s="199">
        <v>0</v>
      </c>
      <c r="AE625" s="199">
        <v>12.55</v>
      </c>
      <c r="AF625" s="199">
        <v>-1.43</v>
      </c>
      <c r="AG625" s="196" t="s">
        <v>279</v>
      </c>
      <c r="AH625" s="199">
        <v>0</v>
      </c>
      <c r="AI625" s="196" t="s">
        <v>279</v>
      </c>
      <c r="AJ625" s="199">
        <v>0</v>
      </c>
      <c r="AK625" s="196" t="s">
        <v>279</v>
      </c>
      <c r="AL625" s="199">
        <v>0</v>
      </c>
      <c r="AM625" s="196" t="s">
        <v>279</v>
      </c>
      <c r="AN625" s="199">
        <v>0</v>
      </c>
      <c r="AO625" s="196" t="s">
        <v>279</v>
      </c>
      <c r="AP625" s="199">
        <v>0</v>
      </c>
      <c r="AQ625" s="199">
        <v>13.76</v>
      </c>
      <c r="AR625" s="199">
        <v>0</v>
      </c>
      <c r="AS625" s="196" t="str">
        <f t="shared" si="12"/>
        <v>1.00000000</v>
      </c>
      <c r="AT625" s="196" t="str">
        <f>"16.4"</f>
        <v>16.4</v>
      </c>
      <c r="AU625" s="199">
        <v>0</v>
      </c>
    </row>
    <row r="626" spans="1:47" s="196" customFormat="1" x14ac:dyDescent="0.2">
      <c r="A626" s="196" t="str">
        <f t="shared" si="14"/>
        <v>0496002595734</v>
      </c>
      <c r="B626" s="196">
        <v>1</v>
      </c>
      <c r="C626" s="196" t="s">
        <v>435</v>
      </c>
      <c r="D626" s="196">
        <v>81</v>
      </c>
      <c r="E626" s="196">
        <v>81</v>
      </c>
      <c r="F626" s="196" t="s">
        <v>243</v>
      </c>
      <c r="G626" s="196">
        <v>2086</v>
      </c>
      <c r="H626" s="196" t="s">
        <v>270</v>
      </c>
      <c r="I626" s="196">
        <v>79025</v>
      </c>
      <c r="J626" s="197">
        <v>42833</v>
      </c>
      <c r="K626" s="198">
        <v>0.4458333333333333</v>
      </c>
      <c r="L626" s="197">
        <v>42836</v>
      </c>
      <c r="M626" s="196" t="s">
        <v>271</v>
      </c>
      <c r="N626" s="196" t="s">
        <v>272</v>
      </c>
      <c r="O626" s="196" t="s">
        <v>273</v>
      </c>
      <c r="P626" s="196" t="s">
        <v>274</v>
      </c>
      <c r="Q626" s="196" t="s">
        <v>275</v>
      </c>
      <c r="R626" s="196" t="s">
        <v>276</v>
      </c>
      <c r="S626" s="196" t="s">
        <v>436</v>
      </c>
      <c r="T626" s="196" t="s">
        <v>435</v>
      </c>
      <c r="U626" s="196">
        <v>2086</v>
      </c>
      <c r="V626" s="196" t="s">
        <v>435</v>
      </c>
      <c r="W626" s="196" t="s">
        <v>280</v>
      </c>
      <c r="X626" s="196">
        <v>12.195</v>
      </c>
      <c r="Y626" s="199">
        <v>-0.24</v>
      </c>
      <c r="Z626" s="199">
        <v>2.31</v>
      </c>
      <c r="AA626" s="199">
        <v>28.16</v>
      </c>
      <c r="AB626" s="199">
        <v>-2.23</v>
      </c>
      <c r="AC626" s="199">
        <v>0</v>
      </c>
      <c r="AD626" s="199">
        <v>0</v>
      </c>
      <c r="AE626" s="199">
        <v>25.69</v>
      </c>
      <c r="AF626" s="199">
        <v>-2.93</v>
      </c>
      <c r="AG626" s="196" t="s">
        <v>279</v>
      </c>
      <c r="AH626" s="199">
        <v>0</v>
      </c>
      <c r="AI626" s="196" t="s">
        <v>279</v>
      </c>
      <c r="AJ626" s="199">
        <v>0</v>
      </c>
      <c r="AK626" s="196" t="s">
        <v>279</v>
      </c>
      <c r="AL626" s="199">
        <v>0</v>
      </c>
      <c r="AM626" s="196" t="s">
        <v>279</v>
      </c>
      <c r="AN626" s="199">
        <v>0</v>
      </c>
      <c r="AO626" s="196" t="s">
        <v>279</v>
      </c>
      <c r="AP626" s="199">
        <v>0</v>
      </c>
      <c r="AQ626" s="199">
        <v>28.16</v>
      </c>
      <c r="AR626" s="199">
        <v>0</v>
      </c>
      <c r="AS626" s="196" t="str">
        <f t="shared" si="12"/>
        <v>1.00000000</v>
      </c>
      <c r="AT626" s="196" t="str">
        <f>"16.4"</f>
        <v>16.4</v>
      </c>
      <c r="AU626" s="199">
        <v>0</v>
      </c>
    </row>
    <row r="627" spans="1:47" s="196" customFormat="1" x14ac:dyDescent="0.2">
      <c r="A627" s="196" t="str">
        <f t="shared" si="14"/>
        <v>0496002595734</v>
      </c>
      <c r="B627" s="196">
        <v>1</v>
      </c>
      <c r="C627" s="196" t="s">
        <v>435</v>
      </c>
      <c r="D627" s="196">
        <v>81</v>
      </c>
      <c r="E627" s="196">
        <v>81</v>
      </c>
      <c r="F627" s="196" t="s">
        <v>243</v>
      </c>
      <c r="G627" s="196">
        <v>2086</v>
      </c>
      <c r="H627" s="196" t="s">
        <v>270</v>
      </c>
      <c r="I627" s="196">
        <v>79813</v>
      </c>
      <c r="J627" s="197">
        <v>42842</v>
      </c>
      <c r="K627" s="198">
        <v>0.87847222222222221</v>
      </c>
      <c r="L627" s="197">
        <v>42844</v>
      </c>
      <c r="M627" s="196" t="s">
        <v>271</v>
      </c>
      <c r="N627" s="196" t="s">
        <v>454</v>
      </c>
      <c r="O627" s="196" t="s">
        <v>455</v>
      </c>
      <c r="P627" s="196" t="s">
        <v>456</v>
      </c>
      <c r="Q627" s="196" t="s">
        <v>275</v>
      </c>
      <c r="R627" s="196">
        <v>1060</v>
      </c>
      <c r="S627" s="196" t="s">
        <v>436</v>
      </c>
      <c r="T627" s="196" t="s">
        <v>435</v>
      </c>
      <c r="U627" s="196">
        <v>2086</v>
      </c>
      <c r="V627" s="196" t="s">
        <v>435</v>
      </c>
      <c r="W627" s="196" t="s">
        <v>280</v>
      </c>
      <c r="X627" s="196">
        <v>15.208</v>
      </c>
      <c r="Y627" s="199">
        <v>-0.3</v>
      </c>
      <c r="Z627" s="199">
        <v>2.33</v>
      </c>
      <c r="AA627" s="199">
        <v>35.42</v>
      </c>
      <c r="AB627" s="199">
        <v>-2.78</v>
      </c>
      <c r="AC627" s="199">
        <v>0</v>
      </c>
      <c r="AD627" s="199">
        <v>0</v>
      </c>
      <c r="AE627" s="199">
        <v>32.340000000000003</v>
      </c>
      <c r="AF627" s="199">
        <v>-3.65</v>
      </c>
      <c r="AG627" s="196" t="s">
        <v>279</v>
      </c>
      <c r="AH627" s="199">
        <v>0</v>
      </c>
      <c r="AI627" s="196" t="s">
        <v>279</v>
      </c>
      <c r="AJ627" s="199">
        <v>0</v>
      </c>
      <c r="AK627" s="196" t="s">
        <v>279</v>
      </c>
      <c r="AL627" s="199">
        <v>0</v>
      </c>
      <c r="AM627" s="196" t="s">
        <v>279</v>
      </c>
      <c r="AN627" s="199">
        <v>0</v>
      </c>
      <c r="AO627" s="196" t="s">
        <v>279</v>
      </c>
      <c r="AP627" s="199">
        <v>0</v>
      </c>
      <c r="AQ627" s="199">
        <v>35.42</v>
      </c>
      <c r="AR627" s="199">
        <v>0</v>
      </c>
      <c r="AS627" s="196" t="str">
        <f t="shared" si="12"/>
        <v>1.00000000</v>
      </c>
      <c r="AT627" s="196" t="str">
        <f>"16.4"</f>
        <v>16.4</v>
      </c>
      <c r="AU627" s="199">
        <v>0</v>
      </c>
    </row>
    <row r="628" spans="1:47" s="196" customFormat="1" x14ac:dyDescent="0.2">
      <c r="A628" s="196" t="str">
        <f t="shared" si="14"/>
        <v>0496002595734</v>
      </c>
      <c r="B628" s="196">
        <v>1</v>
      </c>
      <c r="C628" s="196" t="s">
        <v>435</v>
      </c>
      <c r="D628" s="196">
        <v>81</v>
      </c>
      <c r="E628" s="196">
        <v>81</v>
      </c>
      <c r="F628" s="196" t="s">
        <v>243</v>
      </c>
      <c r="G628" s="196">
        <v>2086</v>
      </c>
      <c r="H628" s="196" t="s">
        <v>270</v>
      </c>
      <c r="I628" s="196">
        <v>79970</v>
      </c>
      <c r="J628" s="197">
        <v>42845</v>
      </c>
      <c r="K628" s="198">
        <v>0.73263888888888884</v>
      </c>
      <c r="L628" s="197">
        <v>42849</v>
      </c>
      <c r="M628" s="196" t="s">
        <v>271</v>
      </c>
      <c r="N628" s="196" t="s">
        <v>272</v>
      </c>
      <c r="O628" s="196" t="s">
        <v>273</v>
      </c>
      <c r="P628" s="196" t="s">
        <v>274</v>
      </c>
      <c r="Q628" s="196" t="s">
        <v>275</v>
      </c>
      <c r="R628" s="196" t="s">
        <v>276</v>
      </c>
      <c r="S628" s="196" t="s">
        <v>436</v>
      </c>
      <c r="T628" s="196" t="s">
        <v>435</v>
      </c>
      <c r="U628" s="196">
        <v>2086</v>
      </c>
      <c r="V628" s="196" t="s">
        <v>435</v>
      </c>
      <c r="W628" s="196" t="s">
        <v>280</v>
      </c>
      <c r="X628" s="196">
        <v>8.9429999999999996</v>
      </c>
      <c r="Y628" s="199">
        <v>-0.18</v>
      </c>
      <c r="Z628" s="199">
        <v>2.35</v>
      </c>
      <c r="AA628" s="199">
        <v>21</v>
      </c>
      <c r="AB628" s="199">
        <v>-1.64</v>
      </c>
      <c r="AC628" s="199">
        <v>0</v>
      </c>
      <c r="AD628" s="199">
        <v>0</v>
      </c>
      <c r="AE628" s="199">
        <v>19.18</v>
      </c>
      <c r="AF628" s="199">
        <v>-2.15</v>
      </c>
      <c r="AG628" s="196" t="s">
        <v>279</v>
      </c>
      <c r="AH628" s="199">
        <v>0</v>
      </c>
      <c r="AI628" s="196" t="s">
        <v>279</v>
      </c>
      <c r="AJ628" s="199">
        <v>0</v>
      </c>
      <c r="AK628" s="196" t="s">
        <v>279</v>
      </c>
      <c r="AL628" s="199">
        <v>0</v>
      </c>
      <c r="AM628" s="196" t="s">
        <v>279</v>
      </c>
      <c r="AN628" s="199">
        <v>0</v>
      </c>
      <c r="AO628" s="196" t="s">
        <v>279</v>
      </c>
      <c r="AP628" s="199">
        <v>0</v>
      </c>
      <c r="AQ628" s="199">
        <v>21</v>
      </c>
      <c r="AR628" s="199">
        <v>0</v>
      </c>
      <c r="AS628" s="196" t="str">
        <f t="shared" si="12"/>
        <v>1.00000000</v>
      </c>
      <c r="AT628" s="196" t="str">
        <f>"17.6"</f>
        <v>17.6</v>
      </c>
      <c r="AU628" s="199">
        <v>0</v>
      </c>
    </row>
    <row r="629" spans="1:47" s="196" customFormat="1" x14ac:dyDescent="0.2">
      <c r="A629" s="196" t="str">
        <f t="shared" si="14"/>
        <v>0496002595734</v>
      </c>
      <c r="B629" s="196">
        <v>1</v>
      </c>
      <c r="C629" s="196" t="s">
        <v>435</v>
      </c>
      <c r="D629" s="196">
        <v>81</v>
      </c>
      <c r="E629" s="196">
        <v>81</v>
      </c>
      <c r="F629" s="196" t="s">
        <v>243</v>
      </c>
      <c r="G629" s="196">
        <v>2086</v>
      </c>
      <c r="H629" s="196" t="s">
        <v>270</v>
      </c>
      <c r="I629" s="196">
        <v>80203</v>
      </c>
      <c r="J629" s="197">
        <v>42846</v>
      </c>
      <c r="K629" s="198">
        <v>0.75902777777777775</v>
      </c>
      <c r="L629" s="197">
        <v>42850</v>
      </c>
      <c r="M629" s="196" t="s">
        <v>285</v>
      </c>
      <c r="N629" s="196" t="s">
        <v>399</v>
      </c>
      <c r="O629" s="196" t="s">
        <v>400</v>
      </c>
      <c r="P629" s="196" t="s">
        <v>274</v>
      </c>
      <c r="Q629" s="196" t="s">
        <v>275</v>
      </c>
      <c r="R629" s="196" t="s">
        <v>401</v>
      </c>
      <c r="S629" s="196" t="s">
        <v>436</v>
      </c>
      <c r="T629" s="196" t="s">
        <v>435</v>
      </c>
      <c r="U629" s="196">
        <v>2086</v>
      </c>
      <c r="V629" s="196" t="s">
        <v>435</v>
      </c>
      <c r="W629" s="196" t="s">
        <v>280</v>
      </c>
      <c r="X629" s="196">
        <v>13.189</v>
      </c>
      <c r="Y629" s="199">
        <v>0</v>
      </c>
      <c r="Z629" s="199">
        <v>2.36</v>
      </c>
      <c r="AA629" s="199">
        <v>31.11</v>
      </c>
      <c r="AB629" s="199">
        <v>-2.41</v>
      </c>
      <c r="AC629" s="199">
        <v>0</v>
      </c>
      <c r="AD629" s="199">
        <v>0</v>
      </c>
      <c r="AE629" s="199">
        <v>28.7</v>
      </c>
      <c r="AF629" s="199">
        <v>-3.17</v>
      </c>
      <c r="AG629" s="196" t="s">
        <v>279</v>
      </c>
      <c r="AH629" s="199">
        <v>0</v>
      </c>
      <c r="AI629" s="196" t="s">
        <v>279</v>
      </c>
      <c r="AJ629" s="199">
        <v>0</v>
      </c>
      <c r="AK629" s="196" t="s">
        <v>279</v>
      </c>
      <c r="AL629" s="199">
        <v>0</v>
      </c>
      <c r="AM629" s="196" t="s">
        <v>279</v>
      </c>
      <c r="AN629" s="199">
        <v>0</v>
      </c>
      <c r="AO629" s="196" t="s">
        <v>279</v>
      </c>
      <c r="AP629" s="199">
        <v>0</v>
      </c>
      <c r="AQ629" s="199">
        <v>31.11</v>
      </c>
      <c r="AR629" s="199">
        <v>0</v>
      </c>
      <c r="AS629" s="196" t="str">
        <f t="shared" si="12"/>
        <v>1.00000000</v>
      </c>
      <c r="AT629" s="196" t="str">
        <f>"17.7"</f>
        <v>17.7</v>
      </c>
      <c r="AU629" s="199">
        <v>0</v>
      </c>
    </row>
    <row r="630" spans="1:47" s="196" customFormat="1" x14ac:dyDescent="0.2">
      <c r="A630" s="196" t="str">
        <f t="shared" si="14"/>
        <v>0496002595734</v>
      </c>
      <c r="B630" s="196">
        <v>1</v>
      </c>
      <c r="C630" s="196" t="s">
        <v>435</v>
      </c>
      <c r="D630" s="196">
        <v>81</v>
      </c>
      <c r="E630" s="196">
        <v>81</v>
      </c>
      <c r="F630" s="196" t="s">
        <v>243</v>
      </c>
      <c r="G630" s="196">
        <v>2086</v>
      </c>
      <c r="H630" s="196" t="s">
        <v>270</v>
      </c>
      <c r="I630" s="196">
        <v>80506</v>
      </c>
      <c r="J630" s="197">
        <v>42848</v>
      </c>
      <c r="K630" s="198">
        <v>0.35833333333333334</v>
      </c>
      <c r="L630" s="197">
        <v>42850</v>
      </c>
      <c r="M630" s="196" t="s">
        <v>271</v>
      </c>
      <c r="N630" s="196" t="s">
        <v>272</v>
      </c>
      <c r="O630" s="196" t="s">
        <v>273</v>
      </c>
      <c r="P630" s="196" t="s">
        <v>274</v>
      </c>
      <c r="Q630" s="196" t="s">
        <v>275</v>
      </c>
      <c r="R630" s="196" t="s">
        <v>276</v>
      </c>
      <c r="S630" s="196" t="s">
        <v>436</v>
      </c>
      <c r="T630" s="196" t="s">
        <v>435</v>
      </c>
      <c r="U630" s="196">
        <v>2086</v>
      </c>
      <c r="V630" s="196" t="s">
        <v>435</v>
      </c>
      <c r="W630" s="196" t="s">
        <v>280</v>
      </c>
      <c r="X630" s="196">
        <v>14.441000000000001</v>
      </c>
      <c r="Y630" s="199">
        <v>-0.28999999999999998</v>
      </c>
      <c r="Z630" s="199">
        <v>2.39</v>
      </c>
      <c r="AA630" s="199">
        <v>34.5</v>
      </c>
      <c r="AB630" s="199">
        <v>-2.64</v>
      </c>
      <c r="AC630" s="199">
        <v>0</v>
      </c>
      <c r="AD630" s="199">
        <v>0</v>
      </c>
      <c r="AE630" s="199">
        <v>31.57</v>
      </c>
      <c r="AF630" s="199">
        <v>-3.47</v>
      </c>
      <c r="AG630" s="196" t="s">
        <v>279</v>
      </c>
      <c r="AH630" s="199">
        <v>0</v>
      </c>
      <c r="AI630" s="196" t="s">
        <v>279</v>
      </c>
      <c r="AJ630" s="199">
        <v>0</v>
      </c>
      <c r="AK630" s="196" t="s">
        <v>279</v>
      </c>
      <c r="AL630" s="199">
        <v>0</v>
      </c>
      <c r="AM630" s="196" t="s">
        <v>279</v>
      </c>
      <c r="AN630" s="199">
        <v>0</v>
      </c>
      <c r="AO630" s="196" t="s">
        <v>279</v>
      </c>
      <c r="AP630" s="199">
        <v>0</v>
      </c>
      <c r="AQ630" s="199">
        <v>34.5</v>
      </c>
      <c r="AR630" s="199">
        <v>0</v>
      </c>
      <c r="AS630" s="196" t="str">
        <f t="shared" si="12"/>
        <v>1.00000000</v>
      </c>
      <c r="AT630" s="196" t="str">
        <f>"21.0"</f>
        <v>21.0</v>
      </c>
      <c r="AU630" s="199">
        <v>0</v>
      </c>
    </row>
    <row r="631" spans="1:47" s="196" customFormat="1" x14ac:dyDescent="0.2">
      <c r="A631" s="196" t="str">
        <f t="shared" si="14"/>
        <v>0496002595734</v>
      </c>
      <c r="B631" s="196">
        <v>1</v>
      </c>
      <c r="C631" s="196" t="s">
        <v>435</v>
      </c>
      <c r="D631" s="196">
        <v>81</v>
      </c>
      <c r="E631" s="196">
        <v>81</v>
      </c>
      <c r="F631" s="196" t="s">
        <v>243</v>
      </c>
      <c r="G631" s="196">
        <v>2086</v>
      </c>
      <c r="H631" s="196" t="s">
        <v>270</v>
      </c>
      <c r="I631" s="196">
        <v>80993</v>
      </c>
      <c r="J631" s="197">
        <v>42851</v>
      </c>
      <c r="K631" s="198">
        <v>0.84444444444444444</v>
      </c>
      <c r="L631" s="197">
        <v>42853</v>
      </c>
      <c r="M631" s="196" t="s">
        <v>271</v>
      </c>
      <c r="N631" s="196" t="s">
        <v>272</v>
      </c>
      <c r="O631" s="196" t="s">
        <v>273</v>
      </c>
      <c r="P631" s="196" t="s">
        <v>274</v>
      </c>
      <c r="Q631" s="196" t="s">
        <v>275</v>
      </c>
      <c r="R631" s="196" t="s">
        <v>276</v>
      </c>
      <c r="S631" s="196" t="s">
        <v>436</v>
      </c>
      <c r="T631" s="196" t="s">
        <v>435</v>
      </c>
      <c r="U631" s="196">
        <v>2086</v>
      </c>
      <c r="V631" s="196" t="s">
        <v>435</v>
      </c>
      <c r="W631" s="196" t="s">
        <v>280</v>
      </c>
      <c r="X631" s="196">
        <v>11.837999999999999</v>
      </c>
      <c r="Y631" s="199">
        <v>-0.24</v>
      </c>
      <c r="Z631" s="199">
        <v>2.4</v>
      </c>
      <c r="AA631" s="199">
        <v>28.4</v>
      </c>
      <c r="AB631" s="199">
        <v>-2.17</v>
      </c>
      <c r="AC631" s="199">
        <v>0</v>
      </c>
      <c r="AD631" s="199">
        <v>0</v>
      </c>
      <c r="AE631" s="199">
        <v>25.99</v>
      </c>
      <c r="AF631" s="199">
        <v>-2.84</v>
      </c>
      <c r="AG631" s="196" t="s">
        <v>279</v>
      </c>
      <c r="AH631" s="199">
        <v>0</v>
      </c>
      <c r="AI631" s="196" t="s">
        <v>279</v>
      </c>
      <c r="AJ631" s="199">
        <v>0</v>
      </c>
      <c r="AK631" s="196" t="s">
        <v>279</v>
      </c>
      <c r="AL631" s="199">
        <v>0</v>
      </c>
      <c r="AM631" s="196" t="s">
        <v>279</v>
      </c>
      <c r="AN631" s="199">
        <v>0</v>
      </c>
      <c r="AO631" s="196" t="s">
        <v>279</v>
      </c>
      <c r="AP631" s="199">
        <v>0</v>
      </c>
      <c r="AQ631" s="199">
        <v>28.4</v>
      </c>
      <c r="AR631" s="199">
        <v>0</v>
      </c>
      <c r="AS631" s="196" t="str">
        <f t="shared" si="12"/>
        <v>1.00000000</v>
      </c>
      <c r="AT631" s="196" t="str">
        <f>"19.8"</f>
        <v>19.8</v>
      </c>
      <c r="AU631" s="199">
        <v>0</v>
      </c>
    </row>
    <row r="632" spans="1:47" s="196" customFormat="1" x14ac:dyDescent="0.2">
      <c r="A632" s="196" t="str">
        <f t="shared" si="14"/>
        <v>0496002595734</v>
      </c>
      <c r="B632" s="196">
        <v>1</v>
      </c>
      <c r="C632" s="196" t="s">
        <v>435</v>
      </c>
      <c r="D632" s="196">
        <v>81</v>
      </c>
      <c r="E632" s="196">
        <v>81</v>
      </c>
      <c r="F632" s="196" t="s">
        <v>243</v>
      </c>
      <c r="G632" s="196">
        <v>2086</v>
      </c>
      <c r="H632" s="196" t="s">
        <v>270</v>
      </c>
      <c r="I632" s="196">
        <v>81236</v>
      </c>
      <c r="J632" s="197">
        <v>42852</v>
      </c>
      <c r="K632" s="198">
        <v>0.90277777777777779</v>
      </c>
      <c r="L632" s="197">
        <v>42856</v>
      </c>
      <c r="M632" s="196" t="s">
        <v>271</v>
      </c>
      <c r="N632" s="196" t="s">
        <v>291</v>
      </c>
      <c r="O632" s="196" t="s">
        <v>292</v>
      </c>
      <c r="P632" s="196" t="s">
        <v>293</v>
      </c>
      <c r="Q632" s="196" t="s">
        <v>275</v>
      </c>
      <c r="R632" s="196">
        <v>1507</v>
      </c>
      <c r="S632" s="196" t="s">
        <v>436</v>
      </c>
      <c r="T632" s="196" t="s">
        <v>435</v>
      </c>
      <c r="U632" s="196">
        <v>2086</v>
      </c>
      <c r="V632" s="196" t="s">
        <v>435</v>
      </c>
      <c r="W632" s="196" t="s">
        <v>280</v>
      </c>
      <c r="X632" s="196">
        <v>11</v>
      </c>
      <c r="Y632" s="199">
        <v>-0.33</v>
      </c>
      <c r="Z632" s="199">
        <v>2.5299999999999998</v>
      </c>
      <c r="AA632" s="199">
        <v>27.82</v>
      </c>
      <c r="AB632" s="199">
        <v>-2.0099999999999998</v>
      </c>
      <c r="AC632" s="199">
        <v>0</v>
      </c>
      <c r="AD632" s="199">
        <v>0</v>
      </c>
      <c r="AE632" s="199">
        <v>25.48</v>
      </c>
      <c r="AF632" s="199">
        <v>-2.64</v>
      </c>
      <c r="AG632" s="196" t="s">
        <v>279</v>
      </c>
      <c r="AH632" s="199">
        <v>0</v>
      </c>
      <c r="AI632" s="196" t="s">
        <v>279</v>
      </c>
      <c r="AJ632" s="199">
        <v>0</v>
      </c>
      <c r="AK632" s="196" t="s">
        <v>279</v>
      </c>
      <c r="AL632" s="199">
        <v>0</v>
      </c>
      <c r="AM632" s="196" t="s">
        <v>279</v>
      </c>
      <c r="AN632" s="199">
        <v>0</v>
      </c>
      <c r="AO632" s="196" t="s">
        <v>279</v>
      </c>
      <c r="AP632" s="199">
        <v>0</v>
      </c>
      <c r="AQ632" s="199">
        <v>27.82</v>
      </c>
      <c r="AR632" s="199">
        <v>0</v>
      </c>
      <c r="AS632" s="196" t="str">
        <f t="shared" si="12"/>
        <v>1.00000000</v>
      </c>
      <c r="AT632" s="196" t="str">
        <f>"22.1"</f>
        <v>22.1</v>
      </c>
      <c r="AU632" s="199">
        <v>0</v>
      </c>
    </row>
    <row r="633" spans="1:47" s="196" customFormat="1" x14ac:dyDescent="0.2">
      <c r="A633" s="196" t="str">
        <f t="shared" si="14"/>
        <v>0496002595734</v>
      </c>
      <c r="B633" s="196">
        <v>1</v>
      </c>
      <c r="C633" s="196" t="s">
        <v>435</v>
      </c>
      <c r="D633" s="196">
        <v>81</v>
      </c>
      <c r="E633" s="196">
        <v>81</v>
      </c>
      <c r="F633" s="196" t="s">
        <v>243</v>
      </c>
      <c r="G633" s="196">
        <v>2086</v>
      </c>
      <c r="H633" s="196" t="s">
        <v>270</v>
      </c>
      <c r="I633" s="196">
        <v>81531</v>
      </c>
      <c r="J633" s="197">
        <v>42855</v>
      </c>
      <c r="K633" s="198">
        <v>0.60555555555555551</v>
      </c>
      <c r="L633" s="197">
        <v>42857</v>
      </c>
      <c r="M633" s="196" t="s">
        <v>285</v>
      </c>
      <c r="N633" s="196" t="s">
        <v>399</v>
      </c>
      <c r="O633" s="196" t="s">
        <v>400</v>
      </c>
      <c r="P633" s="196" t="s">
        <v>274</v>
      </c>
      <c r="Q633" s="196" t="s">
        <v>275</v>
      </c>
      <c r="R633" s="196" t="s">
        <v>401</v>
      </c>
      <c r="S633" s="196" t="s">
        <v>436</v>
      </c>
      <c r="T633" s="196" t="s">
        <v>435</v>
      </c>
      <c r="U633" s="196">
        <v>2086</v>
      </c>
      <c r="V633" s="196" t="s">
        <v>435</v>
      </c>
      <c r="W633" s="196" t="s">
        <v>280</v>
      </c>
      <c r="X633" s="196">
        <v>16.283999999999999</v>
      </c>
      <c r="Y633" s="199">
        <v>0</v>
      </c>
      <c r="Z633" s="199">
        <v>2.36</v>
      </c>
      <c r="AA633" s="199">
        <v>38.409999999999997</v>
      </c>
      <c r="AB633" s="199">
        <v>-2.98</v>
      </c>
      <c r="AC633" s="199">
        <v>0</v>
      </c>
      <c r="AD633" s="199">
        <v>0</v>
      </c>
      <c r="AE633" s="199">
        <v>35.43</v>
      </c>
      <c r="AF633" s="199">
        <v>-3.91</v>
      </c>
      <c r="AG633" s="196" t="s">
        <v>279</v>
      </c>
      <c r="AH633" s="199">
        <v>0</v>
      </c>
      <c r="AI633" s="196" t="s">
        <v>279</v>
      </c>
      <c r="AJ633" s="199">
        <v>0</v>
      </c>
      <c r="AK633" s="196" t="s">
        <v>279</v>
      </c>
      <c r="AL633" s="199">
        <v>0</v>
      </c>
      <c r="AM633" s="196" t="s">
        <v>279</v>
      </c>
      <c r="AN633" s="199">
        <v>0</v>
      </c>
      <c r="AO633" s="196" t="s">
        <v>279</v>
      </c>
      <c r="AP633" s="199">
        <v>0</v>
      </c>
      <c r="AQ633" s="199">
        <v>38.409999999999997</v>
      </c>
      <c r="AR633" s="199">
        <v>0</v>
      </c>
      <c r="AS633" s="196" t="str">
        <f t="shared" si="12"/>
        <v>1.00000000</v>
      </c>
      <c r="AT633" s="196" t="str">
        <f>"18.1"</f>
        <v>18.1</v>
      </c>
      <c r="AU633" s="199">
        <v>0</v>
      </c>
    </row>
    <row r="634" spans="1:47" s="196" customFormat="1" x14ac:dyDescent="0.2">
      <c r="A634" s="196" t="str">
        <f t="shared" si="14"/>
        <v>0496002595734</v>
      </c>
      <c r="B634" s="196">
        <v>1</v>
      </c>
      <c r="C634" s="196" t="s">
        <v>435</v>
      </c>
      <c r="D634" s="196">
        <v>81</v>
      </c>
      <c r="E634" s="196">
        <v>81</v>
      </c>
      <c r="F634" s="196" t="s">
        <v>243</v>
      </c>
      <c r="G634" s="196">
        <v>2086</v>
      </c>
      <c r="H634" s="196" t="s">
        <v>270</v>
      </c>
      <c r="I634" s="196">
        <v>81768</v>
      </c>
      <c r="J634" s="197">
        <v>42857</v>
      </c>
      <c r="K634" s="198">
        <v>2.2662037037037036E-2</v>
      </c>
      <c r="L634" s="197">
        <v>42858</v>
      </c>
      <c r="M634" s="196" t="s">
        <v>314</v>
      </c>
      <c r="N634" s="196" t="s">
        <v>415</v>
      </c>
      <c r="O634" s="196" t="s">
        <v>416</v>
      </c>
      <c r="P634" s="196" t="s">
        <v>417</v>
      </c>
      <c r="Q634" s="196" t="s">
        <v>275</v>
      </c>
      <c r="R634" s="196" t="s">
        <v>418</v>
      </c>
      <c r="S634" s="196" t="s">
        <v>436</v>
      </c>
      <c r="T634" s="196" t="s">
        <v>435</v>
      </c>
      <c r="U634" s="196">
        <v>2086</v>
      </c>
      <c r="V634" s="196" t="s">
        <v>435</v>
      </c>
      <c r="W634" s="196" t="s">
        <v>280</v>
      </c>
      <c r="X634" s="196">
        <v>12.346</v>
      </c>
      <c r="Y634" s="199">
        <v>0</v>
      </c>
      <c r="Z634" s="199">
        <v>2.34</v>
      </c>
      <c r="AA634" s="199">
        <v>28.88</v>
      </c>
      <c r="AB634" s="199">
        <v>-2.2599999999999998</v>
      </c>
      <c r="AC634" s="199">
        <v>0</v>
      </c>
      <c r="AD634" s="199">
        <v>0</v>
      </c>
      <c r="AE634" s="199">
        <v>26.62</v>
      </c>
      <c r="AF634" s="199">
        <v>-2.96</v>
      </c>
      <c r="AG634" s="196" t="s">
        <v>279</v>
      </c>
      <c r="AH634" s="199">
        <v>0</v>
      </c>
      <c r="AI634" s="196" t="s">
        <v>279</v>
      </c>
      <c r="AJ634" s="199">
        <v>0</v>
      </c>
      <c r="AK634" s="196" t="s">
        <v>279</v>
      </c>
      <c r="AL634" s="199">
        <v>0</v>
      </c>
      <c r="AM634" s="196" t="s">
        <v>279</v>
      </c>
      <c r="AN634" s="199">
        <v>0</v>
      </c>
      <c r="AO634" s="196" t="s">
        <v>279</v>
      </c>
      <c r="AP634" s="199">
        <v>0</v>
      </c>
      <c r="AQ634" s="199">
        <v>28.88</v>
      </c>
      <c r="AR634" s="199">
        <v>0</v>
      </c>
      <c r="AS634" s="196" t="str">
        <f t="shared" si="12"/>
        <v>1.00000000</v>
      </c>
      <c r="AT634" s="196" t="str">
        <f>"19.2"</f>
        <v>19.2</v>
      </c>
      <c r="AU634" s="199">
        <v>0</v>
      </c>
    </row>
    <row r="635" spans="1:47" s="196" customFormat="1" x14ac:dyDescent="0.2">
      <c r="A635" s="196" t="str">
        <f t="shared" si="14"/>
        <v>0496002595734</v>
      </c>
      <c r="B635" s="196">
        <v>1</v>
      </c>
      <c r="C635" s="196" t="s">
        <v>435</v>
      </c>
      <c r="D635" s="196">
        <v>81</v>
      </c>
      <c r="E635" s="196">
        <v>81</v>
      </c>
      <c r="F635" s="196" t="s">
        <v>243</v>
      </c>
      <c r="G635" s="196">
        <v>2086</v>
      </c>
      <c r="H635" s="196" t="s">
        <v>270</v>
      </c>
      <c r="I635" s="196">
        <v>89148</v>
      </c>
      <c r="J635" s="197">
        <v>42859</v>
      </c>
      <c r="K635" s="198">
        <v>0.59444444444444444</v>
      </c>
      <c r="L635" s="197">
        <v>42863</v>
      </c>
      <c r="M635" s="196" t="s">
        <v>271</v>
      </c>
      <c r="N635" s="196" t="s">
        <v>272</v>
      </c>
      <c r="O635" s="196" t="s">
        <v>273</v>
      </c>
      <c r="P635" s="196" t="s">
        <v>274</v>
      </c>
      <c r="Q635" s="196" t="s">
        <v>275</v>
      </c>
      <c r="R635" s="196" t="s">
        <v>276</v>
      </c>
      <c r="S635" s="196" t="s">
        <v>436</v>
      </c>
      <c r="T635" s="196" t="s">
        <v>435</v>
      </c>
      <c r="U635" s="196">
        <v>2086</v>
      </c>
      <c r="V635" s="196" t="s">
        <v>435</v>
      </c>
      <c r="W635" s="196" t="s">
        <v>280</v>
      </c>
      <c r="X635" s="196">
        <v>10.012</v>
      </c>
      <c r="Y635" s="199">
        <v>-0.2</v>
      </c>
      <c r="Z635" s="199">
        <v>2.4</v>
      </c>
      <c r="AA635" s="199">
        <v>24.02</v>
      </c>
      <c r="AB635" s="199">
        <v>-1.83</v>
      </c>
      <c r="AC635" s="199">
        <v>0</v>
      </c>
      <c r="AD635" s="199">
        <v>0</v>
      </c>
      <c r="AE635" s="199">
        <v>21.99</v>
      </c>
      <c r="AF635" s="199">
        <v>-2.4</v>
      </c>
      <c r="AG635" s="196" t="s">
        <v>279</v>
      </c>
      <c r="AH635" s="199">
        <v>0</v>
      </c>
      <c r="AI635" s="196" t="s">
        <v>279</v>
      </c>
      <c r="AJ635" s="199">
        <v>0</v>
      </c>
      <c r="AK635" s="196" t="s">
        <v>279</v>
      </c>
      <c r="AL635" s="199">
        <v>0</v>
      </c>
      <c r="AM635" s="196" t="s">
        <v>279</v>
      </c>
      <c r="AN635" s="199">
        <v>0</v>
      </c>
      <c r="AO635" s="196" t="s">
        <v>279</v>
      </c>
      <c r="AP635" s="199">
        <v>0</v>
      </c>
      <c r="AQ635" s="199">
        <v>24.02</v>
      </c>
      <c r="AR635" s="199">
        <v>0</v>
      </c>
      <c r="AS635" s="196" t="str">
        <f t="shared" si="12"/>
        <v>1.00000000</v>
      </c>
      <c r="AT635" s="196" t="str">
        <f>"19.9"</f>
        <v>19.9</v>
      </c>
      <c r="AU635" s="199">
        <v>0</v>
      </c>
    </row>
    <row r="636" spans="1:47" s="196" customFormat="1" x14ac:dyDescent="0.2">
      <c r="A636" s="196" t="str">
        <f t="shared" si="14"/>
        <v>0496002595734</v>
      </c>
      <c r="B636" s="196">
        <v>1</v>
      </c>
      <c r="C636" s="196" t="s">
        <v>435</v>
      </c>
      <c r="D636" s="196">
        <v>81</v>
      </c>
      <c r="E636" s="196">
        <v>81</v>
      </c>
      <c r="F636" s="196" t="s">
        <v>243</v>
      </c>
      <c r="G636" s="196">
        <v>2086</v>
      </c>
      <c r="H636" s="196" t="s">
        <v>270</v>
      </c>
      <c r="I636" s="196">
        <v>82008</v>
      </c>
      <c r="J636" s="197">
        <v>42861</v>
      </c>
      <c r="K636" s="198">
        <v>0.48888888888888887</v>
      </c>
      <c r="L636" s="197">
        <v>42864</v>
      </c>
      <c r="M636" s="196" t="s">
        <v>271</v>
      </c>
      <c r="N636" s="196" t="s">
        <v>272</v>
      </c>
      <c r="O636" s="196" t="s">
        <v>273</v>
      </c>
      <c r="P636" s="196" t="s">
        <v>274</v>
      </c>
      <c r="Q636" s="196" t="s">
        <v>275</v>
      </c>
      <c r="R636" s="196" t="s">
        <v>276</v>
      </c>
      <c r="S636" s="196" t="s">
        <v>436</v>
      </c>
      <c r="T636" s="196" t="s">
        <v>435</v>
      </c>
      <c r="U636" s="196">
        <v>2086</v>
      </c>
      <c r="V636" s="196" t="s">
        <v>435</v>
      </c>
      <c r="W636" s="196" t="s">
        <v>280</v>
      </c>
      <c r="X636" s="196">
        <v>3.472</v>
      </c>
      <c r="Y636" s="199">
        <v>-7.0000000000000007E-2</v>
      </c>
      <c r="Z636" s="199">
        <v>2.4</v>
      </c>
      <c r="AA636" s="199">
        <v>8.33</v>
      </c>
      <c r="AB636" s="199">
        <v>-0.64</v>
      </c>
      <c r="AC636" s="199">
        <v>0</v>
      </c>
      <c r="AD636" s="199">
        <v>0</v>
      </c>
      <c r="AE636" s="199">
        <v>7.62</v>
      </c>
      <c r="AF636" s="199">
        <v>-0.83</v>
      </c>
      <c r="AG636" s="196" t="s">
        <v>279</v>
      </c>
      <c r="AH636" s="199">
        <v>0</v>
      </c>
      <c r="AI636" s="196" t="s">
        <v>279</v>
      </c>
      <c r="AJ636" s="199">
        <v>0</v>
      </c>
      <c r="AK636" s="196" t="s">
        <v>279</v>
      </c>
      <c r="AL636" s="199">
        <v>0</v>
      </c>
      <c r="AM636" s="196" t="s">
        <v>279</v>
      </c>
      <c r="AN636" s="199">
        <v>0</v>
      </c>
      <c r="AO636" s="196" t="s">
        <v>279</v>
      </c>
      <c r="AP636" s="199">
        <v>0</v>
      </c>
      <c r="AQ636" s="199">
        <v>8.33</v>
      </c>
      <c r="AR636" s="199">
        <v>0</v>
      </c>
      <c r="AS636" s="196" t="str">
        <f t="shared" si="12"/>
        <v>1.00000000</v>
      </c>
      <c r="AT636" s="196" t="str">
        <f>"19.9"</f>
        <v>19.9</v>
      </c>
      <c r="AU636" s="199">
        <v>0</v>
      </c>
    </row>
    <row r="637" spans="1:47" s="196" customFormat="1" x14ac:dyDescent="0.2">
      <c r="A637" s="196" t="str">
        <f t="shared" si="14"/>
        <v>0496002595734</v>
      </c>
      <c r="B637" s="196">
        <v>1</v>
      </c>
      <c r="C637" s="196" t="s">
        <v>435</v>
      </c>
      <c r="D637" s="196">
        <v>81</v>
      </c>
      <c r="E637" s="196">
        <v>81</v>
      </c>
      <c r="F637" s="196" t="s">
        <v>243</v>
      </c>
      <c r="G637" s="196">
        <v>2086</v>
      </c>
      <c r="H637" s="196" t="s">
        <v>270</v>
      </c>
      <c r="I637" s="196">
        <v>82222</v>
      </c>
      <c r="J637" s="197">
        <v>42864</v>
      </c>
      <c r="K637" s="198">
        <v>0.5395833333333333</v>
      </c>
      <c r="L637" s="197">
        <v>42866</v>
      </c>
      <c r="M637" s="196" t="s">
        <v>271</v>
      </c>
      <c r="N637" s="196" t="s">
        <v>457</v>
      </c>
      <c r="O637" s="196" t="s">
        <v>458</v>
      </c>
      <c r="P637" s="196" t="s">
        <v>459</v>
      </c>
      <c r="Q637" s="196" t="s">
        <v>329</v>
      </c>
      <c r="R637" s="196" t="s">
        <v>460</v>
      </c>
      <c r="S637" s="196" t="s">
        <v>436</v>
      </c>
      <c r="T637" s="196" t="s">
        <v>435</v>
      </c>
      <c r="U637" s="196">
        <v>2086</v>
      </c>
      <c r="V637" s="196" t="s">
        <v>435</v>
      </c>
      <c r="W637" s="196" t="s">
        <v>280</v>
      </c>
      <c r="X637" s="196">
        <v>10.401999999999999</v>
      </c>
      <c r="Y637" s="199">
        <v>-0.21</v>
      </c>
      <c r="Z637" s="199">
        <v>2.66</v>
      </c>
      <c r="AA637" s="199">
        <v>27.66</v>
      </c>
      <c r="AB637" s="199">
        <v>-1.9</v>
      </c>
      <c r="AC637" s="199">
        <v>0</v>
      </c>
      <c r="AD637" s="199">
        <v>0</v>
      </c>
      <c r="AE637" s="199">
        <v>25.55</v>
      </c>
      <c r="AF637" s="199">
        <v>-4.55</v>
      </c>
      <c r="AG637" s="196" t="s">
        <v>279</v>
      </c>
      <c r="AH637" s="199">
        <v>0</v>
      </c>
      <c r="AI637" s="196" t="s">
        <v>279</v>
      </c>
      <c r="AJ637" s="199">
        <v>0</v>
      </c>
      <c r="AK637" s="196" t="s">
        <v>279</v>
      </c>
      <c r="AL637" s="199">
        <v>0</v>
      </c>
      <c r="AM637" s="196" t="s">
        <v>279</v>
      </c>
      <c r="AN637" s="199">
        <v>0</v>
      </c>
      <c r="AO637" s="196" t="s">
        <v>279</v>
      </c>
      <c r="AP637" s="199">
        <v>0</v>
      </c>
      <c r="AQ637" s="199">
        <v>27.66</v>
      </c>
      <c r="AR637" s="199">
        <v>0</v>
      </c>
      <c r="AS637" s="196" t="str">
        <f t="shared" si="12"/>
        <v>1.00000000</v>
      </c>
      <c r="AT637" s="196" t="str">
        <f>"20.6"</f>
        <v>20.6</v>
      </c>
      <c r="AU637" s="199">
        <v>0</v>
      </c>
    </row>
    <row r="638" spans="1:47" s="196" customFormat="1" x14ac:dyDescent="0.2">
      <c r="A638" s="196" t="str">
        <f t="shared" si="14"/>
        <v>0496002595734</v>
      </c>
      <c r="B638" s="196">
        <v>1</v>
      </c>
      <c r="C638" s="196" t="s">
        <v>435</v>
      </c>
      <c r="D638" s="196">
        <v>81</v>
      </c>
      <c r="E638" s="196">
        <v>81</v>
      </c>
      <c r="F638" s="196" t="s">
        <v>243</v>
      </c>
      <c r="G638" s="196">
        <v>2086</v>
      </c>
      <c r="H638" s="196" t="s">
        <v>270</v>
      </c>
      <c r="I638" s="196">
        <v>82381</v>
      </c>
      <c r="J638" s="197">
        <v>42864</v>
      </c>
      <c r="K638" s="198">
        <v>0.64930555555555558</v>
      </c>
      <c r="L638" s="197">
        <v>42866</v>
      </c>
      <c r="M638" s="196" t="s">
        <v>271</v>
      </c>
      <c r="N638" s="196" t="s">
        <v>352</v>
      </c>
      <c r="O638" s="196" t="s">
        <v>353</v>
      </c>
      <c r="P638" s="196" t="s">
        <v>343</v>
      </c>
      <c r="Q638" s="196" t="s">
        <v>275</v>
      </c>
      <c r="R638" s="196">
        <v>1035</v>
      </c>
      <c r="S638" s="196" t="s">
        <v>436</v>
      </c>
      <c r="T638" s="196" t="s">
        <v>435</v>
      </c>
      <c r="U638" s="196">
        <v>2086</v>
      </c>
      <c r="V638" s="196" t="s">
        <v>435</v>
      </c>
      <c r="W638" s="196" t="s">
        <v>280</v>
      </c>
      <c r="X638" s="196">
        <v>5.84</v>
      </c>
      <c r="Y638" s="199">
        <v>-0.12</v>
      </c>
      <c r="Z638" s="199">
        <v>2.35</v>
      </c>
      <c r="AA638" s="199">
        <v>13.72</v>
      </c>
      <c r="AB638" s="199">
        <v>-1.07</v>
      </c>
      <c r="AC638" s="199">
        <v>0</v>
      </c>
      <c r="AD638" s="199">
        <v>0</v>
      </c>
      <c r="AE638" s="199">
        <v>12.53</v>
      </c>
      <c r="AF638" s="199">
        <v>-1.4</v>
      </c>
      <c r="AG638" s="196" t="s">
        <v>279</v>
      </c>
      <c r="AH638" s="199">
        <v>0</v>
      </c>
      <c r="AI638" s="196" t="s">
        <v>279</v>
      </c>
      <c r="AJ638" s="199">
        <v>0</v>
      </c>
      <c r="AK638" s="196" t="s">
        <v>279</v>
      </c>
      <c r="AL638" s="199">
        <v>0</v>
      </c>
      <c r="AM638" s="196" t="s">
        <v>279</v>
      </c>
      <c r="AN638" s="199">
        <v>0</v>
      </c>
      <c r="AO638" s="196" t="s">
        <v>279</v>
      </c>
      <c r="AP638" s="199">
        <v>0</v>
      </c>
      <c r="AQ638" s="199">
        <v>13.72</v>
      </c>
      <c r="AR638" s="199">
        <v>0</v>
      </c>
      <c r="AS638" s="196" t="str">
        <f t="shared" si="12"/>
        <v>1.00000000</v>
      </c>
      <c r="AT638" s="196" t="str">
        <f>"19.9"</f>
        <v>19.9</v>
      </c>
      <c r="AU638" s="199">
        <v>0</v>
      </c>
    </row>
    <row r="639" spans="1:47" s="196" customFormat="1" x14ac:dyDescent="0.2">
      <c r="A639" s="196" t="str">
        <f t="shared" si="14"/>
        <v>0496002595734</v>
      </c>
      <c r="B639" s="196">
        <v>1</v>
      </c>
      <c r="C639" s="196" t="s">
        <v>435</v>
      </c>
      <c r="D639" s="196">
        <v>81</v>
      </c>
      <c r="E639" s="196">
        <v>81</v>
      </c>
      <c r="F639" s="196" t="s">
        <v>243</v>
      </c>
      <c r="G639" s="196">
        <v>2086</v>
      </c>
      <c r="H639" s="196" t="s">
        <v>270</v>
      </c>
      <c r="I639" s="196">
        <v>82578</v>
      </c>
      <c r="J639" s="197">
        <v>42867</v>
      </c>
      <c r="K639" s="198">
        <v>0.57570601851851855</v>
      </c>
      <c r="L639" s="197">
        <v>42871</v>
      </c>
      <c r="M639" s="196" t="s">
        <v>349</v>
      </c>
      <c r="N639" s="196" t="s">
        <v>350</v>
      </c>
      <c r="O639" s="196" t="s">
        <v>351</v>
      </c>
      <c r="P639" s="196" t="s">
        <v>343</v>
      </c>
      <c r="Q639" s="196" t="s">
        <v>275</v>
      </c>
      <c r="R639" s="196">
        <v>1035</v>
      </c>
      <c r="S639" s="196" t="s">
        <v>436</v>
      </c>
      <c r="T639" s="196" t="s">
        <v>435</v>
      </c>
      <c r="U639" s="196">
        <v>2086</v>
      </c>
      <c r="V639" s="196" t="s">
        <v>435</v>
      </c>
      <c r="W639" s="196" t="s">
        <v>280</v>
      </c>
      <c r="X639" s="196">
        <v>12.83</v>
      </c>
      <c r="Y639" s="199">
        <v>0</v>
      </c>
      <c r="Z639" s="199">
        <v>2.2999999999999998</v>
      </c>
      <c r="AA639" s="199">
        <v>29.5</v>
      </c>
      <c r="AB639" s="199">
        <v>-2.35</v>
      </c>
      <c r="AC639" s="199">
        <v>0</v>
      </c>
      <c r="AD639" s="199">
        <v>0</v>
      </c>
      <c r="AE639" s="199">
        <v>27.15</v>
      </c>
      <c r="AF639" s="199">
        <v>-3.08</v>
      </c>
      <c r="AG639" s="196" t="s">
        <v>279</v>
      </c>
      <c r="AH639" s="199">
        <v>0</v>
      </c>
      <c r="AI639" s="196" t="s">
        <v>279</v>
      </c>
      <c r="AJ639" s="199">
        <v>0</v>
      </c>
      <c r="AK639" s="196" t="s">
        <v>279</v>
      </c>
      <c r="AL639" s="199">
        <v>0</v>
      </c>
      <c r="AM639" s="196" t="s">
        <v>279</v>
      </c>
      <c r="AN639" s="199">
        <v>0</v>
      </c>
      <c r="AO639" s="196" t="s">
        <v>279</v>
      </c>
      <c r="AP639" s="199">
        <v>0</v>
      </c>
      <c r="AQ639" s="199">
        <v>29.5</v>
      </c>
      <c r="AR639" s="199">
        <v>0</v>
      </c>
      <c r="AS639" s="196" t="str">
        <f t="shared" si="12"/>
        <v>1.00000000</v>
      </c>
      <c r="AT639" s="196" t="str">
        <f>"15.4"</f>
        <v>15.4</v>
      </c>
      <c r="AU639" s="199">
        <v>0</v>
      </c>
    </row>
    <row r="640" spans="1:47" s="196" customFormat="1" x14ac:dyDescent="0.2">
      <c r="A640" s="196" t="str">
        <f t="shared" si="14"/>
        <v>0496002595734</v>
      </c>
      <c r="B640" s="196">
        <v>1</v>
      </c>
      <c r="C640" s="196" t="s">
        <v>435</v>
      </c>
      <c r="D640" s="196">
        <v>81</v>
      </c>
      <c r="E640" s="196">
        <v>81</v>
      </c>
      <c r="F640" s="196" t="s">
        <v>243</v>
      </c>
      <c r="G640" s="196">
        <v>2086</v>
      </c>
      <c r="H640" s="196" t="s">
        <v>270</v>
      </c>
      <c r="I640" s="196">
        <v>82900</v>
      </c>
      <c r="J640" s="197">
        <v>42870</v>
      </c>
      <c r="K640" s="198">
        <v>0.84930555555555554</v>
      </c>
      <c r="L640" s="197">
        <v>42872</v>
      </c>
      <c r="M640" s="196" t="s">
        <v>294</v>
      </c>
      <c r="N640" s="196" t="s">
        <v>299</v>
      </c>
      <c r="O640" s="196" t="s">
        <v>461</v>
      </c>
      <c r="P640" s="196" t="s">
        <v>456</v>
      </c>
      <c r="Q640" s="196" t="s">
        <v>275</v>
      </c>
      <c r="R640" s="196" t="s">
        <v>462</v>
      </c>
      <c r="S640" s="196" t="s">
        <v>436</v>
      </c>
      <c r="T640" s="196" t="s">
        <v>435</v>
      </c>
      <c r="U640" s="196">
        <v>2086</v>
      </c>
      <c r="V640" s="196" t="s">
        <v>435</v>
      </c>
      <c r="W640" s="196" t="s">
        <v>335</v>
      </c>
      <c r="X640" s="196">
        <v>16.55</v>
      </c>
      <c r="Y640" s="199">
        <v>0</v>
      </c>
      <c r="Z640" s="199">
        <v>2.6</v>
      </c>
      <c r="AA640" s="199">
        <v>43.02</v>
      </c>
      <c r="AB640" s="199">
        <v>-3.03</v>
      </c>
      <c r="AC640" s="199">
        <v>0</v>
      </c>
      <c r="AD640" s="199">
        <v>0</v>
      </c>
      <c r="AE640" s="199">
        <v>39.99</v>
      </c>
      <c r="AF640" s="199">
        <v>-3.97</v>
      </c>
      <c r="AG640" s="196" t="s">
        <v>279</v>
      </c>
      <c r="AH640" s="199">
        <v>0</v>
      </c>
      <c r="AI640" s="196" t="s">
        <v>279</v>
      </c>
      <c r="AJ640" s="199">
        <v>0</v>
      </c>
      <c r="AK640" s="196" t="s">
        <v>279</v>
      </c>
      <c r="AL640" s="199">
        <v>0</v>
      </c>
      <c r="AM640" s="196" t="s">
        <v>279</v>
      </c>
      <c r="AN640" s="199">
        <v>0</v>
      </c>
      <c r="AO640" s="196" t="s">
        <v>279</v>
      </c>
      <c r="AP640" s="199">
        <v>0</v>
      </c>
      <c r="AQ640" s="199">
        <v>43.02</v>
      </c>
      <c r="AR640" s="199">
        <v>0</v>
      </c>
      <c r="AS640" s="196" t="str">
        <f t="shared" si="12"/>
        <v>1.00000000</v>
      </c>
      <c r="AT640" s="196" t="str">
        <f>"19.5"</f>
        <v>19.5</v>
      </c>
      <c r="AU640" s="199">
        <v>0</v>
      </c>
    </row>
    <row r="641" spans="1:47" s="196" customFormat="1" x14ac:dyDescent="0.2">
      <c r="A641" s="196" t="str">
        <f t="shared" si="14"/>
        <v>0496002595734</v>
      </c>
      <c r="B641" s="196">
        <v>1</v>
      </c>
      <c r="C641" s="196" t="s">
        <v>435</v>
      </c>
      <c r="D641" s="196">
        <v>81</v>
      </c>
      <c r="E641" s="196">
        <v>81</v>
      </c>
      <c r="F641" s="196" t="s">
        <v>243</v>
      </c>
      <c r="G641" s="196">
        <v>2086</v>
      </c>
      <c r="H641" s="196" t="s">
        <v>270</v>
      </c>
      <c r="I641" s="196">
        <v>83149</v>
      </c>
      <c r="J641" s="197">
        <v>42872</v>
      </c>
      <c r="K641" s="198">
        <v>0.80185185185185182</v>
      </c>
      <c r="L641" s="197">
        <v>42874</v>
      </c>
      <c r="M641" s="196" t="s">
        <v>310</v>
      </c>
      <c r="N641" s="196" t="s">
        <v>463</v>
      </c>
      <c r="O641" s="196" t="s">
        <v>332</v>
      </c>
      <c r="P641" s="196" t="s">
        <v>274</v>
      </c>
      <c r="Q641" s="196" t="s">
        <v>275</v>
      </c>
      <c r="R641" s="196">
        <v>1002</v>
      </c>
      <c r="S641" s="196" t="s">
        <v>436</v>
      </c>
      <c r="T641" s="196" t="s">
        <v>435</v>
      </c>
      <c r="U641" s="196">
        <v>2086</v>
      </c>
      <c r="V641" s="196" t="s">
        <v>435</v>
      </c>
      <c r="W641" s="196" t="s">
        <v>280</v>
      </c>
      <c r="X641" s="196">
        <v>12.747</v>
      </c>
      <c r="Y641" s="199">
        <v>0</v>
      </c>
      <c r="Z641" s="199">
        <v>2.36</v>
      </c>
      <c r="AA641" s="199">
        <v>30.07</v>
      </c>
      <c r="AB641" s="199">
        <v>-2.33</v>
      </c>
      <c r="AC641" s="199">
        <v>0</v>
      </c>
      <c r="AD641" s="199">
        <v>0</v>
      </c>
      <c r="AE641" s="199">
        <v>27.74</v>
      </c>
      <c r="AF641" s="199">
        <v>-3.06</v>
      </c>
      <c r="AG641" s="196" t="s">
        <v>279</v>
      </c>
      <c r="AH641" s="199">
        <v>0</v>
      </c>
      <c r="AI641" s="196" t="s">
        <v>279</v>
      </c>
      <c r="AJ641" s="199">
        <v>0</v>
      </c>
      <c r="AK641" s="196" t="s">
        <v>279</v>
      </c>
      <c r="AL641" s="199">
        <v>0</v>
      </c>
      <c r="AM641" s="196" t="s">
        <v>279</v>
      </c>
      <c r="AN641" s="199">
        <v>0</v>
      </c>
      <c r="AO641" s="196" t="s">
        <v>279</v>
      </c>
      <c r="AP641" s="199">
        <v>0</v>
      </c>
      <c r="AQ641" s="199">
        <v>30.07</v>
      </c>
      <c r="AR641" s="199">
        <v>0</v>
      </c>
      <c r="AS641" s="196" t="str">
        <f t="shared" si="12"/>
        <v>1.00000000</v>
      </c>
      <c r="AT641" s="196" t="str">
        <f>"19.5"</f>
        <v>19.5</v>
      </c>
      <c r="AU641" s="199">
        <v>0</v>
      </c>
    </row>
    <row r="642" spans="1:47" s="196" customFormat="1" x14ac:dyDescent="0.2">
      <c r="A642" s="196" t="str">
        <f t="shared" si="14"/>
        <v>0496002595734</v>
      </c>
      <c r="B642" s="196">
        <v>1</v>
      </c>
      <c r="C642" s="196" t="s">
        <v>435</v>
      </c>
      <c r="D642" s="196">
        <v>81</v>
      </c>
      <c r="E642" s="196">
        <v>81</v>
      </c>
      <c r="F642" s="196" t="s">
        <v>243</v>
      </c>
      <c r="G642" s="196">
        <v>2086</v>
      </c>
      <c r="H642" s="196" t="s">
        <v>270</v>
      </c>
      <c r="I642" s="196">
        <v>8412</v>
      </c>
      <c r="J642" s="197">
        <v>42874</v>
      </c>
      <c r="K642" s="198">
        <v>0.6972222222222223</v>
      </c>
      <c r="L642" s="197">
        <v>42878</v>
      </c>
      <c r="M642" s="196" t="s">
        <v>271</v>
      </c>
      <c r="N642" s="196" t="s">
        <v>272</v>
      </c>
      <c r="O642" s="196" t="s">
        <v>273</v>
      </c>
      <c r="P642" s="196" t="s">
        <v>274</v>
      </c>
      <c r="Q642" s="196" t="s">
        <v>275</v>
      </c>
      <c r="R642" s="196" t="s">
        <v>276</v>
      </c>
      <c r="S642" s="196" t="s">
        <v>436</v>
      </c>
      <c r="T642" s="196" t="s">
        <v>435</v>
      </c>
      <c r="U642" s="196">
        <v>2086</v>
      </c>
      <c r="V642" s="196" t="s">
        <v>435</v>
      </c>
      <c r="W642" s="196" t="s">
        <v>280</v>
      </c>
      <c r="X642" s="196">
        <v>13.194000000000001</v>
      </c>
      <c r="Y642" s="199">
        <v>-0.26</v>
      </c>
      <c r="Z642" s="199">
        <v>2.4300000000000002</v>
      </c>
      <c r="AA642" s="199">
        <v>32.049999999999997</v>
      </c>
      <c r="AB642" s="199">
        <v>-2.41</v>
      </c>
      <c r="AC642" s="199">
        <v>0</v>
      </c>
      <c r="AD642" s="199">
        <v>0</v>
      </c>
      <c r="AE642" s="199">
        <v>29.38</v>
      </c>
      <c r="AF642" s="199">
        <v>-3.17</v>
      </c>
      <c r="AG642" s="196" t="s">
        <v>279</v>
      </c>
      <c r="AH642" s="199">
        <v>0</v>
      </c>
      <c r="AI642" s="196" t="s">
        <v>279</v>
      </c>
      <c r="AJ642" s="199">
        <v>0</v>
      </c>
      <c r="AK642" s="196" t="s">
        <v>279</v>
      </c>
      <c r="AL642" s="199">
        <v>0</v>
      </c>
      <c r="AM642" s="196" t="s">
        <v>279</v>
      </c>
      <c r="AN642" s="199">
        <v>0</v>
      </c>
      <c r="AO642" s="196" t="s">
        <v>279</v>
      </c>
      <c r="AP642" s="199">
        <v>0</v>
      </c>
      <c r="AQ642" s="199">
        <v>32.049999999999997</v>
      </c>
      <c r="AR642" s="199">
        <v>0</v>
      </c>
      <c r="AS642" s="196" t="str">
        <f t="shared" ref="AS642:AS705" si="15">"1.00000000"</f>
        <v>1.00000000</v>
      </c>
      <c r="AT642" s="196" t="str">
        <f>"19.6"</f>
        <v>19.6</v>
      </c>
      <c r="AU642" s="199">
        <v>0</v>
      </c>
    </row>
    <row r="643" spans="1:47" s="196" customFormat="1" x14ac:dyDescent="0.2">
      <c r="A643" s="196" t="str">
        <f t="shared" si="14"/>
        <v>0496002595734</v>
      </c>
      <c r="B643" s="196">
        <v>1</v>
      </c>
      <c r="C643" s="196" t="s">
        <v>435</v>
      </c>
      <c r="D643" s="196">
        <v>81</v>
      </c>
      <c r="E643" s="196">
        <v>81</v>
      </c>
      <c r="F643" s="196" t="s">
        <v>243</v>
      </c>
      <c r="G643" s="196">
        <v>2086</v>
      </c>
      <c r="H643" s="196" t="s">
        <v>270</v>
      </c>
      <c r="I643" s="196">
        <v>50000</v>
      </c>
      <c r="J643" s="197">
        <v>42875</v>
      </c>
      <c r="K643" s="198">
        <v>0.77361111111111114</v>
      </c>
      <c r="L643" s="197">
        <v>42878</v>
      </c>
      <c r="M643" s="196" t="s">
        <v>325</v>
      </c>
      <c r="N643" s="196" t="s">
        <v>326</v>
      </c>
      <c r="O643" s="196" t="s">
        <v>464</v>
      </c>
      <c r="P643" s="196" t="s">
        <v>465</v>
      </c>
      <c r="Q643" s="196" t="s">
        <v>466</v>
      </c>
      <c r="R643" s="196">
        <v>3784</v>
      </c>
      <c r="S643" s="196" t="s">
        <v>436</v>
      </c>
      <c r="T643" s="196" t="s">
        <v>435</v>
      </c>
      <c r="U643" s="196">
        <v>2086</v>
      </c>
      <c r="V643" s="196" t="s">
        <v>435</v>
      </c>
      <c r="W643" s="196" t="s">
        <v>280</v>
      </c>
      <c r="X643" s="196">
        <v>9.0190000000000001</v>
      </c>
      <c r="Y643" s="199">
        <v>0</v>
      </c>
      <c r="Z643" s="199">
        <v>2.25</v>
      </c>
      <c r="AA643" s="199">
        <v>20.28</v>
      </c>
      <c r="AB643" s="199">
        <v>-1.65</v>
      </c>
      <c r="AC643" s="199">
        <v>0</v>
      </c>
      <c r="AD643" s="199">
        <v>0</v>
      </c>
      <c r="AE643" s="199">
        <v>18.63</v>
      </c>
      <c r="AF643" s="199">
        <v>-2</v>
      </c>
      <c r="AG643" s="196" t="s">
        <v>279</v>
      </c>
      <c r="AH643" s="199">
        <v>0</v>
      </c>
      <c r="AI643" s="196" t="s">
        <v>279</v>
      </c>
      <c r="AJ643" s="199">
        <v>0</v>
      </c>
      <c r="AK643" s="196" t="s">
        <v>279</v>
      </c>
      <c r="AL643" s="199">
        <v>0</v>
      </c>
      <c r="AM643" s="196" t="s">
        <v>279</v>
      </c>
      <c r="AN643" s="199">
        <v>0</v>
      </c>
      <c r="AO643" s="196" t="s">
        <v>279</v>
      </c>
      <c r="AP643" s="199">
        <v>0</v>
      </c>
      <c r="AQ643" s="199">
        <v>20.28</v>
      </c>
      <c r="AR643" s="199">
        <v>0</v>
      </c>
      <c r="AS643" s="196" t="str">
        <f t="shared" si="15"/>
        <v>1.00000000</v>
      </c>
      <c r="AT643" s="196" t="str">
        <f>"19.5"</f>
        <v>19.5</v>
      </c>
      <c r="AU643" s="199">
        <v>0</v>
      </c>
    </row>
    <row r="644" spans="1:47" s="196" customFormat="1" x14ac:dyDescent="0.2">
      <c r="A644" s="196" t="str">
        <f t="shared" si="14"/>
        <v>0496002595734</v>
      </c>
      <c r="B644" s="196">
        <v>1</v>
      </c>
      <c r="C644" s="196" t="s">
        <v>435</v>
      </c>
      <c r="D644" s="196">
        <v>81</v>
      </c>
      <c r="E644" s="196">
        <v>81</v>
      </c>
      <c r="F644" s="196" t="s">
        <v>243</v>
      </c>
      <c r="G644" s="196">
        <v>2086</v>
      </c>
      <c r="H644" s="196" t="s">
        <v>270</v>
      </c>
      <c r="I644" s="196">
        <v>83758</v>
      </c>
      <c r="J644" s="197">
        <v>42876</v>
      </c>
      <c r="K644" s="198">
        <v>0.14027777777777778</v>
      </c>
      <c r="L644" s="197">
        <v>42878</v>
      </c>
      <c r="M644" s="196" t="s">
        <v>271</v>
      </c>
      <c r="N644" s="196" t="s">
        <v>272</v>
      </c>
      <c r="O644" s="196" t="s">
        <v>273</v>
      </c>
      <c r="P644" s="196" t="s">
        <v>274</v>
      </c>
      <c r="Q644" s="196" t="s">
        <v>275</v>
      </c>
      <c r="R644" s="196" t="s">
        <v>276</v>
      </c>
      <c r="S644" s="196" t="s">
        <v>436</v>
      </c>
      <c r="T644" s="196" t="s">
        <v>435</v>
      </c>
      <c r="U644" s="196">
        <v>2086</v>
      </c>
      <c r="V644" s="196" t="s">
        <v>435</v>
      </c>
      <c r="W644" s="196" t="s">
        <v>280</v>
      </c>
      <c r="X644" s="196">
        <v>10.749000000000001</v>
      </c>
      <c r="Y644" s="199">
        <v>-0.21</v>
      </c>
      <c r="Z644" s="199">
        <v>2.4300000000000002</v>
      </c>
      <c r="AA644" s="199">
        <v>26.11</v>
      </c>
      <c r="AB644" s="199">
        <v>-1.97</v>
      </c>
      <c r="AC644" s="199">
        <v>0</v>
      </c>
      <c r="AD644" s="199">
        <v>0</v>
      </c>
      <c r="AE644" s="199">
        <v>23.93</v>
      </c>
      <c r="AF644" s="199">
        <v>-2.58</v>
      </c>
      <c r="AG644" s="196" t="s">
        <v>279</v>
      </c>
      <c r="AH644" s="199">
        <v>0</v>
      </c>
      <c r="AI644" s="196" t="s">
        <v>279</v>
      </c>
      <c r="AJ644" s="199">
        <v>0</v>
      </c>
      <c r="AK644" s="196" t="s">
        <v>279</v>
      </c>
      <c r="AL644" s="199">
        <v>0</v>
      </c>
      <c r="AM644" s="196" t="s">
        <v>279</v>
      </c>
      <c r="AN644" s="199">
        <v>0</v>
      </c>
      <c r="AO644" s="196" t="s">
        <v>279</v>
      </c>
      <c r="AP644" s="199">
        <v>0</v>
      </c>
      <c r="AQ644" s="199">
        <v>26.11</v>
      </c>
      <c r="AR644" s="199">
        <v>0</v>
      </c>
      <c r="AS644" s="196" t="str">
        <f t="shared" si="15"/>
        <v>1.00000000</v>
      </c>
      <c r="AT644" s="196" t="str">
        <f>"19.5"</f>
        <v>19.5</v>
      </c>
      <c r="AU644" s="199">
        <v>0</v>
      </c>
    </row>
    <row r="645" spans="1:47" s="196" customFormat="1" x14ac:dyDescent="0.2">
      <c r="A645" s="196" t="str">
        <f t="shared" si="14"/>
        <v>0496002595734</v>
      </c>
      <c r="B645" s="196">
        <v>1</v>
      </c>
      <c r="C645" s="196" t="s">
        <v>435</v>
      </c>
      <c r="D645" s="196">
        <v>81</v>
      </c>
      <c r="E645" s="196">
        <v>81</v>
      </c>
      <c r="F645" s="196" t="s">
        <v>243</v>
      </c>
      <c r="G645" s="196">
        <v>2086</v>
      </c>
      <c r="H645" s="196" t="s">
        <v>270</v>
      </c>
      <c r="I645" s="196">
        <v>84018</v>
      </c>
      <c r="J645" s="197">
        <v>42876</v>
      </c>
      <c r="K645" s="198">
        <v>0.65694444444444444</v>
      </c>
      <c r="L645" s="197">
        <v>42878</v>
      </c>
      <c r="M645" s="196" t="s">
        <v>271</v>
      </c>
      <c r="N645" s="196" t="s">
        <v>352</v>
      </c>
      <c r="O645" s="196" t="s">
        <v>353</v>
      </c>
      <c r="P645" s="196" t="s">
        <v>343</v>
      </c>
      <c r="Q645" s="196" t="s">
        <v>275</v>
      </c>
      <c r="R645" s="196">
        <v>1035</v>
      </c>
      <c r="S645" s="196" t="s">
        <v>436</v>
      </c>
      <c r="T645" s="196" t="s">
        <v>435</v>
      </c>
      <c r="U645" s="196">
        <v>2086</v>
      </c>
      <c r="V645" s="196" t="s">
        <v>435</v>
      </c>
      <c r="W645" s="196" t="s">
        <v>280</v>
      </c>
      <c r="X645" s="196">
        <v>13.851000000000001</v>
      </c>
      <c r="Y645" s="199">
        <v>-0.28000000000000003</v>
      </c>
      <c r="Z645" s="199">
        <v>2.4</v>
      </c>
      <c r="AA645" s="199">
        <v>33.229999999999997</v>
      </c>
      <c r="AB645" s="199">
        <v>-2.5299999999999998</v>
      </c>
      <c r="AC645" s="199">
        <v>0</v>
      </c>
      <c r="AD645" s="199">
        <v>0</v>
      </c>
      <c r="AE645" s="199">
        <v>30.42</v>
      </c>
      <c r="AF645" s="199">
        <v>-3.32</v>
      </c>
      <c r="AG645" s="196" t="s">
        <v>279</v>
      </c>
      <c r="AH645" s="199">
        <v>0</v>
      </c>
      <c r="AI645" s="196" t="s">
        <v>279</v>
      </c>
      <c r="AJ645" s="199">
        <v>0</v>
      </c>
      <c r="AK645" s="196" t="s">
        <v>279</v>
      </c>
      <c r="AL645" s="199">
        <v>0</v>
      </c>
      <c r="AM645" s="196" t="s">
        <v>279</v>
      </c>
      <c r="AN645" s="199">
        <v>0</v>
      </c>
      <c r="AO645" s="196" t="s">
        <v>279</v>
      </c>
      <c r="AP645" s="199">
        <v>0</v>
      </c>
      <c r="AQ645" s="199">
        <v>33.229999999999997</v>
      </c>
      <c r="AR645" s="199">
        <v>0</v>
      </c>
      <c r="AS645" s="196" t="str">
        <f t="shared" si="15"/>
        <v>1.00000000</v>
      </c>
      <c r="AT645" s="196" t="str">
        <f>"18.8"</f>
        <v>18.8</v>
      </c>
      <c r="AU645" s="199">
        <v>0</v>
      </c>
    </row>
    <row r="646" spans="1:47" s="196" customFormat="1" x14ac:dyDescent="0.2">
      <c r="A646" s="196" t="str">
        <f t="shared" si="14"/>
        <v>0496002595734</v>
      </c>
      <c r="B646" s="196">
        <v>1</v>
      </c>
      <c r="C646" s="196" t="s">
        <v>435</v>
      </c>
      <c r="D646" s="196">
        <v>81</v>
      </c>
      <c r="E646" s="196">
        <v>81</v>
      </c>
      <c r="F646" s="196" t="s">
        <v>243</v>
      </c>
      <c r="G646" s="196">
        <v>2086</v>
      </c>
      <c r="H646" s="196" t="s">
        <v>270</v>
      </c>
      <c r="I646" s="196">
        <v>315</v>
      </c>
      <c r="J646" s="197">
        <v>42878</v>
      </c>
      <c r="K646" s="198">
        <v>0.90709490740740739</v>
      </c>
      <c r="L646" s="197">
        <v>42880</v>
      </c>
      <c r="M646" s="196" t="s">
        <v>319</v>
      </c>
      <c r="N646" s="196" t="s">
        <v>320</v>
      </c>
      <c r="O646" s="196" t="s">
        <v>321</v>
      </c>
      <c r="P646" s="196" t="s">
        <v>283</v>
      </c>
      <c r="Q646" s="196" t="s">
        <v>275</v>
      </c>
      <c r="R646" s="196">
        <v>1373</v>
      </c>
      <c r="S646" s="196" t="s">
        <v>436</v>
      </c>
      <c r="T646" s="196" t="s">
        <v>435</v>
      </c>
      <c r="U646" s="196">
        <v>2086</v>
      </c>
      <c r="V646" s="196" t="s">
        <v>435</v>
      </c>
      <c r="W646" s="196" t="s">
        <v>280</v>
      </c>
      <c r="X646" s="196">
        <v>13.707000000000001</v>
      </c>
      <c r="Y646" s="199">
        <v>0</v>
      </c>
      <c r="Z646" s="199">
        <v>2.2999999999999998</v>
      </c>
      <c r="AA646" s="199">
        <v>31.51</v>
      </c>
      <c r="AB646" s="199">
        <v>-2.5099999999999998</v>
      </c>
      <c r="AC646" s="199">
        <v>0</v>
      </c>
      <c r="AD646" s="199">
        <v>0</v>
      </c>
      <c r="AE646" s="199">
        <v>29</v>
      </c>
      <c r="AF646" s="199">
        <v>-3.29</v>
      </c>
      <c r="AG646" s="196" t="s">
        <v>279</v>
      </c>
      <c r="AH646" s="199">
        <v>0</v>
      </c>
      <c r="AI646" s="196" t="s">
        <v>279</v>
      </c>
      <c r="AJ646" s="199">
        <v>0</v>
      </c>
      <c r="AK646" s="196" t="s">
        <v>279</v>
      </c>
      <c r="AL646" s="199">
        <v>0</v>
      </c>
      <c r="AM646" s="196" t="s">
        <v>279</v>
      </c>
      <c r="AN646" s="199">
        <v>0</v>
      </c>
      <c r="AO646" s="196" t="s">
        <v>279</v>
      </c>
      <c r="AP646" s="199">
        <v>0</v>
      </c>
      <c r="AQ646" s="199">
        <v>31.51</v>
      </c>
      <c r="AR646" s="199">
        <v>0</v>
      </c>
      <c r="AS646" s="196" t="str">
        <f t="shared" si="15"/>
        <v>1.00000000</v>
      </c>
      <c r="AT646" s="196" t="str">
        <f>"19.6"</f>
        <v>19.6</v>
      </c>
      <c r="AU646" s="199">
        <v>0</v>
      </c>
    </row>
    <row r="647" spans="1:47" s="196" customFormat="1" x14ac:dyDescent="0.2">
      <c r="A647" s="196" t="str">
        <f t="shared" si="14"/>
        <v>0496002595734</v>
      </c>
      <c r="B647" s="196">
        <v>1</v>
      </c>
      <c r="C647" s="196" t="s">
        <v>435</v>
      </c>
      <c r="D647" s="196">
        <v>81</v>
      </c>
      <c r="E647" s="196">
        <v>81</v>
      </c>
      <c r="F647" s="196" t="s">
        <v>243</v>
      </c>
      <c r="G647" s="196">
        <v>2086</v>
      </c>
      <c r="H647" s="196" t="s">
        <v>270</v>
      </c>
      <c r="I647" s="196">
        <v>431</v>
      </c>
      <c r="J647" s="197">
        <v>42882</v>
      </c>
      <c r="K647" s="198">
        <v>0.4375</v>
      </c>
      <c r="L647" s="197">
        <v>42885</v>
      </c>
      <c r="M647" s="196" t="s">
        <v>271</v>
      </c>
      <c r="N647" s="196" t="s">
        <v>272</v>
      </c>
      <c r="O647" s="196" t="s">
        <v>273</v>
      </c>
      <c r="P647" s="196" t="s">
        <v>274</v>
      </c>
      <c r="Q647" s="196" t="s">
        <v>275</v>
      </c>
      <c r="R647" s="196" t="s">
        <v>276</v>
      </c>
      <c r="S647" s="196" t="s">
        <v>436</v>
      </c>
      <c r="T647" s="196" t="s">
        <v>435</v>
      </c>
      <c r="U647" s="196">
        <v>2086</v>
      </c>
      <c r="V647" s="196" t="s">
        <v>435</v>
      </c>
      <c r="W647" s="196" t="s">
        <v>280</v>
      </c>
      <c r="X647" s="196">
        <v>5.125</v>
      </c>
      <c r="Y647" s="199">
        <v>-0.1</v>
      </c>
      <c r="Z647" s="199">
        <v>2.4300000000000002</v>
      </c>
      <c r="AA647" s="199">
        <v>12.45</v>
      </c>
      <c r="AB647" s="199">
        <v>-0.94</v>
      </c>
      <c r="AC647" s="199">
        <v>0</v>
      </c>
      <c r="AD647" s="199">
        <v>0</v>
      </c>
      <c r="AE647" s="199">
        <v>11.41</v>
      </c>
      <c r="AF647" s="199">
        <v>-1.23</v>
      </c>
      <c r="AG647" s="196" t="s">
        <v>279</v>
      </c>
      <c r="AH647" s="199">
        <v>0</v>
      </c>
      <c r="AI647" s="196" t="s">
        <v>279</v>
      </c>
      <c r="AJ647" s="199">
        <v>0</v>
      </c>
      <c r="AK647" s="196" t="s">
        <v>279</v>
      </c>
      <c r="AL647" s="199">
        <v>0</v>
      </c>
      <c r="AM647" s="196" t="s">
        <v>279</v>
      </c>
      <c r="AN647" s="199">
        <v>0</v>
      </c>
      <c r="AO647" s="196" t="s">
        <v>279</v>
      </c>
      <c r="AP647" s="199">
        <v>0</v>
      </c>
      <c r="AQ647" s="199">
        <v>12.45</v>
      </c>
      <c r="AR647" s="199">
        <v>0</v>
      </c>
      <c r="AS647" s="196" t="str">
        <f t="shared" si="15"/>
        <v>1.00000000</v>
      </c>
      <c r="AT647" s="196" t="str">
        <f>"22.6"</f>
        <v>22.6</v>
      </c>
      <c r="AU647" s="199">
        <v>0</v>
      </c>
    </row>
    <row r="648" spans="1:47" s="196" customFormat="1" x14ac:dyDescent="0.2">
      <c r="A648" s="196" t="str">
        <f t="shared" si="14"/>
        <v>0496002595734</v>
      </c>
      <c r="B648" s="196">
        <v>1</v>
      </c>
      <c r="C648" s="196" t="s">
        <v>435</v>
      </c>
      <c r="D648" s="196">
        <v>81</v>
      </c>
      <c r="E648" s="196">
        <v>81</v>
      </c>
      <c r="F648" s="196" t="s">
        <v>243</v>
      </c>
      <c r="G648" s="196">
        <v>2086</v>
      </c>
      <c r="H648" s="196" t="s">
        <v>270</v>
      </c>
      <c r="I648" s="196">
        <v>630</v>
      </c>
      <c r="J648" s="197">
        <v>42883</v>
      </c>
      <c r="K648" s="198">
        <v>0.45902777777777781</v>
      </c>
      <c r="L648" s="197">
        <v>42885</v>
      </c>
      <c r="M648" s="196" t="s">
        <v>271</v>
      </c>
      <c r="N648" s="196" t="s">
        <v>272</v>
      </c>
      <c r="O648" s="196" t="s">
        <v>273</v>
      </c>
      <c r="P648" s="196" t="s">
        <v>274</v>
      </c>
      <c r="Q648" s="196" t="s">
        <v>275</v>
      </c>
      <c r="R648" s="196" t="s">
        <v>276</v>
      </c>
      <c r="S648" s="196" t="s">
        <v>436</v>
      </c>
      <c r="T648" s="196" t="s">
        <v>435</v>
      </c>
      <c r="U648" s="196">
        <v>2086</v>
      </c>
      <c r="V648" s="196" t="s">
        <v>435</v>
      </c>
      <c r="W648" s="196" t="s">
        <v>280</v>
      </c>
      <c r="X648" s="196">
        <v>8.1470000000000002</v>
      </c>
      <c r="Y648" s="199">
        <v>-0.16</v>
      </c>
      <c r="Z648" s="199">
        <v>2.4300000000000002</v>
      </c>
      <c r="AA648" s="199">
        <v>19.79</v>
      </c>
      <c r="AB648" s="199">
        <v>-1.49</v>
      </c>
      <c r="AC648" s="199">
        <v>0</v>
      </c>
      <c r="AD648" s="199">
        <v>0</v>
      </c>
      <c r="AE648" s="199">
        <v>18.14</v>
      </c>
      <c r="AF648" s="199">
        <v>-1.96</v>
      </c>
      <c r="AG648" s="196" t="s">
        <v>279</v>
      </c>
      <c r="AH648" s="199">
        <v>0</v>
      </c>
      <c r="AI648" s="196" t="s">
        <v>279</v>
      </c>
      <c r="AJ648" s="199">
        <v>0</v>
      </c>
      <c r="AK648" s="196" t="s">
        <v>279</v>
      </c>
      <c r="AL648" s="199">
        <v>0</v>
      </c>
      <c r="AM648" s="196" t="s">
        <v>279</v>
      </c>
      <c r="AN648" s="199">
        <v>0</v>
      </c>
      <c r="AO648" s="196" t="s">
        <v>279</v>
      </c>
      <c r="AP648" s="199">
        <v>0</v>
      </c>
      <c r="AQ648" s="199">
        <v>19.79</v>
      </c>
      <c r="AR648" s="199">
        <v>0</v>
      </c>
      <c r="AS648" s="196" t="str">
        <f t="shared" si="15"/>
        <v>1.00000000</v>
      </c>
      <c r="AT648" s="196" t="str">
        <f>"24.4"</f>
        <v>24.4</v>
      </c>
      <c r="AU648" s="199">
        <v>0</v>
      </c>
    </row>
    <row r="649" spans="1:47" s="196" customFormat="1" x14ac:dyDescent="0.2">
      <c r="A649" s="196" t="str">
        <f t="shared" si="14"/>
        <v>0496002595734</v>
      </c>
      <c r="B649" s="196">
        <v>1</v>
      </c>
      <c r="C649" s="196" t="s">
        <v>435</v>
      </c>
      <c r="D649" s="196">
        <v>81</v>
      </c>
      <c r="E649" s="196">
        <v>81</v>
      </c>
      <c r="F649" s="196" t="s">
        <v>243</v>
      </c>
      <c r="G649" s="196">
        <v>2086</v>
      </c>
      <c r="H649" s="196" t="s">
        <v>270</v>
      </c>
      <c r="I649" s="196">
        <v>769</v>
      </c>
      <c r="J649" s="197">
        <v>42884</v>
      </c>
      <c r="K649" s="198">
        <v>0.39166666666666666</v>
      </c>
      <c r="L649" s="197">
        <v>42886</v>
      </c>
      <c r="M649" s="196" t="s">
        <v>294</v>
      </c>
      <c r="N649" s="196" t="s">
        <v>379</v>
      </c>
      <c r="O649" s="196" t="s">
        <v>433</v>
      </c>
      <c r="P649" s="196" t="s">
        <v>434</v>
      </c>
      <c r="Q649" s="196" t="s">
        <v>275</v>
      </c>
      <c r="R649" s="196">
        <v>1009</v>
      </c>
      <c r="S649" s="196" t="s">
        <v>436</v>
      </c>
      <c r="T649" s="196" t="s">
        <v>435</v>
      </c>
      <c r="U649" s="196">
        <v>2086</v>
      </c>
      <c r="V649" s="196" t="s">
        <v>435</v>
      </c>
      <c r="W649" s="196" t="s">
        <v>280</v>
      </c>
      <c r="X649" s="196">
        <v>8.33</v>
      </c>
      <c r="Y649" s="199">
        <v>0</v>
      </c>
      <c r="Z649" s="199">
        <v>2.4</v>
      </c>
      <c r="AA649" s="199">
        <v>20</v>
      </c>
      <c r="AB649" s="199">
        <v>-1.52</v>
      </c>
      <c r="AC649" s="199">
        <v>0</v>
      </c>
      <c r="AD649" s="199">
        <v>0</v>
      </c>
      <c r="AE649" s="199">
        <v>18.48</v>
      </c>
      <c r="AF649" s="199">
        <v>-2</v>
      </c>
      <c r="AG649" s="196" t="s">
        <v>279</v>
      </c>
      <c r="AH649" s="199">
        <v>0</v>
      </c>
      <c r="AI649" s="196" t="s">
        <v>279</v>
      </c>
      <c r="AJ649" s="199">
        <v>0</v>
      </c>
      <c r="AK649" s="196" t="s">
        <v>279</v>
      </c>
      <c r="AL649" s="199">
        <v>0</v>
      </c>
      <c r="AM649" s="196" t="s">
        <v>279</v>
      </c>
      <c r="AN649" s="199">
        <v>0</v>
      </c>
      <c r="AO649" s="196" t="s">
        <v>279</v>
      </c>
      <c r="AP649" s="199">
        <v>0</v>
      </c>
      <c r="AQ649" s="199">
        <v>20</v>
      </c>
      <c r="AR649" s="199">
        <v>0</v>
      </c>
      <c r="AS649" s="196" t="str">
        <f t="shared" si="15"/>
        <v>1.00000000</v>
      </c>
      <c r="AT649" s="196" t="str">
        <f>"16.7"</f>
        <v>16.7</v>
      </c>
      <c r="AU649" s="199">
        <v>0</v>
      </c>
    </row>
    <row r="650" spans="1:47" s="196" customFormat="1" x14ac:dyDescent="0.2">
      <c r="A650" s="196" t="str">
        <f t="shared" si="14"/>
        <v>0496002595734</v>
      </c>
      <c r="B650" s="196">
        <v>1</v>
      </c>
      <c r="C650" s="196" t="s">
        <v>435</v>
      </c>
      <c r="D650" s="196">
        <v>81</v>
      </c>
      <c r="E650" s="196">
        <v>81</v>
      </c>
      <c r="F650" s="196" t="s">
        <v>243</v>
      </c>
      <c r="G650" s="196">
        <v>2086</v>
      </c>
      <c r="H650" s="196" t="s">
        <v>270</v>
      </c>
      <c r="I650" s="196">
        <v>1049</v>
      </c>
      <c r="J650" s="197">
        <v>42885</v>
      </c>
      <c r="K650" s="198">
        <v>0.69513888888888886</v>
      </c>
      <c r="L650" s="197">
        <v>42887</v>
      </c>
      <c r="M650" s="196" t="s">
        <v>302</v>
      </c>
      <c r="N650" s="196" t="s">
        <v>467</v>
      </c>
      <c r="O650" s="196" t="s">
        <v>468</v>
      </c>
      <c r="P650" s="196" t="s">
        <v>469</v>
      </c>
      <c r="Q650" s="196" t="s">
        <v>309</v>
      </c>
      <c r="R650" s="196">
        <v>6473</v>
      </c>
      <c r="S650" s="196" t="s">
        <v>436</v>
      </c>
      <c r="T650" s="196" t="s">
        <v>435</v>
      </c>
      <c r="U650" s="196">
        <v>2086</v>
      </c>
      <c r="V650" s="196" t="s">
        <v>435</v>
      </c>
      <c r="W650" s="196" t="s">
        <v>280</v>
      </c>
      <c r="X650" s="196">
        <v>13.766</v>
      </c>
      <c r="Y650" s="199">
        <v>0</v>
      </c>
      <c r="Z650" s="199">
        <v>2.6</v>
      </c>
      <c r="AA650" s="199">
        <v>35.78</v>
      </c>
      <c r="AB650" s="199">
        <v>-2.52</v>
      </c>
      <c r="AC650" s="199">
        <v>0</v>
      </c>
      <c r="AD650" s="199">
        <v>0</v>
      </c>
      <c r="AE650" s="199">
        <v>33.26</v>
      </c>
      <c r="AF650" s="199">
        <v>-3.44</v>
      </c>
      <c r="AG650" s="196" t="s">
        <v>279</v>
      </c>
      <c r="AH650" s="199">
        <v>0</v>
      </c>
      <c r="AI650" s="196" t="s">
        <v>279</v>
      </c>
      <c r="AJ650" s="199">
        <v>0</v>
      </c>
      <c r="AK650" s="196" t="s">
        <v>279</v>
      </c>
      <c r="AL650" s="199">
        <v>0</v>
      </c>
      <c r="AM650" s="196" t="s">
        <v>279</v>
      </c>
      <c r="AN650" s="199">
        <v>0</v>
      </c>
      <c r="AO650" s="196" t="s">
        <v>279</v>
      </c>
      <c r="AP650" s="199">
        <v>0</v>
      </c>
      <c r="AQ650" s="199">
        <v>35.78</v>
      </c>
      <c r="AR650" s="199">
        <v>0</v>
      </c>
      <c r="AS650" s="196" t="str">
        <f t="shared" si="15"/>
        <v>1.00000000</v>
      </c>
      <c r="AT650" s="196" t="str">
        <f>"20.3"</f>
        <v>20.3</v>
      </c>
      <c r="AU650" s="199">
        <v>0</v>
      </c>
    </row>
    <row r="651" spans="1:47" s="196" customFormat="1" x14ac:dyDescent="0.2">
      <c r="A651" s="196" t="str">
        <f t="shared" si="14"/>
        <v>0496002595734</v>
      </c>
      <c r="B651" s="196">
        <v>1</v>
      </c>
      <c r="C651" s="196" t="s">
        <v>435</v>
      </c>
      <c r="D651" s="196">
        <v>81</v>
      </c>
      <c r="E651" s="196">
        <v>81</v>
      </c>
      <c r="F651" s="196" t="s">
        <v>243</v>
      </c>
      <c r="G651" s="196">
        <v>2086</v>
      </c>
      <c r="H651" s="196" t="s">
        <v>270</v>
      </c>
      <c r="I651" s="196">
        <v>1299</v>
      </c>
      <c r="J651" s="197">
        <v>42886</v>
      </c>
      <c r="K651" s="198">
        <v>0.22232638888888889</v>
      </c>
      <c r="L651" s="197">
        <v>42888</v>
      </c>
      <c r="M651" s="196" t="s">
        <v>396</v>
      </c>
      <c r="N651" s="196" t="s">
        <v>397</v>
      </c>
      <c r="O651" s="196" t="s">
        <v>398</v>
      </c>
      <c r="P651" s="196" t="s">
        <v>343</v>
      </c>
      <c r="Q651" s="196" t="s">
        <v>275</v>
      </c>
      <c r="R651" s="196">
        <v>1035</v>
      </c>
      <c r="S651" s="196" t="s">
        <v>436</v>
      </c>
      <c r="T651" s="196" t="s">
        <v>435</v>
      </c>
      <c r="U651" s="196">
        <v>2086</v>
      </c>
      <c r="V651" s="196" t="s">
        <v>435</v>
      </c>
      <c r="W651" s="196" t="s">
        <v>470</v>
      </c>
      <c r="X651" s="196">
        <v>1</v>
      </c>
      <c r="Y651" s="199">
        <v>0</v>
      </c>
      <c r="Z651" s="199">
        <v>0.99</v>
      </c>
      <c r="AA651" s="199">
        <v>0.99</v>
      </c>
      <c r="AB651" s="199">
        <v>0</v>
      </c>
      <c r="AC651" s="199">
        <v>0</v>
      </c>
      <c r="AD651" s="199">
        <v>0</v>
      </c>
      <c r="AE651" s="199">
        <v>0.99</v>
      </c>
      <c r="AF651" s="199">
        <v>0</v>
      </c>
      <c r="AG651" s="196" t="s">
        <v>279</v>
      </c>
      <c r="AH651" s="199">
        <v>0</v>
      </c>
      <c r="AI651" s="196" t="s">
        <v>279</v>
      </c>
      <c r="AJ651" s="199">
        <v>0</v>
      </c>
      <c r="AK651" s="196" t="s">
        <v>279</v>
      </c>
      <c r="AL651" s="199">
        <v>0</v>
      </c>
      <c r="AM651" s="196" t="s">
        <v>279</v>
      </c>
      <c r="AN651" s="199">
        <v>0</v>
      </c>
      <c r="AO651" s="196" t="s">
        <v>279</v>
      </c>
      <c r="AP651" s="199">
        <v>0</v>
      </c>
      <c r="AQ651" s="199">
        <v>0</v>
      </c>
      <c r="AR651" s="199">
        <v>0.99</v>
      </c>
      <c r="AS651" s="196" t="str">
        <f t="shared" si="15"/>
        <v>1.00000000</v>
      </c>
      <c r="AT651" s="196" t="str">
        <f>"0.0"</f>
        <v>0.0</v>
      </c>
      <c r="AU651" s="199">
        <v>0</v>
      </c>
    </row>
    <row r="652" spans="1:47" s="196" customFormat="1" x14ac:dyDescent="0.2">
      <c r="A652" s="196" t="str">
        <f t="shared" si="14"/>
        <v>0496002595734</v>
      </c>
      <c r="B652" s="196">
        <v>1</v>
      </c>
      <c r="C652" s="196" t="s">
        <v>435</v>
      </c>
      <c r="D652" s="196">
        <v>81</v>
      </c>
      <c r="E652" s="196">
        <v>81</v>
      </c>
      <c r="F652" s="196" t="s">
        <v>243</v>
      </c>
      <c r="G652" s="196">
        <v>2086</v>
      </c>
      <c r="H652" s="196" t="s">
        <v>270</v>
      </c>
      <c r="I652" s="196">
        <v>1299</v>
      </c>
      <c r="J652" s="197">
        <v>42886</v>
      </c>
      <c r="K652" s="198">
        <v>0.22232638888888889</v>
      </c>
      <c r="L652" s="197">
        <v>42888</v>
      </c>
      <c r="M652" s="196" t="s">
        <v>396</v>
      </c>
      <c r="N652" s="196" t="s">
        <v>397</v>
      </c>
      <c r="O652" s="196" t="s">
        <v>398</v>
      </c>
      <c r="P652" s="196" t="s">
        <v>343</v>
      </c>
      <c r="Q652" s="196" t="s">
        <v>275</v>
      </c>
      <c r="R652" s="196">
        <v>1035</v>
      </c>
      <c r="S652" s="196" t="s">
        <v>436</v>
      </c>
      <c r="T652" s="196" t="s">
        <v>435</v>
      </c>
      <c r="U652" s="196">
        <v>2086</v>
      </c>
      <c r="V652" s="196" t="s">
        <v>435</v>
      </c>
      <c r="W652" s="196" t="s">
        <v>280</v>
      </c>
      <c r="X652" s="196">
        <v>8.3369999999999997</v>
      </c>
      <c r="Y652" s="199">
        <v>0</v>
      </c>
      <c r="Z652" s="199">
        <v>2.4</v>
      </c>
      <c r="AA652" s="199">
        <v>20</v>
      </c>
      <c r="AB652" s="199">
        <v>-1.53</v>
      </c>
      <c r="AC652" s="199">
        <v>0</v>
      </c>
      <c r="AD652" s="199">
        <v>0</v>
      </c>
      <c r="AE652" s="199">
        <v>18.47</v>
      </c>
      <c r="AF652" s="199">
        <v>-2</v>
      </c>
      <c r="AG652" s="196" t="s">
        <v>279</v>
      </c>
      <c r="AH652" s="199">
        <v>0</v>
      </c>
      <c r="AI652" s="196" t="s">
        <v>279</v>
      </c>
      <c r="AJ652" s="199">
        <v>0</v>
      </c>
      <c r="AK652" s="196" t="s">
        <v>279</v>
      </c>
      <c r="AL652" s="199">
        <v>0</v>
      </c>
      <c r="AM652" s="196" t="s">
        <v>279</v>
      </c>
      <c r="AN652" s="199">
        <v>0</v>
      </c>
      <c r="AO652" s="196" t="s">
        <v>279</v>
      </c>
      <c r="AP652" s="199">
        <v>0</v>
      </c>
      <c r="AQ652" s="199">
        <v>20</v>
      </c>
      <c r="AR652" s="199">
        <v>0</v>
      </c>
      <c r="AS652" s="196" t="str">
        <f t="shared" si="15"/>
        <v>1.00000000</v>
      </c>
      <c r="AT652" s="196" t="str">
        <f>"19.6"</f>
        <v>19.6</v>
      </c>
      <c r="AU652" s="199">
        <v>0</v>
      </c>
    </row>
    <row r="653" spans="1:47" s="196" customFormat="1" x14ac:dyDescent="0.2">
      <c r="A653" s="196" t="str">
        <f t="shared" si="14"/>
        <v>0496002595734</v>
      </c>
      <c r="B653" s="196">
        <v>1</v>
      </c>
      <c r="C653" s="196" t="s">
        <v>435</v>
      </c>
      <c r="D653" s="196">
        <v>81</v>
      </c>
      <c r="E653" s="196">
        <v>81</v>
      </c>
      <c r="F653" s="196" t="s">
        <v>243</v>
      </c>
      <c r="G653" s="196">
        <v>2086</v>
      </c>
      <c r="H653" s="196" t="s">
        <v>270</v>
      </c>
      <c r="I653" s="196">
        <v>1453</v>
      </c>
      <c r="J653" s="197">
        <v>42887</v>
      </c>
      <c r="K653" s="198">
        <v>0.74583333333333324</v>
      </c>
      <c r="L653" s="197">
        <v>42891</v>
      </c>
      <c r="M653" s="196" t="s">
        <v>271</v>
      </c>
      <c r="N653" s="196" t="s">
        <v>272</v>
      </c>
      <c r="O653" s="196" t="s">
        <v>273</v>
      </c>
      <c r="P653" s="196" t="s">
        <v>274</v>
      </c>
      <c r="Q653" s="196" t="s">
        <v>275</v>
      </c>
      <c r="R653" s="196" t="s">
        <v>276</v>
      </c>
      <c r="S653" s="196" t="s">
        <v>436</v>
      </c>
      <c r="T653" s="196" t="s">
        <v>435</v>
      </c>
      <c r="U653" s="196">
        <v>2086</v>
      </c>
      <c r="V653" s="196" t="s">
        <v>435</v>
      </c>
      <c r="W653" s="196" t="s">
        <v>280</v>
      </c>
      <c r="X653" s="196">
        <v>4.9409999999999998</v>
      </c>
      <c r="Y653" s="199">
        <v>-0.1</v>
      </c>
      <c r="Z653" s="199">
        <v>2.4</v>
      </c>
      <c r="AA653" s="199">
        <v>11.85</v>
      </c>
      <c r="AB653" s="199">
        <v>-0.9</v>
      </c>
      <c r="AC653" s="199">
        <v>0</v>
      </c>
      <c r="AD653" s="199">
        <v>0</v>
      </c>
      <c r="AE653" s="199">
        <v>10.85</v>
      </c>
      <c r="AF653" s="199">
        <v>-1.19</v>
      </c>
      <c r="AG653" s="196" t="s">
        <v>279</v>
      </c>
      <c r="AH653" s="199">
        <v>0</v>
      </c>
      <c r="AI653" s="196" t="s">
        <v>279</v>
      </c>
      <c r="AJ653" s="199">
        <v>0</v>
      </c>
      <c r="AK653" s="196" t="s">
        <v>279</v>
      </c>
      <c r="AL653" s="199">
        <v>0</v>
      </c>
      <c r="AM653" s="196" t="s">
        <v>279</v>
      </c>
      <c r="AN653" s="199">
        <v>0</v>
      </c>
      <c r="AO653" s="196" t="s">
        <v>279</v>
      </c>
      <c r="AP653" s="199">
        <v>0</v>
      </c>
      <c r="AQ653" s="199">
        <v>11.85</v>
      </c>
      <c r="AR653" s="199">
        <v>0</v>
      </c>
      <c r="AS653" s="196" t="str">
        <f t="shared" si="15"/>
        <v>1.00000000</v>
      </c>
      <c r="AT653" s="196" t="str">
        <f>"19.4"</f>
        <v>19.4</v>
      </c>
      <c r="AU653" s="199">
        <v>0</v>
      </c>
    </row>
    <row r="654" spans="1:47" s="196" customFormat="1" x14ac:dyDescent="0.2">
      <c r="A654" s="196" t="str">
        <f t="shared" si="14"/>
        <v>0496002595734</v>
      </c>
      <c r="B654" s="196">
        <v>1</v>
      </c>
      <c r="C654" s="196" t="s">
        <v>435</v>
      </c>
      <c r="D654" s="196">
        <v>81</v>
      </c>
      <c r="E654" s="196">
        <v>81</v>
      </c>
      <c r="F654" s="196" t="s">
        <v>243</v>
      </c>
      <c r="G654" s="196">
        <v>2086</v>
      </c>
      <c r="H654" s="196" t="s">
        <v>270</v>
      </c>
      <c r="I654" s="196">
        <v>1538</v>
      </c>
      <c r="J654" s="197">
        <v>42889</v>
      </c>
      <c r="K654" s="198">
        <v>0.93541666666666667</v>
      </c>
      <c r="L654" s="197">
        <v>42892</v>
      </c>
      <c r="M654" s="196" t="s">
        <v>271</v>
      </c>
      <c r="N654" s="196" t="s">
        <v>272</v>
      </c>
      <c r="O654" s="196" t="s">
        <v>273</v>
      </c>
      <c r="P654" s="196" t="s">
        <v>274</v>
      </c>
      <c r="Q654" s="196" t="s">
        <v>275</v>
      </c>
      <c r="R654" s="196" t="s">
        <v>276</v>
      </c>
      <c r="S654" s="196" t="s">
        <v>436</v>
      </c>
      <c r="T654" s="196" t="s">
        <v>435</v>
      </c>
      <c r="U654" s="196">
        <v>2086</v>
      </c>
      <c r="V654" s="196" t="s">
        <v>435</v>
      </c>
      <c r="W654" s="196" t="s">
        <v>280</v>
      </c>
      <c r="X654" s="196">
        <v>10.173</v>
      </c>
      <c r="Y654" s="199">
        <v>-0.2</v>
      </c>
      <c r="Z654" s="199">
        <v>2.37</v>
      </c>
      <c r="AA654" s="199">
        <v>24.1</v>
      </c>
      <c r="AB654" s="199">
        <v>-1.86</v>
      </c>
      <c r="AC654" s="199">
        <v>0</v>
      </c>
      <c r="AD654" s="199">
        <v>0</v>
      </c>
      <c r="AE654" s="199">
        <v>22.04</v>
      </c>
      <c r="AF654" s="199">
        <v>-2.44</v>
      </c>
      <c r="AG654" s="196" t="s">
        <v>279</v>
      </c>
      <c r="AH654" s="199">
        <v>0</v>
      </c>
      <c r="AI654" s="196" t="s">
        <v>279</v>
      </c>
      <c r="AJ654" s="199">
        <v>0</v>
      </c>
      <c r="AK654" s="196" t="s">
        <v>279</v>
      </c>
      <c r="AL654" s="199">
        <v>0</v>
      </c>
      <c r="AM654" s="196" t="s">
        <v>279</v>
      </c>
      <c r="AN654" s="199">
        <v>0</v>
      </c>
      <c r="AO654" s="196" t="s">
        <v>279</v>
      </c>
      <c r="AP654" s="199">
        <v>0</v>
      </c>
      <c r="AQ654" s="199">
        <v>24.1</v>
      </c>
      <c r="AR654" s="199">
        <v>0</v>
      </c>
      <c r="AS654" s="196" t="str">
        <f t="shared" si="15"/>
        <v>1.00000000</v>
      </c>
      <c r="AT654" s="196" t="str">
        <f>"31.2"</f>
        <v>31.2</v>
      </c>
      <c r="AU654" s="199">
        <v>0</v>
      </c>
    </row>
    <row r="655" spans="1:47" s="196" customFormat="1" x14ac:dyDescent="0.2">
      <c r="A655" s="196" t="str">
        <f t="shared" ref="A655:A718" si="16">"0496002595734"</f>
        <v>0496002595734</v>
      </c>
      <c r="B655" s="196">
        <v>1</v>
      </c>
      <c r="C655" s="196" t="s">
        <v>435</v>
      </c>
      <c r="D655" s="196">
        <v>81</v>
      </c>
      <c r="E655" s="196">
        <v>81</v>
      </c>
      <c r="F655" s="196" t="s">
        <v>243</v>
      </c>
      <c r="G655" s="196">
        <v>2086</v>
      </c>
      <c r="H655" s="196" t="s">
        <v>270</v>
      </c>
      <c r="I655" s="196">
        <v>1707</v>
      </c>
      <c r="J655" s="197">
        <v>42891</v>
      </c>
      <c r="K655" s="198">
        <v>0.65069444444444446</v>
      </c>
      <c r="L655" s="197">
        <v>42893</v>
      </c>
      <c r="M655" s="196" t="s">
        <v>271</v>
      </c>
      <c r="N655" s="196" t="s">
        <v>272</v>
      </c>
      <c r="O655" s="196" t="s">
        <v>273</v>
      </c>
      <c r="P655" s="196" t="s">
        <v>274</v>
      </c>
      <c r="Q655" s="196" t="s">
        <v>275</v>
      </c>
      <c r="R655" s="196" t="s">
        <v>276</v>
      </c>
      <c r="S655" s="196" t="s">
        <v>436</v>
      </c>
      <c r="T655" s="196" t="s">
        <v>435</v>
      </c>
      <c r="U655" s="196">
        <v>2086</v>
      </c>
      <c r="V655" s="196" t="s">
        <v>435</v>
      </c>
      <c r="W655" s="196" t="s">
        <v>280</v>
      </c>
      <c r="X655" s="196">
        <v>9.2720000000000002</v>
      </c>
      <c r="Y655" s="199">
        <v>-0.19</v>
      </c>
      <c r="Z655" s="199">
        <v>2.34</v>
      </c>
      <c r="AA655" s="199">
        <v>21.68</v>
      </c>
      <c r="AB655" s="199">
        <v>-1.7</v>
      </c>
      <c r="AC655" s="199">
        <v>0</v>
      </c>
      <c r="AD655" s="199">
        <v>0</v>
      </c>
      <c r="AE655" s="199">
        <v>19.79</v>
      </c>
      <c r="AF655" s="199">
        <v>-2.23</v>
      </c>
      <c r="AG655" s="196" t="s">
        <v>279</v>
      </c>
      <c r="AH655" s="199">
        <v>0</v>
      </c>
      <c r="AI655" s="196" t="s">
        <v>279</v>
      </c>
      <c r="AJ655" s="199">
        <v>0</v>
      </c>
      <c r="AK655" s="196" t="s">
        <v>279</v>
      </c>
      <c r="AL655" s="199">
        <v>0</v>
      </c>
      <c r="AM655" s="196" t="s">
        <v>279</v>
      </c>
      <c r="AN655" s="199">
        <v>0</v>
      </c>
      <c r="AO655" s="196" t="s">
        <v>279</v>
      </c>
      <c r="AP655" s="199">
        <v>0</v>
      </c>
      <c r="AQ655" s="199">
        <v>21.68</v>
      </c>
      <c r="AR655" s="199">
        <v>0</v>
      </c>
      <c r="AS655" s="196" t="str">
        <f t="shared" si="15"/>
        <v>1.00000000</v>
      </c>
      <c r="AT655" s="196" t="str">
        <f>"31.2"</f>
        <v>31.2</v>
      </c>
      <c r="AU655" s="199">
        <v>0</v>
      </c>
    </row>
    <row r="656" spans="1:47" s="196" customFormat="1" x14ac:dyDescent="0.2">
      <c r="A656" s="196" t="str">
        <f t="shared" si="16"/>
        <v>0496002595734</v>
      </c>
      <c r="B656" s="196">
        <v>1</v>
      </c>
      <c r="C656" s="196" t="s">
        <v>435</v>
      </c>
      <c r="D656" s="196">
        <v>81</v>
      </c>
      <c r="E656" s="196">
        <v>81</v>
      </c>
      <c r="F656" s="196" t="s">
        <v>243</v>
      </c>
      <c r="G656" s="196">
        <v>2086</v>
      </c>
      <c r="H656" s="196" t="s">
        <v>270</v>
      </c>
      <c r="I656" s="196">
        <v>1982</v>
      </c>
      <c r="J656" s="197">
        <v>42895</v>
      </c>
      <c r="K656" s="198">
        <v>0.44375000000000003</v>
      </c>
      <c r="L656" s="197">
        <v>42899</v>
      </c>
      <c r="M656" s="196" t="s">
        <v>271</v>
      </c>
      <c r="N656" s="196" t="s">
        <v>272</v>
      </c>
      <c r="O656" s="196" t="s">
        <v>273</v>
      </c>
      <c r="P656" s="196" t="s">
        <v>274</v>
      </c>
      <c r="Q656" s="196" t="s">
        <v>275</v>
      </c>
      <c r="R656" s="196" t="s">
        <v>276</v>
      </c>
      <c r="S656" s="196" t="s">
        <v>436</v>
      </c>
      <c r="T656" s="196" t="s">
        <v>435</v>
      </c>
      <c r="U656" s="196">
        <v>2086</v>
      </c>
      <c r="V656" s="196" t="s">
        <v>435</v>
      </c>
      <c r="W656" s="196" t="s">
        <v>280</v>
      </c>
      <c r="X656" s="196">
        <v>8.5050000000000008</v>
      </c>
      <c r="Y656" s="199">
        <v>-0.17</v>
      </c>
      <c r="Z656" s="199">
        <v>2.31</v>
      </c>
      <c r="AA656" s="199">
        <v>19.64</v>
      </c>
      <c r="AB656" s="199">
        <v>-1.56</v>
      </c>
      <c r="AC656" s="199">
        <v>0</v>
      </c>
      <c r="AD656" s="199">
        <v>0</v>
      </c>
      <c r="AE656" s="199">
        <v>17.91</v>
      </c>
      <c r="AF656" s="199">
        <v>-2.04</v>
      </c>
      <c r="AG656" s="196" t="s">
        <v>279</v>
      </c>
      <c r="AH656" s="199">
        <v>0</v>
      </c>
      <c r="AI656" s="196" t="s">
        <v>279</v>
      </c>
      <c r="AJ656" s="199">
        <v>0</v>
      </c>
      <c r="AK656" s="196" t="s">
        <v>279</v>
      </c>
      <c r="AL656" s="199">
        <v>0</v>
      </c>
      <c r="AM656" s="196" t="s">
        <v>279</v>
      </c>
      <c r="AN656" s="199">
        <v>0</v>
      </c>
      <c r="AO656" s="196" t="s">
        <v>279</v>
      </c>
      <c r="AP656" s="199">
        <v>0</v>
      </c>
      <c r="AQ656" s="199">
        <v>19.64</v>
      </c>
      <c r="AR656" s="199">
        <v>0</v>
      </c>
      <c r="AS656" s="196" t="str">
        <f t="shared" si="15"/>
        <v>1.00000000</v>
      </c>
      <c r="AT656" s="196" t="str">
        <f>"18.2"</f>
        <v>18.2</v>
      </c>
      <c r="AU656" s="199">
        <v>0</v>
      </c>
    </row>
    <row r="657" spans="1:47" s="196" customFormat="1" x14ac:dyDescent="0.2">
      <c r="A657" s="196" t="str">
        <f t="shared" si="16"/>
        <v>0496002595734</v>
      </c>
      <c r="B657" s="196">
        <v>1</v>
      </c>
      <c r="C657" s="196" t="s">
        <v>435</v>
      </c>
      <c r="D657" s="196">
        <v>81</v>
      </c>
      <c r="E657" s="196">
        <v>81</v>
      </c>
      <c r="F657" s="196" t="s">
        <v>243</v>
      </c>
      <c r="G657" s="196">
        <v>2086</v>
      </c>
      <c r="H657" s="196" t="s">
        <v>270</v>
      </c>
      <c r="I657" s="196">
        <v>2086</v>
      </c>
      <c r="J657" s="197">
        <v>42896</v>
      </c>
      <c r="K657" s="198">
        <v>0.41666666666666669</v>
      </c>
      <c r="L657" s="197">
        <v>42899</v>
      </c>
      <c r="M657" s="196" t="s">
        <v>294</v>
      </c>
      <c r="N657" s="196" t="s">
        <v>379</v>
      </c>
      <c r="O657" s="196" t="s">
        <v>471</v>
      </c>
      <c r="P657" s="196" t="s">
        <v>389</v>
      </c>
      <c r="Q657" s="196" t="s">
        <v>275</v>
      </c>
      <c r="R657" s="196">
        <v>1364</v>
      </c>
      <c r="S657" s="196" t="s">
        <v>436</v>
      </c>
      <c r="T657" s="196" t="s">
        <v>435</v>
      </c>
      <c r="U657" s="196">
        <v>2086</v>
      </c>
      <c r="V657" s="196" t="s">
        <v>435</v>
      </c>
      <c r="W657" s="196" t="s">
        <v>280</v>
      </c>
      <c r="X657" s="196">
        <v>9.59</v>
      </c>
      <c r="Y657" s="199">
        <v>0</v>
      </c>
      <c r="Z657" s="199">
        <v>2.46</v>
      </c>
      <c r="AA657" s="199">
        <v>23.59</v>
      </c>
      <c r="AB657" s="199">
        <v>-1.75</v>
      </c>
      <c r="AC657" s="199">
        <v>0</v>
      </c>
      <c r="AD657" s="199">
        <v>0</v>
      </c>
      <c r="AE657" s="199">
        <v>21.84</v>
      </c>
      <c r="AF657" s="199">
        <v>-2.2999999999999998</v>
      </c>
      <c r="AG657" s="196" t="s">
        <v>279</v>
      </c>
      <c r="AH657" s="199">
        <v>0</v>
      </c>
      <c r="AI657" s="196" t="s">
        <v>279</v>
      </c>
      <c r="AJ657" s="199">
        <v>0</v>
      </c>
      <c r="AK657" s="196" t="s">
        <v>279</v>
      </c>
      <c r="AL657" s="199">
        <v>0</v>
      </c>
      <c r="AM657" s="196" t="s">
        <v>279</v>
      </c>
      <c r="AN657" s="199">
        <v>0</v>
      </c>
      <c r="AO657" s="196" t="s">
        <v>279</v>
      </c>
      <c r="AP657" s="199">
        <v>0</v>
      </c>
      <c r="AQ657" s="199">
        <v>23.59</v>
      </c>
      <c r="AR657" s="199">
        <v>0</v>
      </c>
      <c r="AS657" s="196" t="str">
        <f t="shared" si="15"/>
        <v>1.00000000</v>
      </c>
      <c r="AT657" s="196" t="str">
        <f>"18.2"</f>
        <v>18.2</v>
      </c>
      <c r="AU657" s="199">
        <v>0</v>
      </c>
    </row>
    <row r="658" spans="1:47" s="196" customFormat="1" x14ac:dyDescent="0.2">
      <c r="A658" s="196" t="str">
        <f t="shared" si="16"/>
        <v>0496002595734</v>
      </c>
      <c r="B658" s="196">
        <v>1</v>
      </c>
      <c r="C658" s="196" t="s">
        <v>435</v>
      </c>
      <c r="D658" s="196">
        <v>81</v>
      </c>
      <c r="E658" s="196">
        <v>81</v>
      </c>
      <c r="F658" s="196" t="s">
        <v>243</v>
      </c>
      <c r="G658" s="196">
        <v>2086</v>
      </c>
      <c r="H658" s="196" t="s">
        <v>270</v>
      </c>
      <c r="I658" s="196">
        <v>2278</v>
      </c>
      <c r="J658" s="197">
        <v>42897</v>
      </c>
      <c r="K658" s="198">
        <v>0.43055555555555558</v>
      </c>
      <c r="L658" s="197">
        <v>42900</v>
      </c>
      <c r="M658" s="196" t="s">
        <v>325</v>
      </c>
      <c r="N658" s="196" t="s">
        <v>326</v>
      </c>
      <c r="O658" s="196" t="s">
        <v>388</v>
      </c>
      <c r="P658" s="196" t="s">
        <v>389</v>
      </c>
      <c r="Q658" s="196" t="s">
        <v>275</v>
      </c>
      <c r="R658" s="196">
        <v>1364</v>
      </c>
      <c r="S658" s="196" t="s">
        <v>436</v>
      </c>
      <c r="T658" s="196" t="s">
        <v>435</v>
      </c>
      <c r="U658" s="196">
        <v>2086</v>
      </c>
      <c r="V658" s="196" t="s">
        <v>435</v>
      </c>
      <c r="W658" s="196" t="s">
        <v>280</v>
      </c>
      <c r="X658" s="196">
        <v>4.1070000000000002</v>
      </c>
      <c r="Y658" s="199">
        <v>0</v>
      </c>
      <c r="Z658" s="199">
        <v>2.46</v>
      </c>
      <c r="AA658" s="199">
        <v>10.1</v>
      </c>
      <c r="AB658" s="199">
        <v>-0.75</v>
      </c>
      <c r="AC658" s="199">
        <v>0</v>
      </c>
      <c r="AD658" s="199">
        <v>0</v>
      </c>
      <c r="AE658" s="199">
        <v>9.35</v>
      </c>
      <c r="AF658" s="199">
        <v>-0.99</v>
      </c>
      <c r="AG658" s="196" t="s">
        <v>279</v>
      </c>
      <c r="AH658" s="199">
        <v>0</v>
      </c>
      <c r="AI658" s="196" t="s">
        <v>279</v>
      </c>
      <c r="AJ658" s="199">
        <v>0</v>
      </c>
      <c r="AK658" s="196" t="s">
        <v>279</v>
      </c>
      <c r="AL658" s="199">
        <v>0</v>
      </c>
      <c r="AM658" s="196" t="s">
        <v>279</v>
      </c>
      <c r="AN658" s="199">
        <v>0</v>
      </c>
      <c r="AO658" s="196" t="s">
        <v>279</v>
      </c>
      <c r="AP658" s="199">
        <v>0</v>
      </c>
      <c r="AQ658" s="199">
        <v>10.1</v>
      </c>
      <c r="AR658" s="199">
        <v>0</v>
      </c>
      <c r="AS658" s="196" t="str">
        <f t="shared" si="15"/>
        <v>1.00000000</v>
      </c>
      <c r="AT658" s="196" t="str">
        <f>"18.3"</f>
        <v>18.3</v>
      </c>
      <c r="AU658" s="199">
        <v>0</v>
      </c>
    </row>
    <row r="659" spans="1:47" s="196" customFormat="1" x14ac:dyDescent="0.2">
      <c r="A659" s="196" t="str">
        <f t="shared" si="16"/>
        <v>0496002595734</v>
      </c>
      <c r="B659" s="196">
        <v>1</v>
      </c>
      <c r="C659" s="196" t="s">
        <v>435</v>
      </c>
      <c r="D659" s="196">
        <v>81</v>
      </c>
      <c r="E659" s="196">
        <v>81</v>
      </c>
      <c r="F659" s="196" t="s">
        <v>243</v>
      </c>
      <c r="G659" s="196">
        <v>2086</v>
      </c>
      <c r="H659" s="196" t="s">
        <v>270</v>
      </c>
      <c r="I659" s="196">
        <v>2304</v>
      </c>
      <c r="J659" s="197">
        <v>42897</v>
      </c>
      <c r="K659" s="198">
        <v>0.47291666666666665</v>
      </c>
      <c r="L659" s="197">
        <v>42899</v>
      </c>
      <c r="M659" s="196" t="s">
        <v>271</v>
      </c>
      <c r="N659" s="196" t="s">
        <v>272</v>
      </c>
      <c r="O659" s="196" t="s">
        <v>273</v>
      </c>
      <c r="P659" s="196" t="s">
        <v>274</v>
      </c>
      <c r="Q659" s="196" t="s">
        <v>275</v>
      </c>
      <c r="R659" s="196" t="s">
        <v>276</v>
      </c>
      <c r="S659" s="196" t="s">
        <v>436</v>
      </c>
      <c r="T659" s="196" t="s">
        <v>435</v>
      </c>
      <c r="U659" s="196">
        <v>2086</v>
      </c>
      <c r="V659" s="196" t="s">
        <v>435</v>
      </c>
      <c r="W659" s="196" t="s">
        <v>280</v>
      </c>
      <c r="X659" s="196">
        <v>6.9160000000000004</v>
      </c>
      <c r="Y659" s="199">
        <v>-0.14000000000000001</v>
      </c>
      <c r="Z659" s="199">
        <v>2.31</v>
      </c>
      <c r="AA659" s="199">
        <v>15.97</v>
      </c>
      <c r="AB659" s="199">
        <v>-1.27</v>
      </c>
      <c r="AC659" s="199">
        <v>0</v>
      </c>
      <c r="AD659" s="199">
        <v>0</v>
      </c>
      <c r="AE659" s="199">
        <v>14.56</v>
      </c>
      <c r="AF659" s="199">
        <v>-1.66</v>
      </c>
      <c r="AG659" s="196" t="s">
        <v>279</v>
      </c>
      <c r="AH659" s="199">
        <v>0</v>
      </c>
      <c r="AI659" s="196" t="s">
        <v>279</v>
      </c>
      <c r="AJ659" s="199">
        <v>0</v>
      </c>
      <c r="AK659" s="196" t="s">
        <v>279</v>
      </c>
      <c r="AL659" s="199">
        <v>0</v>
      </c>
      <c r="AM659" s="196" t="s">
        <v>279</v>
      </c>
      <c r="AN659" s="199">
        <v>0</v>
      </c>
      <c r="AO659" s="196" t="s">
        <v>279</v>
      </c>
      <c r="AP659" s="199">
        <v>0</v>
      </c>
      <c r="AQ659" s="199">
        <v>15.97</v>
      </c>
      <c r="AR659" s="199">
        <v>0</v>
      </c>
      <c r="AS659" s="196" t="str">
        <f t="shared" si="15"/>
        <v>1.00000000</v>
      </c>
      <c r="AT659" s="196" t="str">
        <f>"18.2"</f>
        <v>18.2</v>
      </c>
      <c r="AU659" s="199">
        <v>0</v>
      </c>
    </row>
    <row r="660" spans="1:47" s="196" customFormat="1" x14ac:dyDescent="0.2">
      <c r="A660" s="196" t="str">
        <f t="shared" si="16"/>
        <v>0496002595734</v>
      </c>
      <c r="B660" s="196">
        <v>1</v>
      </c>
      <c r="C660" s="196" t="s">
        <v>435</v>
      </c>
      <c r="D660" s="196">
        <v>81</v>
      </c>
      <c r="E660" s="196">
        <v>81</v>
      </c>
      <c r="F660" s="196" t="s">
        <v>243</v>
      </c>
      <c r="G660" s="196">
        <v>2086</v>
      </c>
      <c r="H660" s="196" t="s">
        <v>270</v>
      </c>
      <c r="I660" s="196">
        <v>2565</v>
      </c>
      <c r="J660" s="197">
        <v>42898</v>
      </c>
      <c r="K660" s="198">
        <v>0.84097222222222223</v>
      </c>
      <c r="L660" s="197">
        <v>42900</v>
      </c>
      <c r="M660" s="196" t="s">
        <v>271</v>
      </c>
      <c r="N660" s="196" t="s">
        <v>272</v>
      </c>
      <c r="O660" s="196" t="s">
        <v>273</v>
      </c>
      <c r="P660" s="196" t="s">
        <v>274</v>
      </c>
      <c r="Q660" s="196" t="s">
        <v>275</v>
      </c>
      <c r="R660" s="196" t="s">
        <v>276</v>
      </c>
      <c r="S660" s="196" t="s">
        <v>436</v>
      </c>
      <c r="T660" s="196" t="s">
        <v>435</v>
      </c>
      <c r="U660" s="196">
        <v>2086</v>
      </c>
      <c r="V660" s="196" t="s">
        <v>435</v>
      </c>
      <c r="W660" s="196" t="s">
        <v>280</v>
      </c>
      <c r="X660" s="196">
        <v>13.207000000000001</v>
      </c>
      <c r="Y660" s="199">
        <v>-0.26</v>
      </c>
      <c r="Z660" s="199">
        <v>2.2799999999999998</v>
      </c>
      <c r="AA660" s="199">
        <v>30.1</v>
      </c>
      <c r="AB660" s="199">
        <v>-2.42</v>
      </c>
      <c r="AC660" s="199">
        <v>0</v>
      </c>
      <c r="AD660" s="199">
        <v>0</v>
      </c>
      <c r="AE660" s="199">
        <v>27.42</v>
      </c>
      <c r="AF660" s="199">
        <v>-3.17</v>
      </c>
      <c r="AG660" s="196" t="s">
        <v>279</v>
      </c>
      <c r="AH660" s="199">
        <v>0</v>
      </c>
      <c r="AI660" s="196" t="s">
        <v>279</v>
      </c>
      <c r="AJ660" s="199">
        <v>0</v>
      </c>
      <c r="AK660" s="196" t="s">
        <v>279</v>
      </c>
      <c r="AL660" s="199">
        <v>0</v>
      </c>
      <c r="AM660" s="196" t="s">
        <v>279</v>
      </c>
      <c r="AN660" s="199">
        <v>0</v>
      </c>
      <c r="AO660" s="196" t="s">
        <v>279</v>
      </c>
      <c r="AP660" s="199">
        <v>0</v>
      </c>
      <c r="AQ660" s="199">
        <v>30.1</v>
      </c>
      <c r="AR660" s="199">
        <v>0</v>
      </c>
      <c r="AS660" s="196" t="str">
        <f t="shared" si="15"/>
        <v>1.00000000</v>
      </c>
      <c r="AT660" s="196" t="str">
        <f>"19.8"</f>
        <v>19.8</v>
      </c>
      <c r="AU660" s="199">
        <v>0</v>
      </c>
    </row>
    <row r="661" spans="1:47" s="196" customFormat="1" x14ac:dyDescent="0.2">
      <c r="A661" s="196" t="str">
        <f t="shared" si="16"/>
        <v>0496002595734</v>
      </c>
      <c r="B661" s="196">
        <v>1</v>
      </c>
      <c r="C661" s="196" t="s">
        <v>435</v>
      </c>
      <c r="D661" s="196">
        <v>81</v>
      </c>
      <c r="E661" s="196">
        <v>81</v>
      </c>
      <c r="F661" s="196" t="s">
        <v>243</v>
      </c>
      <c r="G661" s="196">
        <v>2086</v>
      </c>
      <c r="H661" s="196" t="s">
        <v>270</v>
      </c>
      <c r="I661" s="196">
        <v>2738</v>
      </c>
      <c r="J661" s="197">
        <v>42902</v>
      </c>
      <c r="K661" s="198">
        <v>0.69652777777777775</v>
      </c>
      <c r="L661" s="197">
        <v>42906</v>
      </c>
      <c r="M661" s="196" t="s">
        <v>271</v>
      </c>
      <c r="N661" s="196" t="s">
        <v>352</v>
      </c>
      <c r="O661" s="196" t="s">
        <v>353</v>
      </c>
      <c r="P661" s="196" t="s">
        <v>343</v>
      </c>
      <c r="Q661" s="196" t="s">
        <v>275</v>
      </c>
      <c r="R661" s="196">
        <v>1035</v>
      </c>
      <c r="S661" s="196" t="s">
        <v>436</v>
      </c>
      <c r="T661" s="196" t="s">
        <v>435</v>
      </c>
      <c r="U661" s="196">
        <v>2086</v>
      </c>
      <c r="V661" s="196" t="s">
        <v>435</v>
      </c>
      <c r="W661" s="196" t="s">
        <v>280</v>
      </c>
      <c r="X661" s="196">
        <v>9.1159999999999997</v>
      </c>
      <c r="Y661" s="199">
        <v>-0.18</v>
      </c>
      <c r="Z661" s="199">
        <v>2.2200000000000002</v>
      </c>
      <c r="AA661" s="199">
        <v>20.23</v>
      </c>
      <c r="AB661" s="199">
        <v>-1.67</v>
      </c>
      <c r="AC661" s="199">
        <v>0</v>
      </c>
      <c r="AD661" s="199">
        <v>0</v>
      </c>
      <c r="AE661" s="199">
        <v>18.38</v>
      </c>
      <c r="AF661" s="199">
        <v>-2.19</v>
      </c>
      <c r="AG661" s="196" t="s">
        <v>279</v>
      </c>
      <c r="AH661" s="199">
        <v>0</v>
      </c>
      <c r="AI661" s="196" t="s">
        <v>279</v>
      </c>
      <c r="AJ661" s="199">
        <v>0</v>
      </c>
      <c r="AK661" s="196" t="s">
        <v>279</v>
      </c>
      <c r="AL661" s="199">
        <v>0</v>
      </c>
      <c r="AM661" s="196" t="s">
        <v>279</v>
      </c>
      <c r="AN661" s="199">
        <v>0</v>
      </c>
      <c r="AO661" s="196" t="s">
        <v>279</v>
      </c>
      <c r="AP661" s="199">
        <v>0</v>
      </c>
      <c r="AQ661" s="199">
        <v>20.23</v>
      </c>
      <c r="AR661" s="199">
        <v>0</v>
      </c>
      <c r="AS661" s="196" t="str">
        <f t="shared" si="15"/>
        <v>1.00000000</v>
      </c>
      <c r="AT661" s="196" t="str">
        <f>"19.0"</f>
        <v>19.0</v>
      </c>
      <c r="AU661" s="199">
        <v>0</v>
      </c>
    </row>
    <row r="662" spans="1:47" s="196" customFormat="1" x14ac:dyDescent="0.2">
      <c r="A662" s="196" t="str">
        <f t="shared" si="16"/>
        <v>0496002595734</v>
      </c>
      <c r="B662" s="196">
        <v>1</v>
      </c>
      <c r="C662" s="196" t="s">
        <v>435</v>
      </c>
      <c r="D662" s="196">
        <v>81</v>
      </c>
      <c r="E662" s="196">
        <v>81</v>
      </c>
      <c r="F662" s="196" t="s">
        <v>243</v>
      </c>
      <c r="G662" s="196">
        <v>2086</v>
      </c>
      <c r="H662" s="196" t="s">
        <v>270</v>
      </c>
      <c r="I662" s="196">
        <v>2897</v>
      </c>
      <c r="J662" s="197">
        <v>42908</v>
      </c>
      <c r="K662" s="198">
        <v>0.73472222222222217</v>
      </c>
      <c r="L662" s="197">
        <v>42912</v>
      </c>
      <c r="M662" s="196" t="s">
        <v>271</v>
      </c>
      <c r="N662" s="196" t="s">
        <v>272</v>
      </c>
      <c r="O662" s="196" t="s">
        <v>273</v>
      </c>
      <c r="P662" s="196" t="s">
        <v>274</v>
      </c>
      <c r="Q662" s="196" t="s">
        <v>275</v>
      </c>
      <c r="R662" s="196" t="s">
        <v>276</v>
      </c>
      <c r="S662" s="196" t="s">
        <v>436</v>
      </c>
      <c r="T662" s="196" t="s">
        <v>435</v>
      </c>
      <c r="U662" s="196">
        <v>2086</v>
      </c>
      <c r="V662" s="196" t="s">
        <v>435</v>
      </c>
      <c r="W662" s="196" t="s">
        <v>280</v>
      </c>
      <c r="X662" s="196">
        <v>9.0120000000000005</v>
      </c>
      <c r="Y662" s="199">
        <v>-0.18</v>
      </c>
      <c r="Z662" s="199">
        <v>2.2599999999999998</v>
      </c>
      <c r="AA662" s="199">
        <v>20.36</v>
      </c>
      <c r="AB662" s="199">
        <v>-1.65</v>
      </c>
      <c r="AC662" s="199">
        <v>0</v>
      </c>
      <c r="AD662" s="199">
        <v>0</v>
      </c>
      <c r="AE662" s="199">
        <v>18.53</v>
      </c>
      <c r="AF662" s="199">
        <v>-2.16</v>
      </c>
      <c r="AG662" s="196" t="s">
        <v>279</v>
      </c>
      <c r="AH662" s="199">
        <v>0</v>
      </c>
      <c r="AI662" s="196" t="s">
        <v>279</v>
      </c>
      <c r="AJ662" s="199">
        <v>0</v>
      </c>
      <c r="AK662" s="196" t="s">
        <v>279</v>
      </c>
      <c r="AL662" s="199">
        <v>0</v>
      </c>
      <c r="AM662" s="196" t="s">
        <v>279</v>
      </c>
      <c r="AN662" s="199">
        <v>0</v>
      </c>
      <c r="AO662" s="196" t="s">
        <v>279</v>
      </c>
      <c r="AP662" s="199">
        <v>0</v>
      </c>
      <c r="AQ662" s="199">
        <v>20.36</v>
      </c>
      <c r="AR662" s="199">
        <v>0</v>
      </c>
      <c r="AS662" s="196" t="str">
        <f t="shared" si="15"/>
        <v>1.00000000</v>
      </c>
      <c r="AT662" s="196" t="str">
        <f>"17.6"</f>
        <v>17.6</v>
      </c>
      <c r="AU662" s="199">
        <v>0</v>
      </c>
    </row>
    <row r="663" spans="1:47" s="196" customFormat="1" x14ac:dyDescent="0.2">
      <c r="A663" s="196" t="str">
        <f t="shared" si="16"/>
        <v>0496002595734</v>
      </c>
      <c r="B663" s="196">
        <v>1</v>
      </c>
      <c r="C663" s="196" t="s">
        <v>435</v>
      </c>
      <c r="D663" s="196">
        <v>81</v>
      </c>
      <c r="E663" s="196">
        <v>81</v>
      </c>
      <c r="F663" s="196" t="s">
        <v>243</v>
      </c>
      <c r="G663" s="196">
        <v>2086</v>
      </c>
      <c r="H663" s="196" t="s">
        <v>270</v>
      </c>
      <c r="I663" s="196">
        <v>3172</v>
      </c>
      <c r="J663" s="197">
        <v>42910</v>
      </c>
      <c r="K663" s="198">
        <v>0.7104166666666667</v>
      </c>
      <c r="L663" s="197">
        <v>42913</v>
      </c>
      <c r="M663" s="196" t="s">
        <v>271</v>
      </c>
      <c r="N663" s="196" t="s">
        <v>472</v>
      </c>
      <c r="O663" s="196" t="s">
        <v>473</v>
      </c>
      <c r="P663" s="196" t="s">
        <v>301</v>
      </c>
      <c r="Q663" s="196" t="s">
        <v>275</v>
      </c>
      <c r="R663" s="196">
        <v>1069</v>
      </c>
      <c r="S663" s="196" t="s">
        <v>436</v>
      </c>
      <c r="T663" s="196" t="s">
        <v>435</v>
      </c>
      <c r="U663" s="196">
        <v>2086</v>
      </c>
      <c r="V663" s="196" t="s">
        <v>435</v>
      </c>
      <c r="W663" s="196" t="s">
        <v>280</v>
      </c>
      <c r="X663" s="196">
        <v>12.179</v>
      </c>
      <c r="Y663" s="199">
        <v>-0.24</v>
      </c>
      <c r="Z663" s="199">
        <v>2.2400000000000002</v>
      </c>
      <c r="AA663" s="199">
        <v>27.27</v>
      </c>
      <c r="AB663" s="199">
        <v>-2.23</v>
      </c>
      <c r="AC663" s="199">
        <v>0</v>
      </c>
      <c r="AD663" s="199">
        <v>0</v>
      </c>
      <c r="AE663" s="199">
        <v>24.8</v>
      </c>
      <c r="AF663" s="199">
        <v>-2.92</v>
      </c>
      <c r="AG663" s="196" t="s">
        <v>279</v>
      </c>
      <c r="AH663" s="199">
        <v>0</v>
      </c>
      <c r="AI663" s="196" t="s">
        <v>279</v>
      </c>
      <c r="AJ663" s="199">
        <v>0</v>
      </c>
      <c r="AK663" s="196" t="s">
        <v>279</v>
      </c>
      <c r="AL663" s="199">
        <v>0</v>
      </c>
      <c r="AM663" s="196" t="s">
        <v>279</v>
      </c>
      <c r="AN663" s="199">
        <v>0</v>
      </c>
      <c r="AO663" s="196" t="s">
        <v>279</v>
      </c>
      <c r="AP663" s="199">
        <v>0</v>
      </c>
      <c r="AQ663" s="199">
        <v>27.27</v>
      </c>
      <c r="AR663" s="199">
        <v>0</v>
      </c>
      <c r="AS663" s="196" t="str">
        <f t="shared" si="15"/>
        <v>1.00000000</v>
      </c>
      <c r="AT663" s="196" t="str">
        <f>"22.6"</f>
        <v>22.6</v>
      </c>
      <c r="AU663" s="199">
        <v>0</v>
      </c>
    </row>
    <row r="664" spans="1:47" s="196" customFormat="1" x14ac:dyDescent="0.2">
      <c r="A664" s="196" t="str">
        <f t="shared" si="16"/>
        <v>0496002595734</v>
      </c>
      <c r="B664" s="196">
        <v>2</v>
      </c>
      <c r="C664" s="196" t="s">
        <v>435</v>
      </c>
      <c r="D664" s="196">
        <v>80</v>
      </c>
      <c r="E664" s="196">
        <v>80</v>
      </c>
      <c r="F664" s="196" t="s">
        <v>243</v>
      </c>
      <c r="G664" s="196">
        <v>2086</v>
      </c>
      <c r="H664" s="196" t="s">
        <v>270</v>
      </c>
      <c r="I664" s="196">
        <v>78014</v>
      </c>
      <c r="J664" s="197">
        <v>42737</v>
      </c>
      <c r="K664" s="198">
        <v>0.86597222222222225</v>
      </c>
      <c r="L664" s="197">
        <v>42739</v>
      </c>
      <c r="M664" s="196" t="s">
        <v>271</v>
      </c>
      <c r="N664" s="196" t="s">
        <v>474</v>
      </c>
      <c r="O664" s="196" t="s">
        <v>475</v>
      </c>
      <c r="P664" s="196" t="s">
        <v>476</v>
      </c>
      <c r="Q664" s="196" t="s">
        <v>329</v>
      </c>
      <c r="R664" s="196">
        <v>10451</v>
      </c>
      <c r="S664" s="196" t="s">
        <v>436</v>
      </c>
      <c r="T664" s="196" t="s">
        <v>435</v>
      </c>
      <c r="U664" s="196">
        <v>2086</v>
      </c>
      <c r="V664" s="196" t="s">
        <v>435</v>
      </c>
      <c r="W664" s="196" t="s">
        <v>280</v>
      </c>
      <c r="X664" s="196">
        <v>6.9950000000000001</v>
      </c>
      <c r="Y664" s="199">
        <v>-0.14000000000000001</v>
      </c>
      <c r="Z664" s="199">
        <v>2.86</v>
      </c>
      <c r="AA664" s="199">
        <v>20</v>
      </c>
      <c r="AB664" s="199">
        <v>-1.28</v>
      </c>
      <c r="AC664" s="199">
        <v>0</v>
      </c>
      <c r="AD664" s="199">
        <v>0</v>
      </c>
      <c r="AE664" s="199">
        <v>18.579999999999998</v>
      </c>
      <c r="AF664" s="199">
        <v>-3.11</v>
      </c>
      <c r="AG664" s="196" t="s">
        <v>279</v>
      </c>
      <c r="AH664" s="199">
        <v>0</v>
      </c>
      <c r="AI664" s="196" t="s">
        <v>279</v>
      </c>
      <c r="AJ664" s="199">
        <v>0</v>
      </c>
      <c r="AK664" s="196" t="s">
        <v>279</v>
      </c>
      <c r="AL664" s="199">
        <v>0</v>
      </c>
      <c r="AM664" s="196" t="s">
        <v>279</v>
      </c>
      <c r="AN664" s="199">
        <v>0</v>
      </c>
      <c r="AO664" s="196" t="s">
        <v>279</v>
      </c>
      <c r="AP664" s="199">
        <v>0</v>
      </c>
      <c r="AQ664" s="199">
        <v>20</v>
      </c>
      <c r="AR664" s="199">
        <v>0</v>
      </c>
      <c r="AS664" s="196" t="str">
        <f t="shared" si="15"/>
        <v>1.00000000</v>
      </c>
      <c r="AT664" s="196" t="str">
        <f>"37.2"</f>
        <v>37.2</v>
      </c>
      <c r="AU664" s="199">
        <v>0</v>
      </c>
    </row>
    <row r="665" spans="1:47" s="196" customFormat="1" x14ac:dyDescent="0.2">
      <c r="A665" s="196" t="str">
        <f t="shared" si="16"/>
        <v>0496002595734</v>
      </c>
      <c r="B665" s="196">
        <v>2</v>
      </c>
      <c r="C665" s="196" t="s">
        <v>435</v>
      </c>
      <c r="D665" s="196">
        <v>80</v>
      </c>
      <c r="E665" s="196">
        <v>80</v>
      </c>
      <c r="F665" s="196" t="s">
        <v>243</v>
      </c>
      <c r="G665" s="196">
        <v>2086</v>
      </c>
      <c r="H665" s="196" t="s">
        <v>270</v>
      </c>
      <c r="I665" s="196">
        <v>78306</v>
      </c>
      <c r="J665" s="197">
        <v>42740</v>
      </c>
      <c r="K665" s="198">
        <v>0.29930555555555555</v>
      </c>
      <c r="L665" s="197">
        <v>42744</v>
      </c>
      <c r="M665" s="196" t="s">
        <v>271</v>
      </c>
      <c r="N665" s="196" t="s">
        <v>477</v>
      </c>
      <c r="O665" s="196" t="s">
        <v>478</v>
      </c>
      <c r="P665" s="196" t="s">
        <v>293</v>
      </c>
      <c r="Q665" s="196" t="s">
        <v>275</v>
      </c>
      <c r="R665" s="196">
        <v>1507</v>
      </c>
      <c r="S665" s="196" t="s">
        <v>436</v>
      </c>
      <c r="T665" s="196" t="s">
        <v>435</v>
      </c>
      <c r="U665" s="196">
        <v>2086</v>
      </c>
      <c r="V665" s="196" t="s">
        <v>435</v>
      </c>
      <c r="W665" s="196" t="s">
        <v>280</v>
      </c>
      <c r="X665" s="196">
        <v>10.411</v>
      </c>
      <c r="Y665" s="199">
        <v>-0.31</v>
      </c>
      <c r="Z665" s="199">
        <v>2.36</v>
      </c>
      <c r="AA665" s="199">
        <v>24.56</v>
      </c>
      <c r="AB665" s="199">
        <v>-1.91</v>
      </c>
      <c r="AC665" s="199">
        <v>0</v>
      </c>
      <c r="AD665" s="199">
        <v>0</v>
      </c>
      <c r="AE665" s="199">
        <v>22.34</v>
      </c>
      <c r="AF665" s="199">
        <v>-2.5</v>
      </c>
      <c r="AG665" s="196" t="s">
        <v>279</v>
      </c>
      <c r="AH665" s="199">
        <v>0</v>
      </c>
      <c r="AI665" s="196" t="s">
        <v>279</v>
      </c>
      <c r="AJ665" s="199">
        <v>0</v>
      </c>
      <c r="AK665" s="196" t="s">
        <v>279</v>
      </c>
      <c r="AL665" s="199">
        <v>0</v>
      </c>
      <c r="AM665" s="196" t="s">
        <v>279</v>
      </c>
      <c r="AN665" s="199">
        <v>0</v>
      </c>
      <c r="AO665" s="196" t="s">
        <v>279</v>
      </c>
      <c r="AP665" s="199">
        <v>0</v>
      </c>
      <c r="AQ665" s="199">
        <v>24.56</v>
      </c>
      <c r="AR665" s="199">
        <v>0</v>
      </c>
      <c r="AS665" s="196" t="str">
        <f t="shared" si="15"/>
        <v>1.00000000</v>
      </c>
      <c r="AT665" s="196" t="str">
        <f>"35.6"</f>
        <v>35.6</v>
      </c>
      <c r="AU665" s="199">
        <v>0</v>
      </c>
    </row>
    <row r="666" spans="1:47" s="196" customFormat="1" x14ac:dyDescent="0.2">
      <c r="A666" s="196" t="str">
        <f t="shared" si="16"/>
        <v>0496002595734</v>
      </c>
      <c r="B666" s="196">
        <v>2</v>
      </c>
      <c r="C666" s="196" t="s">
        <v>435</v>
      </c>
      <c r="D666" s="196">
        <v>80</v>
      </c>
      <c r="E666" s="196">
        <v>80</v>
      </c>
      <c r="F666" s="196" t="s">
        <v>243</v>
      </c>
      <c r="G666" s="196">
        <v>2086</v>
      </c>
      <c r="H666" s="196" t="s">
        <v>270</v>
      </c>
      <c r="I666" s="196">
        <v>14000</v>
      </c>
      <c r="J666" s="197">
        <v>42742</v>
      </c>
      <c r="K666" s="198">
        <v>0.29236111111111113</v>
      </c>
      <c r="L666" s="197">
        <v>42745</v>
      </c>
      <c r="M666" s="196" t="s">
        <v>271</v>
      </c>
      <c r="N666" s="196" t="s">
        <v>479</v>
      </c>
      <c r="O666" s="196" t="s">
        <v>480</v>
      </c>
      <c r="P666" s="196" t="s">
        <v>481</v>
      </c>
      <c r="Q666" s="196" t="s">
        <v>275</v>
      </c>
      <c r="R666" s="196">
        <v>1008</v>
      </c>
      <c r="S666" s="196" t="s">
        <v>436</v>
      </c>
      <c r="T666" s="196" t="s">
        <v>435</v>
      </c>
      <c r="U666" s="196">
        <v>2086</v>
      </c>
      <c r="V666" s="196" t="s">
        <v>435</v>
      </c>
      <c r="W666" s="196" t="s">
        <v>280</v>
      </c>
      <c r="X666" s="196">
        <v>2.165</v>
      </c>
      <c r="Y666" s="199">
        <v>-0.06</v>
      </c>
      <c r="Z666" s="199">
        <v>2.37</v>
      </c>
      <c r="AA666" s="199">
        <v>5.13</v>
      </c>
      <c r="AB666" s="199">
        <v>-0.4</v>
      </c>
      <c r="AC666" s="199">
        <v>0</v>
      </c>
      <c r="AD666" s="199">
        <v>0</v>
      </c>
      <c r="AE666" s="199">
        <v>4.67</v>
      </c>
      <c r="AF666" s="199">
        <v>-0.52</v>
      </c>
      <c r="AG666" s="196" t="s">
        <v>279</v>
      </c>
      <c r="AH666" s="199">
        <v>0</v>
      </c>
      <c r="AI666" s="196" t="s">
        <v>279</v>
      </c>
      <c r="AJ666" s="199">
        <v>0</v>
      </c>
      <c r="AK666" s="196" t="s">
        <v>279</v>
      </c>
      <c r="AL666" s="199">
        <v>0</v>
      </c>
      <c r="AM666" s="196" t="s">
        <v>279</v>
      </c>
      <c r="AN666" s="199">
        <v>0</v>
      </c>
      <c r="AO666" s="196" t="s">
        <v>279</v>
      </c>
      <c r="AP666" s="199">
        <v>0</v>
      </c>
      <c r="AQ666" s="199">
        <v>5.13</v>
      </c>
      <c r="AR666" s="199">
        <v>0</v>
      </c>
      <c r="AS666" s="196" t="str">
        <f t="shared" si="15"/>
        <v>1.00000000</v>
      </c>
      <c r="AT666" s="196" t="str">
        <f>"35.6"</f>
        <v>35.6</v>
      </c>
      <c r="AU666" s="199">
        <v>0</v>
      </c>
    </row>
    <row r="667" spans="1:47" s="196" customFormat="1" x14ac:dyDescent="0.2">
      <c r="A667" s="196" t="str">
        <f t="shared" si="16"/>
        <v>0496002595734</v>
      </c>
      <c r="B667" s="196">
        <v>2</v>
      </c>
      <c r="C667" s="196" t="s">
        <v>435</v>
      </c>
      <c r="D667" s="196">
        <v>80</v>
      </c>
      <c r="E667" s="196">
        <v>80</v>
      </c>
      <c r="F667" s="196" t="s">
        <v>243</v>
      </c>
      <c r="G667" s="196">
        <v>2086</v>
      </c>
      <c r="H667" s="196" t="s">
        <v>270</v>
      </c>
      <c r="I667" s="196">
        <v>14000</v>
      </c>
      <c r="J667" s="197">
        <v>42742</v>
      </c>
      <c r="K667" s="198">
        <v>0.2951388888888889</v>
      </c>
      <c r="L667" s="197">
        <v>42745</v>
      </c>
      <c r="M667" s="196" t="s">
        <v>271</v>
      </c>
      <c r="N667" s="196" t="s">
        <v>479</v>
      </c>
      <c r="O667" s="196" t="s">
        <v>480</v>
      </c>
      <c r="P667" s="196" t="s">
        <v>481</v>
      </c>
      <c r="Q667" s="196" t="s">
        <v>275</v>
      </c>
      <c r="R667" s="196">
        <v>1008</v>
      </c>
      <c r="S667" s="196" t="s">
        <v>436</v>
      </c>
      <c r="T667" s="196" t="s">
        <v>435</v>
      </c>
      <c r="U667" s="196">
        <v>2086</v>
      </c>
      <c r="V667" s="196" t="s">
        <v>435</v>
      </c>
      <c r="W667" s="196" t="s">
        <v>280</v>
      </c>
      <c r="X667" s="196">
        <v>8.0449999999999999</v>
      </c>
      <c r="Y667" s="199">
        <v>-0.24</v>
      </c>
      <c r="Z667" s="199">
        <v>2.37</v>
      </c>
      <c r="AA667" s="199">
        <v>19.059999999999999</v>
      </c>
      <c r="AB667" s="199">
        <v>-1.47</v>
      </c>
      <c r="AC667" s="199">
        <v>0</v>
      </c>
      <c r="AD667" s="199">
        <v>0</v>
      </c>
      <c r="AE667" s="199">
        <v>17.350000000000001</v>
      </c>
      <c r="AF667" s="199">
        <v>-1.93</v>
      </c>
      <c r="AG667" s="196" t="s">
        <v>279</v>
      </c>
      <c r="AH667" s="199">
        <v>0</v>
      </c>
      <c r="AI667" s="196" t="s">
        <v>279</v>
      </c>
      <c r="AJ667" s="199">
        <v>0</v>
      </c>
      <c r="AK667" s="196" t="s">
        <v>279</v>
      </c>
      <c r="AL667" s="199">
        <v>0</v>
      </c>
      <c r="AM667" s="196" t="s">
        <v>279</v>
      </c>
      <c r="AN667" s="199">
        <v>0</v>
      </c>
      <c r="AO667" s="196" t="s">
        <v>279</v>
      </c>
      <c r="AP667" s="199">
        <v>0</v>
      </c>
      <c r="AQ667" s="199">
        <v>19.059999999999999</v>
      </c>
      <c r="AR667" s="199">
        <v>0</v>
      </c>
      <c r="AS667" s="196" t="str">
        <f t="shared" si="15"/>
        <v>1.00000000</v>
      </c>
      <c r="AT667" s="196" t="str">
        <f>"35.7"</f>
        <v>35.7</v>
      </c>
      <c r="AU667" s="199">
        <v>0</v>
      </c>
    </row>
    <row r="668" spans="1:47" s="196" customFormat="1" x14ac:dyDescent="0.2">
      <c r="A668" s="196" t="str">
        <f t="shared" si="16"/>
        <v>0496002595734</v>
      </c>
      <c r="B668" s="196">
        <v>2</v>
      </c>
      <c r="C668" s="196" t="s">
        <v>435</v>
      </c>
      <c r="D668" s="196">
        <v>80</v>
      </c>
      <c r="E668" s="196">
        <v>80</v>
      </c>
      <c r="F668" s="196" t="s">
        <v>243</v>
      </c>
      <c r="G668" s="196">
        <v>2086</v>
      </c>
      <c r="H668" s="196" t="s">
        <v>270</v>
      </c>
      <c r="I668" s="196">
        <v>14000</v>
      </c>
      <c r="J668" s="197">
        <v>42742</v>
      </c>
      <c r="K668" s="198">
        <v>0.51666666666666672</v>
      </c>
      <c r="L668" s="197">
        <v>42745</v>
      </c>
      <c r="M668" s="196" t="s">
        <v>325</v>
      </c>
      <c r="N668" s="196" t="s">
        <v>326</v>
      </c>
      <c r="O668" s="196" t="s">
        <v>482</v>
      </c>
      <c r="P668" s="196" t="s">
        <v>483</v>
      </c>
      <c r="Q668" s="196" t="s">
        <v>329</v>
      </c>
      <c r="R668" s="196" t="s">
        <v>484</v>
      </c>
      <c r="S668" s="196" t="s">
        <v>436</v>
      </c>
      <c r="T668" s="196" t="s">
        <v>435</v>
      </c>
      <c r="U668" s="196">
        <v>2086</v>
      </c>
      <c r="V668" s="196" t="s">
        <v>435</v>
      </c>
      <c r="W668" s="196" t="s">
        <v>330</v>
      </c>
      <c r="X668" s="196">
        <v>11.8</v>
      </c>
      <c r="Y668" s="199">
        <v>0</v>
      </c>
      <c r="Z668" s="199">
        <v>2.4700000000000002</v>
      </c>
      <c r="AA668" s="199">
        <v>29.13</v>
      </c>
      <c r="AB668" s="199">
        <v>-2.16</v>
      </c>
      <c r="AC668" s="199">
        <v>0</v>
      </c>
      <c r="AD668" s="199">
        <v>0</v>
      </c>
      <c r="AE668" s="199">
        <v>26.97</v>
      </c>
      <c r="AF668" s="199">
        <v>-5.03</v>
      </c>
      <c r="AG668" s="196" t="s">
        <v>279</v>
      </c>
      <c r="AH668" s="199">
        <v>0</v>
      </c>
      <c r="AI668" s="196" t="s">
        <v>279</v>
      </c>
      <c r="AJ668" s="199">
        <v>0</v>
      </c>
      <c r="AK668" s="196" t="s">
        <v>279</v>
      </c>
      <c r="AL668" s="199">
        <v>0</v>
      </c>
      <c r="AM668" s="196" t="s">
        <v>279</v>
      </c>
      <c r="AN668" s="199">
        <v>0</v>
      </c>
      <c r="AO668" s="196" t="s">
        <v>279</v>
      </c>
      <c r="AP668" s="199">
        <v>0</v>
      </c>
      <c r="AQ668" s="199">
        <v>29.13</v>
      </c>
      <c r="AR668" s="199">
        <v>0</v>
      </c>
      <c r="AS668" s="196" t="str">
        <f t="shared" si="15"/>
        <v>1.00000000</v>
      </c>
      <c r="AT668" s="196" t="str">
        <f t="shared" ref="AT668:AT674" si="17">"35.6"</f>
        <v>35.6</v>
      </c>
      <c r="AU668" s="199">
        <v>0</v>
      </c>
    </row>
    <row r="669" spans="1:47" s="196" customFormat="1" x14ac:dyDescent="0.2">
      <c r="A669" s="196" t="str">
        <f t="shared" si="16"/>
        <v>0496002595734</v>
      </c>
      <c r="B669" s="196">
        <v>2</v>
      </c>
      <c r="C669" s="196" t="s">
        <v>435</v>
      </c>
      <c r="D669" s="196">
        <v>80</v>
      </c>
      <c r="E669" s="196">
        <v>80</v>
      </c>
      <c r="F669" s="196" t="s">
        <v>243</v>
      </c>
      <c r="G669" s="196">
        <v>2086</v>
      </c>
      <c r="H669" s="196" t="s">
        <v>270</v>
      </c>
      <c r="I669" s="196">
        <v>14000</v>
      </c>
      <c r="J669" s="197">
        <v>42742</v>
      </c>
      <c r="K669" s="198">
        <v>0.96458333333333324</v>
      </c>
      <c r="L669" s="197">
        <v>42745</v>
      </c>
      <c r="M669" s="196" t="s">
        <v>302</v>
      </c>
      <c r="N669" s="196" t="s">
        <v>485</v>
      </c>
      <c r="O669" s="196" t="s">
        <v>486</v>
      </c>
      <c r="P669" s="196" t="s">
        <v>487</v>
      </c>
      <c r="Q669" s="196" t="s">
        <v>329</v>
      </c>
      <c r="R669" s="196">
        <v>12010</v>
      </c>
      <c r="S669" s="196" t="s">
        <v>436</v>
      </c>
      <c r="T669" s="196" t="s">
        <v>435</v>
      </c>
      <c r="U669" s="196">
        <v>2086</v>
      </c>
      <c r="V669" s="196" t="s">
        <v>435</v>
      </c>
      <c r="W669" s="196" t="s">
        <v>280</v>
      </c>
      <c r="X669" s="196">
        <v>11.096</v>
      </c>
      <c r="Y669" s="199">
        <v>0</v>
      </c>
      <c r="Z669" s="199">
        <v>2.56</v>
      </c>
      <c r="AA669" s="199">
        <v>28.39</v>
      </c>
      <c r="AB669" s="199">
        <v>-2.0299999999999998</v>
      </c>
      <c r="AC669" s="199">
        <v>0</v>
      </c>
      <c r="AD669" s="199">
        <v>0</v>
      </c>
      <c r="AE669" s="199">
        <v>26.36</v>
      </c>
      <c r="AF669" s="199">
        <v>-3.58</v>
      </c>
      <c r="AG669" s="196" t="s">
        <v>279</v>
      </c>
      <c r="AH669" s="199">
        <v>0</v>
      </c>
      <c r="AI669" s="196" t="s">
        <v>279</v>
      </c>
      <c r="AJ669" s="199">
        <v>0</v>
      </c>
      <c r="AK669" s="196" t="s">
        <v>279</v>
      </c>
      <c r="AL669" s="199">
        <v>0</v>
      </c>
      <c r="AM669" s="196" t="s">
        <v>279</v>
      </c>
      <c r="AN669" s="199">
        <v>0</v>
      </c>
      <c r="AO669" s="196" t="s">
        <v>279</v>
      </c>
      <c r="AP669" s="199">
        <v>0</v>
      </c>
      <c r="AQ669" s="199">
        <v>28.39</v>
      </c>
      <c r="AR669" s="199">
        <v>0</v>
      </c>
      <c r="AS669" s="196" t="str">
        <f t="shared" si="15"/>
        <v>1.00000000</v>
      </c>
      <c r="AT669" s="196" t="str">
        <f t="shared" si="17"/>
        <v>35.6</v>
      </c>
      <c r="AU669" s="199">
        <v>0</v>
      </c>
    </row>
    <row r="670" spans="1:47" s="196" customFormat="1" x14ac:dyDescent="0.2">
      <c r="A670" s="196" t="str">
        <f t="shared" si="16"/>
        <v>0496002595734</v>
      </c>
      <c r="B670" s="196">
        <v>2</v>
      </c>
      <c r="C670" s="196" t="s">
        <v>435</v>
      </c>
      <c r="D670" s="196">
        <v>80</v>
      </c>
      <c r="E670" s="196">
        <v>80</v>
      </c>
      <c r="F670" s="196" t="s">
        <v>243</v>
      </c>
      <c r="G670" s="196">
        <v>2086</v>
      </c>
      <c r="H670" s="196" t="s">
        <v>270</v>
      </c>
      <c r="I670" s="196">
        <v>79446</v>
      </c>
      <c r="J670" s="197">
        <v>42754</v>
      </c>
      <c r="K670" s="198">
        <v>0.60902777777777783</v>
      </c>
      <c r="L670" s="197">
        <v>42758</v>
      </c>
      <c r="M670" s="196" t="s">
        <v>271</v>
      </c>
      <c r="N670" s="196" t="s">
        <v>272</v>
      </c>
      <c r="O670" s="196" t="s">
        <v>273</v>
      </c>
      <c r="P670" s="196" t="s">
        <v>274</v>
      </c>
      <c r="Q670" s="196" t="s">
        <v>275</v>
      </c>
      <c r="R670" s="196" t="s">
        <v>276</v>
      </c>
      <c r="S670" s="196" t="s">
        <v>436</v>
      </c>
      <c r="T670" s="196" t="s">
        <v>435</v>
      </c>
      <c r="U670" s="196">
        <v>2086</v>
      </c>
      <c r="V670" s="196" t="s">
        <v>435</v>
      </c>
      <c r="W670" s="196" t="s">
        <v>280</v>
      </c>
      <c r="X670" s="196">
        <v>7.6210000000000004</v>
      </c>
      <c r="Y670" s="199">
        <v>-0.15</v>
      </c>
      <c r="Z670" s="199">
        <v>2.2000000000000002</v>
      </c>
      <c r="AA670" s="199">
        <v>16.760000000000002</v>
      </c>
      <c r="AB670" s="199">
        <v>-1.39</v>
      </c>
      <c r="AC670" s="199">
        <v>0</v>
      </c>
      <c r="AD670" s="199">
        <v>0</v>
      </c>
      <c r="AE670" s="199">
        <v>15.22</v>
      </c>
      <c r="AF670" s="199">
        <v>-1.83</v>
      </c>
      <c r="AG670" s="196" t="s">
        <v>279</v>
      </c>
      <c r="AH670" s="199">
        <v>0</v>
      </c>
      <c r="AI670" s="196" t="s">
        <v>279</v>
      </c>
      <c r="AJ670" s="199">
        <v>0</v>
      </c>
      <c r="AK670" s="196" t="s">
        <v>279</v>
      </c>
      <c r="AL670" s="199">
        <v>0</v>
      </c>
      <c r="AM670" s="196" t="s">
        <v>279</v>
      </c>
      <c r="AN670" s="199">
        <v>0</v>
      </c>
      <c r="AO670" s="196" t="s">
        <v>279</v>
      </c>
      <c r="AP670" s="199">
        <v>0</v>
      </c>
      <c r="AQ670" s="199">
        <v>16.760000000000002</v>
      </c>
      <c r="AR670" s="199">
        <v>0</v>
      </c>
      <c r="AS670" s="196" t="str">
        <f t="shared" si="15"/>
        <v>1.00000000</v>
      </c>
      <c r="AT670" s="196" t="str">
        <f t="shared" si="17"/>
        <v>35.6</v>
      </c>
      <c r="AU670" s="199">
        <v>0</v>
      </c>
    </row>
    <row r="671" spans="1:47" s="196" customFormat="1" x14ac:dyDescent="0.2">
      <c r="A671" s="196" t="str">
        <f t="shared" si="16"/>
        <v>0496002595734</v>
      </c>
      <c r="B671" s="196">
        <v>2</v>
      </c>
      <c r="C671" s="196" t="s">
        <v>435</v>
      </c>
      <c r="D671" s="196">
        <v>80</v>
      </c>
      <c r="E671" s="196">
        <v>80</v>
      </c>
      <c r="F671" s="196" t="s">
        <v>243</v>
      </c>
      <c r="G671" s="196">
        <v>2086</v>
      </c>
      <c r="H671" s="196" t="s">
        <v>270</v>
      </c>
      <c r="I671" s="196">
        <v>80403</v>
      </c>
      <c r="J671" s="197">
        <v>42759</v>
      </c>
      <c r="K671" s="198">
        <v>0.43124999999999997</v>
      </c>
      <c r="L671" s="197">
        <v>42761</v>
      </c>
      <c r="M671" s="196" t="s">
        <v>271</v>
      </c>
      <c r="N671" s="196" t="s">
        <v>272</v>
      </c>
      <c r="O671" s="196" t="s">
        <v>273</v>
      </c>
      <c r="P671" s="196" t="s">
        <v>274</v>
      </c>
      <c r="Q671" s="196" t="s">
        <v>275</v>
      </c>
      <c r="R671" s="196" t="s">
        <v>276</v>
      </c>
      <c r="S671" s="196" t="s">
        <v>436</v>
      </c>
      <c r="T671" s="196" t="s">
        <v>435</v>
      </c>
      <c r="U671" s="196">
        <v>2086</v>
      </c>
      <c r="V671" s="196" t="s">
        <v>435</v>
      </c>
      <c r="W671" s="196" t="s">
        <v>280</v>
      </c>
      <c r="X671" s="196">
        <v>9.9060000000000006</v>
      </c>
      <c r="Y671" s="199">
        <v>-0.2</v>
      </c>
      <c r="Z671" s="199">
        <v>2.15</v>
      </c>
      <c r="AA671" s="199">
        <v>21.29</v>
      </c>
      <c r="AB671" s="199">
        <v>-1.81</v>
      </c>
      <c r="AC671" s="199">
        <v>0</v>
      </c>
      <c r="AD671" s="199">
        <v>0</v>
      </c>
      <c r="AE671" s="199">
        <v>19.28</v>
      </c>
      <c r="AF671" s="199">
        <v>-2.38</v>
      </c>
      <c r="AG671" s="196" t="s">
        <v>279</v>
      </c>
      <c r="AH671" s="199">
        <v>0</v>
      </c>
      <c r="AI671" s="196" t="s">
        <v>279</v>
      </c>
      <c r="AJ671" s="199">
        <v>0</v>
      </c>
      <c r="AK671" s="196" t="s">
        <v>279</v>
      </c>
      <c r="AL671" s="199">
        <v>0</v>
      </c>
      <c r="AM671" s="196" t="s">
        <v>279</v>
      </c>
      <c r="AN671" s="199">
        <v>0</v>
      </c>
      <c r="AO671" s="196" t="s">
        <v>279</v>
      </c>
      <c r="AP671" s="199">
        <v>0</v>
      </c>
      <c r="AQ671" s="199">
        <v>21.29</v>
      </c>
      <c r="AR671" s="199">
        <v>0</v>
      </c>
      <c r="AS671" s="196" t="str">
        <f t="shared" si="15"/>
        <v>1.00000000</v>
      </c>
      <c r="AT671" s="196" t="str">
        <f t="shared" si="17"/>
        <v>35.6</v>
      </c>
      <c r="AU671" s="199">
        <v>0</v>
      </c>
    </row>
    <row r="672" spans="1:47" s="196" customFormat="1" x14ac:dyDescent="0.2">
      <c r="A672" s="196" t="str">
        <f t="shared" si="16"/>
        <v>0496002595734</v>
      </c>
      <c r="B672" s="196">
        <v>2</v>
      </c>
      <c r="C672" s="196" t="s">
        <v>435</v>
      </c>
      <c r="D672" s="196">
        <v>80</v>
      </c>
      <c r="E672" s="196">
        <v>80</v>
      </c>
      <c r="F672" s="196" t="s">
        <v>243</v>
      </c>
      <c r="G672" s="196">
        <v>2086</v>
      </c>
      <c r="H672" s="196" t="s">
        <v>270</v>
      </c>
      <c r="I672" s="196">
        <v>80670</v>
      </c>
      <c r="J672" s="197">
        <v>42765</v>
      </c>
      <c r="K672" s="198">
        <v>0.86805555555555547</v>
      </c>
      <c r="L672" s="197">
        <v>42767</v>
      </c>
      <c r="M672" s="196" t="s">
        <v>271</v>
      </c>
      <c r="N672" s="196" t="s">
        <v>352</v>
      </c>
      <c r="O672" s="196" t="s">
        <v>353</v>
      </c>
      <c r="P672" s="196" t="s">
        <v>343</v>
      </c>
      <c r="Q672" s="196" t="s">
        <v>275</v>
      </c>
      <c r="R672" s="196">
        <v>1035</v>
      </c>
      <c r="S672" s="196" t="s">
        <v>436</v>
      </c>
      <c r="T672" s="196" t="s">
        <v>435</v>
      </c>
      <c r="U672" s="196">
        <v>2086</v>
      </c>
      <c r="V672" s="196" t="s">
        <v>435</v>
      </c>
      <c r="W672" s="196" t="s">
        <v>280</v>
      </c>
      <c r="X672" s="196">
        <v>9.39</v>
      </c>
      <c r="Y672" s="199">
        <v>-0.19</v>
      </c>
      <c r="Z672" s="199">
        <v>2.1</v>
      </c>
      <c r="AA672" s="199">
        <v>19.71</v>
      </c>
      <c r="AB672" s="199">
        <v>-1.72</v>
      </c>
      <c r="AC672" s="199">
        <v>0</v>
      </c>
      <c r="AD672" s="199">
        <v>0</v>
      </c>
      <c r="AE672" s="199">
        <v>17.8</v>
      </c>
      <c r="AF672" s="199">
        <v>-2.25</v>
      </c>
      <c r="AG672" s="196" t="s">
        <v>279</v>
      </c>
      <c r="AH672" s="199">
        <v>0</v>
      </c>
      <c r="AI672" s="196" t="s">
        <v>279</v>
      </c>
      <c r="AJ672" s="199">
        <v>0</v>
      </c>
      <c r="AK672" s="196" t="s">
        <v>279</v>
      </c>
      <c r="AL672" s="199">
        <v>0</v>
      </c>
      <c r="AM672" s="196" t="s">
        <v>279</v>
      </c>
      <c r="AN672" s="199">
        <v>0</v>
      </c>
      <c r="AO672" s="196" t="s">
        <v>279</v>
      </c>
      <c r="AP672" s="199">
        <v>0</v>
      </c>
      <c r="AQ672" s="199">
        <v>19.71</v>
      </c>
      <c r="AR672" s="199">
        <v>0</v>
      </c>
      <c r="AS672" s="196" t="str">
        <f t="shared" si="15"/>
        <v>1.00000000</v>
      </c>
      <c r="AT672" s="196" t="str">
        <f t="shared" si="17"/>
        <v>35.6</v>
      </c>
      <c r="AU672" s="199">
        <v>0</v>
      </c>
    </row>
    <row r="673" spans="1:47" s="196" customFormat="1" x14ac:dyDescent="0.2">
      <c r="A673" s="196" t="str">
        <f t="shared" si="16"/>
        <v>0496002595734</v>
      </c>
      <c r="B673" s="196">
        <v>2</v>
      </c>
      <c r="C673" s="196" t="s">
        <v>435</v>
      </c>
      <c r="D673" s="196">
        <v>80</v>
      </c>
      <c r="E673" s="196">
        <v>80</v>
      </c>
      <c r="F673" s="196" t="s">
        <v>243</v>
      </c>
      <c r="G673" s="196">
        <v>2086</v>
      </c>
      <c r="H673" s="196" t="s">
        <v>270</v>
      </c>
      <c r="I673" s="196">
        <v>80975</v>
      </c>
      <c r="J673" s="197">
        <v>42769</v>
      </c>
      <c r="K673" s="198">
        <v>0.78125</v>
      </c>
      <c r="L673" s="197">
        <v>42773</v>
      </c>
      <c r="M673" s="196" t="s">
        <v>271</v>
      </c>
      <c r="N673" s="196" t="s">
        <v>272</v>
      </c>
      <c r="O673" s="196" t="s">
        <v>273</v>
      </c>
      <c r="P673" s="196" t="s">
        <v>274</v>
      </c>
      <c r="Q673" s="196" t="s">
        <v>275</v>
      </c>
      <c r="R673" s="196" t="s">
        <v>276</v>
      </c>
      <c r="S673" s="196" t="s">
        <v>436</v>
      </c>
      <c r="T673" s="196" t="s">
        <v>435</v>
      </c>
      <c r="U673" s="196">
        <v>2086</v>
      </c>
      <c r="V673" s="196" t="s">
        <v>435</v>
      </c>
      <c r="W673" s="196" t="s">
        <v>280</v>
      </c>
      <c r="X673" s="196">
        <v>4.7430000000000003</v>
      </c>
      <c r="Y673" s="199">
        <v>-0.09</v>
      </c>
      <c r="Z673" s="199">
        <v>2.11</v>
      </c>
      <c r="AA673" s="199">
        <v>10</v>
      </c>
      <c r="AB673" s="199">
        <v>-0.87</v>
      </c>
      <c r="AC673" s="199">
        <v>0</v>
      </c>
      <c r="AD673" s="199">
        <v>0</v>
      </c>
      <c r="AE673" s="199">
        <v>9.0399999999999991</v>
      </c>
      <c r="AF673" s="199">
        <v>-1.1399999999999999</v>
      </c>
      <c r="AG673" s="196" t="s">
        <v>279</v>
      </c>
      <c r="AH673" s="199">
        <v>0</v>
      </c>
      <c r="AI673" s="196" t="s">
        <v>279</v>
      </c>
      <c r="AJ673" s="199">
        <v>0</v>
      </c>
      <c r="AK673" s="196" t="s">
        <v>279</v>
      </c>
      <c r="AL673" s="199">
        <v>0</v>
      </c>
      <c r="AM673" s="196" t="s">
        <v>279</v>
      </c>
      <c r="AN673" s="199">
        <v>0</v>
      </c>
      <c r="AO673" s="196" t="s">
        <v>279</v>
      </c>
      <c r="AP673" s="199">
        <v>0</v>
      </c>
      <c r="AQ673" s="199">
        <v>10</v>
      </c>
      <c r="AR673" s="199">
        <v>0</v>
      </c>
      <c r="AS673" s="196" t="str">
        <f t="shared" si="15"/>
        <v>1.00000000</v>
      </c>
      <c r="AT673" s="196" t="str">
        <f t="shared" si="17"/>
        <v>35.6</v>
      </c>
      <c r="AU673" s="199">
        <v>0</v>
      </c>
    </row>
    <row r="674" spans="1:47" s="196" customFormat="1" x14ac:dyDescent="0.2">
      <c r="A674" s="196" t="str">
        <f t="shared" si="16"/>
        <v>0496002595734</v>
      </c>
      <c r="B674" s="196">
        <v>2</v>
      </c>
      <c r="C674" s="196" t="s">
        <v>435</v>
      </c>
      <c r="D674" s="196">
        <v>80</v>
      </c>
      <c r="E674" s="196">
        <v>80</v>
      </c>
      <c r="F674" s="196" t="s">
        <v>243</v>
      </c>
      <c r="G674" s="196">
        <v>2086</v>
      </c>
      <c r="H674" s="196" t="s">
        <v>270</v>
      </c>
      <c r="I674" s="196">
        <v>81148</v>
      </c>
      <c r="J674" s="197">
        <v>42771</v>
      </c>
      <c r="K674" s="198">
        <v>0.56111111111111112</v>
      </c>
      <c r="L674" s="197">
        <v>42773</v>
      </c>
      <c r="M674" s="196" t="s">
        <v>271</v>
      </c>
      <c r="N674" s="196" t="s">
        <v>272</v>
      </c>
      <c r="O674" s="196" t="s">
        <v>273</v>
      </c>
      <c r="P674" s="196" t="s">
        <v>274</v>
      </c>
      <c r="Q674" s="196" t="s">
        <v>275</v>
      </c>
      <c r="R674" s="196" t="s">
        <v>276</v>
      </c>
      <c r="S674" s="196" t="s">
        <v>436</v>
      </c>
      <c r="T674" s="196" t="s">
        <v>435</v>
      </c>
      <c r="U674" s="196">
        <v>2086</v>
      </c>
      <c r="V674" s="196" t="s">
        <v>435</v>
      </c>
      <c r="W674" s="196" t="s">
        <v>280</v>
      </c>
      <c r="X674" s="196">
        <v>9.4830000000000005</v>
      </c>
      <c r="Y674" s="199">
        <v>-0.19</v>
      </c>
      <c r="Z674" s="199">
        <v>2.11</v>
      </c>
      <c r="AA674" s="199">
        <v>20</v>
      </c>
      <c r="AB674" s="199">
        <v>-1.74</v>
      </c>
      <c r="AC674" s="199">
        <v>0</v>
      </c>
      <c r="AD674" s="199">
        <v>0</v>
      </c>
      <c r="AE674" s="199">
        <v>18.07</v>
      </c>
      <c r="AF674" s="199">
        <v>-2.2799999999999998</v>
      </c>
      <c r="AG674" s="196" t="s">
        <v>279</v>
      </c>
      <c r="AH674" s="199">
        <v>0</v>
      </c>
      <c r="AI674" s="196" t="s">
        <v>279</v>
      </c>
      <c r="AJ674" s="199">
        <v>0</v>
      </c>
      <c r="AK674" s="196" t="s">
        <v>279</v>
      </c>
      <c r="AL674" s="199">
        <v>0</v>
      </c>
      <c r="AM674" s="196" t="s">
        <v>279</v>
      </c>
      <c r="AN674" s="199">
        <v>0</v>
      </c>
      <c r="AO674" s="196" t="s">
        <v>279</v>
      </c>
      <c r="AP674" s="199">
        <v>0</v>
      </c>
      <c r="AQ674" s="199">
        <v>20</v>
      </c>
      <c r="AR674" s="199">
        <v>0</v>
      </c>
      <c r="AS674" s="196" t="str">
        <f t="shared" si="15"/>
        <v>1.00000000</v>
      </c>
      <c r="AT674" s="196" t="str">
        <f t="shared" si="17"/>
        <v>35.6</v>
      </c>
      <c r="AU674" s="199">
        <v>0</v>
      </c>
    </row>
    <row r="675" spans="1:47" s="196" customFormat="1" x14ac:dyDescent="0.2">
      <c r="A675" s="196" t="str">
        <f t="shared" si="16"/>
        <v>0496002595734</v>
      </c>
      <c r="B675" s="196">
        <v>2</v>
      </c>
      <c r="C675" s="196" t="s">
        <v>435</v>
      </c>
      <c r="D675" s="196">
        <v>80</v>
      </c>
      <c r="E675" s="196">
        <v>80</v>
      </c>
      <c r="F675" s="196" t="s">
        <v>243</v>
      </c>
      <c r="G675" s="196">
        <v>2086</v>
      </c>
      <c r="H675" s="196" t="s">
        <v>270</v>
      </c>
      <c r="I675" s="196">
        <v>810493</v>
      </c>
      <c r="J675" s="197">
        <v>42778</v>
      </c>
      <c r="K675" s="198">
        <v>0.37986111111111115</v>
      </c>
      <c r="L675" s="197">
        <v>42780</v>
      </c>
      <c r="M675" s="196" t="s">
        <v>271</v>
      </c>
      <c r="N675" s="196" t="s">
        <v>488</v>
      </c>
      <c r="O675" s="196" t="s">
        <v>489</v>
      </c>
      <c r="P675" s="196" t="s">
        <v>490</v>
      </c>
      <c r="Q675" s="196" t="s">
        <v>329</v>
      </c>
      <c r="R675" s="196">
        <v>10705</v>
      </c>
      <c r="S675" s="196" t="s">
        <v>436</v>
      </c>
      <c r="T675" s="196" t="s">
        <v>435</v>
      </c>
      <c r="U675" s="196">
        <v>2086</v>
      </c>
      <c r="V675" s="196" t="s">
        <v>435</v>
      </c>
      <c r="W675" s="196" t="s">
        <v>280</v>
      </c>
      <c r="X675" s="196">
        <v>11.882</v>
      </c>
      <c r="Y675" s="199">
        <v>-0.24</v>
      </c>
      <c r="Z675" s="199">
        <v>2.54</v>
      </c>
      <c r="AA675" s="199">
        <v>30.17</v>
      </c>
      <c r="AB675" s="199">
        <v>-2.17</v>
      </c>
      <c r="AC675" s="199">
        <v>0</v>
      </c>
      <c r="AD675" s="199">
        <v>0</v>
      </c>
      <c r="AE675" s="199">
        <v>27.76</v>
      </c>
      <c r="AF675" s="199">
        <v>-4.99</v>
      </c>
      <c r="AG675" s="196" t="s">
        <v>279</v>
      </c>
      <c r="AH675" s="199">
        <v>0</v>
      </c>
      <c r="AI675" s="196" t="s">
        <v>279</v>
      </c>
      <c r="AJ675" s="199">
        <v>0</v>
      </c>
      <c r="AK675" s="196" t="s">
        <v>279</v>
      </c>
      <c r="AL675" s="199">
        <v>0</v>
      </c>
      <c r="AM675" s="196" t="s">
        <v>279</v>
      </c>
      <c r="AN675" s="199">
        <v>0</v>
      </c>
      <c r="AO675" s="196" t="s">
        <v>279</v>
      </c>
      <c r="AP675" s="199">
        <v>0</v>
      </c>
      <c r="AQ675" s="199">
        <v>30.17</v>
      </c>
      <c r="AR675" s="199">
        <v>0</v>
      </c>
      <c r="AS675" s="196" t="str">
        <f t="shared" si="15"/>
        <v>1.00000000</v>
      </c>
      <c r="AT675" s="196" t="str">
        <f>"18.3"</f>
        <v>18.3</v>
      </c>
      <c r="AU675" s="199">
        <v>0</v>
      </c>
    </row>
    <row r="676" spans="1:47" s="196" customFormat="1" x14ac:dyDescent="0.2">
      <c r="A676" s="196" t="str">
        <f t="shared" si="16"/>
        <v>0496002595734</v>
      </c>
      <c r="B676" s="196">
        <v>2</v>
      </c>
      <c r="C676" s="196" t="s">
        <v>435</v>
      </c>
      <c r="D676" s="196">
        <v>80</v>
      </c>
      <c r="E676" s="196">
        <v>80</v>
      </c>
      <c r="F676" s="196" t="s">
        <v>243</v>
      </c>
      <c r="G676" s="196">
        <v>2086</v>
      </c>
      <c r="H676" s="196" t="s">
        <v>270</v>
      </c>
      <c r="I676" s="196">
        <v>816581</v>
      </c>
      <c r="J676" s="197">
        <v>42779</v>
      </c>
      <c r="K676" s="198">
        <v>0.62430555555555556</v>
      </c>
      <c r="L676" s="197">
        <v>42781</v>
      </c>
      <c r="M676" s="196" t="s">
        <v>271</v>
      </c>
      <c r="N676" s="196" t="s">
        <v>272</v>
      </c>
      <c r="O676" s="196" t="s">
        <v>273</v>
      </c>
      <c r="P676" s="196" t="s">
        <v>274</v>
      </c>
      <c r="Q676" s="196" t="s">
        <v>275</v>
      </c>
      <c r="R676" s="196" t="s">
        <v>276</v>
      </c>
      <c r="S676" s="196" t="s">
        <v>436</v>
      </c>
      <c r="T676" s="196" t="s">
        <v>435</v>
      </c>
      <c r="U676" s="196">
        <v>2086</v>
      </c>
      <c r="V676" s="196" t="s">
        <v>435</v>
      </c>
      <c r="W676" s="196" t="s">
        <v>280</v>
      </c>
      <c r="X676" s="196">
        <v>5.0270000000000001</v>
      </c>
      <c r="Y676" s="199">
        <v>-0.1</v>
      </c>
      <c r="Z676" s="199">
        <v>2.16</v>
      </c>
      <c r="AA676" s="199">
        <v>10.85</v>
      </c>
      <c r="AB676" s="199">
        <v>-0.92</v>
      </c>
      <c r="AC676" s="199">
        <v>0</v>
      </c>
      <c r="AD676" s="199">
        <v>0</v>
      </c>
      <c r="AE676" s="199">
        <v>9.83</v>
      </c>
      <c r="AF676" s="199">
        <v>-1.21</v>
      </c>
      <c r="AG676" s="196" t="s">
        <v>279</v>
      </c>
      <c r="AH676" s="199">
        <v>0</v>
      </c>
      <c r="AI676" s="196" t="s">
        <v>279</v>
      </c>
      <c r="AJ676" s="199">
        <v>0</v>
      </c>
      <c r="AK676" s="196" t="s">
        <v>279</v>
      </c>
      <c r="AL676" s="199">
        <v>0</v>
      </c>
      <c r="AM676" s="196" t="s">
        <v>279</v>
      </c>
      <c r="AN676" s="199">
        <v>0</v>
      </c>
      <c r="AO676" s="196" t="s">
        <v>279</v>
      </c>
      <c r="AP676" s="199">
        <v>0</v>
      </c>
      <c r="AQ676" s="199">
        <v>10.85</v>
      </c>
      <c r="AR676" s="199">
        <v>0</v>
      </c>
      <c r="AS676" s="196" t="str">
        <f t="shared" si="15"/>
        <v>1.00000000</v>
      </c>
      <c r="AT676" s="196" t="str">
        <f>"18.3"</f>
        <v>18.3</v>
      </c>
      <c r="AU676" s="199">
        <v>0</v>
      </c>
    </row>
    <row r="677" spans="1:47" s="196" customFormat="1" x14ac:dyDescent="0.2">
      <c r="A677" s="196" t="str">
        <f t="shared" si="16"/>
        <v>0496002595734</v>
      </c>
      <c r="B677" s="196">
        <v>2</v>
      </c>
      <c r="C677" s="196" t="s">
        <v>435</v>
      </c>
      <c r="D677" s="196">
        <v>80</v>
      </c>
      <c r="E677" s="196">
        <v>80</v>
      </c>
      <c r="F677" s="196" t="s">
        <v>243</v>
      </c>
      <c r="G677" s="196">
        <v>2086</v>
      </c>
      <c r="H677" s="196" t="s">
        <v>270</v>
      </c>
      <c r="I677" s="196">
        <v>82079</v>
      </c>
      <c r="J677" s="197">
        <v>42782</v>
      </c>
      <c r="K677" s="198">
        <v>0.59097222222222223</v>
      </c>
      <c r="L677" s="197">
        <v>42786</v>
      </c>
      <c r="M677" s="196" t="s">
        <v>271</v>
      </c>
      <c r="N677" s="196" t="s">
        <v>272</v>
      </c>
      <c r="O677" s="196" t="s">
        <v>273</v>
      </c>
      <c r="P677" s="196" t="s">
        <v>274</v>
      </c>
      <c r="Q677" s="196" t="s">
        <v>275</v>
      </c>
      <c r="R677" s="196" t="s">
        <v>276</v>
      </c>
      <c r="S677" s="196" t="s">
        <v>436</v>
      </c>
      <c r="T677" s="196" t="s">
        <v>435</v>
      </c>
      <c r="U677" s="196">
        <v>2086</v>
      </c>
      <c r="V677" s="196" t="s">
        <v>435</v>
      </c>
      <c r="W677" s="196" t="s">
        <v>280</v>
      </c>
      <c r="X677" s="196">
        <v>5.5640000000000001</v>
      </c>
      <c r="Y677" s="199">
        <v>-0.11</v>
      </c>
      <c r="Z677" s="199">
        <v>2.17</v>
      </c>
      <c r="AA677" s="199">
        <v>12.07</v>
      </c>
      <c r="AB677" s="199">
        <v>-1.02</v>
      </c>
      <c r="AC677" s="199">
        <v>0</v>
      </c>
      <c r="AD677" s="199">
        <v>0</v>
      </c>
      <c r="AE677" s="199">
        <v>10.94</v>
      </c>
      <c r="AF677" s="199">
        <v>-1.34</v>
      </c>
      <c r="AG677" s="196" t="s">
        <v>279</v>
      </c>
      <c r="AH677" s="199">
        <v>0</v>
      </c>
      <c r="AI677" s="196" t="s">
        <v>279</v>
      </c>
      <c r="AJ677" s="199">
        <v>0</v>
      </c>
      <c r="AK677" s="196" t="s">
        <v>279</v>
      </c>
      <c r="AL677" s="199">
        <v>0</v>
      </c>
      <c r="AM677" s="196" t="s">
        <v>279</v>
      </c>
      <c r="AN677" s="199">
        <v>0</v>
      </c>
      <c r="AO677" s="196" t="s">
        <v>279</v>
      </c>
      <c r="AP677" s="199">
        <v>0</v>
      </c>
      <c r="AQ677" s="199">
        <v>12.07</v>
      </c>
      <c r="AR677" s="199">
        <v>0</v>
      </c>
      <c r="AS677" s="196" t="str">
        <f t="shared" si="15"/>
        <v>1.00000000</v>
      </c>
      <c r="AT677" s="196" t="str">
        <f>"18.2"</f>
        <v>18.2</v>
      </c>
      <c r="AU677" s="199">
        <v>0</v>
      </c>
    </row>
    <row r="678" spans="1:47" s="196" customFormat="1" x14ac:dyDescent="0.2">
      <c r="A678" s="196" t="str">
        <f t="shared" si="16"/>
        <v>0496002595734</v>
      </c>
      <c r="B678" s="196">
        <v>2</v>
      </c>
      <c r="C678" s="196" t="s">
        <v>435</v>
      </c>
      <c r="D678" s="196">
        <v>80</v>
      </c>
      <c r="E678" s="196">
        <v>80</v>
      </c>
      <c r="F678" s="196" t="s">
        <v>243</v>
      </c>
      <c r="G678" s="196">
        <v>2086</v>
      </c>
      <c r="H678" s="196" t="s">
        <v>270</v>
      </c>
      <c r="I678" s="196">
        <v>82272</v>
      </c>
      <c r="J678" s="197">
        <v>42783</v>
      </c>
      <c r="K678" s="198">
        <v>0.70138888888888884</v>
      </c>
      <c r="L678" s="197">
        <v>42787</v>
      </c>
      <c r="M678" s="196" t="s">
        <v>271</v>
      </c>
      <c r="N678" s="196" t="s">
        <v>272</v>
      </c>
      <c r="O678" s="196" t="s">
        <v>273</v>
      </c>
      <c r="P678" s="196" t="s">
        <v>274</v>
      </c>
      <c r="Q678" s="196" t="s">
        <v>275</v>
      </c>
      <c r="R678" s="196" t="s">
        <v>276</v>
      </c>
      <c r="S678" s="196" t="s">
        <v>436</v>
      </c>
      <c r="T678" s="196" t="s">
        <v>435</v>
      </c>
      <c r="U678" s="196">
        <v>2086</v>
      </c>
      <c r="V678" s="196" t="s">
        <v>435</v>
      </c>
      <c r="W678" s="196" t="s">
        <v>280</v>
      </c>
      <c r="X678" s="196">
        <v>9.4550000000000001</v>
      </c>
      <c r="Y678" s="199">
        <v>-0.19</v>
      </c>
      <c r="Z678" s="199">
        <v>2.17</v>
      </c>
      <c r="AA678" s="199">
        <v>20.51</v>
      </c>
      <c r="AB678" s="199">
        <v>-1.73</v>
      </c>
      <c r="AC678" s="199">
        <v>0</v>
      </c>
      <c r="AD678" s="199">
        <v>0</v>
      </c>
      <c r="AE678" s="199">
        <v>18.59</v>
      </c>
      <c r="AF678" s="199">
        <v>-2.27</v>
      </c>
      <c r="AG678" s="196" t="s">
        <v>279</v>
      </c>
      <c r="AH678" s="199">
        <v>0</v>
      </c>
      <c r="AI678" s="196" t="s">
        <v>279</v>
      </c>
      <c r="AJ678" s="199">
        <v>0</v>
      </c>
      <c r="AK678" s="196" t="s">
        <v>279</v>
      </c>
      <c r="AL678" s="199">
        <v>0</v>
      </c>
      <c r="AM678" s="196" t="s">
        <v>279</v>
      </c>
      <c r="AN678" s="199">
        <v>0</v>
      </c>
      <c r="AO678" s="196" t="s">
        <v>279</v>
      </c>
      <c r="AP678" s="199">
        <v>0</v>
      </c>
      <c r="AQ678" s="199">
        <v>20.51</v>
      </c>
      <c r="AR678" s="199">
        <v>0</v>
      </c>
      <c r="AS678" s="196" t="str">
        <f t="shared" si="15"/>
        <v>1.00000000</v>
      </c>
      <c r="AT678" s="196" t="str">
        <f>"20.4"</f>
        <v>20.4</v>
      </c>
      <c r="AU678" s="199">
        <v>0</v>
      </c>
    </row>
    <row r="679" spans="1:47" s="196" customFormat="1" x14ac:dyDescent="0.2">
      <c r="A679" s="196" t="str">
        <f t="shared" si="16"/>
        <v>0496002595734</v>
      </c>
      <c r="B679" s="196">
        <v>2</v>
      </c>
      <c r="C679" s="196" t="s">
        <v>435</v>
      </c>
      <c r="D679" s="196">
        <v>80</v>
      </c>
      <c r="E679" s="196">
        <v>80</v>
      </c>
      <c r="F679" s="196" t="s">
        <v>243</v>
      </c>
      <c r="G679" s="196">
        <v>2086</v>
      </c>
      <c r="H679" s="196" t="s">
        <v>270</v>
      </c>
      <c r="I679" s="196">
        <v>82478</v>
      </c>
      <c r="J679" s="197">
        <v>42784</v>
      </c>
      <c r="K679" s="198">
        <v>0.52222222222222225</v>
      </c>
      <c r="L679" s="197">
        <v>42787</v>
      </c>
      <c r="M679" s="196" t="s">
        <v>271</v>
      </c>
      <c r="N679" s="196" t="s">
        <v>272</v>
      </c>
      <c r="O679" s="196" t="s">
        <v>273</v>
      </c>
      <c r="P679" s="196" t="s">
        <v>274</v>
      </c>
      <c r="Q679" s="196" t="s">
        <v>275</v>
      </c>
      <c r="R679" s="196" t="s">
        <v>276</v>
      </c>
      <c r="S679" s="196" t="s">
        <v>436</v>
      </c>
      <c r="T679" s="196" t="s">
        <v>435</v>
      </c>
      <c r="U679" s="196">
        <v>2086</v>
      </c>
      <c r="V679" s="196" t="s">
        <v>435</v>
      </c>
      <c r="W679" s="196" t="s">
        <v>280</v>
      </c>
      <c r="X679" s="196">
        <v>0.57999999999999996</v>
      </c>
      <c r="Y679" s="199">
        <v>-0.01</v>
      </c>
      <c r="Z679" s="199">
        <v>2.17</v>
      </c>
      <c r="AA679" s="199">
        <v>1.26</v>
      </c>
      <c r="AB679" s="199">
        <v>-0.11</v>
      </c>
      <c r="AC679" s="199">
        <v>0</v>
      </c>
      <c r="AD679" s="199">
        <v>0</v>
      </c>
      <c r="AE679" s="199">
        <v>1.1399999999999999</v>
      </c>
      <c r="AF679" s="199">
        <v>-0.14000000000000001</v>
      </c>
      <c r="AG679" s="196" t="s">
        <v>279</v>
      </c>
      <c r="AH679" s="199">
        <v>0</v>
      </c>
      <c r="AI679" s="196" t="s">
        <v>279</v>
      </c>
      <c r="AJ679" s="199">
        <v>0</v>
      </c>
      <c r="AK679" s="196" t="s">
        <v>279</v>
      </c>
      <c r="AL679" s="199">
        <v>0</v>
      </c>
      <c r="AM679" s="196" t="s">
        <v>279</v>
      </c>
      <c r="AN679" s="199">
        <v>0</v>
      </c>
      <c r="AO679" s="196" t="s">
        <v>279</v>
      </c>
      <c r="AP679" s="199">
        <v>0</v>
      </c>
      <c r="AQ679" s="199">
        <v>1.26</v>
      </c>
      <c r="AR679" s="199">
        <v>0</v>
      </c>
      <c r="AS679" s="196" t="str">
        <f t="shared" si="15"/>
        <v>1.00000000</v>
      </c>
      <c r="AT679" s="196" t="str">
        <f>"19.0"</f>
        <v>19.0</v>
      </c>
      <c r="AU679" s="199">
        <v>0</v>
      </c>
    </row>
    <row r="680" spans="1:47" s="196" customFormat="1" x14ac:dyDescent="0.2">
      <c r="A680" s="196" t="str">
        <f t="shared" si="16"/>
        <v>0496002595734</v>
      </c>
      <c r="B680" s="196">
        <v>2</v>
      </c>
      <c r="C680" s="196" t="s">
        <v>435</v>
      </c>
      <c r="D680" s="196">
        <v>80</v>
      </c>
      <c r="E680" s="196">
        <v>80</v>
      </c>
      <c r="F680" s="196" t="s">
        <v>243</v>
      </c>
      <c r="G680" s="196">
        <v>2086</v>
      </c>
      <c r="H680" s="196" t="s">
        <v>270</v>
      </c>
      <c r="I680" s="196">
        <v>82580</v>
      </c>
      <c r="J680" s="197">
        <v>42787</v>
      </c>
      <c r="K680" s="198">
        <v>0.50486111111111109</v>
      </c>
      <c r="L680" s="197">
        <v>42789</v>
      </c>
      <c r="M680" s="196" t="s">
        <v>271</v>
      </c>
      <c r="N680" s="196" t="s">
        <v>272</v>
      </c>
      <c r="O680" s="196" t="s">
        <v>273</v>
      </c>
      <c r="P680" s="196" t="s">
        <v>274</v>
      </c>
      <c r="Q680" s="196" t="s">
        <v>275</v>
      </c>
      <c r="R680" s="196" t="s">
        <v>276</v>
      </c>
      <c r="S680" s="196" t="s">
        <v>436</v>
      </c>
      <c r="T680" s="196" t="s">
        <v>435</v>
      </c>
      <c r="U680" s="196">
        <v>2086</v>
      </c>
      <c r="V680" s="196" t="s">
        <v>435</v>
      </c>
      <c r="W680" s="196" t="s">
        <v>280</v>
      </c>
      <c r="X680" s="196">
        <v>9.077</v>
      </c>
      <c r="Y680" s="199">
        <v>-0.18</v>
      </c>
      <c r="Z680" s="199">
        <v>2.17</v>
      </c>
      <c r="AA680" s="199">
        <v>19.690000000000001</v>
      </c>
      <c r="AB680" s="199">
        <v>-1.66</v>
      </c>
      <c r="AC680" s="199">
        <v>0</v>
      </c>
      <c r="AD680" s="199">
        <v>0</v>
      </c>
      <c r="AE680" s="199">
        <v>17.850000000000001</v>
      </c>
      <c r="AF680" s="199">
        <v>-2.1800000000000002</v>
      </c>
      <c r="AG680" s="196" t="s">
        <v>279</v>
      </c>
      <c r="AH680" s="199">
        <v>0</v>
      </c>
      <c r="AI680" s="196" t="s">
        <v>279</v>
      </c>
      <c r="AJ680" s="199">
        <v>0</v>
      </c>
      <c r="AK680" s="196" t="s">
        <v>279</v>
      </c>
      <c r="AL680" s="199">
        <v>0</v>
      </c>
      <c r="AM680" s="196" t="s">
        <v>279</v>
      </c>
      <c r="AN680" s="199">
        <v>0</v>
      </c>
      <c r="AO680" s="196" t="s">
        <v>279</v>
      </c>
      <c r="AP680" s="199">
        <v>0</v>
      </c>
      <c r="AQ680" s="199">
        <v>19.690000000000001</v>
      </c>
      <c r="AR680" s="199">
        <v>0</v>
      </c>
      <c r="AS680" s="196" t="str">
        <f t="shared" si="15"/>
        <v>1.00000000</v>
      </c>
      <c r="AT680" s="196" t="str">
        <f>"18.3"</f>
        <v>18.3</v>
      </c>
      <c r="AU680" s="199">
        <v>0</v>
      </c>
    </row>
    <row r="681" spans="1:47" s="196" customFormat="1" x14ac:dyDescent="0.2">
      <c r="A681" s="196" t="str">
        <f t="shared" si="16"/>
        <v>0496002595734</v>
      </c>
      <c r="B681" s="196">
        <v>2</v>
      </c>
      <c r="C681" s="196" t="s">
        <v>435</v>
      </c>
      <c r="D681" s="196">
        <v>80</v>
      </c>
      <c r="E681" s="196">
        <v>80</v>
      </c>
      <c r="F681" s="196" t="s">
        <v>243</v>
      </c>
      <c r="G681" s="196">
        <v>2086</v>
      </c>
      <c r="H681" s="196" t="s">
        <v>270</v>
      </c>
      <c r="I681" s="196">
        <v>82861</v>
      </c>
      <c r="J681" s="197">
        <v>42815</v>
      </c>
      <c r="K681" s="198">
        <v>0.69513888888888886</v>
      </c>
      <c r="L681" s="197">
        <v>42817</v>
      </c>
      <c r="M681" s="196" t="s">
        <v>271</v>
      </c>
      <c r="N681" s="196" t="s">
        <v>272</v>
      </c>
      <c r="O681" s="196" t="s">
        <v>273</v>
      </c>
      <c r="P681" s="196" t="s">
        <v>274</v>
      </c>
      <c r="Q681" s="196" t="s">
        <v>275</v>
      </c>
      <c r="R681" s="196" t="s">
        <v>276</v>
      </c>
      <c r="S681" s="196" t="s">
        <v>436</v>
      </c>
      <c r="T681" s="196" t="s">
        <v>435</v>
      </c>
      <c r="U681" s="196">
        <v>2086</v>
      </c>
      <c r="V681" s="196" t="s">
        <v>435</v>
      </c>
      <c r="W681" s="196" t="s">
        <v>280</v>
      </c>
      <c r="X681" s="196">
        <v>8.5440000000000005</v>
      </c>
      <c r="Y681" s="199">
        <v>-0.17</v>
      </c>
      <c r="Z681" s="199">
        <v>2.2000000000000002</v>
      </c>
      <c r="AA681" s="199">
        <v>18.79</v>
      </c>
      <c r="AB681" s="199">
        <v>-1.56</v>
      </c>
      <c r="AC681" s="199">
        <v>0</v>
      </c>
      <c r="AD681" s="199">
        <v>0</v>
      </c>
      <c r="AE681" s="199">
        <v>17.059999999999999</v>
      </c>
      <c r="AF681" s="199">
        <v>-2.0499999999999998</v>
      </c>
      <c r="AG681" s="196" t="s">
        <v>279</v>
      </c>
      <c r="AH681" s="199">
        <v>0</v>
      </c>
      <c r="AI681" s="196" t="s">
        <v>279</v>
      </c>
      <c r="AJ681" s="199">
        <v>0</v>
      </c>
      <c r="AK681" s="196" t="s">
        <v>279</v>
      </c>
      <c r="AL681" s="199">
        <v>0</v>
      </c>
      <c r="AM681" s="196" t="s">
        <v>279</v>
      </c>
      <c r="AN681" s="199">
        <v>0</v>
      </c>
      <c r="AO681" s="196" t="s">
        <v>279</v>
      </c>
      <c r="AP681" s="199">
        <v>0</v>
      </c>
      <c r="AQ681" s="199">
        <v>18.79</v>
      </c>
      <c r="AR681" s="199">
        <v>0</v>
      </c>
      <c r="AS681" s="196" t="str">
        <f t="shared" si="15"/>
        <v>1.00000000</v>
      </c>
      <c r="AT681" s="196" t="str">
        <f>"18.3"</f>
        <v>18.3</v>
      </c>
      <c r="AU681" s="199">
        <v>0</v>
      </c>
    </row>
    <row r="682" spans="1:47" s="196" customFormat="1" x14ac:dyDescent="0.2">
      <c r="A682" s="196" t="str">
        <f t="shared" si="16"/>
        <v>0496002595734</v>
      </c>
      <c r="B682" s="196">
        <v>2</v>
      </c>
      <c r="C682" s="196" t="s">
        <v>435</v>
      </c>
      <c r="D682" s="196">
        <v>80</v>
      </c>
      <c r="E682" s="196">
        <v>80</v>
      </c>
      <c r="F682" s="196" t="s">
        <v>243</v>
      </c>
      <c r="G682" s="196">
        <v>2086</v>
      </c>
      <c r="H682" s="196" t="s">
        <v>270</v>
      </c>
      <c r="I682" s="196">
        <v>83152</v>
      </c>
      <c r="J682" s="197">
        <v>42818</v>
      </c>
      <c r="K682" s="198">
        <v>2.0833333333333332E-2</v>
      </c>
      <c r="L682" s="197">
        <v>42822</v>
      </c>
      <c r="M682" s="196" t="s">
        <v>302</v>
      </c>
      <c r="N682" s="196" t="s">
        <v>491</v>
      </c>
      <c r="O682" s="196" t="s">
        <v>492</v>
      </c>
      <c r="P682" s="196" t="s">
        <v>493</v>
      </c>
      <c r="Q682" s="196" t="s">
        <v>309</v>
      </c>
      <c r="R682" s="196">
        <v>6831</v>
      </c>
      <c r="S682" s="196" t="s">
        <v>436</v>
      </c>
      <c r="T682" s="196" t="s">
        <v>435</v>
      </c>
      <c r="U682" s="196">
        <v>2086</v>
      </c>
      <c r="V682" s="196" t="s">
        <v>435</v>
      </c>
      <c r="W682" s="196" t="s">
        <v>280</v>
      </c>
      <c r="X682" s="196">
        <v>9.3620000000000001</v>
      </c>
      <c r="Y682" s="199">
        <v>0</v>
      </c>
      <c r="Z682" s="199">
        <v>2.66</v>
      </c>
      <c r="AA682" s="199">
        <v>24.89</v>
      </c>
      <c r="AB682" s="199">
        <v>-1.71</v>
      </c>
      <c r="AC682" s="199">
        <v>0</v>
      </c>
      <c r="AD682" s="199">
        <v>0</v>
      </c>
      <c r="AE682" s="199">
        <v>23.18</v>
      </c>
      <c r="AF682" s="199">
        <v>-2.34</v>
      </c>
      <c r="AG682" s="196" t="s">
        <v>279</v>
      </c>
      <c r="AH682" s="199">
        <v>0</v>
      </c>
      <c r="AI682" s="196" t="s">
        <v>279</v>
      </c>
      <c r="AJ682" s="199">
        <v>0</v>
      </c>
      <c r="AK682" s="196" t="s">
        <v>279</v>
      </c>
      <c r="AL682" s="199">
        <v>0</v>
      </c>
      <c r="AM682" s="196" t="s">
        <v>279</v>
      </c>
      <c r="AN682" s="199">
        <v>0</v>
      </c>
      <c r="AO682" s="196" t="s">
        <v>279</v>
      </c>
      <c r="AP682" s="199">
        <v>0</v>
      </c>
      <c r="AQ682" s="199">
        <v>24.89</v>
      </c>
      <c r="AR682" s="199">
        <v>0</v>
      </c>
      <c r="AS682" s="196" t="str">
        <f t="shared" si="15"/>
        <v>1.00000000</v>
      </c>
      <c r="AT682" s="196" t="str">
        <f>"18.3"</f>
        <v>18.3</v>
      </c>
      <c r="AU682" s="199">
        <v>0</v>
      </c>
    </row>
    <row r="683" spans="1:47" s="196" customFormat="1" x14ac:dyDescent="0.2">
      <c r="A683" s="196" t="str">
        <f t="shared" si="16"/>
        <v>0496002595734</v>
      </c>
      <c r="B683" s="196">
        <v>2</v>
      </c>
      <c r="C683" s="196" t="s">
        <v>435</v>
      </c>
      <c r="D683" s="196">
        <v>80</v>
      </c>
      <c r="E683" s="196">
        <v>80</v>
      </c>
      <c r="F683" s="196" t="s">
        <v>243</v>
      </c>
      <c r="G683" s="196">
        <v>2086</v>
      </c>
      <c r="H683" s="196" t="s">
        <v>270</v>
      </c>
      <c r="I683" s="196">
        <v>83460</v>
      </c>
      <c r="J683" s="197">
        <v>42818</v>
      </c>
      <c r="K683" s="198">
        <v>0.64444444444444449</v>
      </c>
      <c r="L683" s="197">
        <v>42822</v>
      </c>
      <c r="M683" s="196" t="s">
        <v>302</v>
      </c>
      <c r="N683" s="196" t="s">
        <v>494</v>
      </c>
      <c r="O683" s="196" t="s">
        <v>495</v>
      </c>
      <c r="P683" s="196" t="s">
        <v>496</v>
      </c>
      <c r="Q683" s="196" t="s">
        <v>377</v>
      </c>
      <c r="R683" s="196" t="s">
        <v>497</v>
      </c>
      <c r="S683" s="196" t="s">
        <v>436</v>
      </c>
      <c r="T683" s="196" t="s">
        <v>435</v>
      </c>
      <c r="U683" s="196">
        <v>2086</v>
      </c>
      <c r="V683" s="196" t="s">
        <v>435</v>
      </c>
      <c r="W683" s="196" t="s">
        <v>280</v>
      </c>
      <c r="X683" s="196">
        <v>11.298999999999999</v>
      </c>
      <c r="Y683" s="199">
        <v>0</v>
      </c>
      <c r="Z683" s="199">
        <v>2.2999999999999998</v>
      </c>
      <c r="AA683" s="199">
        <v>25.98</v>
      </c>
      <c r="AB683" s="199">
        <v>-2.0699999999999998</v>
      </c>
      <c r="AC683" s="199">
        <v>0</v>
      </c>
      <c r="AD683" s="199">
        <v>0</v>
      </c>
      <c r="AE683" s="199">
        <v>23.91</v>
      </c>
      <c r="AF683" s="199">
        <v>-2.71</v>
      </c>
      <c r="AG683" s="196" t="s">
        <v>279</v>
      </c>
      <c r="AH683" s="199">
        <v>0</v>
      </c>
      <c r="AI683" s="196" t="s">
        <v>279</v>
      </c>
      <c r="AJ683" s="199">
        <v>0</v>
      </c>
      <c r="AK683" s="196" t="s">
        <v>279</v>
      </c>
      <c r="AL683" s="199">
        <v>0</v>
      </c>
      <c r="AM683" s="196" t="s">
        <v>279</v>
      </c>
      <c r="AN683" s="199">
        <v>0</v>
      </c>
      <c r="AO683" s="196" t="s">
        <v>279</v>
      </c>
      <c r="AP683" s="199">
        <v>0</v>
      </c>
      <c r="AQ683" s="199">
        <v>25.98</v>
      </c>
      <c r="AR683" s="199">
        <v>0</v>
      </c>
      <c r="AS683" s="196" t="str">
        <f t="shared" si="15"/>
        <v>1.00000000</v>
      </c>
      <c r="AT683" s="196" t="str">
        <f>"18.2"</f>
        <v>18.2</v>
      </c>
      <c r="AU683" s="199">
        <v>0</v>
      </c>
    </row>
    <row r="684" spans="1:47" s="196" customFormat="1" x14ac:dyDescent="0.2">
      <c r="A684" s="196" t="str">
        <f t="shared" si="16"/>
        <v>0496002595734</v>
      </c>
      <c r="B684" s="196">
        <v>2</v>
      </c>
      <c r="C684" s="196" t="s">
        <v>435</v>
      </c>
      <c r="D684" s="196">
        <v>80</v>
      </c>
      <c r="E684" s="196">
        <v>80</v>
      </c>
      <c r="F684" s="196" t="s">
        <v>243</v>
      </c>
      <c r="G684" s="196">
        <v>2086</v>
      </c>
      <c r="H684" s="196" t="s">
        <v>270</v>
      </c>
      <c r="I684" s="196">
        <v>83281</v>
      </c>
      <c r="J684" s="197">
        <v>42820</v>
      </c>
      <c r="K684" s="198">
        <v>0.69374999999999998</v>
      </c>
      <c r="L684" s="197">
        <v>42822</v>
      </c>
      <c r="M684" s="196" t="s">
        <v>294</v>
      </c>
      <c r="N684" s="196" t="s">
        <v>498</v>
      </c>
      <c r="O684" s="196" t="s">
        <v>499</v>
      </c>
      <c r="P684" s="196" t="s">
        <v>500</v>
      </c>
      <c r="Q684" s="196" t="s">
        <v>377</v>
      </c>
      <c r="R684" s="196">
        <v>5855</v>
      </c>
      <c r="S684" s="196" t="s">
        <v>436</v>
      </c>
      <c r="T684" s="196" t="s">
        <v>435</v>
      </c>
      <c r="U684" s="196">
        <v>2086</v>
      </c>
      <c r="V684" s="196" t="s">
        <v>435</v>
      </c>
      <c r="W684" s="196" t="s">
        <v>280</v>
      </c>
      <c r="X684" s="196">
        <v>11.89</v>
      </c>
      <c r="Y684" s="199">
        <v>0</v>
      </c>
      <c r="Z684" s="199">
        <v>2.2999999999999998</v>
      </c>
      <c r="AA684" s="199">
        <v>27.34</v>
      </c>
      <c r="AB684" s="199">
        <v>-2.1800000000000002</v>
      </c>
      <c r="AC684" s="199">
        <v>0</v>
      </c>
      <c r="AD684" s="199">
        <v>0</v>
      </c>
      <c r="AE684" s="199">
        <v>25.16</v>
      </c>
      <c r="AF684" s="199">
        <v>-2.85</v>
      </c>
      <c r="AG684" s="196" t="s">
        <v>279</v>
      </c>
      <c r="AH684" s="199">
        <v>0</v>
      </c>
      <c r="AI684" s="196" t="s">
        <v>279</v>
      </c>
      <c r="AJ684" s="199">
        <v>0</v>
      </c>
      <c r="AK684" s="196" t="s">
        <v>279</v>
      </c>
      <c r="AL684" s="199">
        <v>0</v>
      </c>
      <c r="AM684" s="196" t="s">
        <v>279</v>
      </c>
      <c r="AN684" s="199">
        <v>0</v>
      </c>
      <c r="AO684" s="196" t="s">
        <v>279</v>
      </c>
      <c r="AP684" s="199">
        <v>0</v>
      </c>
      <c r="AQ684" s="199">
        <v>27.34</v>
      </c>
      <c r="AR684" s="199">
        <v>0</v>
      </c>
      <c r="AS684" s="196" t="str">
        <f t="shared" si="15"/>
        <v>1.00000000</v>
      </c>
      <c r="AT684" s="196" t="str">
        <f>"18.2"</f>
        <v>18.2</v>
      </c>
      <c r="AU684" s="199">
        <v>0</v>
      </c>
    </row>
    <row r="685" spans="1:47" s="196" customFormat="1" x14ac:dyDescent="0.2">
      <c r="A685" s="196" t="str">
        <f t="shared" si="16"/>
        <v>0496002595734</v>
      </c>
      <c r="B685" s="196">
        <v>2</v>
      </c>
      <c r="C685" s="196" t="s">
        <v>435</v>
      </c>
      <c r="D685" s="196">
        <v>80</v>
      </c>
      <c r="E685" s="196">
        <v>80</v>
      </c>
      <c r="F685" s="196" t="s">
        <v>243</v>
      </c>
      <c r="G685" s="196">
        <v>2086</v>
      </c>
      <c r="H685" s="196" t="s">
        <v>270</v>
      </c>
      <c r="I685" s="196">
        <v>84252</v>
      </c>
      <c r="J685" s="197">
        <v>42823</v>
      </c>
      <c r="K685" s="198">
        <v>0.9243055555555556</v>
      </c>
      <c r="L685" s="197">
        <v>42825</v>
      </c>
      <c r="M685" s="196" t="s">
        <v>271</v>
      </c>
      <c r="N685" s="196" t="s">
        <v>272</v>
      </c>
      <c r="O685" s="196" t="s">
        <v>273</v>
      </c>
      <c r="P685" s="196" t="s">
        <v>274</v>
      </c>
      <c r="Q685" s="196" t="s">
        <v>275</v>
      </c>
      <c r="R685" s="196" t="s">
        <v>276</v>
      </c>
      <c r="S685" s="196" t="s">
        <v>436</v>
      </c>
      <c r="T685" s="196" t="s">
        <v>435</v>
      </c>
      <c r="U685" s="196">
        <v>2086</v>
      </c>
      <c r="V685" s="196" t="s">
        <v>435</v>
      </c>
      <c r="W685" s="196" t="s">
        <v>280</v>
      </c>
      <c r="X685" s="196">
        <v>8.5719999999999992</v>
      </c>
      <c r="Y685" s="199">
        <v>-0.17</v>
      </c>
      <c r="Z685" s="199">
        <v>2.1800000000000002</v>
      </c>
      <c r="AA685" s="199">
        <v>18.68</v>
      </c>
      <c r="AB685" s="199">
        <v>-1.57</v>
      </c>
      <c r="AC685" s="199">
        <v>0</v>
      </c>
      <c r="AD685" s="199">
        <v>0</v>
      </c>
      <c r="AE685" s="199">
        <v>16.940000000000001</v>
      </c>
      <c r="AF685" s="199">
        <v>-2.06</v>
      </c>
      <c r="AG685" s="196" t="s">
        <v>279</v>
      </c>
      <c r="AH685" s="199">
        <v>0</v>
      </c>
      <c r="AI685" s="196" t="s">
        <v>279</v>
      </c>
      <c r="AJ685" s="199">
        <v>0</v>
      </c>
      <c r="AK685" s="196" t="s">
        <v>279</v>
      </c>
      <c r="AL685" s="199">
        <v>0</v>
      </c>
      <c r="AM685" s="196" t="s">
        <v>279</v>
      </c>
      <c r="AN685" s="199">
        <v>0</v>
      </c>
      <c r="AO685" s="196" t="s">
        <v>279</v>
      </c>
      <c r="AP685" s="199">
        <v>0</v>
      </c>
      <c r="AQ685" s="199">
        <v>18.68</v>
      </c>
      <c r="AR685" s="199">
        <v>0</v>
      </c>
      <c r="AS685" s="196" t="str">
        <f t="shared" si="15"/>
        <v>1.00000000</v>
      </c>
      <c r="AT685" s="196" t="str">
        <f>"27.3"</f>
        <v>27.3</v>
      </c>
      <c r="AU685" s="199">
        <v>0</v>
      </c>
    </row>
    <row r="686" spans="1:47" s="196" customFormat="1" x14ac:dyDescent="0.2">
      <c r="A686" s="196" t="str">
        <f t="shared" si="16"/>
        <v>0496002595734</v>
      </c>
      <c r="B686" s="196">
        <v>2</v>
      </c>
      <c r="C686" s="196" t="s">
        <v>435</v>
      </c>
      <c r="D686" s="196">
        <v>80</v>
      </c>
      <c r="E686" s="196">
        <v>80</v>
      </c>
      <c r="F686" s="196" t="s">
        <v>243</v>
      </c>
      <c r="G686" s="196">
        <v>2086</v>
      </c>
      <c r="H686" s="196" t="s">
        <v>270</v>
      </c>
      <c r="I686" s="196">
        <v>84541</v>
      </c>
      <c r="J686" s="197">
        <v>42827</v>
      </c>
      <c r="K686" s="198">
        <v>0.77916666666666667</v>
      </c>
      <c r="L686" s="197">
        <v>42829</v>
      </c>
      <c r="M686" s="196" t="s">
        <v>271</v>
      </c>
      <c r="N686" s="196" t="s">
        <v>272</v>
      </c>
      <c r="O686" s="196" t="s">
        <v>273</v>
      </c>
      <c r="P686" s="196" t="s">
        <v>274</v>
      </c>
      <c r="Q686" s="196" t="s">
        <v>275</v>
      </c>
      <c r="R686" s="196" t="s">
        <v>276</v>
      </c>
      <c r="S686" s="196" t="s">
        <v>436</v>
      </c>
      <c r="T686" s="196" t="s">
        <v>435</v>
      </c>
      <c r="U686" s="196">
        <v>2086</v>
      </c>
      <c r="V686" s="196" t="s">
        <v>435</v>
      </c>
      <c r="W686" s="196" t="s">
        <v>280</v>
      </c>
      <c r="X686" s="196">
        <v>8.9169999999999998</v>
      </c>
      <c r="Y686" s="199">
        <v>-0.18</v>
      </c>
      <c r="Z686" s="199">
        <v>2.2000000000000002</v>
      </c>
      <c r="AA686" s="199">
        <v>19.61</v>
      </c>
      <c r="AB686" s="199">
        <v>-1.63</v>
      </c>
      <c r="AC686" s="199">
        <v>0</v>
      </c>
      <c r="AD686" s="199">
        <v>0</v>
      </c>
      <c r="AE686" s="199">
        <v>17.8</v>
      </c>
      <c r="AF686" s="199">
        <v>-2.14</v>
      </c>
      <c r="AG686" s="196" t="s">
        <v>279</v>
      </c>
      <c r="AH686" s="199">
        <v>0</v>
      </c>
      <c r="AI686" s="196" t="s">
        <v>279</v>
      </c>
      <c r="AJ686" s="199">
        <v>0</v>
      </c>
      <c r="AK686" s="196" t="s">
        <v>279</v>
      </c>
      <c r="AL686" s="199">
        <v>0</v>
      </c>
      <c r="AM686" s="196" t="s">
        <v>279</v>
      </c>
      <c r="AN686" s="199">
        <v>0</v>
      </c>
      <c r="AO686" s="196" t="s">
        <v>279</v>
      </c>
      <c r="AP686" s="199">
        <v>0</v>
      </c>
      <c r="AQ686" s="199">
        <v>19.61</v>
      </c>
      <c r="AR686" s="199">
        <v>0</v>
      </c>
      <c r="AS686" s="196" t="str">
        <f t="shared" si="15"/>
        <v>1.00000000</v>
      </c>
      <c r="AT686" s="196" t="str">
        <f>"32.4"</f>
        <v>32.4</v>
      </c>
      <c r="AU686" s="199">
        <v>0</v>
      </c>
    </row>
    <row r="687" spans="1:47" s="196" customFormat="1" x14ac:dyDescent="0.2">
      <c r="A687" s="196" t="str">
        <f t="shared" si="16"/>
        <v>0496002595734</v>
      </c>
      <c r="B687" s="196">
        <v>2</v>
      </c>
      <c r="C687" s="196" t="s">
        <v>435</v>
      </c>
      <c r="D687" s="196">
        <v>80</v>
      </c>
      <c r="E687" s="196">
        <v>80</v>
      </c>
      <c r="F687" s="196" t="s">
        <v>243</v>
      </c>
      <c r="G687" s="196">
        <v>2086</v>
      </c>
      <c r="H687" s="196" t="s">
        <v>270</v>
      </c>
      <c r="I687" s="196">
        <v>84849</v>
      </c>
      <c r="J687" s="197">
        <v>42835</v>
      </c>
      <c r="K687" s="198">
        <v>0.40208333333333335</v>
      </c>
      <c r="L687" s="197">
        <v>42837</v>
      </c>
      <c r="M687" s="196" t="s">
        <v>302</v>
      </c>
      <c r="N687" s="196" t="s">
        <v>501</v>
      </c>
      <c r="O687" s="196" t="s">
        <v>502</v>
      </c>
      <c r="P687" s="196" t="s">
        <v>274</v>
      </c>
      <c r="Q687" s="196" t="s">
        <v>275</v>
      </c>
      <c r="R687" s="196">
        <v>1002</v>
      </c>
      <c r="S687" s="196" t="s">
        <v>436</v>
      </c>
      <c r="T687" s="196" t="s">
        <v>435</v>
      </c>
      <c r="U687" s="196">
        <v>2086</v>
      </c>
      <c r="V687" s="196" t="s">
        <v>435</v>
      </c>
      <c r="W687" s="196" t="s">
        <v>280</v>
      </c>
      <c r="X687" s="196">
        <v>10.195</v>
      </c>
      <c r="Y687" s="199">
        <v>0</v>
      </c>
      <c r="Z687" s="199">
        <v>2.35</v>
      </c>
      <c r="AA687" s="199">
        <v>23.95</v>
      </c>
      <c r="AB687" s="199">
        <v>-1.87</v>
      </c>
      <c r="AC687" s="199">
        <v>0</v>
      </c>
      <c r="AD687" s="199">
        <v>0</v>
      </c>
      <c r="AE687" s="199">
        <v>22.08</v>
      </c>
      <c r="AF687" s="199">
        <v>-2.4500000000000002</v>
      </c>
      <c r="AG687" s="196" t="s">
        <v>279</v>
      </c>
      <c r="AH687" s="199">
        <v>0</v>
      </c>
      <c r="AI687" s="196" t="s">
        <v>279</v>
      </c>
      <c r="AJ687" s="199">
        <v>0</v>
      </c>
      <c r="AK687" s="196" t="s">
        <v>279</v>
      </c>
      <c r="AL687" s="199">
        <v>0</v>
      </c>
      <c r="AM687" s="196" t="s">
        <v>279</v>
      </c>
      <c r="AN687" s="199">
        <v>0</v>
      </c>
      <c r="AO687" s="196" t="s">
        <v>279</v>
      </c>
      <c r="AP687" s="199">
        <v>0</v>
      </c>
      <c r="AQ687" s="199">
        <v>23.95</v>
      </c>
      <c r="AR687" s="199">
        <v>0</v>
      </c>
      <c r="AS687" s="196" t="str">
        <f t="shared" si="15"/>
        <v>1.00000000</v>
      </c>
      <c r="AT687" s="196" t="str">
        <f>"30.2"</f>
        <v>30.2</v>
      </c>
      <c r="AU687" s="199">
        <v>0</v>
      </c>
    </row>
    <row r="688" spans="1:47" s="196" customFormat="1" x14ac:dyDescent="0.2">
      <c r="A688" s="196" t="str">
        <f t="shared" si="16"/>
        <v>0496002595734</v>
      </c>
      <c r="B688" s="196">
        <v>2</v>
      </c>
      <c r="C688" s="196" t="s">
        <v>435</v>
      </c>
      <c r="D688" s="196">
        <v>80</v>
      </c>
      <c r="E688" s="196">
        <v>80</v>
      </c>
      <c r="F688" s="196" t="s">
        <v>243</v>
      </c>
      <c r="G688" s="196">
        <v>2086</v>
      </c>
      <c r="H688" s="196" t="s">
        <v>270</v>
      </c>
      <c r="I688" s="196">
        <v>85200</v>
      </c>
      <c r="J688" s="197">
        <v>42840</v>
      </c>
      <c r="K688" s="198">
        <v>0.35775462962962962</v>
      </c>
      <c r="L688" s="197">
        <v>42843</v>
      </c>
      <c r="M688" s="196" t="s">
        <v>310</v>
      </c>
      <c r="N688" s="196" t="s">
        <v>331</v>
      </c>
      <c r="O688" s="196" t="s">
        <v>332</v>
      </c>
      <c r="P688" s="196" t="s">
        <v>274</v>
      </c>
      <c r="Q688" s="196" t="s">
        <v>275</v>
      </c>
      <c r="R688" s="196">
        <v>1002</v>
      </c>
      <c r="S688" s="196" t="s">
        <v>436</v>
      </c>
      <c r="T688" s="196" t="s">
        <v>435</v>
      </c>
      <c r="U688" s="196">
        <v>2086</v>
      </c>
      <c r="V688" s="196" t="s">
        <v>435</v>
      </c>
      <c r="W688" s="196" t="s">
        <v>280</v>
      </c>
      <c r="X688" s="196">
        <v>11.869</v>
      </c>
      <c r="Y688" s="199">
        <v>0</v>
      </c>
      <c r="Z688" s="199">
        <v>2.36</v>
      </c>
      <c r="AA688" s="199">
        <v>28</v>
      </c>
      <c r="AB688" s="199">
        <v>-2.17</v>
      </c>
      <c r="AC688" s="199">
        <v>0</v>
      </c>
      <c r="AD688" s="199">
        <v>0</v>
      </c>
      <c r="AE688" s="199">
        <v>25.83</v>
      </c>
      <c r="AF688" s="199">
        <v>-2.85</v>
      </c>
      <c r="AG688" s="196" t="s">
        <v>279</v>
      </c>
      <c r="AH688" s="199">
        <v>0</v>
      </c>
      <c r="AI688" s="196" t="s">
        <v>279</v>
      </c>
      <c r="AJ688" s="199">
        <v>0</v>
      </c>
      <c r="AK688" s="196" t="s">
        <v>279</v>
      </c>
      <c r="AL688" s="199">
        <v>0</v>
      </c>
      <c r="AM688" s="196" t="s">
        <v>279</v>
      </c>
      <c r="AN688" s="199">
        <v>0</v>
      </c>
      <c r="AO688" s="196" t="s">
        <v>279</v>
      </c>
      <c r="AP688" s="199">
        <v>0</v>
      </c>
      <c r="AQ688" s="199">
        <v>28</v>
      </c>
      <c r="AR688" s="199">
        <v>0</v>
      </c>
      <c r="AS688" s="196" t="str">
        <f t="shared" si="15"/>
        <v>1.00000000</v>
      </c>
      <c r="AT688" s="196" t="str">
        <f>"29.6"</f>
        <v>29.6</v>
      </c>
      <c r="AU688" s="199">
        <v>0</v>
      </c>
    </row>
    <row r="689" spans="1:47" s="196" customFormat="1" x14ac:dyDescent="0.2">
      <c r="A689" s="196" t="str">
        <f t="shared" si="16"/>
        <v>0496002595734</v>
      </c>
      <c r="B689" s="196">
        <v>2</v>
      </c>
      <c r="C689" s="196" t="s">
        <v>435</v>
      </c>
      <c r="D689" s="196">
        <v>80</v>
      </c>
      <c r="E689" s="196">
        <v>80</v>
      </c>
      <c r="F689" s="196" t="s">
        <v>243</v>
      </c>
      <c r="G689" s="196">
        <v>2086</v>
      </c>
      <c r="H689" s="196" t="s">
        <v>270</v>
      </c>
      <c r="I689" s="196">
        <v>85537</v>
      </c>
      <c r="J689" s="197">
        <v>42842</v>
      </c>
      <c r="K689" s="198">
        <v>0.60763888888888895</v>
      </c>
      <c r="L689" s="197">
        <v>42844</v>
      </c>
      <c r="M689" s="196" t="s">
        <v>271</v>
      </c>
      <c r="N689" s="196" t="s">
        <v>272</v>
      </c>
      <c r="O689" s="196" t="s">
        <v>273</v>
      </c>
      <c r="P689" s="196" t="s">
        <v>274</v>
      </c>
      <c r="Q689" s="196" t="s">
        <v>275</v>
      </c>
      <c r="R689" s="196" t="s">
        <v>276</v>
      </c>
      <c r="S689" s="196" t="s">
        <v>436</v>
      </c>
      <c r="T689" s="196" t="s">
        <v>435</v>
      </c>
      <c r="U689" s="196">
        <v>2086</v>
      </c>
      <c r="V689" s="196" t="s">
        <v>435</v>
      </c>
      <c r="W689" s="196" t="s">
        <v>278</v>
      </c>
      <c r="X689" s="196">
        <v>6.9130000000000003</v>
      </c>
      <c r="Y689" s="199">
        <v>-0.14000000000000001</v>
      </c>
      <c r="Z689" s="199">
        <v>2.67</v>
      </c>
      <c r="AA689" s="199">
        <v>18.46</v>
      </c>
      <c r="AB689" s="199">
        <v>-1.27</v>
      </c>
      <c r="AC689" s="199">
        <v>0</v>
      </c>
      <c r="AD689" s="199">
        <v>0</v>
      </c>
      <c r="AE689" s="199">
        <v>17.05</v>
      </c>
      <c r="AF689" s="199">
        <v>-1.66</v>
      </c>
      <c r="AG689" s="196" t="s">
        <v>279</v>
      </c>
      <c r="AH689" s="199">
        <v>0</v>
      </c>
      <c r="AI689" s="196" t="s">
        <v>279</v>
      </c>
      <c r="AJ689" s="199">
        <v>0</v>
      </c>
      <c r="AK689" s="196" t="s">
        <v>279</v>
      </c>
      <c r="AL689" s="199">
        <v>0</v>
      </c>
      <c r="AM689" s="196" t="s">
        <v>279</v>
      </c>
      <c r="AN689" s="199">
        <v>0</v>
      </c>
      <c r="AO689" s="196" t="s">
        <v>279</v>
      </c>
      <c r="AP689" s="199">
        <v>0</v>
      </c>
      <c r="AQ689" s="199">
        <v>18.46</v>
      </c>
      <c r="AR689" s="199">
        <v>0</v>
      </c>
      <c r="AS689" s="196" t="str">
        <f t="shared" si="15"/>
        <v>1.00000000</v>
      </c>
      <c r="AT689" s="196" t="str">
        <f>"27.2"</f>
        <v>27.2</v>
      </c>
      <c r="AU689" s="199">
        <v>0</v>
      </c>
    </row>
    <row r="690" spans="1:47" s="196" customFormat="1" x14ac:dyDescent="0.2">
      <c r="A690" s="196" t="str">
        <f t="shared" si="16"/>
        <v>0496002595734</v>
      </c>
      <c r="B690" s="196">
        <v>2</v>
      </c>
      <c r="C690" s="196" t="s">
        <v>435</v>
      </c>
      <c r="D690" s="196">
        <v>80</v>
      </c>
      <c r="E690" s="196">
        <v>80</v>
      </c>
      <c r="F690" s="196" t="s">
        <v>243</v>
      </c>
      <c r="G690" s="196">
        <v>2086</v>
      </c>
      <c r="H690" s="196" t="s">
        <v>270</v>
      </c>
      <c r="I690" s="196">
        <v>85640</v>
      </c>
      <c r="J690" s="197">
        <v>42844</v>
      </c>
      <c r="K690" s="198">
        <v>0.45902777777777781</v>
      </c>
      <c r="L690" s="197">
        <v>42846</v>
      </c>
      <c r="M690" s="196" t="s">
        <v>271</v>
      </c>
      <c r="N690" s="196" t="s">
        <v>272</v>
      </c>
      <c r="O690" s="196" t="s">
        <v>273</v>
      </c>
      <c r="P690" s="196" t="s">
        <v>274</v>
      </c>
      <c r="Q690" s="196" t="s">
        <v>275</v>
      </c>
      <c r="R690" s="196" t="s">
        <v>276</v>
      </c>
      <c r="S690" s="196" t="s">
        <v>436</v>
      </c>
      <c r="T690" s="196" t="s">
        <v>435</v>
      </c>
      <c r="U690" s="196">
        <v>2086</v>
      </c>
      <c r="V690" s="196" t="s">
        <v>435</v>
      </c>
      <c r="W690" s="196" t="s">
        <v>280</v>
      </c>
      <c r="X690" s="196">
        <v>3.004</v>
      </c>
      <c r="Y690" s="199">
        <v>-0.06</v>
      </c>
      <c r="Z690" s="199">
        <v>2.35</v>
      </c>
      <c r="AA690" s="199">
        <v>7.06</v>
      </c>
      <c r="AB690" s="199">
        <v>-0.55000000000000004</v>
      </c>
      <c r="AC690" s="199">
        <v>0</v>
      </c>
      <c r="AD690" s="199">
        <v>0</v>
      </c>
      <c r="AE690" s="199">
        <v>6.45</v>
      </c>
      <c r="AF690" s="199">
        <v>-0.72</v>
      </c>
      <c r="AG690" s="196" t="s">
        <v>279</v>
      </c>
      <c r="AH690" s="199">
        <v>0</v>
      </c>
      <c r="AI690" s="196" t="s">
        <v>279</v>
      </c>
      <c r="AJ690" s="199">
        <v>0</v>
      </c>
      <c r="AK690" s="196" t="s">
        <v>279</v>
      </c>
      <c r="AL690" s="199">
        <v>0</v>
      </c>
      <c r="AM690" s="196" t="s">
        <v>279</v>
      </c>
      <c r="AN690" s="199">
        <v>0</v>
      </c>
      <c r="AO690" s="196" t="s">
        <v>279</v>
      </c>
      <c r="AP690" s="199">
        <v>0</v>
      </c>
      <c r="AQ690" s="199">
        <v>7.06</v>
      </c>
      <c r="AR690" s="199">
        <v>0</v>
      </c>
      <c r="AS690" s="196" t="str">
        <f t="shared" si="15"/>
        <v>1.00000000</v>
      </c>
      <c r="AT690" s="196" t="str">
        <f>"27.3"</f>
        <v>27.3</v>
      </c>
      <c r="AU690" s="199">
        <v>0</v>
      </c>
    </row>
    <row r="691" spans="1:47" s="196" customFormat="1" x14ac:dyDescent="0.2">
      <c r="A691" s="196" t="str">
        <f t="shared" si="16"/>
        <v>0496002595734</v>
      </c>
      <c r="B691" s="196">
        <v>2</v>
      </c>
      <c r="C691" s="196" t="s">
        <v>435</v>
      </c>
      <c r="D691" s="196">
        <v>80</v>
      </c>
      <c r="E691" s="196">
        <v>80</v>
      </c>
      <c r="F691" s="196" t="s">
        <v>243</v>
      </c>
      <c r="G691" s="196">
        <v>2086</v>
      </c>
      <c r="H691" s="196" t="s">
        <v>270</v>
      </c>
      <c r="I691" s="196">
        <v>86001</v>
      </c>
      <c r="J691" s="197">
        <v>42844</v>
      </c>
      <c r="K691" s="198">
        <v>0.95486111111111116</v>
      </c>
      <c r="L691" s="197">
        <v>42846</v>
      </c>
      <c r="M691" s="196" t="s">
        <v>302</v>
      </c>
      <c r="N691" s="196" t="s">
        <v>503</v>
      </c>
      <c r="O691" s="196" t="s">
        <v>504</v>
      </c>
      <c r="P691" s="196" t="s">
        <v>505</v>
      </c>
      <c r="Q691" s="196" t="s">
        <v>309</v>
      </c>
      <c r="R691" s="196">
        <v>6840</v>
      </c>
      <c r="S691" s="196" t="s">
        <v>436</v>
      </c>
      <c r="T691" s="196" t="s">
        <v>435</v>
      </c>
      <c r="U691" s="196">
        <v>2086</v>
      </c>
      <c r="V691" s="196" t="s">
        <v>435</v>
      </c>
      <c r="W691" s="196" t="s">
        <v>280</v>
      </c>
      <c r="X691" s="196">
        <v>11.036</v>
      </c>
      <c r="Y691" s="199">
        <v>0</v>
      </c>
      <c r="Z691" s="199">
        <v>2.68</v>
      </c>
      <c r="AA691" s="199">
        <v>29.57</v>
      </c>
      <c r="AB691" s="199">
        <v>-2.02</v>
      </c>
      <c r="AC691" s="199">
        <v>0</v>
      </c>
      <c r="AD691" s="199">
        <v>0</v>
      </c>
      <c r="AE691" s="199">
        <v>27.55</v>
      </c>
      <c r="AF691" s="199">
        <v>-2.76</v>
      </c>
      <c r="AG691" s="196" t="s">
        <v>279</v>
      </c>
      <c r="AH691" s="199">
        <v>0</v>
      </c>
      <c r="AI691" s="196" t="s">
        <v>279</v>
      </c>
      <c r="AJ691" s="199">
        <v>0</v>
      </c>
      <c r="AK691" s="196" t="s">
        <v>279</v>
      </c>
      <c r="AL691" s="199">
        <v>0</v>
      </c>
      <c r="AM691" s="196" t="s">
        <v>279</v>
      </c>
      <c r="AN691" s="199">
        <v>0</v>
      </c>
      <c r="AO691" s="196" t="s">
        <v>279</v>
      </c>
      <c r="AP691" s="199">
        <v>0</v>
      </c>
      <c r="AQ691" s="199">
        <v>29.57</v>
      </c>
      <c r="AR691" s="199">
        <v>0</v>
      </c>
      <c r="AS691" s="196" t="str">
        <f t="shared" si="15"/>
        <v>1.00000000</v>
      </c>
      <c r="AT691" s="196" t="str">
        <f>"32.7"</f>
        <v>32.7</v>
      </c>
      <c r="AU691" s="199">
        <v>0</v>
      </c>
    </row>
    <row r="692" spans="1:47" s="196" customFormat="1" x14ac:dyDescent="0.2">
      <c r="A692" s="196" t="str">
        <f t="shared" si="16"/>
        <v>0496002595734</v>
      </c>
      <c r="B692" s="196">
        <v>2</v>
      </c>
      <c r="C692" s="196" t="s">
        <v>435</v>
      </c>
      <c r="D692" s="196">
        <v>80</v>
      </c>
      <c r="E692" s="196">
        <v>80</v>
      </c>
      <c r="F692" s="196" t="s">
        <v>243</v>
      </c>
      <c r="G692" s="196">
        <v>2086</v>
      </c>
      <c r="H692" s="196" t="s">
        <v>270</v>
      </c>
      <c r="I692" s="196">
        <v>86261</v>
      </c>
      <c r="J692" s="197">
        <v>42845</v>
      </c>
      <c r="K692" s="198">
        <v>0.48055555555555557</v>
      </c>
      <c r="L692" s="197">
        <v>42849</v>
      </c>
      <c r="M692" s="196" t="s">
        <v>294</v>
      </c>
      <c r="N692" s="196" t="s">
        <v>379</v>
      </c>
      <c r="O692" s="196" t="s">
        <v>506</v>
      </c>
      <c r="P692" s="196" t="s">
        <v>507</v>
      </c>
      <c r="Q692" s="196" t="s">
        <v>329</v>
      </c>
      <c r="R692" s="196">
        <v>10594</v>
      </c>
      <c r="S692" s="196" t="s">
        <v>436</v>
      </c>
      <c r="T692" s="196" t="s">
        <v>435</v>
      </c>
      <c r="U692" s="196">
        <v>2086</v>
      </c>
      <c r="V692" s="196" t="s">
        <v>435</v>
      </c>
      <c r="W692" s="196" t="s">
        <v>280</v>
      </c>
      <c r="X692" s="196">
        <v>8.17</v>
      </c>
      <c r="Y692" s="199">
        <v>0</v>
      </c>
      <c r="Z692" s="199">
        <v>2.84</v>
      </c>
      <c r="AA692" s="199">
        <v>23.21</v>
      </c>
      <c r="AB692" s="199">
        <v>-1.5</v>
      </c>
      <c r="AC692" s="199">
        <v>0</v>
      </c>
      <c r="AD692" s="199">
        <v>0</v>
      </c>
      <c r="AE692" s="199">
        <v>21.71</v>
      </c>
      <c r="AF692" s="199">
        <v>-3.32</v>
      </c>
      <c r="AG692" s="196" t="s">
        <v>279</v>
      </c>
      <c r="AH692" s="199">
        <v>0</v>
      </c>
      <c r="AI692" s="196" t="s">
        <v>279</v>
      </c>
      <c r="AJ692" s="199">
        <v>0</v>
      </c>
      <c r="AK692" s="196" t="s">
        <v>279</v>
      </c>
      <c r="AL692" s="199">
        <v>0</v>
      </c>
      <c r="AM692" s="196" t="s">
        <v>279</v>
      </c>
      <c r="AN692" s="199">
        <v>0</v>
      </c>
      <c r="AO692" s="196" t="s">
        <v>279</v>
      </c>
      <c r="AP692" s="199">
        <v>0</v>
      </c>
      <c r="AQ692" s="199">
        <v>23.21</v>
      </c>
      <c r="AR692" s="199">
        <v>0</v>
      </c>
      <c r="AS692" s="196" t="str">
        <f t="shared" si="15"/>
        <v>1.00000000</v>
      </c>
      <c r="AT692" s="196" t="str">
        <f>"31.8"</f>
        <v>31.8</v>
      </c>
      <c r="AU692" s="199">
        <v>0</v>
      </c>
    </row>
    <row r="693" spans="1:47" s="196" customFormat="1" x14ac:dyDescent="0.2">
      <c r="A693" s="196" t="str">
        <f t="shared" si="16"/>
        <v>0496002595734</v>
      </c>
      <c r="B693" s="196">
        <v>2</v>
      </c>
      <c r="C693" s="196" t="s">
        <v>435</v>
      </c>
      <c r="D693" s="196">
        <v>80</v>
      </c>
      <c r="E693" s="196">
        <v>80</v>
      </c>
      <c r="F693" s="196" t="s">
        <v>243</v>
      </c>
      <c r="G693" s="196">
        <v>2086</v>
      </c>
      <c r="H693" s="196" t="s">
        <v>270</v>
      </c>
      <c r="I693" s="196">
        <v>86665</v>
      </c>
      <c r="J693" s="197">
        <v>42850</v>
      </c>
      <c r="K693" s="198">
        <v>0.55277777777777781</v>
      </c>
      <c r="L693" s="197">
        <v>42852</v>
      </c>
      <c r="M693" s="196" t="s">
        <v>271</v>
      </c>
      <c r="N693" s="196" t="s">
        <v>272</v>
      </c>
      <c r="O693" s="196" t="s">
        <v>273</v>
      </c>
      <c r="P693" s="196" t="s">
        <v>274</v>
      </c>
      <c r="Q693" s="196" t="s">
        <v>275</v>
      </c>
      <c r="R693" s="196" t="s">
        <v>276</v>
      </c>
      <c r="S693" s="196" t="s">
        <v>436</v>
      </c>
      <c r="T693" s="196" t="s">
        <v>435</v>
      </c>
      <c r="U693" s="196">
        <v>2086</v>
      </c>
      <c r="V693" s="196" t="s">
        <v>435</v>
      </c>
      <c r="W693" s="196" t="s">
        <v>280</v>
      </c>
      <c r="X693" s="196">
        <v>11.433</v>
      </c>
      <c r="Y693" s="199">
        <v>-0.23</v>
      </c>
      <c r="Z693" s="199">
        <v>2.4</v>
      </c>
      <c r="AA693" s="199">
        <v>27.43</v>
      </c>
      <c r="AB693" s="199">
        <v>-2.09</v>
      </c>
      <c r="AC693" s="199">
        <v>0</v>
      </c>
      <c r="AD693" s="199">
        <v>0</v>
      </c>
      <c r="AE693" s="199">
        <v>25.11</v>
      </c>
      <c r="AF693" s="199">
        <v>-2.74</v>
      </c>
      <c r="AG693" s="196" t="s">
        <v>279</v>
      </c>
      <c r="AH693" s="199">
        <v>0</v>
      </c>
      <c r="AI693" s="196" t="s">
        <v>279</v>
      </c>
      <c r="AJ693" s="199">
        <v>0</v>
      </c>
      <c r="AK693" s="196" t="s">
        <v>279</v>
      </c>
      <c r="AL693" s="199">
        <v>0</v>
      </c>
      <c r="AM693" s="196" t="s">
        <v>279</v>
      </c>
      <c r="AN693" s="199">
        <v>0</v>
      </c>
      <c r="AO693" s="196" t="s">
        <v>279</v>
      </c>
      <c r="AP693" s="199">
        <v>0</v>
      </c>
      <c r="AQ693" s="199">
        <v>27.43</v>
      </c>
      <c r="AR693" s="199">
        <v>0</v>
      </c>
      <c r="AS693" s="196" t="str">
        <f t="shared" si="15"/>
        <v>1.00000000</v>
      </c>
      <c r="AT693" s="196" t="str">
        <f>"35.3"</f>
        <v>35.3</v>
      </c>
      <c r="AU693" s="199">
        <v>0</v>
      </c>
    </row>
    <row r="694" spans="1:47" s="196" customFormat="1" x14ac:dyDescent="0.2">
      <c r="A694" s="196" t="str">
        <f t="shared" si="16"/>
        <v>0496002595734</v>
      </c>
      <c r="B694" s="196">
        <v>2</v>
      </c>
      <c r="C694" s="196" t="s">
        <v>435</v>
      </c>
      <c r="D694" s="196">
        <v>80</v>
      </c>
      <c r="E694" s="196">
        <v>80</v>
      </c>
      <c r="F694" s="196" t="s">
        <v>243</v>
      </c>
      <c r="G694" s="196">
        <v>2086</v>
      </c>
      <c r="H694" s="196" t="s">
        <v>270</v>
      </c>
      <c r="I694" s="196">
        <v>86967</v>
      </c>
      <c r="J694" s="197">
        <v>42854</v>
      </c>
      <c r="K694" s="198">
        <v>0.66111111111111109</v>
      </c>
      <c r="L694" s="197">
        <v>42857</v>
      </c>
      <c r="M694" s="196" t="s">
        <v>294</v>
      </c>
      <c r="N694" s="196" t="s">
        <v>299</v>
      </c>
      <c r="O694" s="196" t="s">
        <v>461</v>
      </c>
      <c r="P694" s="196" t="s">
        <v>456</v>
      </c>
      <c r="Q694" s="196" t="s">
        <v>275</v>
      </c>
      <c r="R694" s="196" t="s">
        <v>462</v>
      </c>
      <c r="S694" s="196" t="s">
        <v>436</v>
      </c>
      <c r="T694" s="196" t="s">
        <v>435</v>
      </c>
      <c r="U694" s="196">
        <v>2086</v>
      </c>
      <c r="V694" s="196" t="s">
        <v>435</v>
      </c>
      <c r="W694" s="196" t="s">
        <v>280</v>
      </c>
      <c r="X694" s="196">
        <v>8.08</v>
      </c>
      <c r="Y694" s="199">
        <v>0</v>
      </c>
      <c r="Z694" s="199">
        <v>2.4</v>
      </c>
      <c r="AA694" s="199">
        <v>19.41</v>
      </c>
      <c r="AB694" s="199">
        <v>-1.48</v>
      </c>
      <c r="AC694" s="199">
        <v>0</v>
      </c>
      <c r="AD694" s="199">
        <v>0</v>
      </c>
      <c r="AE694" s="199">
        <v>17.93</v>
      </c>
      <c r="AF694" s="199">
        <v>-1.94</v>
      </c>
      <c r="AG694" s="196" t="s">
        <v>279</v>
      </c>
      <c r="AH694" s="199">
        <v>0</v>
      </c>
      <c r="AI694" s="196" t="s">
        <v>279</v>
      </c>
      <c r="AJ694" s="199">
        <v>0</v>
      </c>
      <c r="AK694" s="196" t="s">
        <v>279</v>
      </c>
      <c r="AL694" s="199">
        <v>0</v>
      </c>
      <c r="AM694" s="196" t="s">
        <v>279</v>
      </c>
      <c r="AN694" s="199">
        <v>0</v>
      </c>
      <c r="AO694" s="196" t="s">
        <v>279</v>
      </c>
      <c r="AP694" s="199">
        <v>0</v>
      </c>
      <c r="AQ694" s="199">
        <v>19.41</v>
      </c>
      <c r="AR694" s="199">
        <v>0</v>
      </c>
      <c r="AS694" s="196" t="str">
        <f t="shared" si="15"/>
        <v>1.00000000</v>
      </c>
      <c r="AT694" s="196" t="str">
        <f>"37.4"</f>
        <v>37.4</v>
      </c>
      <c r="AU694" s="199">
        <v>0</v>
      </c>
    </row>
    <row r="695" spans="1:47" s="196" customFormat="1" x14ac:dyDescent="0.2">
      <c r="A695" s="196" t="str">
        <f t="shared" si="16"/>
        <v>0496002595734</v>
      </c>
      <c r="B695" s="196">
        <v>2</v>
      </c>
      <c r="C695" s="196" t="s">
        <v>435</v>
      </c>
      <c r="D695" s="196">
        <v>80</v>
      </c>
      <c r="E695" s="196">
        <v>80</v>
      </c>
      <c r="F695" s="196" t="s">
        <v>243</v>
      </c>
      <c r="G695" s="196">
        <v>2086</v>
      </c>
      <c r="H695" s="196" t="s">
        <v>270</v>
      </c>
      <c r="I695" s="196">
        <v>87158</v>
      </c>
      <c r="J695" s="197">
        <v>42856</v>
      </c>
      <c r="K695" s="198">
        <v>0.80972222222222223</v>
      </c>
      <c r="L695" s="197">
        <v>42858</v>
      </c>
      <c r="M695" s="196" t="s">
        <v>271</v>
      </c>
      <c r="N695" s="196" t="s">
        <v>291</v>
      </c>
      <c r="O695" s="196" t="s">
        <v>292</v>
      </c>
      <c r="P695" s="196" t="s">
        <v>293</v>
      </c>
      <c r="Q695" s="196" t="s">
        <v>275</v>
      </c>
      <c r="R695" s="196">
        <v>1507</v>
      </c>
      <c r="S695" s="196" t="s">
        <v>436</v>
      </c>
      <c r="T695" s="196" t="s">
        <v>435</v>
      </c>
      <c r="U695" s="196">
        <v>2086</v>
      </c>
      <c r="V695" s="196" t="s">
        <v>435</v>
      </c>
      <c r="W695" s="196" t="s">
        <v>280</v>
      </c>
      <c r="X695" s="196">
        <v>6.3019999999999996</v>
      </c>
      <c r="Y695" s="199">
        <v>-0.19</v>
      </c>
      <c r="Z695" s="199">
        <v>2.5299999999999998</v>
      </c>
      <c r="AA695" s="199">
        <v>15.94</v>
      </c>
      <c r="AB695" s="199">
        <v>-1.1499999999999999</v>
      </c>
      <c r="AC695" s="199">
        <v>0</v>
      </c>
      <c r="AD695" s="199">
        <v>0</v>
      </c>
      <c r="AE695" s="199">
        <v>14.6</v>
      </c>
      <c r="AF695" s="199">
        <v>-1.51</v>
      </c>
      <c r="AG695" s="196" t="s">
        <v>279</v>
      </c>
      <c r="AH695" s="199">
        <v>0</v>
      </c>
      <c r="AI695" s="196" t="s">
        <v>279</v>
      </c>
      <c r="AJ695" s="199">
        <v>0</v>
      </c>
      <c r="AK695" s="196" t="s">
        <v>279</v>
      </c>
      <c r="AL695" s="199">
        <v>0</v>
      </c>
      <c r="AM695" s="196" t="s">
        <v>279</v>
      </c>
      <c r="AN695" s="199">
        <v>0</v>
      </c>
      <c r="AO695" s="196" t="s">
        <v>279</v>
      </c>
      <c r="AP695" s="199">
        <v>0</v>
      </c>
      <c r="AQ695" s="199">
        <v>15.94</v>
      </c>
      <c r="AR695" s="199">
        <v>0</v>
      </c>
      <c r="AS695" s="196" t="str">
        <f t="shared" si="15"/>
        <v>1.00000000</v>
      </c>
      <c r="AT695" s="196" t="str">
        <f>"30.3"</f>
        <v>30.3</v>
      </c>
      <c r="AU695" s="199">
        <v>0</v>
      </c>
    </row>
    <row r="696" spans="1:47" s="196" customFormat="1" x14ac:dyDescent="0.2">
      <c r="A696" s="196" t="str">
        <f t="shared" si="16"/>
        <v>0496002595734</v>
      </c>
      <c r="B696" s="196">
        <v>2</v>
      </c>
      <c r="C696" s="196" t="s">
        <v>435</v>
      </c>
      <c r="D696" s="196">
        <v>80</v>
      </c>
      <c r="E696" s="196">
        <v>80</v>
      </c>
      <c r="F696" s="196" t="s">
        <v>243</v>
      </c>
      <c r="G696" s="196">
        <v>2086</v>
      </c>
      <c r="H696" s="196" t="s">
        <v>270</v>
      </c>
      <c r="I696" s="196">
        <v>87590</v>
      </c>
      <c r="J696" s="197">
        <v>42861</v>
      </c>
      <c r="K696" s="198">
        <v>0.95763888888888893</v>
      </c>
      <c r="L696" s="197">
        <v>42864</v>
      </c>
      <c r="M696" s="196" t="s">
        <v>271</v>
      </c>
      <c r="N696" s="196" t="s">
        <v>272</v>
      </c>
      <c r="O696" s="196" t="s">
        <v>273</v>
      </c>
      <c r="P696" s="196" t="s">
        <v>274</v>
      </c>
      <c r="Q696" s="196" t="s">
        <v>275</v>
      </c>
      <c r="R696" s="196" t="s">
        <v>276</v>
      </c>
      <c r="S696" s="196" t="s">
        <v>436</v>
      </c>
      <c r="T696" s="196" t="s">
        <v>435</v>
      </c>
      <c r="U696" s="196">
        <v>2086</v>
      </c>
      <c r="V696" s="196" t="s">
        <v>435</v>
      </c>
      <c r="W696" s="196" t="s">
        <v>280</v>
      </c>
      <c r="X696" s="196">
        <v>5.7729999999999997</v>
      </c>
      <c r="Y696" s="199">
        <v>-0.12</v>
      </c>
      <c r="Z696" s="199">
        <v>2.4</v>
      </c>
      <c r="AA696" s="199">
        <v>13.85</v>
      </c>
      <c r="AB696" s="199">
        <v>-1.06</v>
      </c>
      <c r="AC696" s="199">
        <v>0</v>
      </c>
      <c r="AD696" s="199">
        <v>0</v>
      </c>
      <c r="AE696" s="199">
        <v>12.67</v>
      </c>
      <c r="AF696" s="199">
        <v>-1.39</v>
      </c>
      <c r="AG696" s="196" t="s">
        <v>279</v>
      </c>
      <c r="AH696" s="199">
        <v>0</v>
      </c>
      <c r="AI696" s="196" t="s">
        <v>279</v>
      </c>
      <c r="AJ696" s="199">
        <v>0</v>
      </c>
      <c r="AK696" s="196" t="s">
        <v>279</v>
      </c>
      <c r="AL696" s="199">
        <v>0</v>
      </c>
      <c r="AM696" s="196" t="s">
        <v>279</v>
      </c>
      <c r="AN696" s="199">
        <v>0</v>
      </c>
      <c r="AO696" s="196" t="s">
        <v>279</v>
      </c>
      <c r="AP696" s="199">
        <v>0</v>
      </c>
      <c r="AQ696" s="199">
        <v>13.85</v>
      </c>
      <c r="AR696" s="199">
        <v>0</v>
      </c>
      <c r="AS696" s="196" t="str">
        <f t="shared" si="15"/>
        <v>1.00000000</v>
      </c>
      <c r="AT696" s="196" t="str">
        <f>"32.7"</f>
        <v>32.7</v>
      </c>
      <c r="AU696" s="199">
        <v>0</v>
      </c>
    </row>
    <row r="697" spans="1:47" s="196" customFormat="1" x14ac:dyDescent="0.2">
      <c r="A697" s="196" t="str">
        <f t="shared" si="16"/>
        <v>0496002595734</v>
      </c>
      <c r="B697" s="196">
        <v>2</v>
      </c>
      <c r="C697" s="196" t="s">
        <v>435</v>
      </c>
      <c r="D697" s="196">
        <v>80</v>
      </c>
      <c r="E697" s="196">
        <v>80</v>
      </c>
      <c r="F697" s="196" t="s">
        <v>243</v>
      </c>
      <c r="G697" s="196">
        <v>2086</v>
      </c>
      <c r="H697" s="196" t="s">
        <v>270</v>
      </c>
      <c r="I697" s="196">
        <v>87590</v>
      </c>
      <c r="J697" s="197">
        <v>42861</v>
      </c>
      <c r="K697" s="198">
        <v>0.95972222222222225</v>
      </c>
      <c r="L697" s="197">
        <v>42864</v>
      </c>
      <c r="M697" s="196" t="s">
        <v>271</v>
      </c>
      <c r="N697" s="196" t="s">
        <v>272</v>
      </c>
      <c r="O697" s="196" t="s">
        <v>273</v>
      </c>
      <c r="P697" s="196" t="s">
        <v>274</v>
      </c>
      <c r="Q697" s="196" t="s">
        <v>275</v>
      </c>
      <c r="R697" s="196" t="s">
        <v>276</v>
      </c>
      <c r="S697" s="196" t="s">
        <v>436</v>
      </c>
      <c r="T697" s="196" t="s">
        <v>435</v>
      </c>
      <c r="U697" s="196">
        <v>2086</v>
      </c>
      <c r="V697" s="196" t="s">
        <v>435</v>
      </c>
      <c r="W697" s="196" t="s">
        <v>280</v>
      </c>
      <c r="X697" s="196">
        <v>5.556</v>
      </c>
      <c r="Y697" s="199">
        <v>-0.11</v>
      </c>
      <c r="Z697" s="199">
        <v>2.4</v>
      </c>
      <c r="AA697" s="199">
        <v>13.33</v>
      </c>
      <c r="AB697" s="199">
        <v>-1.02</v>
      </c>
      <c r="AC697" s="199">
        <v>0</v>
      </c>
      <c r="AD697" s="199">
        <v>0</v>
      </c>
      <c r="AE697" s="199">
        <v>12.2</v>
      </c>
      <c r="AF697" s="199">
        <v>-1.33</v>
      </c>
      <c r="AG697" s="196" t="s">
        <v>279</v>
      </c>
      <c r="AH697" s="199">
        <v>0</v>
      </c>
      <c r="AI697" s="196" t="s">
        <v>279</v>
      </c>
      <c r="AJ697" s="199">
        <v>0</v>
      </c>
      <c r="AK697" s="196" t="s">
        <v>279</v>
      </c>
      <c r="AL697" s="199">
        <v>0</v>
      </c>
      <c r="AM697" s="196" t="s">
        <v>279</v>
      </c>
      <c r="AN697" s="199">
        <v>0</v>
      </c>
      <c r="AO697" s="196" t="s">
        <v>279</v>
      </c>
      <c r="AP697" s="199">
        <v>0</v>
      </c>
      <c r="AQ697" s="199">
        <v>13.33</v>
      </c>
      <c r="AR697" s="199">
        <v>0</v>
      </c>
      <c r="AS697" s="196" t="str">
        <f t="shared" si="15"/>
        <v>1.00000000</v>
      </c>
      <c r="AT697" s="196" t="str">
        <f>"32.8"</f>
        <v>32.8</v>
      </c>
      <c r="AU697" s="199">
        <v>0</v>
      </c>
    </row>
    <row r="698" spans="1:47" s="196" customFormat="1" x14ac:dyDescent="0.2">
      <c r="A698" s="196" t="str">
        <f t="shared" si="16"/>
        <v>0496002595734</v>
      </c>
      <c r="B698" s="196">
        <v>2</v>
      </c>
      <c r="C698" s="196" t="s">
        <v>435</v>
      </c>
      <c r="D698" s="196">
        <v>80</v>
      </c>
      <c r="E698" s="196">
        <v>80</v>
      </c>
      <c r="F698" s="196" t="s">
        <v>243</v>
      </c>
      <c r="G698" s="196">
        <v>2086</v>
      </c>
      <c r="H698" s="196" t="s">
        <v>270</v>
      </c>
      <c r="I698" s="196">
        <v>87820</v>
      </c>
      <c r="J698" s="197">
        <v>42865</v>
      </c>
      <c r="K698" s="198">
        <v>2.1527777777777781E-2</v>
      </c>
      <c r="L698" s="197">
        <v>42866</v>
      </c>
      <c r="M698" s="196" t="s">
        <v>271</v>
      </c>
      <c r="N698" s="196" t="s">
        <v>352</v>
      </c>
      <c r="O698" s="196" t="s">
        <v>353</v>
      </c>
      <c r="P698" s="196" t="s">
        <v>343</v>
      </c>
      <c r="Q698" s="196" t="s">
        <v>275</v>
      </c>
      <c r="R698" s="196">
        <v>1035</v>
      </c>
      <c r="S698" s="196" t="s">
        <v>436</v>
      </c>
      <c r="T698" s="196" t="s">
        <v>435</v>
      </c>
      <c r="U698" s="196">
        <v>2086</v>
      </c>
      <c r="V698" s="196" t="s">
        <v>435</v>
      </c>
      <c r="W698" s="196" t="s">
        <v>280</v>
      </c>
      <c r="X698" s="196">
        <v>6.73</v>
      </c>
      <c r="Y698" s="199">
        <v>-0.13</v>
      </c>
      <c r="Z698" s="199">
        <v>2.35</v>
      </c>
      <c r="AA698" s="199">
        <v>15.81</v>
      </c>
      <c r="AB698" s="199">
        <v>-1.23</v>
      </c>
      <c r="AC698" s="199">
        <v>0</v>
      </c>
      <c r="AD698" s="199">
        <v>0</v>
      </c>
      <c r="AE698" s="199">
        <v>14.45</v>
      </c>
      <c r="AF698" s="199">
        <v>-1.62</v>
      </c>
      <c r="AG698" s="196" t="s">
        <v>279</v>
      </c>
      <c r="AH698" s="199">
        <v>0</v>
      </c>
      <c r="AI698" s="196" t="s">
        <v>279</v>
      </c>
      <c r="AJ698" s="199">
        <v>0</v>
      </c>
      <c r="AK698" s="196" t="s">
        <v>279</v>
      </c>
      <c r="AL698" s="199">
        <v>0</v>
      </c>
      <c r="AM698" s="196" t="s">
        <v>279</v>
      </c>
      <c r="AN698" s="199">
        <v>0</v>
      </c>
      <c r="AO698" s="196" t="s">
        <v>279</v>
      </c>
      <c r="AP698" s="199">
        <v>0</v>
      </c>
      <c r="AQ698" s="199">
        <v>15.81</v>
      </c>
      <c r="AR698" s="199">
        <v>0</v>
      </c>
      <c r="AS698" s="196" t="str">
        <f t="shared" si="15"/>
        <v>1.00000000</v>
      </c>
      <c r="AT698" s="196" t="str">
        <f>"34.2"</f>
        <v>34.2</v>
      </c>
      <c r="AU698" s="199">
        <v>0</v>
      </c>
    </row>
    <row r="699" spans="1:47" s="196" customFormat="1" x14ac:dyDescent="0.2">
      <c r="A699" s="196" t="str">
        <f t="shared" si="16"/>
        <v>0496002595734</v>
      </c>
      <c r="B699" s="196">
        <v>2</v>
      </c>
      <c r="C699" s="196" t="s">
        <v>435</v>
      </c>
      <c r="D699" s="196">
        <v>80</v>
      </c>
      <c r="E699" s="196">
        <v>80</v>
      </c>
      <c r="F699" s="196" t="s">
        <v>243</v>
      </c>
      <c r="G699" s="196">
        <v>2086</v>
      </c>
      <c r="H699" s="196" t="s">
        <v>270</v>
      </c>
      <c r="I699" s="196">
        <v>87978</v>
      </c>
      <c r="J699" s="197">
        <v>42866</v>
      </c>
      <c r="K699" s="198">
        <v>0.3888888888888889</v>
      </c>
      <c r="L699" s="197">
        <v>42870</v>
      </c>
      <c r="M699" s="196" t="s">
        <v>271</v>
      </c>
      <c r="N699" s="196" t="s">
        <v>272</v>
      </c>
      <c r="O699" s="196" t="s">
        <v>273</v>
      </c>
      <c r="P699" s="196" t="s">
        <v>274</v>
      </c>
      <c r="Q699" s="196" t="s">
        <v>275</v>
      </c>
      <c r="R699" s="196" t="s">
        <v>276</v>
      </c>
      <c r="S699" s="196" t="s">
        <v>436</v>
      </c>
      <c r="T699" s="196" t="s">
        <v>435</v>
      </c>
      <c r="U699" s="196">
        <v>2086</v>
      </c>
      <c r="V699" s="196" t="s">
        <v>435</v>
      </c>
      <c r="W699" s="196" t="s">
        <v>280</v>
      </c>
      <c r="X699" s="196">
        <v>0.93200000000000005</v>
      </c>
      <c r="Y699" s="199">
        <v>-0.02</v>
      </c>
      <c r="Z699" s="199">
        <v>2.37</v>
      </c>
      <c r="AA699" s="199">
        <v>2.21</v>
      </c>
      <c r="AB699" s="199">
        <v>-0.17</v>
      </c>
      <c r="AC699" s="199">
        <v>0</v>
      </c>
      <c r="AD699" s="199">
        <v>0</v>
      </c>
      <c r="AE699" s="199">
        <v>2.02</v>
      </c>
      <c r="AF699" s="199">
        <v>-0.22</v>
      </c>
      <c r="AG699" s="196" t="s">
        <v>279</v>
      </c>
      <c r="AH699" s="199">
        <v>0</v>
      </c>
      <c r="AI699" s="196" t="s">
        <v>279</v>
      </c>
      <c r="AJ699" s="199">
        <v>0</v>
      </c>
      <c r="AK699" s="196" t="s">
        <v>279</v>
      </c>
      <c r="AL699" s="199">
        <v>0</v>
      </c>
      <c r="AM699" s="196" t="s">
        <v>279</v>
      </c>
      <c r="AN699" s="199">
        <v>0</v>
      </c>
      <c r="AO699" s="196" t="s">
        <v>279</v>
      </c>
      <c r="AP699" s="199">
        <v>0</v>
      </c>
      <c r="AQ699" s="199">
        <v>2.21</v>
      </c>
      <c r="AR699" s="199">
        <v>0</v>
      </c>
      <c r="AS699" s="196" t="str">
        <f t="shared" si="15"/>
        <v>1.00000000</v>
      </c>
      <c r="AT699" s="196" t="str">
        <f>"32.2"</f>
        <v>32.2</v>
      </c>
      <c r="AU699" s="199">
        <v>0</v>
      </c>
    </row>
    <row r="700" spans="1:47" s="196" customFormat="1" x14ac:dyDescent="0.2">
      <c r="A700" s="196" t="str">
        <f t="shared" si="16"/>
        <v>0496002595734</v>
      </c>
      <c r="B700" s="196">
        <v>2</v>
      </c>
      <c r="C700" s="196" t="s">
        <v>435</v>
      </c>
      <c r="D700" s="196">
        <v>80</v>
      </c>
      <c r="E700" s="196">
        <v>80</v>
      </c>
      <c r="F700" s="196" t="s">
        <v>243</v>
      </c>
      <c r="G700" s="196">
        <v>2086</v>
      </c>
      <c r="H700" s="196" t="s">
        <v>270</v>
      </c>
      <c r="I700" s="196">
        <v>88152</v>
      </c>
      <c r="J700" s="197">
        <v>42866</v>
      </c>
      <c r="K700" s="198">
        <v>0.58402777777777781</v>
      </c>
      <c r="L700" s="197">
        <v>42870</v>
      </c>
      <c r="M700" s="196" t="s">
        <v>271</v>
      </c>
      <c r="N700" s="196" t="s">
        <v>508</v>
      </c>
      <c r="O700" s="196" t="s">
        <v>509</v>
      </c>
      <c r="P700" s="196" t="s">
        <v>510</v>
      </c>
      <c r="Q700" s="196" t="s">
        <v>329</v>
      </c>
      <c r="R700" s="196">
        <v>11434</v>
      </c>
      <c r="S700" s="196" t="s">
        <v>436</v>
      </c>
      <c r="T700" s="196" t="s">
        <v>435</v>
      </c>
      <c r="U700" s="196">
        <v>2086</v>
      </c>
      <c r="V700" s="196" t="s">
        <v>435</v>
      </c>
      <c r="W700" s="196" t="s">
        <v>511</v>
      </c>
      <c r="X700" s="196">
        <v>5.359</v>
      </c>
      <c r="Y700" s="199">
        <v>-0.11</v>
      </c>
      <c r="Z700" s="199">
        <v>2.8</v>
      </c>
      <c r="AA700" s="199">
        <v>15</v>
      </c>
      <c r="AB700" s="199">
        <v>0</v>
      </c>
      <c r="AC700" s="199">
        <v>0</v>
      </c>
      <c r="AD700" s="199">
        <v>0</v>
      </c>
      <c r="AE700" s="199">
        <v>14.89</v>
      </c>
      <c r="AF700" s="199">
        <v>-3.58</v>
      </c>
      <c r="AG700" s="196" t="s">
        <v>279</v>
      </c>
      <c r="AH700" s="199">
        <v>0</v>
      </c>
      <c r="AI700" s="196" t="s">
        <v>279</v>
      </c>
      <c r="AJ700" s="199">
        <v>0</v>
      </c>
      <c r="AK700" s="196" t="s">
        <v>279</v>
      </c>
      <c r="AL700" s="199">
        <v>0</v>
      </c>
      <c r="AM700" s="196" t="s">
        <v>279</v>
      </c>
      <c r="AN700" s="199">
        <v>0</v>
      </c>
      <c r="AO700" s="196" t="s">
        <v>279</v>
      </c>
      <c r="AP700" s="199">
        <v>0</v>
      </c>
      <c r="AQ700" s="199">
        <v>15</v>
      </c>
      <c r="AR700" s="199">
        <v>0</v>
      </c>
      <c r="AS700" s="196" t="str">
        <f t="shared" si="15"/>
        <v>1.00000000</v>
      </c>
      <c r="AT700" s="196" t="str">
        <f>"32.5"</f>
        <v>32.5</v>
      </c>
      <c r="AU700" s="199">
        <v>0</v>
      </c>
    </row>
    <row r="701" spans="1:47" s="196" customFormat="1" x14ac:dyDescent="0.2">
      <c r="A701" s="196" t="str">
        <f t="shared" si="16"/>
        <v>0496002595734</v>
      </c>
      <c r="B701" s="196">
        <v>2</v>
      </c>
      <c r="C701" s="196" t="s">
        <v>435</v>
      </c>
      <c r="D701" s="196">
        <v>80</v>
      </c>
      <c r="E701" s="196">
        <v>80</v>
      </c>
      <c r="F701" s="196" t="s">
        <v>243</v>
      </c>
      <c r="G701" s="196">
        <v>2086</v>
      </c>
      <c r="H701" s="196" t="s">
        <v>270</v>
      </c>
      <c r="I701" s="196">
        <v>88338</v>
      </c>
      <c r="J701" s="197">
        <v>42866</v>
      </c>
      <c r="K701" s="198">
        <v>0.94097222222222221</v>
      </c>
      <c r="L701" s="197">
        <v>42870</v>
      </c>
      <c r="M701" s="196" t="s">
        <v>271</v>
      </c>
      <c r="N701" s="196" t="s">
        <v>272</v>
      </c>
      <c r="O701" s="196" t="s">
        <v>273</v>
      </c>
      <c r="P701" s="196" t="s">
        <v>274</v>
      </c>
      <c r="Q701" s="196" t="s">
        <v>275</v>
      </c>
      <c r="R701" s="196" t="s">
        <v>276</v>
      </c>
      <c r="S701" s="196" t="s">
        <v>436</v>
      </c>
      <c r="T701" s="196" t="s">
        <v>435</v>
      </c>
      <c r="U701" s="196">
        <v>2086</v>
      </c>
      <c r="V701" s="196" t="s">
        <v>435</v>
      </c>
      <c r="W701" s="196" t="s">
        <v>280</v>
      </c>
      <c r="X701" s="196">
        <v>6.4619999999999997</v>
      </c>
      <c r="Y701" s="199">
        <v>-0.13</v>
      </c>
      <c r="Z701" s="199">
        <v>2.37</v>
      </c>
      <c r="AA701" s="199">
        <v>15.31</v>
      </c>
      <c r="AB701" s="199">
        <v>-1.18</v>
      </c>
      <c r="AC701" s="199">
        <v>0</v>
      </c>
      <c r="AD701" s="199">
        <v>0</v>
      </c>
      <c r="AE701" s="199">
        <v>14</v>
      </c>
      <c r="AF701" s="199">
        <v>-1.55</v>
      </c>
      <c r="AG701" s="196" t="s">
        <v>279</v>
      </c>
      <c r="AH701" s="199">
        <v>0</v>
      </c>
      <c r="AI701" s="196" t="s">
        <v>279</v>
      </c>
      <c r="AJ701" s="199">
        <v>0</v>
      </c>
      <c r="AK701" s="196" t="s">
        <v>279</v>
      </c>
      <c r="AL701" s="199">
        <v>0</v>
      </c>
      <c r="AM701" s="196" t="s">
        <v>279</v>
      </c>
      <c r="AN701" s="199">
        <v>0</v>
      </c>
      <c r="AO701" s="196" t="s">
        <v>279</v>
      </c>
      <c r="AP701" s="199">
        <v>0</v>
      </c>
      <c r="AQ701" s="199">
        <v>15.31</v>
      </c>
      <c r="AR701" s="199">
        <v>0</v>
      </c>
      <c r="AS701" s="196" t="str">
        <f t="shared" si="15"/>
        <v>1.00000000</v>
      </c>
      <c r="AT701" s="196" t="str">
        <f>"28.8"</f>
        <v>28.8</v>
      </c>
      <c r="AU701" s="199">
        <v>0</v>
      </c>
    </row>
    <row r="702" spans="1:47" s="196" customFormat="1" x14ac:dyDescent="0.2">
      <c r="A702" s="196" t="str">
        <f t="shared" si="16"/>
        <v>0496002595734</v>
      </c>
      <c r="B702" s="196">
        <v>2</v>
      </c>
      <c r="C702" s="196" t="s">
        <v>435</v>
      </c>
      <c r="D702" s="196">
        <v>80</v>
      </c>
      <c r="E702" s="196">
        <v>80</v>
      </c>
      <c r="F702" s="196" t="s">
        <v>243</v>
      </c>
      <c r="G702" s="196">
        <v>2086</v>
      </c>
      <c r="H702" s="196" t="s">
        <v>270</v>
      </c>
      <c r="I702" s="196">
        <v>88683</v>
      </c>
      <c r="J702" s="197">
        <v>42868</v>
      </c>
      <c r="K702" s="198">
        <v>0.80555555555555547</v>
      </c>
      <c r="L702" s="197">
        <v>42871</v>
      </c>
      <c r="M702" s="196" t="s">
        <v>271</v>
      </c>
      <c r="N702" s="196" t="s">
        <v>272</v>
      </c>
      <c r="O702" s="196" t="s">
        <v>273</v>
      </c>
      <c r="P702" s="196" t="s">
        <v>274</v>
      </c>
      <c r="Q702" s="196" t="s">
        <v>275</v>
      </c>
      <c r="R702" s="196" t="s">
        <v>276</v>
      </c>
      <c r="S702" s="196" t="s">
        <v>436</v>
      </c>
      <c r="T702" s="196" t="s">
        <v>435</v>
      </c>
      <c r="U702" s="196">
        <v>2086</v>
      </c>
      <c r="V702" s="196" t="s">
        <v>435</v>
      </c>
      <c r="W702" s="196" t="s">
        <v>280</v>
      </c>
      <c r="X702" s="196">
        <v>5.101</v>
      </c>
      <c r="Y702" s="199">
        <v>-0.1</v>
      </c>
      <c r="Z702" s="199">
        <v>2.37</v>
      </c>
      <c r="AA702" s="199">
        <v>12.08</v>
      </c>
      <c r="AB702" s="199">
        <v>-0.93</v>
      </c>
      <c r="AC702" s="199">
        <v>0</v>
      </c>
      <c r="AD702" s="199">
        <v>0</v>
      </c>
      <c r="AE702" s="199">
        <v>11.05</v>
      </c>
      <c r="AF702" s="199">
        <v>-1.22</v>
      </c>
      <c r="AG702" s="196" t="s">
        <v>279</v>
      </c>
      <c r="AH702" s="199">
        <v>0</v>
      </c>
      <c r="AI702" s="196" t="s">
        <v>279</v>
      </c>
      <c r="AJ702" s="199">
        <v>0</v>
      </c>
      <c r="AK702" s="196" t="s">
        <v>279</v>
      </c>
      <c r="AL702" s="199">
        <v>0</v>
      </c>
      <c r="AM702" s="196" t="s">
        <v>279</v>
      </c>
      <c r="AN702" s="199">
        <v>0</v>
      </c>
      <c r="AO702" s="196" t="s">
        <v>279</v>
      </c>
      <c r="AP702" s="199">
        <v>0</v>
      </c>
      <c r="AQ702" s="199">
        <v>12.08</v>
      </c>
      <c r="AR702" s="199">
        <v>0</v>
      </c>
      <c r="AS702" s="196" t="str">
        <f t="shared" si="15"/>
        <v>1.00000000</v>
      </c>
      <c r="AT702" s="196" t="str">
        <f>"32.7"</f>
        <v>32.7</v>
      </c>
      <c r="AU702" s="199">
        <v>0</v>
      </c>
    </row>
    <row r="703" spans="1:47" s="196" customFormat="1" x14ac:dyDescent="0.2">
      <c r="A703" s="196" t="str">
        <f t="shared" si="16"/>
        <v>0496002595734</v>
      </c>
      <c r="B703" s="196">
        <v>2</v>
      </c>
      <c r="C703" s="196" t="s">
        <v>435</v>
      </c>
      <c r="D703" s="196">
        <v>80</v>
      </c>
      <c r="E703" s="196">
        <v>80</v>
      </c>
      <c r="F703" s="196" t="s">
        <v>243</v>
      </c>
      <c r="G703" s="196">
        <v>2086</v>
      </c>
      <c r="H703" s="196" t="s">
        <v>270</v>
      </c>
      <c r="I703" s="196">
        <v>467</v>
      </c>
      <c r="J703" s="197">
        <v>42895</v>
      </c>
      <c r="K703" s="198">
        <v>0.64444444444444449</v>
      </c>
      <c r="L703" s="197">
        <v>42899</v>
      </c>
      <c r="M703" s="196" t="s">
        <v>271</v>
      </c>
      <c r="N703" s="196" t="s">
        <v>352</v>
      </c>
      <c r="O703" s="196" t="s">
        <v>353</v>
      </c>
      <c r="P703" s="196" t="s">
        <v>343</v>
      </c>
      <c r="Q703" s="196" t="s">
        <v>275</v>
      </c>
      <c r="R703" s="196">
        <v>1035</v>
      </c>
      <c r="S703" s="196" t="s">
        <v>436</v>
      </c>
      <c r="T703" s="196" t="s">
        <v>435</v>
      </c>
      <c r="U703" s="196">
        <v>2086</v>
      </c>
      <c r="V703" s="196" t="s">
        <v>435</v>
      </c>
      <c r="W703" s="196" t="s">
        <v>280</v>
      </c>
      <c r="X703" s="196">
        <v>4.4749999999999996</v>
      </c>
      <c r="Y703" s="199">
        <v>-0.09</v>
      </c>
      <c r="Z703" s="199">
        <v>2.27</v>
      </c>
      <c r="AA703" s="199">
        <v>10.16</v>
      </c>
      <c r="AB703" s="199">
        <v>-0.82</v>
      </c>
      <c r="AC703" s="199">
        <v>0</v>
      </c>
      <c r="AD703" s="199">
        <v>0</v>
      </c>
      <c r="AE703" s="199">
        <v>9.25</v>
      </c>
      <c r="AF703" s="199">
        <v>-1.07</v>
      </c>
      <c r="AG703" s="196" t="s">
        <v>279</v>
      </c>
      <c r="AH703" s="199">
        <v>0</v>
      </c>
      <c r="AI703" s="196" t="s">
        <v>279</v>
      </c>
      <c r="AJ703" s="199">
        <v>0</v>
      </c>
      <c r="AK703" s="196" t="s">
        <v>279</v>
      </c>
      <c r="AL703" s="199">
        <v>0</v>
      </c>
      <c r="AM703" s="196" t="s">
        <v>279</v>
      </c>
      <c r="AN703" s="199">
        <v>0</v>
      </c>
      <c r="AO703" s="196" t="s">
        <v>279</v>
      </c>
      <c r="AP703" s="199">
        <v>0</v>
      </c>
      <c r="AQ703" s="199">
        <v>10.16</v>
      </c>
      <c r="AR703" s="199">
        <v>0</v>
      </c>
      <c r="AS703" s="196" t="str">
        <f t="shared" si="15"/>
        <v>1.00000000</v>
      </c>
      <c r="AT703" s="196" t="str">
        <f>"32.6"</f>
        <v>32.6</v>
      </c>
      <c r="AU703" s="199">
        <v>0</v>
      </c>
    </row>
    <row r="704" spans="1:47" s="196" customFormat="1" x14ac:dyDescent="0.2">
      <c r="A704" s="196" t="str">
        <f t="shared" si="16"/>
        <v>0496002595734</v>
      </c>
      <c r="B704" s="196">
        <v>2</v>
      </c>
      <c r="C704" s="196" t="s">
        <v>435</v>
      </c>
      <c r="D704" s="196">
        <v>80</v>
      </c>
      <c r="E704" s="196">
        <v>80</v>
      </c>
      <c r="F704" s="196" t="s">
        <v>243</v>
      </c>
      <c r="G704" s="196">
        <v>2086</v>
      </c>
      <c r="H704" s="196" t="s">
        <v>270</v>
      </c>
      <c r="I704" s="196">
        <v>523</v>
      </c>
      <c r="J704" s="197">
        <v>42896</v>
      </c>
      <c r="K704" s="198">
        <v>0.35694444444444445</v>
      </c>
      <c r="L704" s="197">
        <v>42899</v>
      </c>
      <c r="M704" s="196" t="s">
        <v>294</v>
      </c>
      <c r="N704" s="196" t="s">
        <v>379</v>
      </c>
      <c r="O704" s="196" t="s">
        <v>471</v>
      </c>
      <c r="P704" s="196" t="s">
        <v>389</v>
      </c>
      <c r="Q704" s="196" t="s">
        <v>275</v>
      </c>
      <c r="R704" s="196">
        <v>1364</v>
      </c>
      <c r="S704" s="196" t="s">
        <v>436</v>
      </c>
      <c r="T704" s="196" t="s">
        <v>435</v>
      </c>
      <c r="U704" s="196">
        <v>2086</v>
      </c>
      <c r="V704" s="196" t="s">
        <v>435</v>
      </c>
      <c r="W704" s="196" t="s">
        <v>280</v>
      </c>
      <c r="X704" s="196">
        <v>7.64</v>
      </c>
      <c r="Y704" s="199">
        <v>0</v>
      </c>
      <c r="Z704" s="199">
        <v>2.46</v>
      </c>
      <c r="AA704" s="199">
        <v>18.8</v>
      </c>
      <c r="AB704" s="199">
        <v>-1.4</v>
      </c>
      <c r="AC704" s="199">
        <v>0</v>
      </c>
      <c r="AD704" s="199">
        <v>0</v>
      </c>
      <c r="AE704" s="199">
        <v>17.399999999999999</v>
      </c>
      <c r="AF704" s="199">
        <v>-1.83</v>
      </c>
      <c r="AG704" s="196" t="s">
        <v>279</v>
      </c>
      <c r="AH704" s="199">
        <v>0</v>
      </c>
      <c r="AI704" s="196" t="s">
        <v>279</v>
      </c>
      <c r="AJ704" s="199">
        <v>0</v>
      </c>
      <c r="AK704" s="196" t="s">
        <v>279</v>
      </c>
      <c r="AL704" s="199">
        <v>0</v>
      </c>
      <c r="AM704" s="196" t="s">
        <v>279</v>
      </c>
      <c r="AN704" s="199">
        <v>0</v>
      </c>
      <c r="AO704" s="196" t="s">
        <v>279</v>
      </c>
      <c r="AP704" s="199">
        <v>0</v>
      </c>
      <c r="AQ704" s="199">
        <v>18.8</v>
      </c>
      <c r="AR704" s="199">
        <v>0</v>
      </c>
      <c r="AS704" s="196" t="str">
        <f t="shared" si="15"/>
        <v>1.00000000</v>
      </c>
      <c r="AT704" s="196" t="str">
        <f>"32.7"</f>
        <v>32.7</v>
      </c>
      <c r="AU704" s="199">
        <v>0</v>
      </c>
    </row>
    <row r="705" spans="1:47" s="196" customFormat="1" x14ac:dyDescent="0.2">
      <c r="A705" s="196" t="str">
        <f t="shared" si="16"/>
        <v>0496002595734</v>
      </c>
      <c r="B705" s="196">
        <v>2</v>
      </c>
      <c r="C705" s="196" t="s">
        <v>435</v>
      </c>
      <c r="D705" s="196">
        <v>80</v>
      </c>
      <c r="E705" s="196">
        <v>80</v>
      </c>
      <c r="F705" s="196" t="s">
        <v>243</v>
      </c>
      <c r="G705" s="196">
        <v>2086</v>
      </c>
      <c r="H705" s="196" t="s">
        <v>270</v>
      </c>
      <c r="I705" s="196">
        <v>1064</v>
      </c>
      <c r="J705" s="197">
        <v>42901</v>
      </c>
      <c r="K705" s="198">
        <v>0.41388888888888892</v>
      </c>
      <c r="L705" s="197">
        <v>42906</v>
      </c>
      <c r="M705" s="196" t="s">
        <v>325</v>
      </c>
      <c r="N705" s="196" t="s">
        <v>326</v>
      </c>
      <c r="O705" s="196" t="s">
        <v>512</v>
      </c>
      <c r="P705" s="196" t="s">
        <v>369</v>
      </c>
      <c r="Q705" s="196" t="s">
        <v>275</v>
      </c>
      <c r="R705" s="196">
        <v>1007</v>
      </c>
      <c r="S705" s="196" t="s">
        <v>436</v>
      </c>
      <c r="T705" s="196" t="s">
        <v>435</v>
      </c>
      <c r="U705" s="196">
        <v>2086</v>
      </c>
      <c r="V705" s="196" t="s">
        <v>435</v>
      </c>
      <c r="W705" s="196" t="s">
        <v>280</v>
      </c>
      <c r="X705" s="196">
        <v>11.44</v>
      </c>
      <c r="Y705" s="199">
        <v>0</v>
      </c>
      <c r="Z705" s="199">
        <v>2.23</v>
      </c>
      <c r="AA705" s="199">
        <v>25.5</v>
      </c>
      <c r="AB705" s="199">
        <v>-2.09</v>
      </c>
      <c r="AC705" s="199">
        <v>0</v>
      </c>
      <c r="AD705" s="199">
        <v>0</v>
      </c>
      <c r="AE705" s="199">
        <v>23.41</v>
      </c>
      <c r="AF705" s="199">
        <v>-2.75</v>
      </c>
      <c r="AG705" s="196" t="s">
        <v>279</v>
      </c>
      <c r="AH705" s="199">
        <v>0</v>
      </c>
      <c r="AI705" s="196" t="s">
        <v>279</v>
      </c>
      <c r="AJ705" s="199">
        <v>0</v>
      </c>
      <c r="AK705" s="196" t="s">
        <v>279</v>
      </c>
      <c r="AL705" s="199">
        <v>0</v>
      </c>
      <c r="AM705" s="196" t="s">
        <v>279</v>
      </c>
      <c r="AN705" s="199">
        <v>0</v>
      </c>
      <c r="AO705" s="196" t="s">
        <v>279</v>
      </c>
      <c r="AP705" s="199">
        <v>0</v>
      </c>
      <c r="AQ705" s="199">
        <v>25.5</v>
      </c>
      <c r="AR705" s="199">
        <v>0</v>
      </c>
      <c r="AS705" s="196" t="str">
        <f t="shared" si="15"/>
        <v>1.00000000</v>
      </c>
      <c r="AT705" s="196" t="str">
        <f>"37.2"</f>
        <v>37.2</v>
      </c>
      <c r="AU705" s="199">
        <v>0</v>
      </c>
    </row>
    <row r="706" spans="1:47" s="196" customFormat="1" x14ac:dyDescent="0.2">
      <c r="A706" s="196" t="str">
        <f t="shared" si="16"/>
        <v>0496002595734</v>
      </c>
      <c r="B706" s="196">
        <v>2</v>
      </c>
      <c r="C706" s="196" t="s">
        <v>435</v>
      </c>
      <c r="D706" s="196">
        <v>80</v>
      </c>
      <c r="E706" s="196">
        <v>80</v>
      </c>
      <c r="F706" s="196" t="s">
        <v>243</v>
      </c>
      <c r="G706" s="196">
        <v>2086</v>
      </c>
      <c r="H706" s="196" t="s">
        <v>270</v>
      </c>
      <c r="I706" s="196">
        <v>1296</v>
      </c>
      <c r="J706" s="197">
        <v>42902</v>
      </c>
      <c r="K706" s="198">
        <v>0.95138888888888884</v>
      </c>
      <c r="L706" s="197">
        <v>42906</v>
      </c>
      <c r="M706" s="196" t="s">
        <v>271</v>
      </c>
      <c r="N706" s="196" t="s">
        <v>272</v>
      </c>
      <c r="O706" s="196" t="s">
        <v>273</v>
      </c>
      <c r="P706" s="196" t="s">
        <v>274</v>
      </c>
      <c r="Q706" s="196" t="s">
        <v>275</v>
      </c>
      <c r="R706" s="196" t="s">
        <v>276</v>
      </c>
      <c r="S706" s="196" t="s">
        <v>436</v>
      </c>
      <c r="T706" s="196" t="s">
        <v>435</v>
      </c>
      <c r="U706" s="196">
        <v>2086</v>
      </c>
      <c r="V706" s="196" t="s">
        <v>435</v>
      </c>
      <c r="W706" s="196" t="s">
        <v>278</v>
      </c>
      <c r="X706" s="196">
        <v>9.3279999999999994</v>
      </c>
      <c r="Y706" s="199">
        <v>-0.19</v>
      </c>
      <c r="Z706" s="199">
        <v>2.71</v>
      </c>
      <c r="AA706" s="199">
        <v>25.27</v>
      </c>
      <c r="AB706" s="199">
        <v>-1.71</v>
      </c>
      <c r="AC706" s="199">
        <v>0</v>
      </c>
      <c r="AD706" s="199">
        <v>0</v>
      </c>
      <c r="AE706" s="199">
        <v>23.37</v>
      </c>
      <c r="AF706" s="199">
        <v>-2.2400000000000002</v>
      </c>
      <c r="AG706" s="196" t="s">
        <v>279</v>
      </c>
      <c r="AH706" s="199">
        <v>0</v>
      </c>
      <c r="AI706" s="196" t="s">
        <v>279</v>
      </c>
      <c r="AJ706" s="199">
        <v>0</v>
      </c>
      <c r="AK706" s="196" t="s">
        <v>279</v>
      </c>
      <c r="AL706" s="199">
        <v>0</v>
      </c>
      <c r="AM706" s="196" t="s">
        <v>279</v>
      </c>
      <c r="AN706" s="199">
        <v>0</v>
      </c>
      <c r="AO706" s="196" t="s">
        <v>279</v>
      </c>
      <c r="AP706" s="199">
        <v>0</v>
      </c>
      <c r="AQ706" s="199">
        <v>25.27</v>
      </c>
      <c r="AR706" s="199">
        <v>0</v>
      </c>
      <c r="AS706" s="196" t="str">
        <f t="shared" ref="AS706:AS769" si="18">"1.00000000"</f>
        <v>1.00000000</v>
      </c>
      <c r="AT706" s="196" t="str">
        <f>"37.2"</f>
        <v>37.2</v>
      </c>
      <c r="AU706" s="199">
        <v>0</v>
      </c>
    </row>
    <row r="707" spans="1:47" s="196" customFormat="1" x14ac:dyDescent="0.2">
      <c r="A707" s="196" t="str">
        <f t="shared" si="16"/>
        <v>0496002595734</v>
      </c>
      <c r="B707" s="196">
        <v>2</v>
      </c>
      <c r="C707" s="196" t="s">
        <v>435</v>
      </c>
      <c r="D707" s="196">
        <v>80</v>
      </c>
      <c r="E707" s="196">
        <v>80</v>
      </c>
      <c r="F707" s="196" t="s">
        <v>243</v>
      </c>
      <c r="G707" s="196">
        <v>2086</v>
      </c>
      <c r="H707" s="196" t="s">
        <v>270</v>
      </c>
      <c r="I707" s="196">
        <v>1646</v>
      </c>
      <c r="J707" s="197">
        <v>42904</v>
      </c>
      <c r="K707" s="198">
        <v>0.93055555555555547</v>
      </c>
      <c r="L707" s="197">
        <v>42906</v>
      </c>
      <c r="M707" s="196" t="s">
        <v>271</v>
      </c>
      <c r="N707" s="196" t="s">
        <v>513</v>
      </c>
      <c r="O707" s="196" t="s">
        <v>514</v>
      </c>
      <c r="P707" s="196" t="s">
        <v>515</v>
      </c>
      <c r="Q707" s="196" t="s">
        <v>275</v>
      </c>
      <c r="R707" s="196">
        <v>1886</v>
      </c>
      <c r="S707" s="196" t="s">
        <v>436</v>
      </c>
      <c r="T707" s="196" t="s">
        <v>435</v>
      </c>
      <c r="U707" s="196">
        <v>2086</v>
      </c>
      <c r="V707" s="196" t="s">
        <v>435</v>
      </c>
      <c r="W707" s="196" t="s">
        <v>280</v>
      </c>
      <c r="X707" s="196">
        <v>10.087999999999999</v>
      </c>
      <c r="Y707" s="199">
        <v>-0.2</v>
      </c>
      <c r="Z707" s="199">
        <v>2.38</v>
      </c>
      <c r="AA707" s="199">
        <v>24</v>
      </c>
      <c r="AB707" s="199">
        <v>-1.85</v>
      </c>
      <c r="AC707" s="199">
        <v>0</v>
      </c>
      <c r="AD707" s="199">
        <v>0</v>
      </c>
      <c r="AE707" s="199">
        <v>21.95</v>
      </c>
      <c r="AF707" s="199">
        <v>-2.42</v>
      </c>
      <c r="AG707" s="196" t="s">
        <v>279</v>
      </c>
      <c r="AH707" s="199">
        <v>0</v>
      </c>
      <c r="AI707" s="196" t="s">
        <v>279</v>
      </c>
      <c r="AJ707" s="199">
        <v>0</v>
      </c>
      <c r="AK707" s="196" t="s">
        <v>279</v>
      </c>
      <c r="AL707" s="199">
        <v>0</v>
      </c>
      <c r="AM707" s="196" t="s">
        <v>279</v>
      </c>
      <c r="AN707" s="199">
        <v>0</v>
      </c>
      <c r="AO707" s="196" t="s">
        <v>279</v>
      </c>
      <c r="AP707" s="199">
        <v>0</v>
      </c>
      <c r="AQ707" s="199">
        <v>24</v>
      </c>
      <c r="AR707" s="199">
        <v>0</v>
      </c>
      <c r="AS707" s="196" t="str">
        <f t="shared" si="18"/>
        <v>1.00000000</v>
      </c>
      <c r="AT707" s="196" t="str">
        <f>"34.7"</f>
        <v>34.7</v>
      </c>
      <c r="AU707" s="199">
        <v>0</v>
      </c>
    </row>
    <row r="708" spans="1:47" s="196" customFormat="1" x14ac:dyDescent="0.2">
      <c r="A708" s="196" t="str">
        <f t="shared" si="16"/>
        <v>0496002595734</v>
      </c>
      <c r="B708" s="196">
        <v>2</v>
      </c>
      <c r="C708" s="196" t="s">
        <v>435</v>
      </c>
      <c r="D708" s="196">
        <v>80</v>
      </c>
      <c r="E708" s="196">
        <v>80</v>
      </c>
      <c r="F708" s="196" t="s">
        <v>243</v>
      </c>
      <c r="G708" s="196">
        <v>2086</v>
      </c>
      <c r="H708" s="196" t="s">
        <v>270</v>
      </c>
      <c r="I708" s="196">
        <v>2096</v>
      </c>
      <c r="J708" s="197">
        <v>42908</v>
      </c>
      <c r="K708" s="198">
        <v>0.80138888888888893</v>
      </c>
      <c r="L708" s="197">
        <v>42912</v>
      </c>
      <c r="M708" s="196" t="s">
        <v>271</v>
      </c>
      <c r="N708" s="196" t="s">
        <v>272</v>
      </c>
      <c r="O708" s="196" t="s">
        <v>273</v>
      </c>
      <c r="P708" s="196" t="s">
        <v>274</v>
      </c>
      <c r="Q708" s="196" t="s">
        <v>275</v>
      </c>
      <c r="R708" s="196" t="s">
        <v>276</v>
      </c>
      <c r="S708" s="196" t="s">
        <v>436</v>
      </c>
      <c r="T708" s="196" t="s">
        <v>435</v>
      </c>
      <c r="U708" s="196">
        <v>2086</v>
      </c>
      <c r="V708" s="196" t="s">
        <v>435</v>
      </c>
      <c r="W708" s="196" t="s">
        <v>278</v>
      </c>
      <c r="X708" s="196">
        <v>12.736000000000001</v>
      </c>
      <c r="Y708" s="199">
        <v>-0.25</v>
      </c>
      <c r="Z708" s="199">
        <v>2.76</v>
      </c>
      <c r="AA708" s="199">
        <v>35.14</v>
      </c>
      <c r="AB708" s="199">
        <v>-2.33</v>
      </c>
      <c r="AC708" s="199">
        <v>0</v>
      </c>
      <c r="AD708" s="199">
        <v>0</v>
      </c>
      <c r="AE708" s="199">
        <v>32.56</v>
      </c>
      <c r="AF708" s="199">
        <v>-3.06</v>
      </c>
      <c r="AG708" s="196" t="s">
        <v>279</v>
      </c>
      <c r="AH708" s="199">
        <v>0</v>
      </c>
      <c r="AI708" s="196" t="s">
        <v>279</v>
      </c>
      <c r="AJ708" s="199">
        <v>0</v>
      </c>
      <c r="AK708" s="196" t="s">
        <v>279</v>
      </c>
      <c r="AL708" s="199">
        <v>0</v>
      </c>
      <c r="AM708" s="196" t="s">
        <v>279</v>
      </c>
      <c r="AN708" s="199">
        <v>0</v>
      </c>
      <c r="AO708" s="196" t="s">
        <v>279</v>
      </c>
      <c r="AP708" s="199">
        <v>0</v>
      </c>
      <c r="AQ708" s="199">
        <v>35.14</v>
      </c>
      <c r="AR708" s="199">
        <v>0</v>
      </c>
      <c r="AS708" s="196" t="str">
        <f t="shared" si="18"/>
        <v>1.00000000</v>
      </c>
      <c r="AT708" s="196" t="str">
        <f>"46.6"</f>
        <v>46.6</v>
      </c>
      <c r="AU708" s="199">
        <v>0</v>
      </c>
    </row>
    <row r="709" spans="1:47" s="196" customFormat="1" x14ac:dyDescent="0.2">
      <c r="A709" s="196" t="str">
        <f t="shared" si="16"/>
        <v>0496002595734</v>
      </c>
      <c r="B709" s="196">
        <v>2</v>
      </c>
      <c r="C709" s="196" t="s">
        <v>435</v>
      </c>
      <c r="D709" s="196">
        <v>80</v>
      </c>
      <c r="E709" s="196">
        <v>80</v>
      </c>
      <c r="F709" s="196" t="s">
        <v>243</v>
      </c>
      <c r="G709" s="196">
        <v>2086</v>
      </c>
      <c r="H709" s="196" t="s">
        <v>270</v>
      </c>
      <c r="I709" s="196">
        <v>2363</v>
      </c>
      <c r="J709" s="197">
        <v>42910</v>
      </c>
      <c r="K709" s="198">
        <v>0.4368055555555555</v>
      </c>
      <c r="L709" s="197">
        <v>42913</v>
      </c>
      <c r="M709" s="196" t="s">
        <v>271</v>
      </c>
      <c r="N709" s="196" t="s">
        <v>272</v>
      </c>
      <c r="O709" s="196" t="s">
        <v>273</v>
      </c>
      <c r="P709" s="196" t="s">
        <v>274</v>
      </c>
      <c r="Q709" s="196" t="s">
        <v>275</v>
      </c>
      <c r="R709" s="196" t="s">
        <v>276</v>
      </c>
      <c r="S709" s="196" t="s">
        <v>436</v>
      </c>
      <c r="T709" s="196" t="s">
        <v>435</v>
      </c>
      <c r="U709" s="196">
        <v>2086</v>
      </c>
      <c r="V709" s="196" t="s">
        <v>435</v>
      </c>
      <c r="W709" s="196" t="s">
        <v>278</v>
      </c>
      <c r="X709" s="196">
        <v>6.7140000000000004</v>
      </c>
      <c r="Y709" s="199">
        <v>-0.13</v>
      </c>
      <c r="Z709" s="199">
        <v>2.78</v>
      </c>
      <c r="AA709" s="199">
        <v>18.66</v>
      </c>
      <c r="AB709" s="199">
        <v>-1.23</v>
      </c>
      <c r="AC709" s="199">
        <v>0</v>
      </c>
      <c r="AD709" s="199">
        <v>0</v>
      </c>
      <c r="AE709" s="199">
        <v>17.3</v>
      </c>
      <c r="AF709" s="199">
        <v>-1.61</v>
      </c>
      <c r="AG709" s="196" t="s">
        <v>279</v>
      </c>
      <c r="AH709" s="199">
        <v>0</v>
      </c>
      <c r="AI709" s="196" t="s">
        <v>279</v>
      </c>
      <c r="AJ709" s="199">
        <v>0</v>
      </c>
      <c r="AK709" s="196" t="s">
        <v>279</v>
      </c>
      <c r="AL709" s="199">
        <v>0</v>
      </c>
      <c r="AM709" s="196" t="s">
        <v>279</v>
      </c>
      <c r="AN709" s="199">
        <v>0</v>
      </c>
      <c r="AO709" s="196" t="s">
        <v>279</v>
      </c>
      <c r="AP709" s="199">
        <v>0</v>
      </c>
      <c r="AQ709" s="199">
        <v>18.66</v>
      </c>
      <c r="AR709" s="199">
        <v>0</v>
      </c>
      <c r="AS709" s="196" t="str">
        <f t="shared" si="18"/>
        <v>1.00000000</v>
      </c>
      <c r="AT709" s="196" t="str">
        <f>"39.8"</f>
        <v>39.8</v>
      </c>
      <c r="AU709" s="199">
        <v>0</v>
      </c>
    </row>
    <row r="710" spans="1:47" s="196" customFormat="1" x14ac:dyDescent="0.2">
      <c r="A710" s="196" t="str">
        <f t="shared" si="16"/>
        <v>0496002595734</v>
      </c>
      <c r="B710" s="196">
        <v>2</v>
      </c>
      <c r="C710" s="196" t="s">
        <v>435</v>
      </c>
      <c r="D710" s="196">
        <v>80</v>
      </c>
      <c r="E710" s="196">
        <v>80</v>
      </c>
      <c r="F710" s="196" t="s">
        <v>243</v>
      </c>
      <c r="G710" s="196">
        <v>2086</v>
      </c>
      <c r="H710" s="196" t="s">
        <v>270</v>
      </c>
      <c r="I710" s="196">
        <v>2736</v>
      </c>
      <c r="J710" s="197">
        <v>42911</v>
      </c>
      <c r="K710" s="198">
        <v>0.69861111111111107</v>
      </c>
      <c r="L710" s="197">
        <v>42913</v>
      </c>
      <c r="M710" s="196" t="s">
        <v>294</v>
      </c>
      <c r="N710" s="196" t="s">
        <v>379</v>
      </c>
      <c r="O710" s="196" t="s">
        <v>516</v>
      </c>
      <c r="P710" s="196" t="s">
        <v>517</v>
      </c>
      <c r="Q710" s="196" t="s">
        <v>329</v>
      </c>
      <c r="R710" s="196" t="s">
        <v>518</v>
      </c>
      <c r="S710" s="196" t="s">
        <v>436</v>
      </c>
      <c r="T710" s="196" t="s">
        <v>435</v>
      </c>
      <c r="U710" s="196">
        <v>2086</v>
      </c>
      <c r="V710" s="196" t="s">
        <v>435</v>
      </c>
      <c r="W710" s="196" t="s">
        <v>278</v>
      </c>
      <c r="X710" s="196">
        <v>13.17</v>
      </c>
      <c r="Y710" s="199">
        <v>0</v>
      </c>
      <c r="Z710" s="199">
        <v>3.64</v>
      </c>
      <c r="AA710" s="199">
        <v>47.94</v>
      </c>
      <c r="AB710" s="199">
        <v>-2.41</v>
      </c>
      <c r="AC710" s="199">
        <v>0</v>
      </c>
      <c r="AD710" s="199">
        <v>0</v>
      </c>
      <c r="AE710" s="199">
        <v>45.53</v>
      </c>
      <c r="AF710" s="199">
        <v>-5.66</v>
      </c>
      <c r="AG710" s="196" t="s">
        <v>279</v>
      </c>
      <c r="AH710" s="199">
        <v>0</v>
      </c>
      <c r="AI710" s="196" t="s">
        <v>279</v>
      </c>
      <c r="AJ710" s="199">
        <v>0</v>
      </c>
      <c r="AK710" s="196" t="s">
        <v>279</v>
      </c>
      <c r="AL710" s="199">
        <v>0</v>
      </c>
      <c r="AM710" s="196" t="s">
        <v>279</v>
      </c>
      <c r="AN710" s="199">
        <v>0</v>
      </c>
      <c r="AO710" s="196" t="s">
        <v>279</v>
      </c>
      <c r="AP710" s="199">
        <v>0</v>
      </c>
      <c r="AQ710" s="199">
        <v>47.94</v>
      </c>
      <c r="AR710" s="199">
        <v>0</v>
      </c>
      <c r="AS710" s="196" t="str">
        <f t="shared" si="18"/>
        <v>1.00000000</v>
      </c>
      <c r="AT710" s="196" t="str">
        <f>"28.3"</f>
        <v>28.3</v>
      </c>
      <c r="AU710" s="199">
        <v>0</v>
      </c>
    </row>
    <row r="711" spans="1:47" s="196" customFormat="1" x14ac:dyDescent="0.2">
      <c r="A711" s="196" t="str">
        <f t="shared" si="16"/>
        <v>0496002595734</v>
      </c>
      <c r="B711" s="196">
        <v>3</v>
      </c>
      <c r="C711" s="196" t="s">
        <v>435</v>
      </c>
      <c r="D711" s="196">
        <v>82</v>
      </c>
      <c r="E711" s="196">
        <v>82</v>
      </c>
      <c r="F711" s="196" t="s">
        <v>243</v>
      </c>
      <c r="G711" s="196">
        <v>2086</v>
      </c>
      <c r="H711" s="196" t="s">
        <v>270</v>
      </c>
      <c r="I711" s="196">
        <v>58075</v>
      </c>
      <c r="J711" s="197">
        <v>42748</v>
      </c>
      <c r="K711" s="198">
        <v>0.50624999999999998</v>
      </c>
      <c r="L711" s="197">
        <v>42752</v>
      </c>
      <c r="M711" s="196" t="s">
        <v>271</v>
      </c>
      <c r="N711" s="196" t="s">
        <v>272</v>
      </c>
      <c r="O711" s="196" t="s">
        <v>273</v>
      </c>
      <c r="P711" s="196" t="s">
        <v>274</v>
      </c>
      <c r="Q711" s="196" t="s">
        <v>275</v>
      </c>
      <c r="R711" s="196" t="s">
        <v>276</v>
      </c>
      <c r="S711" s="196" t="s">
        <v>436</v>
      </c>
      <c r="T711" s="196" t="s">
        <v>435</v>
      </c>
      <c r="U711" s="196">
        <v>2086</v>
      </c>
      <c r="V711" s="196" t="s">
        <v>435</v>
      </c>
      <c r="W711" s="196" t="s">
        <v>280</v>
      </c>
      <c r="X711" s="196">
        <v>14.475</v>
      </c>
      <c r="Y711" s="199">
        <v>-0.28999999999999998</v>
      </c>
      <c r="Z711" s="199">
        <v>2.2999999999999998</v>
      </c>
      <c r="AA711" s="199">
        <v>33.28</v>
      </c>
      <c r="AB711" s="199">
        <v>-2.65</v>
      </c>
      <c r="AC711" s="199">
        <v>0</v>
      </c>
      <c r="AD711" s="199">
        <v>0</v>
      </c>
      <c r="AE711" s="199">
        <v>30.34</v>
      </c>
      <c r="AF711" s="199">
        <v>-3.47</v>
      </c>
      <c r="AG711" s="196" t="s">
        <v>279</v>
      </c>
      <c r="AH711" s="199">
        <v>0</v>
      </c>
      <c r="AI711" s="196" t="s">
        <v>279</v>
      </c>
      <c r="AJ711" s="199">
        <v>0</v>
      </c>
      <c r="AK711" s="196" t="s">
        <v>279</v>
      </c>
      <c r="AL711" s="199">
        <v>0</v>
      </c>
      <c r="AM711" s="196" t="s">
        <v>279</v>
      </c>
      <c r="AN711" s="199">
        <v>0</v>
      </c>
      <c r="AO711" s="196" t="s">
        <v>279</v>
      </c>
      <c r="AP711" s="199">
        <v>0</v>
      </c>
      <c r="AQ711" s="199">
        <v>33.28</v>
      </c>
      <c r="AR711" s="199">
        <v>0</v>
      </c>
      <c r="AS711" s="196" t="str">
        <f t="shared" si="18"/>
        <v>1.00000000</v>
      </c>
      <c r="AT711" s="196" t="str">
        <f>"6.7"</f>
        <v>6.7</v>
      </c>
      <c r="AU711" s="199">
        <v>0</v>
      </c>
    </row>
    <row r="712" spans="1:47" s="196" customFormat="1" x14ac:dyDescent="0.2">
      <c r="A712" s="196" t="str">
        <f t="shared" si="16"/>
        <v>0496002595734</v>
      </c>
      <c r="B712" s="196">
        <v>3</v>
      </c>
      <c r="C712" s="196" t="s">
        <v>435</v>
      </c>
      <c r="D712" s="196">
        <v>82</v>
      </c>
      <c r="E712" s="196">
        <v>82</v>
      </c>
      <c r="F712" s="196" t="s">
        <v>243</v>
      </c>
      <c r="G712" s="196">
        <v>2086</v>
      </c>
      <c r="H712" s="196" t="s">
        <v>270</v>
      </c>
      <c r="I712" s="196">
        <v>58318</v>
      </c>
      <c r="J712" s="197">
        <v>42749</v>
      </c>
      <c r="K712" s="198">
        <v>0.77500000000000002</v>
      </c>
      <c r="L712" s="197">
        <v>42752</v>
      </c>
      <c r="M712" s="196" t="s">
        <v>271</v>
      </c>
      <c r="N712" s="196" t="s">
        <v>272</v>
      </c>
      <c r="O712" s="196" t="s">
        <v>273</v>
      </c>
      <c r="P712" s="196" t="s">
        <v>274</v>
      </c>
      <c r="Q712" s="196" t="s">
        <v>275</v>
      </c>
      <c r="R712" s="196" t="s">
        <v>276</v>
      </c>
      <c r="S712" s="196" t="s">
        <v>436</v>
      </c>
      <c r="T712" s="196" t="s">
        <v>435</v>
      </c>
      <c r="U712" s="196">
        <v>2086</v>
      </c>
      <c r="V712" s="196" t="s">
        <v>435</v>
      </c>
      <c r="W712" s="196" t="s">
        <v>280</v>
      </c>
      <c r="X712" s="196">
        <v>13.269</v>
      </c>
      <c r="Y712" s="199">
        <v>-0.27</v>
      </c>
      <c r="Z712" s="199">
        <v>2.2400000000000002</v>
      </c>
      <c r="AA712" s="199">
        <v>29.71</v>
      </c>
      <c r="AB712" s="199">
        <v>-2.4300000000000002</v>
      </c>
      <c r="AC712" s="199">
        <v>0</v>
      </c>
      <c r="AD712" s="199">
        <v>0</v>
      </c>
      <c r="AE712" s="199">
        <v>27.01</v>
      </c>
      <c r="AF712" s="199">
        <v>-3.18</v>
      </c>
      <c r="AG712" s="196" t="s">
        <v>279</v>
      </c>
      <c r="AH712" s="199">
        <v>0</v>
      </c>
      <c r="AI712" s="196" t="s">
        <v>279</v>
      </c>
      <c r="AJ712" s="199">
        <v>0</v>
      </c>
      <c r="AK712" s="196" t="s">
        <v>279</v>
      </c>
      <c r="AL712" s="199">
        <v>0</v>
      </c>
      <c r="AM712" s="196" t="s">
        <v>279</v>
      </c>
      <c r="AN712" s="199">
        <v>0</v>
      </c>
      <c r="AO712" s="196" t="s">
        <v>279</v>
      </c>
      <c r="AP712" s="199">
        <v>0</v>
      </c>
      <c r="AQ712" s="199">
        <v>29.71</v>
      </c>
      <c r="AR712" s="199">
        <v>0</v>
      </c>
      <c r="AS712" s="196" t="str">
        <f t="shared" si="18"/>
        <v>1.00000000</v>
      </c>
      <c r="AT712" s="196" t="str">
        <f>"7.7"</f>
        <v>7.7</v>
      </c>
      <c r="AU712" s="199">
        <v>0</v>
      </c>
    </row>
    <row r="713" spans="1:47" s="196" customFormat="1" x14ac:dyDescent="0.2">
      <c r="A713" s="196" t="str">
        <f t="shared" si="16"/>
        <v>0496002595734</v>
      </c>
      <c r="B713" s="196">
        <v>3</v>
      </c>
      <c r="C713" s="196" t="s">
        <v>435</v>
      </c>
      <c r="D713" s="196">
        <v>82</v>
      </c>
      <c r="E713" s="196">
        <v>82</v>
      </c>
      <c r="F713" s="196" t="s">
        <v>243</v>
      </c>
      <c r="G713" s="196">
        <v>2086</v>
      </c>
      <c r="H713" s="196" t="s">
        <v>270</v>
      </c>
      <c r="I713" s="196">
        <v>52419</v>
      </c>
      <c r="J713" s="197">
        <v>42751</v>
      </c>
      <c r="K713" s="198">
        <v>0.43541666666666662</v>
      </c>
      <c r="L713" s="197">
        <v>42753</v>
      </c>
      <c r="M713" s="196" t="s">
        <v>294</v>
      </c>
      <c r="N713" s="196" t="s">
        <v>295</v>
      </c>
      <c r="O713" s="196" t="s">
        <v>296</v>
      </c>
      <c r="P713" s="196" t="s">
        <v>297</v>
      </c>
      <c r="Q713" s="196" t="s">
        <v>275</v>
      </c>
      <c r="R713" s="196" t="s">
        <v>298</v>
      </c>
      <c r="S713" s="196" t="s">
        <v>436</v>
      </c>
      <c r="T713" s="196" t="s">
        <v>435</v>
      </c>
      <c r="U713" s="196">
        <v>2086</v>
      </c>
      <c r="V713" s="196" t="s">
        <v>435</v>
      </c>
      <c r="W713" s="196" t="s">
        <v>280</v>
      </c>
      <c r="X713" s="196">
        <v>5.4</v>
      </c>
      <c r="Y713" s="199">
        <v>0</v>
      </c>
      <c r="Z713" s="199">
        <v>2.2599999999999998</v>
      </c>
      <c r="AA713" s="199">
        <v>12.21</v>
      </c>
      <c r="AB713" s="199">
        <v>-0.99</v>
      </c>
      <c r="AC713" s="199">
        <v>0</v>
      </c>
      <c r="AD713" s="199">
        <v>0</v>
      </c>
      <c r="AE713" s="199">
        <v>11.22</v>
      </c>
      <c r="AF713" s="199">
        <v>-1.3</v>
      </c>
      <c r="AG713" s="196" t="s">
        <v>279</v>
      </c>
      <c r="AH713" s="199">
        <v>0</v>
      </c>
      <c r="AI713" s="196" t="s">
        <v>279</v>
      </c>
      <c r="AJ713" s="199">
        <v>0</v>
      </c>
      <c r="AK713" s="196" t="s">
        <v>279</v>
      </c>
      <c r="AL713" s="199">
        <v>0</v>
      </c>
      <c r="AM713" s="196" t="s">
        <v>279</v>
      </c>
      <c r="AN713" s="199">
        <v>0</v>
      </c>
      <c r="AO713" s="196" t="s">
        <v>279</v>
      </c>
      <c r="AP713" s="199">
        <v>0</v>
      </c>
      <c r="AQ713" s="199">
        <v>12.21</v>
      </c>
      <c r="AR713" s="199">
        <v>0</v>
      </c>
      <c r="AS713" s="196" t="str">
        <f t="shared" si="18"/>
        <v>1.00000000</v>
      </c>
      <c r="AT713" s="196" t="str">
        <f>"17.4"</f>
        <v>17.4</v>
      </c>
      <c r="AU713" s="199">
        <v>0</v>
      </c>
    </row>
    <row r="714" spans="1:47" s="196" customFormat="1" x14ac:dyDescent="0.2">
      <c r="A714" s="196" t="str">
        <f t="shared" si="16"/>
        <v>0496002595734</v>
      </c>
      <c r="B714" s="196">
        <v>3</v>
      </c>
      <c r="C714" s="196" t="s">
        <v>435</v>
      </c>
      <c r="D714" s="196">
        <v>82</v>
      </c>
      <c r="E714" s="196">
        <v>82</v>
      </c>
      <c r="F714" s="196" t="s">
        <v>243</v>
      </c>
      <c r="G714" s="196">
        <v>2086</v>
      </c>
      <c r="H714" s="196" t="s">
        <v>270</v>
      </c>
      <c r="I714" s="196">
        <v>51615</v>
      </c>
      <c r="J714" s="197">
        <v>42752</v>
      </c>
      <c r="K714" s="198">
        <v>0.8305555555555556</v>
      </c>
      <c r="L714" s="197">
        <v>42754</v>
      </c>
      <c r="M714" s="196" t="s">
        <v>271</v>
      </c>
      <c r="N714" s="196" t="s">
        <v>272</v>
      </c>
      <c r="O714" s="196" t="s">
        <v>273</v>
      </c>
      <c r="P714" s="196" t="s">
        <v>274</v>
      </c>
      <c r="Q714" s="196" t="s">
        <v>275</v>
      </c>
      <c r="R714" s="196" t="s">
        <v>276</v>
      </c>
      <c r="S714" s="196" t="s">
        <v>436</v>
      </c>
      <c r="T714" s="196" t="s">
        <v>435</v>
      </c>
      <c r="U714" s="196">
        <v>2086</v>
      </c>
      <c r="V714" s="196" t="s">
        <v>435</v>
      </c>
      <c r="W714" s="196" t="s">
        <v>280</v>
      </c>
      <c r="X714" s="196">
        <v>10.374000000000001</v>
      </c>
      <c r="Y714" s="199">
        <v>-0.21</v>
      </c>
      <c r="Z714" s="199">
        <v>2.2200000000000002</v>
      </c>
      <c r="AA714" s="199">
        <v>23.02</v>
      </c>
      <c r="AB714" s="199">
        <v>-1.9</v>
      </c>
      <c r="AC714" s="199">
        <v>0</v>
      </c>
      <c r="AD714" s="199">
        <v>0</v>
      </c>
      <c r="AE714" s="199">
        <v>20.91</v>
      </c>
      <c r="AF714" s="199">
        <v>-2.4900000000000002</v>
      </c>
      <c r="AG714" s="196" t="s">
        <v>279</v>
      </c>
      <c r="AH714" s="199">
        <v>0</v>
      </c>
      <c r="AI714" s="196" t="s">
        <v>279</v>
      </c>
      <c r="AJ714" s="199">
        <v>0</v>
      </c>
      <c r="AK714" s="196" t="s">
        <v>279</v>
      </c>
      <c r="AL714" s="199">
        <v>0</v>
      </c>
      <c r="AM714" s="196" t="s">
        <v>279</v>
      </c>
      <c r="AN714" s="199">
        <v>0</v>
      </c>
      <c r="AO714" s="196" t="s">
        <v>279</v>
      </c>
      <c r="AP714" s="199">
        <v>0</v>
      </c>
      <c r="AQ714" s="199">
        <v>23.02</v>
      </c>
      <c r="AR714" s="199">
        <v>0</v>
      </c>
      <c r="AS714" s="196" t="str">
        <f t="shared" si="18"/>
        <v>1.00000000</v>
      </c>
      <c r="AT714" s="196" t="str">
        <f>"17.4"</f>
        <v>17.4</v>
      </c>
      <c r="AU714" s="199">
        <v>0</v>
      </c>
    </row>
    <row r="715" spans="1:47" s="196" customFormat="1" x14ac:dyDescent="0.2">
      <c r="A715" s="196" t="str">
        <f t="shared" si="16"/>
        <v>0496002595734</v>
      </c>
      <c r="B715" s="196">
        <v>3</v>
      </c>
      <c r="C715" s="196" t="s">
        <v>435</v>
      </c>
      <c r="D715" s="196">
        <v>82</v>
      </c>
      <c r="E715" s="196">
        <v>82</v>
      </c>
      <c r="F715" s="196" t="s">
        <v>243</v>
      </c>
      <c r="G715" s="196">
        <v>2086</v>
      </c>
      <c r="H715" s="196" t="s">
        <v>270</v>
      </c>
      <c r="I715" s="196">
        <v>58736</v>
      </c>
      <c r="J715" s="197">
        <v>42754</v>
      </c>
      <c r="K715" s="198">
        <v>0.79791666666666661</v>
      </c>
      <c r="L715" s="197">
        <v>42758</v>
      </c>
      <c r="M715" s="196" t="s">
        <v>271</v>
      </c>
      <c r="N715" s="196" t="s">
        <v>272</v>
      </c>
      <c r="O715" s="196" t="s">
        <v>273</v>
      </c>
      <c r="P715" s="196" t="s">
        <v>274</v>
      </c>
      <c r="Q715" s="196" t="s">
        <v>275</v>
      </c>
      <c r="R715" s="196" t="s">
        <v>276</v>
      </c>
      <c r="S715" s="196" t="s">
        <v>436</v>
      </c>
      <c r="T715" s="196" t="s">
        <v>435</v>
      </c>
      <c r="U715" s="196">
        <v>2086</v>
      </c>
      <c r="V715" s="196" t="s">
        <v>435</v>
      </c>
      <c r="W715" s="196" t="s">
        <v>278</v>
      </c>
      <c r="X715" s="196">
        <v>7.4370000000000003</v>
      </c>
      <c r="Y715" s="199">
        <v>-0.15</v>
      </c>
      <c r="Z715" s="199">
        <v>2.67</v>
      </c>
      <c r="AA715" s="199">
        <v>19.850000000000001</v>
      </c>
      <c r="AB715" s="199">
        <v>-1.36</v>
      </c>
      <c r="AC715" s="199">
        <v>0</v>
      </c>
      <c r="AD715" s="199">
        <v>0</v>
      </c>
      <c r="AE715" s="199">
        <v>18.34</v>
      </c>
      <c r="AF715" s="199">
        <v>-1.78</v>
      </c>
      <c r="AG715" s="196" t="s">
        <v>279</v>
      </c>
      <c r="AH715" s="199">
        <v>0</v>
      </c>
      <c r="AI715" s="196" t="s">
        <v>279</v>
      </c>
      <c r="AJ715" s="199">
        <v>0</v>
      </c>
      <c r="AK715" s="196" t="s">
        <v>279</v>
      </c>
      <c r="AL715" s="199">
        <v>0</v>
      </c>
      <c r="AM715" s="196" t="s">
        <v>279</v>
      </c>
      <c r="AN715" s="199">
        <v>0</v>
      </c>
      <c r="AO715" s="196" t="s">
        <v>279</v>
      </c>
      <c r="AP715" s="199">
        <v>0</v>
      </c>
      <c r="AQ715" s="199">
        <v>19.850000000000001</v>
      </c>
      <c r="AR715" s="199">
        <v>0</v>
      </c>
      <c r="AS715" s="196" t="str">
        <f t="shared" si="18"/>
        <v>1.00000000</v>
      </c>
      <c r="AT715" s="196" t="str">
        <f>"17.5"</f>
        <v>17.5</v>
      </c>
      <c r="AU715" s="199">
        <v>0</v>
      </c>
    </row>
    <row r="716" spans="1:47" s="196" customFormat="1" x14ac:dyDescent="0.2">
      <c r="A716" s="196" t="str">
        <f t="shared" si="16"/>
        <v>0496002595734</v>
      </c>
      <c r="B716" s="196">
        <v>3</v>
      </c>
      <c r="C716" s="196" t="s">
        <v>435</v>
      </c>
      <c r="D716" s="196">
        <v>82</v>
      </c>
      <c r="E716" s="196">
        <v>82</v>
      </c>
      <c r="F716" s="196" t="s">
        <v>243</v>
      </c>
      <c r="G716" s="196">
        <v>2086</v>
      </c>
      <c r="H716" s="196" t="s">
        <v>270</v>
      </c>
      <c r="I716" s="196">
        <v>59622</v>
      </c>
      <c r="J716" s="197">
        <v>42761</v>
      </c>
      <c r="K716" s="198">
        <v>0.7402777777777777</v>
      </c>
      <c r="L716" s="197">
        <v>42765</v>
      </c>
      <c r="M716" s="196" t="s">
        <v>271</v>
      </c>
      <c r="N716" s="196" t="s">
        <v>272</v>
      </c>
      <c r="O716" s="196" t="s">
        <v>273</v>
      </c>
      <c r="P716" s="196" t="s">
        <v>274</v>
      </c>
      <c r="Q716" s="196" t="s">
        <v>275</v>
      </c>
      <c r="R716" s="196" t="s">
        <v>276</v>
      </c>
      <c r="S716" s="196" t="s">
        <v>436</v>
      </c>
      <c r="T716" s="196" t="s">
        <v>435</v>
      </c>
      <c r="U716" s="196">
        <v>2086</v>
      </c>
      <c r="V716" s="196" t="s">
        <v>435</v>
      </c>
      <c r="W716" s="196" t="s">
        <v>280</v>
      </c>
      <c r="X716" s="196">
        <v>14.467000000000001</v>
      </c>
      <c r="Y716" s="199">
        <v>-0.28999999999999998</v>
      </c>
      <c r="Z716" s="199">
        <v>2.15</v>
      </c>
      <c r="AA716" s="199">
        <v>31.09</v>
      </c>
      <c r="AB716" s="199">
        <v>-2.65</v>
      </c>
      <c r="AC716" s="199">
        <v>0</v>
      </c>
      <c r="AD716" s="199">
        <v>0</v>
      </c>
      <c r="AE716" s="199">
        <v>28.15</v>
      </c>
      <c r="AF716" s="199">
        <v>-3.47</v>
      </c>
      <c r="AG716" s="196" t="s">
        <v>279</v>
      </c>
      <c r="AH716" s="199">
        <v>0</v>
      </c>
      <c r="AI716" s="196" t="s">
        <v>279</v>
      </c>
      <c r="AJ716" s="199">
        <v>0</v>
      </c>
      <c r="AK716" s="196" t="s">
        <v>279</v>
      </c>
      <c r="AL716" s="199">
        <v>0</v>
      </c>
      <c r="AM716" s="196" t="s">
        <v>279</v>
      </c>
      <c r="AN716" s="199">
        <v>0</v>
      </c>
      <c r="AO716" s="196" t="s">
        <v>279</v>
      </c>
      <c r="AP716" s="199">
        <v>0</v>
      </c>
      <c r="AQ716" s="199">
        <v>31.09</v>
      </c>
      <c r="AR716" s="199">
        <v>0</v>
      </c>
      <c r="AS716" s="196" t="str">
        <f t="shared" si="18"/>
        <v>1.00000000</v>
      </c>
      <c r="AT716" s="196" t="str">
        <f>"17.4"</f>
        <v>17.4</v>
      </c>
      <c r="AU716" s="199">
        <v>0</v>
      </c>
    </row>
    <row r="717" spans="1:47" s="196" customFormat="1" x14ac:dyDescent="0.2">
      <c r="A717" s="196" t="str">
        <f t="shared" si="16"/>
        <v>0496002595734</v>
      </c>
      <c r="B717" s="196">
        <v>3</v>
      </c>
      <c r="C717" s="196" t="s">
        <v>435</v>
      </c>
      <c r="D717" s="196">
        <v>82</v>
      </c>
      <c r="E717" s="196">
        <v>82</v>
      </c>
      <c r="F717" s="196" t="s">
        <v>243</v>
      </c>
      <c r="G717" s="196">
        <v>2086</v>
      </c>
      <c r="H717" s="196" t="s">
        <v>270</v>
      </c>
      <c r="I717" s="196">
        <v>59791</v>
      </c>
      <c r="J717" s="197">
        <v>42763</v>
      </c>
      <c r="K717" s="198">
        <v>0.33194444444444443</v>
      </c>
      <c r="L717" s="197">
        <v>42766</v>
      </c>
      <c r="M717" s="196" t="s">
        <v>294</v>
      </c>
      <c r="N717" s="196" t="s">
        <v>519</v>
      </c>
      <c r="O717" s="196" t="s">
        <v>520</v>
      </c>
      <c r="P717" s="196" t="s">
        <v>490</v>
      </c>
      <c r="Q717" s="196" t="s">
        <v>329</v>
      </c>
      <c r="R717" s="196" t="s">
        <v>521</v>
      </c>
      <c r="S717" s="196" t="s">
        <v>436</v>
      </c>
      <c r="T717" s="196" t="s">
        <v>435</v>
      </c>
      <c r="U717" s="196">
        <v>2086</v>
      </c>
      <c r="V717" s="196" t="s">
        <v>435</v>
      </c>
      <c r="W717" s="196" t="s">
        <v>280</v>
      </c>
      <c r="X717" s="196">
        <v>8.77</v>
      </c>
      <c r="Y717" s="199">
        <v>0</v>
      </c>
      <c r="Z717" s="199">
        <v>3.08</v>
      </c>
      <c r="AA717" s="199">
        <v>27.02</v>
      </c>
      <c r="AB717" s="199">
        <v>-1.6</v>
      </c>
      <c r="AC717" s="199">
        <v>0</v>
      </c>
      <c r="AD717" s="199">
        <v>0</v>
      </c>
      <c r="AE717" s="199">
        <v>25.42</v>
      </c>
      <c r="AF717" s="199">
        <v>-2.82</v>
      </c>
      <c r="AG717" s="196" t="s">
        <v>279</v>
      </c>
      <c r="AH717" s="199">
        <v>0</v>
      </c>
      <c r="AI717" s="196" t="s">
        <v>279</v>
      </c>
      <c r="AJ717" s="199">
        <v>0</v>
      </c>
      <c r="AK717" s="196" t="s">
        <v>279</v>
      </c>
      <c r="AL717" s="199">
        <v>0</v>
      </c>
      <c r="AM717" s="196" t="s">
        <v>279</v>
      </c>
      <c r="AN717" s="199">
        <v>0</v>
      </c>
      <c r="AO717" s="196" t="s">
        <v>279</v>
      </c>
      <c r="AP717" s="199">
        <v>0</v>
      </c>
      <c r="AQ717" s="199">
        <v>27.02</v>
      </c>
      <c r="AR717" s="199">
        <v>0</v>
      </c>
      <c r="AS717" s="196" t="str">
        <f t="shared" si="18"/>
        <v>1.00000000</v>
      </c>
      <c r="AT717" s="196" t="str">
        <f>"19.3"</f>
        <v>19.3</v>
      </c>
      <c r="AU717" s="199">
        <v>0</v>
      </c>
    </row>
    <row r="718" spans="1:47" s="196" customFormat="1" x14ac:dyDescent="0.2">
      <c r="A718" s="196" t="str">
        <f t="shared" si="16"/>
        <v>0496002595734</v>
      </c>
      <c r="B718" s="196">
        <v>3</v>
      </c>
      <c r="C718" s="196" t="s">
        <v>435</v>
      </c>
      <c r="D718" s="196">
        <v>82</v>
      </c>
      <c r="E718" s="196">
        <v>82</v>
      </c>
      <c r="F718" s="196" t="s">
        <v>243</v>
      </c>
      <c r="G718" s="196">
        <v>2086</v>
      </c>
      <c r="H718" s="196" t="s">
        <v>270</v>
      </c>
      <c r="I718" s="196">
        <v>60063</v>
      </c>
      <c r="J718" s="197">
        <v>42764</v>
      </c>
      <c r="K718" s="198">
        <v>0.38055555555555554</v>
      </c>
      <c r="L718" s="197">
        <v>42766</v>
      </c>
      <c r="M718" s="196" t="s">
        <v>294</v>
      </c>
      <c r="N718" s="196" t="s">
        <v>295</v>
      </c>
      <c r="O718" s="196" t="s">
        <v>296</v>
      </c>
      <c r="P718" s="196" t="s">
        <v>297</v>
      </c>
      <c r="Q718" s="196" t="s">
        <v>275</v>
      </c>
      <c r="R718" s="196" t="s">
        <v>298</v>
      </c>
      <c r="S718" s="196" t="s">
        <v>436</v>
      </c>
      <c r="T718" s="196" t="s">
        <v>435</v>
      </c>
      <c r="U718" s="196">
        <v>2086</v>
      </c>
      <c r="V718" s="196" t="s">
        <v>435</v>
      </c>
      <c r="W718" s="196" t="s">
        <v>280</v>
      </c>
      <c r="X718" s="196">
        <v>13.82</v>
      </c>
      <c r="Y718" s="199">
        <v>0</v>
      </c>
      <c r="Z718" s="199">
        <v>2.2599999999999998</v>
      </c>
      <c r="AA718" s="199">
        <v>31.22</v>
      </c>
      <c r="AB718" s="199">
        <v>-2.5299999999999998</v>
      </c>
      <c r="AC718" s="199">
        <v>0</v>
      </c>
      <c r="AD718" s="199">
        <v>0</v>
      </c>
      <c r="AE718" s="199">
        <v>28.69</v>
      </c>
      <c r="AF718" s="199">
        <v>-3.32</v>
      </c>
      <c r="AG718" s="196" t="s">
        <v>279</v>
      </c>
      <c r="AH718" s="199">
        <v>0</v>
      </c>
      <c r="AI718" s="196" t="s">
        <v>279</v>
      </c>
      <c r="AJ718" s="199">
        <v>0</v>
      </c>
      <c r="AK718" s="196" t="s">
        <v>279</v>
      </c>
      <c r="AL718" s="199">
        <v>0</v>
      </c>
      <c r="AM718" s="196" t="s">
        <v>279</v>
      </c>
      <c r="AN718" s="199">
        <v>0</v>
      </c>
      <c r="AO718" s="196" t="s">
        <v>279</v>
      </c>
      <c r="AP718" s="199">
        <v>0</v>
      </c>
      <c r="AQ718" s="199">
        <v>31.22</v>
      </c>
      <c r="AR718" s="199">
        <v>0</v>
      </c>
      <c r="AS718" s="196" t="str">
        <f t="shared" si="18"/>
        <v>1.00000000</v>
      </c>
      <c r="AT718" s="196" t="str">
        <f>"19.7"</f>
        <v>19.7</v>
      </c>
      <c r="AU718" s="199">
        <v>0</v>
      </c>
    </row>
    <row r="719" spans="1:47" s="196" customFormat="1" x14ac:dyDescent="0.2">
      <c r="A719" s="196" t="str">
        <f t="shared" ref="A719:A782" si="19">"0496002595734"</f>
        <v>0496002595734</v>
      </c>
      <c r="B719" s="196">
        <v>3</v>
      </c>
      <c r="C719" s="196" t="s">
        <v>435</v>
      </c>
      <c r="D719" s="196">
        <v>82</v>
      </c>
      <c r="E719" s="196">
        <v>82</v>
      </c>
      <c r="F719" s="196" t="s">
        <v>243</v>
      </c>
      <c r="G719" s="196">
        <v>2086</v>
      </c>
      <c r="H719" s="196" t="s">
        <v>270</v>
      </c>
      <c r="I719" s="196">
        <v>60218</v>
      </c>
      <c r="J719" s="197">
        <v>42766</v>
      </c>
      <c r="K719" s="198">
        <v>0.90902777777777777</v>
      </c>
      <c r="L719" s="197">
        <v>42768</v>
      </c>
      <c r="M719" s="196" t="s">
        <v>271</v>
      </c>
      <c r="N719" s="196" t="s">
        <v>272</v>
      </c>
      <c r="O719" s="196" t="s">
        <v>273</v>
      </c>
      <c r="P719" s="196" t="s">
        <v>274</v>
      </c>
      <c r="Q719" s="196" t="s">
        <v>275</v>
      </c>
      <c r="R719" s="196" t="s">
        <v>276</v>
      </c>
      <c r="S719" s="196" t="s">
        <v>436</v>
      </c>
      <c r="T719" s="196" t="s">
        <v>435</v>
      </c>
      <c r="U719" s="196">
        <v>2086</v>
      </c>
      <c r="V719" s="196" t="s">
        <v>435</v>
      </c>
      <c r="W719" s="196" t="s">
        <v>280</v>
      </c>
      <c r="X719" s="196">
        <v>7.2359999999999998</v>
      </c>
      <c r="Y719" s="199">
        <v>-0.14000000000000001</v>
      </c>
      <c r="Z719" s="199">
        <v>2.1</v>
      </c>
      <c r="AA719" s="199">
        <v>15.19</v>
      </c>
      <c r="AB719" s="199">
        <v>-1.32</v>
      </c>
      <c r="AC719" s="199">
        <v>0</v>
      </c>
      <c r="AD719" s="199">
        <v>0</v>
      </c>
      <c r="AE719" s="199">
        <v>13.73</v>
      </c>
      <c r="AF719" s="199">
        <v>-1.74</v>
      </c>
      <c r="AG719" s="196" t="s">
        <v>279</v>
      </c>
      <c r="AH719" s="199">
        <v>0</v>
      </c>
      <c r="AI719" s="196" t="s">
        <v>279</v>
      </c>
      <c r="AJ719" s="199">
        <v>0</v>
      </c>
      <c r="AK719" s="196" t="s">
        <v>279</v>
      </c>
      <c r="AL719" s="199">
        <v>0</v>
      </c>
      <c r="AM719" s="196" t="s">
        <v>279</v>
      </c>
      <c r="AN719" s="199">
        <v>0</v>
      </c>
      <c r="AO719" s="196" t="s">
        <v>279</v>
      </c>
      <c r="AP719" s="199">
        <v>0</v>
      </c>
      <c r="AQ719" s="199">
        <v>15.19</v>
      </c>
      <c r="AR719" s="199">
        <v>0</v>
      </c>
      <c r="AS719" s="196" t="str">
        <f t="shared" si="18"/>
        <v>1.00000000</v>
      </c>
      <c r="AT719" s="196" t="str">
        <f>"21.4"</f>
        <v>21.4</v>
      </c>
      <c r="AU719" s="199">
        <v>0</v>
      </c>
    </row>
    <row r="720" spans="1:47" s="196" customFormat="1" x14ac:dyDescent="0.2">
      <c r="A720" s="196" t="str">
        <f t="shared" si="19"/>
        <v>0496002595734</v>
      </c>
      <c r="B720" s="196">
        <v>3</v>
      </c>
      <c r="C720" s="196" t="s">
        <v>435</v>
      </c>
      <c r="D720" s="196">
        <v>82</v>
      </c>
      <c r="E720" s="196">
        <v>82</v>
      </c>
      <c r="F720" s="196" t="s">
        <v>243</v>
      </c>
      <c r="G720" s="196">
        <v>2086</v>
      </c>
      <c r="H720" s="196" t="s">
        <v>270</v>
      </c>
      <c r="I720" s="196">
        <v>60549</v>
      </c>
      <c r="J720" s="197">
        <v>42768</v>
      </c>
      <c r="K720" s="198">
        <v>0.39444444444444443</v>
      </c>
      <c r="L720" s="197">
        <v>42772</v>
      </c>
      <c r="M720" s="196" t="s">
        <v>271</v>
      </c>
      <c r="N720" s="196" t="s">
        <v>272</v>
      </c>
      <c r="O720" s="196" t="s">
        <v>273</v>
      </c>
      <c r="P720" s="196" t="s">
        <v>274</v>
      </c>
      <c r="Q720" s="196" t="s">
        <v>275</v>
      </c>
      <c r="R720" s="196" t="s">
        <v>276</v>
      </c>
      <c r="S720" s="196" t="s">
        <v>436</v>
      </c>
      <c r="T720" s="196" t="s">
        <v>435</v>
      </c>
      <c r="U720" s="196">
        <v>2086</v>
      </c>
      <c r="V720" s="196" t="s">
        <v>435</v>
      </c>
      <c r="W720" s="196" t="s">
        <v>280</v>
      </c>
      <c r="X720" s="196">
        <v>15.775</v>
      </c>
      <c r="Y720" s="199">
        <v>-0.32</v>
      </c>
      <c r="Z720" s="199">
        <v>2.11</v>
      </c>
      <c r="AA720" s="199">
        <v>33.270000000000003</v>
      </c>
      <c r="AB720" s="199">
        <v>-2.89</v>
      </c>
      <c r="AC720" s="199">
        <v>0</v>
      </c>
      <c r="AD720" s="199">
        <v>0</v>
      </c>
      <c r="AE720" s="199">
        <v>30.06</v>
      </c>
      <c r="AF720" s="199">
        <v>-3.79</v>
      </c>
      <c r="AG720" s="196" t="s">
        <v>279</v>
      </c>
      <c r="AH720" s="199">
        <v>0</v>
      </c>
      <c r="AI720" s="196" t="s">
        <v>279</v>
      </c>
      <c r="AJ720" s="199">
        <v>0</v>
      </c>
      <c r="AK720" s="196" t="s">
        <v>279</v>
      </c>
      <c r="AL720" s="199">
        <v>0</v>
      </c>
      <c r="AM720" s="196" t="s">
        <v>279</v>
      </c>
      <c r="AN720" s="199">
        <v>0</v>
      </c>
      <c r="AO720" s="196" t="s">
        <v>279</v>
      </c>
      <c r="AP720" s="199">
        <v>0</v>
      </c>
      <c r="AQ720" s="199">
        <v>33.270000000000003</v>
      </c>
      <c r="AR720" s="199">
        <v>0</v>
      </c>
      <c r="AS720" s="196" t="str">
        <f t="shared" si="18"/>
        <v>1.00000000</v>
      </c>
      <c r="AT720" s="196" t="str">
        <f>"21.0"</f>
        <v>21.0</v>
      </c>
      <c r="AU720" s="199">
        <v>0</v>
      </c>
    </row>
    <row r="721" spans="1:47" s="196" customFormat="1" x14ac:dyDescent="0.2">
      <c r="A721" s="196" t="str">
        <f t="shared" si="19"/>
        <v>0496002595734</v>
      </c>
      <c r="B721" s="196">
        <v>3</v>
      </c>
      <c r="C721" s="196" t="s">
        <v>435</v>
      </c>
      <c r="D721" s="196">
        <v>82</v>
      </c>
      <c r="E721" s="196">
        <v>82</v>
      </c>
      <c r="F721" s="196" t="s">
        <v>243</v>
      </c>
      <c r="G721" s="196">
        <v>2086</v>
      </c>
      <c r="H721" s="196" t="s">
        <v>270</v>
      </c>
      <c r="I721" s="196">
        <v>60808</v>
      </c>
      <c r="J721" s="197">
        <v>42770</v>
      </c>
      <c r="K721" s="198">
        <v>0.7295949074074074</v>
      </c>
      <c r="L721" s="197">
        <v>42773</v>
      </c>
      <c r="M721" s="196" t="s">
        <v>310</v>
      </c>
      <c r="N721" s="196" t="s">
        <v>522</v>
      </c>
      <c r="O721" s="196" t="s">
        <v>523</v>
      </c>
      <c r="P721" s="196" t="s">
        <v>524</v>
      </c>
      <c r="Q721" s="196" t="s">
        <v>329</v>
      </c>
      <c r="R721" s="196" t="s">
        <v>525</v>
      </c>
      <c r="S721" s="196" t="s">
        <v>436</v>
      </c>
      <c r="T721" s="196" t="s">
        <v>435</v>
      </c>
      <c r="U721" s="196">
        <v>2086</v>
      </c>
      <c r="V721" s="196" t="s">
        <v>435</v>
      </c>
      <c r="W721" s="196" t="s">
        <v>280</v>
      </c>
      <c r="X721" s="196">
        <v>14.147</v>
      </c>
      <c r="Y721" s="199">
        <v>0</v>
      </c>
      <c r="Z721" s="199">
        <v>2.4300000000000002</v>
      </c>
      <c r="AA721" s="199">
        <v>34.36</v>
      </c>
      <c r="AB721" s="199">
        <v>-2.59</v>
      </c>
      <c r="AC721" s="199">
        <v>0</v>
      </c>
      <c r="AD721" s="199">
        <v>0</v>
      </c>
      <c r="AE721" s="199">
        <v>31.77</v>
      </c>
      <c r="AF721" s="199">
        <v>-6</v>
      </c>
      <c r="AG721" s="196" t="s">
        <v>279</v>
      </c>
      <c r="AH721" s="199">
        <v>0</v>
      </c>
      <c r="AI721" s="196" t="s">
        <v>279</v>
      </c>
      <c r="AJ721" s="199">
        <v>0</v>
      </c>
      <c r="AK721" s="196" t="s">
        <v>279</v>
      </c>
      <c r="AL721" s="199">
        <v>0</v>
      </c>
      <c r="AM721" s="196" t="s">
        <v>279</v>
      </c>
      <c r="AN721" s="199">
        <v>0</v>
      </c>
      <c r="AO721" s="196" t="s">
        <v>279</v>
      </c>
      <c r="AP721" s="199">
        <v>0</v>
      </c>
      <c r="AQ721" s="199">
        <v>34.36</v>
      </c>
      <c r="AR721" s="199">
        <v>0</v>
      </c>
      <c r="AS721" s="196" t="str">
        <f t="shared" si="18"/>
        <v>1.00000000</v>
      </c>
      <c r="AT721" s="196" t="str">
        <f>"18.3"</f>
        <v>18.3</v>
      </c>
      <c r="AU721" s="199">
        <v>0</v>
      </c>
    </row>
    <row r="722" spans="1:47" s="196" customFormat="1" x14ac:dyDescent="0.2">
      <c r="A722" s="196" t="str">
        <f t="shared" si="19"/>
        <v>0496002595734</v>
      </c>
      <c r="B722" s="196">
        <v>3</v>
      </c>
      <c r="C722" s="196" t="s">
        <v>435</v>
      </c>
      <c r="D722" s="196">
        <v>82</v>
      </c>
      <c r="E722" s="196">
        <v>82</v>
      </c>
      <c r="F722" s="196" t="s">
        <v>243</v>
      </c>
      <c r="G722" s="196">
        <v>2086</v>
      </c>
      <c r="H722" s="196" t="s">
        <v>270</v>
      </c>
      <c r="I722" s="196">
        <v>61036</v>
      </c>
      <c r="J722" s="197">
        <v>42772</v>
      </c>
      <c r="K722" s="198">
        <v>0.97499999999999998</v>
      </c>
      <c r="L722" s="197">
        <v>42774</v>
      </c>
      <c r="M722" s="196" t="s">
        <v>271</v>
      </c>
      <c r="N722" s="196" t="s">
        <v>272</v>
      </c>
      <c r="O722" s="196" t="s">
        <v>273</v>
      </c>
      <c r="P722" s="196" t="s">
        <v>274</v>
      </c>
      <c r="Q722" s="196" t="s">
        <v>275</v>
      </c>
      <c r="R722" s="196" t="s">
        <v>276</v>
      </c>
      <c r="S722" s="196" t="s">
        <v>436</v>
      </c>
      <c r="T722" s="196" t="s">
        <v>435</v>
      </c>
      <c r="U722" s="196">
        <v>2086</v>
      </c>
      <c r="V722" s="196" t="s">
        <v>435</v>
      </c>
      <c r="W722" s="196" t="s">
        <v>280</v>
      </c>
      <c r="X722" s="196">
        <v>9.4830000000000005</v>
      </c>
      <c r="Y722" s="199">
        <v>-0.19</v>
      </c>
      <c r="Z722" s="199">
        <v>2.11</v>
      </c>
      <c r="AA722" s="199">
        <v>20</v>
      </c>
      <c r="AB722" s="199">
        <v>-1.74</v>
      </c>
      <c r="AC722" s="199">
        <v>0</v>
      </c>
      <c r="AD722" s="199">
        <v>0</v>
      </c>
      <c r="AE722" s="199">
        <v>18.07</v>
      </c>
      <c r="AF722" s="199">
        <v>-2.2799999999999998</v>
      </c>
      <c r="AG722" s="196" t="s">
        <v>279</v>
      </c>
      <c r="AH722" s="199">
        <v>0</v>
      </c>
      <c r="AI722" s="196" t="s">
        <v>279</v>
      </c>
      <c r="AJ722" s="199">
        <v>0</v>
      </c>
      <c r="AK722" s="196" t="s">
        <v>279</v>
      </c>
      <c r="AL722" s="199">
        <v>0</v>
      </c>
      <c r="AM722" s="196" t="s">
        <v>279</v>
      </c>
      <c r="AN722" s="199">
        <v>0</v>
      </c>
      <c r="AO722" s="196" t="s">
        <v>279</v>
      </c>
      <c r="AP722" s="199">
        <v>0</v>
      </c>
      <c r="AQ722" s="199">
        <v>20</v>
      </c>
      <c r="AR722" s="199">
        <v>0</v>
      </c>
      <c r="AS722" s="196" t="str">
        <f t="shared" si="18"/>
        <v>1.00000000</v>
      </c>
      <c r="AT722" s="196" t="str">
        <f>"24.0"</f>
        <v>24.0</v>
      </c>
      <c r="AU722" s="199">
        <v>0</v>
      </c>
    </row>
    <row r="723" spans="1:47" s="196" customFormat="1" x14ac:dyDescent="0.2">
      <c r="A723" s="196" t="str">
        <f t="shared" si="19"/>
        <v>0496002595734</v>
      </c>
      <c r="B723" s="196">
        <v>3</v>
      </c>
      <c r="C723" s="196" t="s">
        <v>435</v>
      </c>
      <c r="D723" s="196">
        <v>82</v>
      </c>
      <c r="E723" s="196">
        <v>82</v>
      </c>
      <c r="F723" s="196" t="s">
        <v>243</v>
      </c>
      <c r="G723" s="196">
        <v>2086</v>
      </c>
      <c r="H723" s="196" t="s">
        <v>270</v>
      </c>
      <c r="I723" s="196">
        <v>61156</v>
      </c>
      <c r="J723" s="197">
        <v>42776</v>
      </c>
      <c r="K723" s="198">
        <v>0.62361111111111112</v>
      </c>
      <c r="L723" s="197">
        <v>42780</v>
      </c>
      <c r="M723" s="196" t="s">
        <v>271</v>
      </c>
      <c r="N723" s="196" t="s">
        <v>272</v>
      </c>
      <c r="O723" s="196" t="s">
        <v>273</v>
      </c>
      <c r="P723" s="196" t="s">
        <v>274</v>
      </c>
      <c r="Q723" s="196" t="s">
        <v>275</v>
      </c>
      <c r="R723" s="196" t="s">
        <v>276</v>
      </c>
      <c r="S723" s="196" t="s">
        <v>436</v>
      </c>
      <c r="T723" s="196" t="s">
        <v>435</v>
      </c>
      <c r="U723" s="196">
        <v>2086</v>
      </c>
      <c r="V723" s="196" t="s">
        <v>435</v>
      </c>
      <c r="W723" s="196" t="s">
        <v>278</v>
      </c>
      <c r="X723" s="196">
        <v>12.023999999999999</v>
      </c>
      <c r="Y723" s="199">
        <v>-0.24</v>
      </c>
      <c r="Z723" s="199">
        <v>2.5499999999999998</v>
      </c>
      <c r="AA723" s="199">
        <v>30.65</v>
      </c>
      <c r="AB723" s="199">
        <v>-2.2000000000000002</v>
      </c>
      <c r="AC723" s="199">
        <v>0</v>
      </c>
      <c r="AD723" s="199">
        <v>0</v>
      </c>
      <c r="AE723" s="199">
        <v>28.21</v>
      </c>
      <c r="AF723" s="199">
        <v>-2.89</v>
      </c>
      <c r="AG723" s="196" t="s">
        <v>279</v>
      </c>
      <c r="AH723" s="199">
        <v>0</v>
      </c>
      <c r="AI723" s="196" t="s">
        <v>279</v>
      </c>
      <c r="AJ723" s="199">
        <v>0</v>
      </c>
      <c r="AK723" s="196" t="s">
        <v>279</v>
      </c>
      <c r="AL723" s="199">
        <v>0</v>
      </c>
      <c r="AM723" s="196" t="s">
        <v>279</v>
      </c>
      <c r="AN723" s="199">
        <v>0</v>
      </c>
      <c r="AO723" s="196" t="s">
        <v>279</v>
      </c>
      <c r="AP723" s="199">
        <v>0</v>
      </c>
      <c r="AQ723" s="199">
        <v>30.65</v>
      </c>
      <c r="AR723" s="199">
        <v>0</v>
      </c>
      <c r="AS723" s="196" t="str">
        <f t="shared" si="18"/>
        <v>1.00000000</v>
      </c>
      <c r="AT723" s="196" t="str">
        <f>"21.0"</f>
        <v>21.0</v>
      </c>
      <c r="AU723" s="199">
        <v>0</v>
      </c>
    </row>
    <row r="724" spans="1:47" s="196" customFormat="1" x14ac:dyDescent="0.2">
      <c r="A724" s="196" t="str">
        <f t="shared" si="19"/>
        <v>0496002595734</v>
      </c>
      <c r="B724" s="196">
        <v>3</v>
      </c>
      <c r="C724" s="196" t="s">
        <v>435</v>
      </c>
      <c r="D724" s="196">
        <v>82</v>
      </c>
      <c r="E724" s="196">
        <v>82</v>
      </c>
      <c r="F724" s="196" t="s">
        <v>243</v>
      </c>
      <c r="G724" s="196">
        <v>2086</v>
      </c>
      <c r="H724" s="196" t="s">
        <v>270</v>
      </c>
      <c r="I724" s="196">
        <v>61138</v>
      </c>
      <c r="J724" s="197">
        <v>42778</v>
      </c>
      <c r="K724" s="198">
        <v>0.90341435185185182</v>
      </c>
      <c r="L724" s="197">
        <v>42780</v>
      </c>
      <c r="M724" s="196" t="s">
        <v>310</v>
      </c>
      <c r="N724" s="196" t="s">
        <v>526</v>
      </c>
      <c r="O724" s="196" t="s">
        <v>527</v>
      </c>
      <c r="P724" s="196" t="s">
        <v>528</v>
      </c>
      <c r="Q724" s="196" t="s">
        <v>309</v>
      </c>
      <c r="R724" s="196">
        <v>6095</v>
      </c>
      <c r="S724" s="196" t="s">
        <v>436</v>
      </c>
      <c r="T724" s="196" t="s">
        <v>435</v>
      </c>
      <c r="U724" s="196">
        <v>2086</v>
      </c>
      <c r="V724" s="196" t="s">
        <v>435</v>
      </c>
      <c r="W724" s="196" t="s">
        <v>280</v>
      </c>
      <c r="X724" s="196">
        <v>14.298999999999999</v>
      </c>
      <c r="Y724" s="199">
        <v>0</v>
      </c>
      <c r="Z724" s="199">
        <v>2.33</v>
      </c>
      <c r="AA724" s="199">
        <v>33.299999999999997</v>
      </c>
      <c r="AB724" s="199">
        <v>-2.62</v>
      </c>
      <c r="AC724" s="199">
        <v>0</v>
      </c>
      <c r="AD724" s="199">
        <v>0</v>
      </c>
      <c r="AE724" s="199">
        <v>30.68</v>
      </c>
      <c r="AF724" s="199">
        <v>-3.57</v>
      </c>
      <c r="AG724" s="196" t="s">
        <v>279</v>
      </c>
      <c r="AH724" s="199">
        <v>0</v>
      </c>
      <c r="AI724" s="196" t="s">
        <v>279</v>
      </c>
      <c r="AJ724" s="199">
        <v>0</v>
      </c>
      <c r="AK724" s="196" t="s">
        <v>279</v>
      </c>
      <c r="AL724" s="199">
        <v>0</v>
      </c>
      <c r="AM724" s="196" t="s">
        <v>279</v>
      </c>
      <c r="AN724" s="199">
        <v>0</v>
      </c>
      <c r="AO724" s="196" t="s">
        <v>279</v>
      </c>
      <c r="AP724" s="199">
        <v>0</v>
      </c>
      <c r="AQ724" s="199">
        <v>33.299999999999997</v>
      </c>
      <c r="AR724" s="199">
        <v>0</v>
      </c>
      <c r="AS724" s="196" t="str">
        <f t="shared" si="18"/>
        <v>1.00000000</v>
      </c>
      <c r="AT724" s="196" t="str">
        <f>"21.0"</f>
        <v>21.0</v>
      </c>
      <c r="AU724" s="199">
        <v>0</v>
      </c>
    </row>
    <row r="725" spans="1:47" s="196" customFormat="1" x14ac:dyDescent="0.2">
      <c r="A725" s="196" t="str">
        <f t="shared" si="19"/>
        <v>0496002595734</v>
      </c>
      <c r="B725" s="196">
        <v>3</v>
      </c>
      <c r="C725" s="196" t="s">
        <v>435</v>
      </c>
      <c r="D725" s="196">
        <v>82</v>
      </c>
      <c r="E725" s="196">
        <v>82</v>
      </c>
      <c r="F725" s="196" t="s">
        <v>243</v>
      </c>
      <c r="G725" s="196">
        <v>2086</v>
      </c>
      <c r="H725" s="196" t="s">
        <v>270</v>
      </c>
      <c r="I725" s="196">
        <v>60612</v>
      </c>
      <c r="J725" s="197">
        <v>42780</v>
      </c>
      <c r="K725" s="198">
        <v>7.7083333333333337E-2</v>
      </c>
      <c r="L725" s="197">
        <v>42781</v>
      </c>
      <c r="M725" s="196" t="s">
        <v>271</v>
      </c>
      <c r="N725" s="196" t="s">
        <v>272</v>
      </c>
      <c r="O725" s="196" t="s">
        <v>273</v>
      </c>
      <c r="P725" s="196" t="s">
        <v>274</v>
      </c>
      <c r="Q725" s="196" t="s">
        <v>275</v>
      </c>
      <c r="R725" s="196" t="s">
        <v>276</v>
      </c>
      <c r="S725" s="196" t="s">
        <v>436</v>
      </c>
      <c r="T725" s="196" t="s">
        <v>435</v>
      </c>
      <c r="U725" s="196">
        <v>2086</v>
      </c>
      <c r="V725" s="196" t="s">
        <v>435</v>
      </c>
      <c r="W725" s="196" t="s">
        <v>280</v>
      </c>
      <c r="X725" s="196">
        <v>10.064</v>
      </c>
      <c r="Y725" s="199">
        <v>-0.2</v>
      </c>
      <c r="Z725" s="199">
        <v>2.16</v>
      </c>
      <c r="AA725" s="199">
        <v>21.73</v>
      </c>
      <c r="AB725" s="199">
        <v>-1.84</v>
      </c>
      <c r="AC725" s="199">
        <v>0</v>
      </c>
      <c r="AD725" s="199">
        <v>0</v>
      </c>
      <c r="AE725" s="199">
        <v>19.690000000000001</v>
      </c>
      <c r="AF725" s="199">
        <v>-2.42</v>
      </c>
      <c r="AG725" s="196" t="s">
        <v>279</v>
      </c>
      <c r="AH725" s="199">
        <v>0</v>
      </c>
      <c r="AI725" s="196" t="s">
        <v>279</v>
      </c>
      <c r="AJ725" s="199">
        <v>0</v>
      </c>
      <c r="AK725" s="196" t="s">
        <v>279</v>
      </c>
      <c r="AL725" s="199">
        <v>0</v>
      </c>
      <c r="AM725" s="196" t="s">
        <v>279</v>
      </c>
      <c r="AN725" s="199">
        <v>0</v>
      </c>
      <c r="AO725" s="196" t="s">
        <v>279</v>
      </c>
      <c r="AP725" s="199">
        <v>0</v>
      </c>
      <c r="AQ725" s="199">
        <v>21.73</v>
      </c>
      <c r="AR725" s="199">
        <v>0</v>
      </c>
      <c r="AS725" s="196" t="str">
        <f t="shared" si="18"/>
        <v>1.00000000</v>
      </c>
      <c r="AT725" s="196" t="str">
        <f>"21.0"</f>
        <v>21.0</v>
      </c>
      <c r="AU725" s="199">
        <v>0</v>
      </c>
    </row>
    <row r="726" spans="1:47" s="196" customFormat="1" x14ac:dyDescent="0.2">
      <c r="A726" s="196" t="str">
        <f t="shared" si="19"/>
        <v>0496002595734</v>
      </c>
      <c r="B726" s="196">
        <v>3</v>
      </c>
      <c r="C726" s="196" t="s">
        <v>435</v>
      </c>
      <c r="D726" s="196">
        <v>82</v>
      </c>
      <c r="E726" s="196">
        <v>82</v>
      </c>
      <c r="F726" s="196" t="s">
        <v>243</v>
      </c>
      <c r="G726" s="196">
        <v>2086</v>
      </c>
      <c r="H726" s="196" t="s">
        <v>270</v>
      </c>
      <c r="I726" s="196">
        <v>61646</v>
      </c>
      <c r="J726" s="197">
        <v>42780</v>
      </c>
      <c r="K726" s="198">
        <v>0.78888888888888886</v>
      </c>
      <c r="L726" s="197">
        <v>42782</v>
      </c>
      <c r="M726" s="196" t="s">
        <v>285</v>
      </c>
      <c r="N726" s="196" t="s">
        <v>399</v>
      </c>
      <c r="O726" s="196" t="s">
        <v>400</v>
      </c>
      <c r="P726" s="196" t="s">
        <v>274</v>
      </c>
      <c r="Q726" s="196" t="s">
        <v>275</v>
      </c>
      <c r="R726" s="196" t="s">
        <v>401</v>
      </c>
      <c r="S726" s="196" t="s">
        <v>436</v>
      </c>
      <c r="T726" s="196" t="s">
        <v>435</v>
      </c>
      <c r="U726" s="196">
        <v>2086</v>
      </c>
      <c r="V726" s="196" t="s">
        <v>435</v>
      </c>
      <c r="W726" s="196" t="s">
        <v>278</v>
      </c>
      <c r="X726" s="196">
        <v>13.930999999999999</v>
      </c>
      <c r="Y726" s="199">
        <v>0</v>
      </c>
      <c r="Z726" s="199">
        <v>2.56</v>
      </c>
      <c r="AA726" s="199">
        <v>35.65</v>
      </c>
      <c r="AB726" s="199">
        <v>-2.5499999999999998</v>
      </c>
      <c r="AC726" s="199">
        <v>0</v>
      </c>
      <c r="AD726" s="199">
        <v>0</v>
      </c>
      <c r="AE726" s="199">
        <v>33.1</v>
      </c>
      <c r="AF726" s="199">
        <v>-3.34</v>
      </c>
      <c r="AG726" s="196" t="s">
        <v>279</v>
      </c>
      <c r="AH726" s="199">
        <v>0</v>
      </c>
      <c r="AI726" s="196" t="s">
        <v>279</v>
      </c>
      <c r="AJ726" s="199">
        <v>0</v>
      </c>
      <c r="AK726" s="196" t="s">
        <v>279</v>
      </c>
      <c r="AL726" s="199">
        <v>0</v>
      </c>
      <c r="AM726" s="196" t="s">
        <v>279</v>
      </c>
      <c r="AN726" s="199">
        <v>0</v>
      </c>
      <c r="AO726" s="196" t="s">
        <v>279</v>
      </c>
      <c r="AP726" s="199">
        <v>0</v>
      </c>
      <c r="AQ726" s="199">
        <v>35.65</v>
      </c>
      <c r="AR726" s="199">
        <v>0</v>
      </c>
      <c r="AS726" s="196" t="str">
        <f t="shared" si="18"/>
        <v>1.00000000</v>
      </c>
      <c r="AT726" s="196" t="str">
        <f>"21.0"</f>
        <v>21.0</v>
      </c>
      <c r="AU726" s="199">
        <v>0</v>
      </c>
    </row>
    <row r="727" spans="1:47" s="196" customFormat="1" x14ac:dyDescent="0.2">
      <c r="A727" s="196" t="str">
        <f t="shared" si="19"/>
        <v>0496002595734</v>
      </c>
      <c r="B727" s="196">
        <v>3</v>
      </c>
      <c r="C727" s="196" t="s">
        <v>435</v>
      </c>
      <c r="D727" s="196">
        <v>82</v>
      </c>
      <c r="E727" s="196">
        <v>82</v>
      </c>
      <c r="F727" s="196" t="s">
        <v>243</v>
      </c>
      <c r="G727" s="196">
        <v>2086</v>
      </c>
      <c r="H727" s="196" t="s">
        <v>270</v>
      </c>
      <c r="I727" s="196">
        <v>61876</v>
      </c>
      <c r="J727" s="197">
        <v>42781</v>
      </c>
      <c r="K727" s="198">
        <v>0.29305555555555557</v>
      </c>
      <c r="L727" s="197">
        <v>42783</v>
      </c>
      <c r="M727" s="196" t="s">
        <v>271</v>
      </c>
      <c r="N727" s="196" t="s">
        <v>437</v>
      </c>
      <c r="O727" s="196" t="s">
        <v>438</v>
      </c>
      <c r="P727" s="196" t="s">
        <v>439</v>
      </c>
      <c r="Q727" s="196" t="s">
        <v>275</v>
      </c>
      <c r="R727" s="196">
        <v>1701</v>
      </c>
      <c r="S727" s="196" t="s">
        <v>436</v>
      </c>
      <c r="T727" s="196" t="s">
        <v>435</v>
      </c>
      <c r="U727" s="196">
        <v>2086</v>
      </c>
      <c r="V727" s="196" t="s">
        <v>435</v>
      </c>
      <c r="W727" s="196" t="s">
        <v>280</v>
      </c>
      <c r="X727" s="196">
        <v>9.6370000000000005</v>
      </c>
      <c r="Y727" s="199">
        <v>-0.28999999999999998</v>
      </c>
      <c r="Z727" s="199">
        <v>2.4</v>
      </c>
      <c r="AA727" s="199">
        <v>23.12</v>
      </c>
      <c r="AB727" s="199">
        <v>-1.76</v>
      </c>
      <c r="AC727" s="199">
        <v>0</v>
      </c>
      <c r="AD727" s="199">
        <v>0</v>
      </c>
      <c r="AE727" s="199">
        <v>21.07</v>
      </c>
      <c r="AF727" s="199">
        <v>-2.31</v>
      </c>
      <c r="AG727" s="196" t="s">
        <v>279</v>
      </c>
      <c r="AH727" s="199">
        <v>0</v>
      </c>
      <c r="AI727" s="196" t="s">
        <v>279</v>
      </c>
      <c r="AJ727" s="199">
        <v>0</v>
      </c>
      <c r="AK727" s="196" t="s">
        <v>279</v>
      </c>
      <c r="AL727" s="199">
        <v>0</v>
      </c>
      <c r="AM727" s="196" t="s">
        <v>279</v>
      </c>
      <c r="AN727" s="199">
        <v>0</v>
      </c>
      <c r="AO727" s="196" t="s">
        <v>279</v>
      </c>
      <c r="AP727" s="199">
        <v>0</v>
      </c>
      <c r="AQ727" s="199">
        <v>23.12</v>
      </c>
      <c r="AR727" s="199">
        <v>0</v>
      </c>
      <c r="AS727" s="196" t="str">
        <f t="shared" si="18"/>
        <v>1.00000000</v>
      </c>
      <c r="AT727" s="196" t="str">
        <f>"35.2"</f>
        <v>35.2</v>
      </c>
      <c r="AU727" s="199">
        <v>0</v>
      </c>
    </row>
    <row r="728" spans="1:47" s="196" customFormat="1" x14ac:dyDescent="0.2">
      <c r="A728" s="196" t="str">
        <f t="shared" si="19"/>
        <v>0496002595734</v>
      </c>
      <c r="B728" s="196">
        <v>3</v>
      </c>
      <c r="C728" s="196" t="s">
        <v>435</v>
      </c>
      <c r="D728" s="196">
        <v>82</v>
      </c>
      <c r="E728" s="196">
        <v>82</v>
      </c>
      <c r="F728" s="196" t="s">
        <v>243</v>
      </c>
      <c r="G728" s="196">
        <v>2086</v>
      </c>
      <c r="H728" s="196" t="s">
        <v>270</v>
      </c>
      <c r="I728" s="196">
        <v>62067</v>
      </c>
      <c r="J728" s="197">
        <v>42786</v>
      </c>
      <c r="K728" s="198">
        <v>0.72680555555555559</v>
      </c>
      <c r="L728" s="197">
        <v>42788</v>
      </c>
      <c r="M728" s="196" t="s">
        <v>384</v>
      </c>
      <c r="N728" s="196" t="s">
        <v>385</v>
      </c>
      <c r="O728" s="196" t="s">
        <v>386</v>
      </c>
      <c r="P728" s="196" t="s">
        <v>343</v>
      </c>
      <c r="Q728" s="196" t="s">
        <v>275</v>
      </c>
      <c r="R728" s="196" t="s">
        <v>387</v>
      </c>
      <c r="S728" s="196" t="s">
        <v>436</v>
      </c>
      <c r="T728" s="196" t="s">
        <v>435</v>
      </c>
      <c r="U728" s="196">
        <v>2086</v>
      </c>
      <c r="V728" s="196" t="s">
        <v>435</v>
      </c>
      <c r="W728" s="196" t="s">
        <v>280</v>
      </c>
      <c r="X728" s="196">
        <v>15.948</v>
      </c>
      <c r="Y728" s="199">
        <v>0</v>
      </c>
      <c r="Z728" s="199">
        <v>2.16</v>
      </c>
      <c r="AA728" s="199">
        <v>34.43</v>
      </c>
      <c r="AB728" s="199">
        <v>-2.92</v>
      </c>
      <c r="AC728" s="199">
        <v>0</v>
      </c>
      <c r="AD728" s="199">
        <v>0</v>
      </c>
      <c r="AE728" s="199">
        <v>31.51</v>
      </c>
      <c r="AF728" s="199">
        <v>-3.83</v>
      </c>
      <c r="AG728" s="196" t="s">
        <v>279</v>
      </c>
      <c r="AH728" s="199">
        <v>0</v>
      </c>
      <c r="AI728" s="196" t="s">
        <v>279</v>
      </c>
      <c r="AJ728" s="199">
        <v>0</v>
      </c>
      <c r="AK728" s="196" t="s">
        <v>279</v>
      </c>
      <c r="AL728" s="199">
        <v>0</v>
      </c>
      <c r="AM728" s="196" t="s">
        <v>279</v>
      </c>
      <c r="AN728" s="199">
        <v>0</v>
      </c>
      <c r="AO728" s="196" t="s">
        <v>279</v>
      </c>
      <c r="AP728" s="199">
        <v>0</v>
      </c>
      <c r="AQ728" s="199">
        <v>34.43</v>
      </c>
      <c r="AR728" s="199">
        <v>0</v>
      </c>
      <c r="AS728" s="196" t="str">
        <f t="shared" si="18"/>
        <v>1.00000000</v>
      </c>
      <c r="AT728" s="196" t="str">
        <f>"35.2"</f>
        <v>35.2</v>
      </c>
      <c r="AU728" s="199">
        <v>0</v>
      </c>
    </row>
    <row r="729" spans="1:47" s="196" customFormat="1" x14ac:dyDescent="0.2">
      <c r="A729" s="196" t="str">
        <f t="shared" si="19"/>
        <v>0496002595734</v>
      </c>
      <c r="B729" s="196">
        <v>3</v>
      </c>
      <c r="C729" s="196" t="s">
        <v>435</v>
      </c>
      <c r="D729" s="196">
        <v>82</v>
      </c>
      <c r="E729" s="196">
        <v>82</v>
      </c>
      <c r="F729" s="196" t="s">
        <v>243</v>
      </c>
      <c r="G729" s="196">
        <v>2086</v>
      </c>
      <c r="H729" s="196" t="s">
        <v>270</v>
      </c>
      <c r="I729" s="196">
        <v>62768</v>
      </c>
      <c r="J729" s="197">
        <v>42787</v>
      </c>
      <c r="K729" s="198">
        <v>0.8666666666666667</v>
      </c>
      <c r="L729" s="197">
        <v>42789</v>
      </c>
      <c r="M729" s="196" t="s">
        <v>271</v>
      </c>
      <c r="N729" s="196" t="s">
        <v>272</v>
      </c>
      <c r="O729" s="196" t="s">
        <v>273</v>
      </c>
      <c r="P729" s="196" t="s">
        <v>274</v>
      </c>
      <c r="Q729" s="196" t="s">
        <v>275</v>
      </c>
      <c r="R729" s="196" t="s">
        <v>276</v>
      </c>
      <c r="S729" s="196" t="s">
        <v>436</v>
      </c>
      <c r="T729" s="196" t="s">
        <v>435</v>
      </c>
      <c r="U729" s="196">
        <v>2086</v>
      </c>
      <c r="V729" s="196" t="s">
        <v>435</v>
      </c>
      <c r="W729" s="196" t="s">
        <v>280</v>
      </c>
      <c r="X729" s="196">
        <v>8.0079999999999991</v>
      </c>
      <c r="Y729" s="199">
        <v>-0.16</v>
      </c>
      <c r="Z729" s="199">
        <v>2.17</v>
      </c>
      <c r="AA729" s="199">
        <v>17.37</v>
      </c>
      <c r="AB729" s="199">
        <v>-1.47</v>
      </c>
      <c r="AC729" s="199">
        <v>0</v>
      </c>
      <c r="AD729" s="199">
        <v>0</v>
      </c>
      <c r="AE729" s="199">
        <v>15.74</v>
      </c>
      <c r="AF729" s="199">
        <v>-1.92</v>
      </c>
      <c r="AG729" s="196" t="s">
        <v>279</v>
      </c>
      <c r="AH729" s="199">
        <v>0</v>
      </c>
      <c r="AI729" s="196" t="s">
        <v>279</v>
      </c>
      <c r="AJ729" s="199">
        <v>0</v>
      </c>
      <c r="AK729" s="196" t="s">
        <v>279</v>
      </c>
      <c r="AL729" s="199">
        <v>0</v>
      </c>
      <c r="AM729" s="196" t="s">
        <v>279</v>
      </c>
      <c r="AN729" s="199">
        <v>0</v>
      </c>
      <c r="AO729" s="196" t="s">
        <v>279</v>
      </c>
      <c r="AP729" s="199">
        <v>0</v>
      </c>
      <c r="AQ729" s="199">
        <v>17.37</v>
      </c>
      <c r="AR729" s="199">
        <v>0</v>
      </c>
      <c r="AS729" s="196" t="str">
        <f t="shared" si="18"/>
        <v>1.00000000</v>
      </c>
      <c r="AT729" s="196" t="str">
        <f>"12.0"</f>
        <v>12.0</v>
      </c>
      <c r="AU729" s="199">
        <v>0</v>
      </c>
    </row>
    <row r="730" spans="1:47" s="196" customFormat="1" x14ac:dyDescent="0.2">
      <c r="A730" s="196" t="str">
        <f t="shared" si="19"/>
        <v>0496002595734</v>
      </c>
      <c r="B730" s="196">
        <v>3</v>
      </c>
      <c r="C730" s="196" t="s">
        <v>435</v>
      </c>
      <c r="D730" s="196">
        <v>82</v>
      </c>
      <c r="E730" s="196">
        <v>82</v>
      </c>
      <c r="F730" s="196" t="s">
        <v>243</v>
      </c>
      <c r="G730" s="196">
        <v>2086</v>
      </c>
      <c r="H730" s="196" t="s">
        <v>270</v>
      </c>
      <c r="I730" s="196">
        <v>62482</v>
      </c>
      <c r="J730" s="197">
        <v>42788</v>
      </c>
      <c r="K730" s="198">
        <v>6.1111111111111116E-2</v>
      </c>
      <c r="L730" s="197">
        <v>42789</v>
      </c>
      <c r="M730" s="196" t="s">
        <v>271</v>
      </c>
      <c r="N730" s="196" t="s">
        <v>272</v>
      </c>
      <c r="O730" s="196" t="s">
        <v>273</v>
      </c>
      <c r="P730" s="196" t="s">
        <v>274</v>
      </c>
      <c r="Q730" s="196" t="s">
        <v>275</v>
      </c>
      <c r="R730" s="196" t="s">
        <v>276</v>
      </c>
      <c r="S730" s="196" t="s">
        <v>436</v>
      </c>
      <c r="T730" s="196" t="s">
        <v>435</v>
      </c>
      <c r="U730" s="196">
        <v>2086</v>
      </c>
      <c r="V730" s="196" t="s">
        <v>435</v>
      </c>
      <c r="W730" s="196" t="s">
        <v>278</v>
      </c>
      <c r="X730" s="196">
        <v>4.8689999999999998</v>
      </c>
      <c r="Y730" s="199">
        <v>-0.1</v>
      </c>
      <c r="Z730" s="199">
        <v>2.61</v>
      </c>
      <c r="AA730" s="199">
        <v>12.71</v>
      </c>
      <c r="AB730" s="199">
        <v>-0.89</v>
      </c>
      <c r="AC730" s="199">
        <v>0</v>
      </c>
      <c r="AD730" s="199">
        <v>0</v>
      </c>
      <c r="AE730" s="199">
        <v>11.72</v>
      </c>
      <c r="AF730" s="199">
        <v>-1.17</v>
      </c>
      <c r="AG730" s="196" t="s">
        <v>279</v>
      </c>
      <c r="AH730" s="199">
        <v>0</v>
      </c>
      <c r="AI730" s="196" t="s">
        <v>279</v>
      </c>
      <c r="AJ730" s="199">
        <v>0</v>
      </c>
      <c r="AK730" s="196" t="s">
        <v>279</v>
      </c>
      <c r="AL730" s="199">
        <v>0</v>
      </c>
      <c r="AM730" s="196" t="s">
        <v>279</v>
      </c>
      <c r="AN730" s="199">
        <v>0</v>
      </c>
      <c r="AO730" s="196" t="s">
        <v>279</v>
      </c>
      <c r="AP730" s="199">
        <v>0</v>
      </c>
      <c r="AQ730" s="199">
        <v>12.71</v>
      </c>
      <c r="AR730" s="199">
        <v>0</v>
      </c>
      <c r="AS730" s="196" t="str">
        <f t="shared" si="18"/>
        <v>1.00000000</v>
      </c>
      <c r="AT730" s="196" t="str">
        <f>"11.9"</f>
        <v>11.9</v>
      </c>
      <c r="AU730" s="199">
        <v>0</v>
      </c>
    </row>
    <row r="731" spans="1:47" s="196" customFormat="1" x14ac:dyDescent="0.2">
      <c r="A731" s="196" t="str">
        <f t="shared" si="19"/>
        <v>0496002595734</v>
      </c>
      <c r="B731" s="196">
        <v>3</v>
      </c>
      <c r="C731" s="196" t="s">
        <v>435</v>
      </c>
      <c r="D731" s="196">
        <v>82</v>
      </c>
      <c r="E731" s="196">
        <v>82</v>
      </c>
      <c r="F731" s="196" t="s">
        <v>243</v>
      </c>
      <c r="G731" s="196">
        <v>2086</v>
      </c>
      <c r="H731" s="196" t="s">
        <v>270</v>
      </c>
      <c r="I731" s="196">
        <v>62550</v>
      </c>
      <c r="J731" s="197">
        <v>42789</v>
      </c>
      <c r="K731" s="198">
        <v>0.8763657407407407</v>
      </c>
      <c r="L731" s="197">
        <v>42793</v>
      </c>
      <c r="M731" s="196" t="s">
        <v>340</v>
      </c>
      <c r="N731" s="196" t="s">
        <v>341</v>
      </c>
      <c r="O731" s="196" t="s">
        <v>342</v>
      </c>
      <c r="P731" s="196" t="s">
        <v>343</v>
      </c>
      <c r="Q731" s="196" t="s">
        <v>275</v>
      </c>
      <c r="R731" s="196">
        <v>1035</v>
      </c>
      <c r="S731" s="196" t="s">
        <v>436</v>
      </c>
      <c r="T731" s="196" t="s">
        <v>435</v>
      </c>
      <c r="U731" s="196">
        <v>2086</v>
      </c>
      <c r="V731" s="196" t="s">
        <v>435</v>
      </c>
      <c r="W731" s="196" t="s">
        <v>280</v>
      </c>
      <c r="X731" s="196">
        <v>11.137</v>
      </c>
      <c r="Y731" s="199">
        <v>0</v>
      </c>
      <c r="Z731" s="199">
        <v>2.1800000000000002</v>
      </c>
      <c r="AA731" s="199">
        <v>24.27</v>
      </c>
      <c r="AB731" s="199">
        <v>-2.04</v>
      </c>
      <c r="AC731" s="199">
        <v>0</v>
      </c>
      <c r="AD731" s="199">
        <v>0</v>
      </c>
      <c r="AE731" s="199">
        <v>22.23</v>
      </c>
      <c r="AF731" s="199">
        <v>-2.67</v>
      </c>
      <c r="AG731" s="196" t="s">
        <v>279</v>
      </c>
      <c r="AH731" s="199">
        <v>0</v>
      </c>
      <c r="AI731" s="196" t="s">
        <v>279</v>
      </c>
      <c r="AJ731" s="199">
        <v>0</v>
      </c>
      <c r="AK731" s="196" t="s">
        <v>279</v>
      </c>
      <c r="AL731" s="199">
        <v>0</v>
      </c>
      <c r="AM731" s="196" t="s">
        <v>279</v>
      </c>
      <c r="AN731" s="199">
        <v>0</v>
      </c>
      <c r="AO731" s="196" t="s">
        <v>279</v>
      </c>
      <c r="AP731" s="199">
        <v>0</v>
      </c>
      <c r="AQ731" s="199">
        <v>24.27</v>
      </c>
      <c r="AR731" s="199">
        <v>0</v>
      </c>
      <c r="AS731" s="196" t="str">
        <f t="shared" si="18"/>
        <v>1.00000000</v>
      </c>
      <c r="AT731" s="196" t="str">
        <f>"6.1"</f>
        <v>6.1</v>
      </c>
      <c r="AU731" s="199">
        <v>0</v>
      </c>
    </row>
    <row r="732" spans="1:47" s="196" customFormat="1" x14ac:dyDescent="0.2">
      <c r="A732" s="196" t="str">
        <f t="shared" si="19"/>
        <v>0496002595734</v>
      </c>
      <c r="B732" s="196">
        <v>3</v>
      </c>
      <c r="C732" s="196" t="s">
        <v>435</v>
      </c>
      <c r="D732" s="196">
        <v>82</v>
      </c>
      <c r="E732" s="196">
        <v>82</v>
      </c>
      <c r="F732" s="196" t="s">
        <v>243</v>
      </c>
      <c r="G732" s="196">
        <v>2086</v>
      </c>
      <c r="H732" s="196" t="s">
        <v>270</v>
      </c>
      <c r="I732" s="196">
        <v>62688</v>
      </c>
      <c r="J732" s="197">
        <v>42792</v>
      </c>
      <c r="K732" s="198">
        <v>5.0694444444444452E-2</v>
      </c>
      <c r="L732" s="197">
        <v>42794</v>
      </c>
      <c r="M732" s="196" t="s">
        <v>384</v>
      </c>
      <c r="N732" s="196" t="s">
        <v>529</v>
      </c>
      <c r="O732" s="196" t="s">
        <v>530</v>
      </c>
      <c r="P732" s="196" t="s">
        <v>531</v>
      </c>
      <c r="Q732" s="196" t="s">
        <v>309</v>
      </c>
      <c r="R732" s="196" t="s">
        <v>532</v>
      </c>
      <c r="S732" s="196" t="s">
        <v>436</v>
      </c>
      <c r="T732" s="196" t="s">
        <v>435</v>
      </c>
      <c r="U732" s="196">
        <v>2086</v>
      </c>
      <c r="V732" s="196" t="s">
        <v>435</v>
      </c>
      <c r="W732" s="196" t="s">
        <v>280</v>
      </c>
      <c r="X732" s="196">
        <v>9.9329999999999998</v>
      </c>
      <c r="Y732" s="199">
        <v>0</v>
      </c>
      <c r="Z732" s="199">
        <v>2.4700000000000002</v>
      </c>
      <c r="AA732" s="199">
        <v>24.52</v>
      </c>
      <c r="AB732" s="199">
        <v>-1.82</v>
      </c>
      <c r="AC732" s="199">
        <v>0</v>
      </c>
      <c r="AD732" s="199">
        <v>0</v>
      </c>
      <c r="AE732" s="199">
        <v>22.7</v>
      </c>
      <c r="AF732" s="199">
        <v>-2.48</v>
      </c>
      <c r="AG732" s="196" t="s">
        <v>279</v>
      </c>
      <c r="AH732" s="199">
        <v>0</v>
      </c>
      <c r="AI732" s="196" t="s">
        <v>279</v>
      </c>
      <c r="AJ732" s="199">
        <v>0</v>
      </c>
      <c r="AK732" s="196" t="s">
        <v>279</v>
      </c>
      <c r="AL732" s="199">
        <v>0</v>
      </c>
      <c r="AM732" s="196" t="s">
        <v>279</v>
      </c>
      <c r="AN732" s="199">
        <v>0</v>
      </c>
      <c r="AO732" s="196" t="s">
        <v>279</v>
      </c>
      <c r="AP732" s="199">
        <v>0</v>
      </c>
      <c r="AQ732" s="199">
        <v>24.52</v>
      </c>
      <c r="AR732" s="199">
        <v>0</v>
      </c>
      <c r="AS732" s="196" t="str">
        <f t="shared" si="18"/>
        <v>1.00000000</v>
      </c>
      <c r="AT732" s="196" t="str">
        <f>"13.9"</f>
        <v>13.9</v>
      </c>
      <c r="AU732" s="199">
        <v>0</v>
      </c>
    </row>
    <row r="733" spans="1:47" s="196" customFormat="1" x14ac:dyDescent="0.2">
      <c r="A733" s="196" t="str">
        <f t="shared" si="19"/>
        <v>0496002595734</v>
      </c>
      <c r="B733" s="196">
        <v>3</v>
      </c>
      <c r="C733" s="196" t="s">
        <v>435</v>
      </c>
      <c r="D733" s="196">
        <v>82</v>
      </c>
      <c r="E733" s="196">
        <v>82</v>
      </c>
      <c r="F733" s="196" t="s">
        <v>243</v>
      </c>
      <c r="G733" s="196">
        <v>2086</v>
      </c>
      <c r="H733" s="196" t="s">
        <v>270</v>
      </c>
      <c r="I733" s="196">
        <v>62852</v>
      </c>
      <c r="J733" s="197">
        <v>42795</v>
      </c>
      <c r="K733" s="198">
        <v>0.75208333333333333</v>
      </c>
      <c r="L733" s="197">
        <v>42797</v>
      </c>
      <c r="M733" s="196" t="s">
        <v>294</v>
      </c>
      <c r="N733" s="196" t="s">
        <v>374</v>
      </c>
      <c r="O733" s="196" t="s">
        <v>375</v>
      </c>
      <c r="P733" s="196" t="s">
        <v>376</v>
      </c>
      <c r="Q733" s="196" t="s">
        <v>377</v>
      </c>
      <c r="R733" s="196" t="s">
        <v>378</v>
      </c>
      <c r="S733" s="196" t="s">
        <v>436</v>
      </c>
      <c r="T733" s="196" t="s">
        <v>435</v>
      </c>
      <c r="U733" s="196">
        <v>2086</v>
      </c>
      <c r="V733" s="196" t="s">
        <v>435</v>
      </c>
      <c r="W733" s="196" t="s">
        <v>280</v>
      </c>
      <c r="X733" s="196">
        <v>9.83</v>
      </c>
      <c r="Y733" s="199">
        <v>0</v>
      </c>
      <c r="Z733" s="199">
        <v>2.3199999999999998</v>
      </c>
      <c r="AA733" s="199">
        <v>22.8</v>
      </c>
      <c r="AB733" s="199">
        <v>-1.8</v>
      </c>
      <c r="AC733" s="199">
        <v>0</v>
      </c>
      <c r="AD733" s="199">
        <v>0</v>
      </c>
      <c r="AE733" s="199">
        <v>21</v>
      </c>
      <c r="AF733" s="199">
        <v>-2.36</v>
      </c>
      <c r="AG733" s="196" t="s">
        <v>279</v>
      </c>
      <c r="AH733" s="199">
        <v>0</v>
      </c>
      <c r="AI733" s="196" t="s">
        <v>279</v>
      </c>
      <c r="AJ733" s="199">
        <v>0</v>
      </c>
      <c r="AK733" s="196" t="s">
        <v>279</v>
      </c>
      <c r="AL733" s="199">
        <v>0</v>
      </c>
      <c r="AM733" s="196" t="s">
        <v>279</v>
      </c>
      <c r="AN733" s="199">
        <v>0</v>
      </c>
      <c r="AO733" s="196" t="s">
        <v>279</v>
      </c>
      <c r="AP733" s="199">
        <v>0</v>
      </c>
      <c r="AQ733" s="199">
        <v>22.8</v>
      </c>
      <c r="AR733" s="199">
        <v>0</v>
      </c>
      <c r="AS733" s="196" t="str">
        <f t="shared" si="18"/>
        <v>1.00000000</v>
      </c>
      <c r="AT733" s="196" t="str">
        <f>"16.7"</f>
        <v>16.7</v>
      </c>
      <c r="AU733" s="199">
        <v>0</v>
      </c>
    </row>
    <row r="734" spans="1:47" s="196" customFormat="1" x14ac:dyDescent="0.2">
      <c r="A734" s="196" t="str">
        <f t="shared" si="19"/>
        <v>0496002595734</v>
      </c>
      <c r="B734" s="196">
        <v>3</v>
      </c>
      <c r="C734" s="196" t="s">
        <v>435</v>
      </c>
      <c r="D734" s="196">
        <v>82</v>
      </c>
      <c r="E734" s="196">
        <v>82</v>
      </c>
      <c r="F734" s="196" t="s">
        <v>243</v>
      </c>
      <c r="G734" s="196">
        <v>2086</v>
      </c>
      <c r="H734" s="196" t="s">
        <v>270</v>
      </c>
      <c r="I734" s="196">
        <v>63085</v>
      </c>
      <c r="J734" s="197">
        <v>42796</v>
      </c>
      <c r="K734" s="198">
        <v>0.74583333333333324</v>
      </c>
      <c r="L734" s="197">
        <v>42800</v>
      </c>
      <c r="M734" s="196" t="s">
        <v>271</v>
      </c>
      <c r="N734" s="196" t="s">
        <v>272</v>
      </c>
      <c r="O734" s="196" t="s">
        <v>273</v>
      </c>
      <c r="P734" s="196" t="s">
        <v>274</v>
      </c>
      <c r="Q734" s="196" t="s">
        <v>275</v>
      </c>
      <c r="R734" s="196" t="s">
        <v>276</v>
      </c>
      <c r="S734" s="196" t="s">
        <v>436</v>
      </c>
      <c r="T734" s="196" t="s">
        <v>435</v>
      </c>
      <c r="U734" s="196">
        <v>2086</v>
      </c>
      <c r="V734" s="196" t="s">
        <v>435</v>
      </c>
      <c r="W734" s="196" t="s">
        <v>280</v>
      </c>
      <c r="X734" s="196">
        <v>10.858000000000001</v>
      </c>
      <c r="Y734" s="199">
        <v>-0.22</v>
      </c>
      <c r="Z734" s="199">
        <v>2.19</v>
      </c>
      <c r="AA734" s="199">
        <v>23.77</v>
      </c>
      <c r="AB734" s="199">
        <v>-1.99</v>
      </c>
      <c r="AC734" s="199">
        <v>0</v>
      </c>
      <c r="AD734" s="199">
        <v>0</v>
      </c>
      <c r="AE734" s="199">
        <v>21.56</v>
      </c>
      <c r="AF734" s="199">
        <v>-2.61</v>
      </c>
      <c r="AG734" s="196" t="s">
        <v>279</v>
      </c>
      <c r="AH734" s="199">
        <v>0</v>
      </c>
      <c r="AI734" s="196" t="s">
        <v>279</v>
      </c>
      <c r="AJ734" s="199">
        <v>0</v>
      </c>
      <c r="AK734" s="196" t="s">
        <v>279</v>
      </c>
      <c r="AL734" s="199">
        <v>0</v>
      </c>
      <c r="AM734" s="196" t="s">
        <v>279</v>
      </c>
      <c r="AN734" s="199">
        <v>0</v>
      </c>
      <c r="AO734" s="196" t="s">
        <v>279</v>
      </c>
      <c r="AP734" s="199">
        <v>0</v>
      </c>
      <c r="AQ734" s="199">
        <v>23.77</v>
      </c>
      <c r="AR734" s="199">
        <v>0</v>
      </c>
      <c r="AS734" s="196" t="str">
        <f t="shared" si="18"/>
        <v>1.00000000</v>
      </c>
      <c r="AT734" s="196" t="str">
        <f>"21.5"</f>
        <v>21.5</v>
      </c>
      <c r="AU734" s="199">
        <v>0</v>
      </c>
    </row>
    <row r="735" spans="1:47" s="196" customFormat="1" x14ac:dyDescent="0.2">
      <c r="A735" s="196" t="str">
        <f t="shared" si="19"/>
        <v>0496002595734</v>
      </c>
      <c r="B735" s="196">
        <v>3</v>
      </c>
      <c r="C735" s="196" t="s">
        <v>435</v>
      </c>
      <c r="D735" s="196">
        <v>82</v>
      </c>
      <c r="E735" s="196">
        <v>82</v>
      </c>
      <c r="F735" s="196" t="s">
        <v>243</v>
      </c>
      <c r="G735" s="196">
        <v>2086</v>
      </c>
      <c r="H735" s="196" t="s">
        <v>270</v>
      </c>
      <c r="I735" s="196">
        <v>63328</v>
      </c>
      <c r="J735" s="197">
        <v>42798</v>
      </c>
      <c r="K735" s="198">
        <v>0.47569444444444442</v>
      </c>
      <c r="L735" s="197">
        <v>42801</v>
      </c>
      <c r="M735" s="196" t="s">
        <v>271</v>
      </c>
      <c r="N735" s="196" t="s">
        <v>533</v>
      </c>
      <c r="O735" s="196" t="s">
        <v>534</v>
      </c>
      <c r="P735" s="196" t="s">
        <v>445</v>
      </c>
      <c r="Q735" s="196" t="s">
        <v>309</v>
      </c>
      <c r="R735" s="196">
        <v>6825</v>
      </c>
      <c r="S735" s="196" t="s">
        <v>436</v>
      </c>
      <c r="T735" s="196" t="s">
        <v>435</v>
      </c>
      <c r="U735" s="196">
        <v>2086</v>
      </c>
      <c r="V735" s="196" t="s">
        <v>435</v>
      </c>
      <c r="W735" s="196" t="s">
        <v>280</v>
      </c>
      <c r="X735" s="196">
        <v>13.228999999999999</v>
      </c>
      <c r="Y735" s="199">
        <v>-0.26</v>
      </c>
      <c r="Z735" s="199">
        <v>2.3199999999999998</v>
      </c>
      <c r="AA735" s="199">
        <v>30.68</v>
      </c>
      <c r="AB735" s="199">
        <v>-2.42</v>
      </c>
      <c r="AC735" s="199">
        <v>0</v>
      </c>
      <c r="AD735" s="199">
        <v>0</v>
      </c>
      <c r="AE735" s="199">
        <v>28</v>
      </c>
      <c r="AF735" s="199">
        <v>-3.31</v>
      </c>
      <c r="AG735" s="196" t="s">
        <v>279</v>
      </c>
      <c r="AH735" s="199">
        <v>0</v>
      </c>
      <c r="AI735" s="196" t="s">
        <v>279</v>
      </c>
      <c r="AJ735" s="199">
        <v>0</v>
      </c>
      <c r="AK735" s="196" t="s">
        <v>279</v>
      </c>
      <c r="AL735" s="199">
        <v>0</v>
      </c>
      <c r="AM735" s="196" t="s">
        <v>279</v>
      </c>
      <c r="AN735" s="199">
        <v>0</v>
      </c>
      <c r="AO735" s="196" t="s">
        <v>279</v>
      </c>
      <c r="AP735" s="199">
        <v>0</v>
      </c>
      <c r="AQ735" s="199">
        <v>30.68</v>
      </c>
      <c r="AR735" s="199">
        <v>0</v>
      </c>
      <c r="AS735" s="196" t="str">
        <f t="shared" si="18"/>
        <v>1.00000000</v>
      </c>
      <c r="AT735" s="196" t="str">
        <f>"18.4"</f>
        <v>18.4</v>
      </c>
      <c r="AU735" s="199">
        <v>0</v>
      </c>
    </row>
    <row r="736" spans="1:47" s="196" customFormat="1" x14ac:dyDescent="0.2">
      <c r="A736" s="196" t="str">
        <f t="shared" si="19"/>
        <v>0496002595734</v>
      </c>
      <c r="B736" s="196">
        <v>3</v>
      </c>
      <c r="C736" s="196" t="s">
        <v>435</v>
      </c>
      <c r="D736" s="196">
        <v>82</v>
      </c>
      <c r="E736" s="196">
        <v>82</v>
      </c>
      <c r="F736" s="196" t="s">
        <v>243</v>
      </c>
      <c r="G736" s="196">
        <v>2086</v>
      </c>
      <c r="H736" s="196" t="s">
        <v>270</v>
      </c>
      <c r="I736" s="196">
        <v>11111</v>
      </c>
      <c r="J736" s="197">
        <v>42801</v>
      </c>
      <c r="K736" s="198">
        <v>0.57651620370370371</v>
      </c>
      <c r="L736" s="197">
        <v>42803</v>
      </c>
      <c r="M736" s="196" t="s">
        <v>310</v>
      </c>
      <c r="N736" s="196" t="s">
        <v>331</v>
      </c>
      <c r="O736" s="196" t="s">
        <v>332</v>
      </c>
      <c r="P736" s="196" t="s">
        <v>274</v>
      </c>
      <c r="Q736" s="196" t="s">
        <v>275</v>
      </c>
      <c r="R736" s="196">
        <v>1002</v>
      </c>
      <c r="S736" s="196" t="s">
        <v>436</v>
      </c>
      <c r="T736" s="196" t="s">
        <v>435</v>
      </c>
      <c r="U736" s="196">
        <v>2086</v>
      </c>
      <c r="V736" s="196" t="s">
        <v>435</v>
      </c>
      <c r="W736" s="196" t="s">
        <v>280</v>
      </c>
      <c r="X736" s="196">
        <v>15.255000000000001</v>
      </c>
      <c r="Y736" s="199">
        <v>0</v>
      </c>
      <c r="Z736" s="199">
        <v>2.2599999999999998</v>
      </c>
      <c r="AA736" s="199">
        <v>34.46</v>
      </c>
      <c r="AB736" s="199">
        <v>-2.79</v>
      </c>
      <c r="AC736" s="199">
        <v>0</v>
      </c>
      <c r="AD736" s="199">
        <v>0</v>
      </c>
      <c r="AE736" s="199">
        <v>31.67</v>
      </c>
      <c r="AF736" s="199">
        <v>-3.66</v>
      </c>
      <c r="AG736" s="196" t="s">
        <v>279</v>
      </c>
      <c r="AH736" s="199">
        <v>0</v>
      </c>
      <c r="AI736" s="196" t="s">
        <v>279</v>
      </c>
      <c r="AJ736" s="199">
        <v>0</v>
      </c>
      <c r="AK736" s="196" t="s">
        <v>279</v>
      </c>
      <c r="AL736" s="199">
        <v>0</v>
      </c>
      <c r="AM736" s="196" t="s">
        <v>279</v>
      </c>
      <c r="AN736" s="199">
        <v>0</v>
      </c>
      <c r="AO736" s="196" t="s">
        <v>279</v>
      </c>
      <c r="AP736" s="199">
        <v>0</v>
      </c>
      <c r="AQ736" s="199">
        <v>34.46</v>
      </c>
      <c r="AR736" s="199">
        <v>0</v>
      </c>
      <c r="AS736" s="196" t="str">
        <f t="shared" si="18"/>
        <v>1.00000000</v>
      </c>
      <c r="AT736" s="196" t="str">
        <f>"16.6"</f>
        <v>16.6</v>
      </c>
      <c r="AU736" s="199">
        <v>0</v>
      </c>
    </row>
    <row r="737" spans="1:47" s="196" customFormat="1" x14ac:dyDescent="0.2">
      <c r="A737" s="196" t="str">
        <f t="shared" si="19"/>
        <v>0496002595734</v>
      </c>
      <c r="B737" s="196">
        <v>3</v>
      </c>
      <c r="C737" s="196" t="s">
        <v>435</v>
      </c>
      <c r="D737" s="196">
        <v>82</v>
      </c>
      <c r="E737" s="196">
        <v>82</v>
      </c>
      <c r="F737" s="196" t="s">
        <v>243</v>
      </c>
      <c r="G737" s="196">
        <v>2086</v>
      </c>
      <c r="H737" s="196" t="s">
        <v>270</v>
      </c>
      <c r="I737" s="196">
        <v>63775</v>
      </c>
      <c r="J737" s="197">
        <v>42803</v>
      </c>
      <c r="K737" s="198">
        <v>0.34791666666666665</v>
      </c>
      <c r="L737" s="197">
        <v>42807</v>
      </c>
      <c r="M737" s="196" t="s">
        <v>271</v>
      </c>
      <c r="N737" s="196" t="s">
        <v>272</v>
      </c>
      <c r="O737" s="196" t="s">
        <v>273</v>
      </c>
      <c r="P737" s="196" t="s">
        <v>274</v>
      </c>
      <c r="Q737" s="196" t="s">
        <v>275</v>
      </c>
      <c r="R737" s="196" t="s">
        <v>276</v>
      </c>
      <c r="S737" s="196" t="s">
        <v>436</v>
      </c>
      <c r="T737" s="196" t="s">
        <v>435</v>
      </c>
      <c r="U737" s="196">
        <v>2086</v>
      </c>
      <c r="V737" s="196" t="s">
        <v>435</v>
      </c>
      <c r="W737" s="196" t="s">
        <v>280</v>
      </c>
      <c r="X737" s="196">
        <v>9.6340000000000003</v>
      </c>
      <c r="Y737" s="199">
        <v>-0.19</v>
      </c>
      <c r="Z737" s="199">
        <v>2.19</v>
      </c>
      <c r="AA737" s="199">
        <v>21.09</v>
      </c>
      <c r="AB737" s="199">
        <v>-1.76</v>
      </c>
      <c r="AC737" s="199">
        <v>0</v>
      </c>
      <c r="AD737" s="199">
        <v>0</v>
      </c>
      <c r="AE737" s="199">
        <v>19.14</v>
      </c>
      <c r="AF737" s="199">
        <v>-2.31</v>
      </c>
      <c r="AG737" s="196" t="s">
        <v>279</v>
      </c>
      <c r="AH737" s="199">
        <v>0</v>
      </c>
      <c r="AI737" s="196" t="s">
        <v>279</v>
      </c>
      <c r="AJ737" s="199">
        <v>0</v>
      </c>
      <c r="AK737" s="196" t="s">
        <v>279</v>
      </c>
      <c r="AL737" s="199">
        <v>0</v>
      </c>
      <c r="AM737" s="196" t="s">
        <v>279</v>
      </c>
      <c r="AN737" s="199">
        <v>0</v>
      </c>
      <c r="AO737" s="196" t="s">
        <v>279</v>
      </c>
      <c r="AP737" s="199">
        <v>0</v>
      </c>
      <c r="AQ737" s="199">
        <v>21.09</v>
      </c>
      <c r="AR737" s="199">
        <v>0</v>
      </c>
      <c r="AS737" s="196" t="str">
        <f t="shared" si="18"/>
        <v>1.00000000</v>
      </c>
      <c r="AT737" s="196" t="str">
        <f>"20.0"</f>
        <v>20.0</v>
      </c>
      <c r="AU737" s="199">
        <v>0</v>
      </c>
    </row>
    <row r="738" spans="1:47" s="196" customFormat="1" x14ac:dyDescent="0.2">
      <c r="A738" s="196" t="str">
        <f t="shared" si="19"/>
        <v>0496002595734</v>
      </c>
      <c r="B738" s="196">
        <v>3</v>
      </c>
      <c r="C738" s="196" t="s">
        <v>435</v>
      </c>
      <c r="D738" s="196">
        <v>82</v>
      </c>
      <c r="E738" s="196">
        <v>82</v>
      </c>
      <c r="F738" s="196" t="s">
        <v>243</v>
      </c>
      <c r="G738" s="196">
        <v>2086</v>
      </c>
      <c r="H738" s="196" t="s">
        <v>270</v>
      </c>
      <c r="I738" s="196">
        <v>64120</v>
      </c>
      <c r="J738" s="197">
        <v>42803</v>
      </c>
      <c r="K738" s="198">
        <v>0.96180555555555547</v>
      </c>
      <c r="L738" s="197">
        <v>42807</v>
      </c>
      <c r="M738" s="196" t="s">
        <v>271</v>
      </c>
      <c r="N738" s="196" t="s">
        <v>352</v>
      </c>
      <c r="O738" s="196" t="s">
        <v>353</v>
      </c>
      <c r="P738" s="196" t="s">
        <v>343</v>
      </c>
      <c r="Q738" s="196" t="s">
        <v>275</v>
      </c>
      <c r="R738" s="196">
        <v>1035</v>
      </c>
      <c r="S738" s="196" t="s">
        <v>436</v>
      </c>
      <c r="T738" s="196" t="s">
        <v>435</v>
      </c>
      <c r="U738" s="196">
        <v>2086</v>
      </c>
      <c r="V738" s="196" t="s">
        <v>435</v>
      </c>
      <c r="W738" s="196" t="s">
        <v>280</v>
      </c>
      <c r="X738" s="196">
        <v>12.584</v>
      </c>
      <c r="Y738" s="199">
        <v>-0.25</v>
      </c>
      <c r="Z738" s="199">
        <v>2.16</v>
      </c>
      <c r="AA738" s="199">
        <v>27.17</v>
      </c>
      <c r="AB738" s="199">
        <v>-2.2999999999999998</v>
      </c>
      <c r="AC738" s="199">
        <v>0</v>
      </c>
      <c r="AD738" s="199">
        <v>0</v>
      </c>
      <c r="AE738" s="199">
        <v>24.62</v>
      </c>
      <c r="AF738" s="199">
        <v>-3.02</v>
      </c>
      <c r="AG738" s="196" t="s">
        <v>279</v>
      </c>
      <c r="AH738" s="199">
        <v>0</v>
      </c>
      <c r="AI738" s="196" t="s">
        <v>279</v>
      </c>
      <c r="AJ738" s="199">
        <v>0</v>
      </c>
      <c r="AK738" s="196" t="s">
        <v>279</v>
      </c>
      <c r="AL738" s="199">
        <v>0</v>
      </c>
      <c r="AM738" s="196" t="s">
        <v>279</v>
      </c>
      <c r="AN738" s="199">
        <v>0</v>
      </c>
      <c r="AO738" s="196" t="s">
        <v>279</v>
      </c>
      <c r="AP738" s="199">
        <v>0</v>
      </c>
      <c r="AQ738" s="199">
        <v>27.17</v>
      </c>
      <c r="AR738" s="199">
        <v>0</v>
      </c>
      <c r="AS738" s="196" t="str">
        <f t="shared" si="18"/>
        <v>1.00000000</v>
      </c>
      <c r="AT738" s="196" t="str">
        <f>"16.7"</f>
        <v>16.7</v>
      </c>
      <c r="AU738" s="199">
        <v>0</v>
      </c>
    </row>
    <row r="739" spans="1:47" s="196" customFormat="1" x14ac:dyDescent="0.2">
      <c r="A739" s="196" t="str">
        <f t="shared" si="19"/>
        <v>0496002595734</v>
      </c>
      <c r="B739" s="196">
        <v>3</v>
      </c>
      <c r="C739" s="196" t="s">
        <v>435</v>
      </c>
      <c r="D739" s="196">
        <v>82</v>
      </c>
      <c r="E739" s="196">
        <v>82</v>
      </c>
      <c r="F739" s="196" t="s">
        <v>243</v>
      </c>
      <c r="G739" s="196">
        <v>2086</v>
      </c>
      <c r="H739" s="196" t="s">
        <v>270</v>
      </c>
      <c r="I739" s="196">
        <v>64150</v>
      </c>
      <c r="J739" s="197">
        <v>42805</v>
      </c>
      <c r="K739" s="198">
        <v>0.33124999999999999</v>
      </c>
      <c r="L739" s="197">
        <v>42808</v>
      </c>
      <c r="M739" s="196" t="s">
        <v>271</v>
      </c>
      <c r="N739" s="196" t="s">
        <v>272</v>
      </c>
      <c r="O739" s="196" t="s">
        <v>273</v>
      </c>
      <c r="P739" s="196" t="s">
        <v>274</v>
      </c>
      <c r="Q739" s="196" t="s">
        <v>275</v>
      </c>
      <c r="R739" s="196" t="s">
        <v>276</v>
      </c>
      <c r="S739" s="196" t="s">
        <v>436</v>
      </c>
      <c r="T739" s="196" t="s">
        <v>435</v>
      </c>
      <c r="U739" s="196">
        <v>2086</v>
      </c>
      <c r="V739" s="196" t="s">
        <v>435</v>
      </c>
      <c r="W739" s="196" t="s">
        <v>335</v>
      </c>
      <c r="X739" s="196">
        <v>5.9690000000000003</v>
      </c>
      <c r="Y739" s="199">
        <v>-0.12</v>
      </c>
      <c r="Z739" s="199">
        <v>2.39</v>
      </c>
      <c r="AA739" s="199">
        <v>14.26</v>
      </c>
      <c r="AB739" s="199">
        <v>-1.0900000000000001</v>
      </c>
      <c r="AC739" s="199">
        <v>0</v>
      </c>
      <c r="AD739" s="199">
        <v>0</v>
      </c>
      <c r="AE739" s="199">
        <v>13.05</v>
      </c>
      <c r="AF739" s="199">
        <v>-1.43</v>
      </c>
      <c r="AG739" s="196" t="s">
        <v>279</v>
      </c>
      <c r="AH739" s="199">
        <v>0</v>
      </c>
      <c r="AI739" s="196" t="s">
        <v>279</v>
      </c>
      <c r="AJ739" s="199">
        <v>0</v>
      </c>
      <c r="AK739" s="196" t="s">
        <v>279</v>
      </c>
      <c r="AL739" s="199">
        <v>0</v>
      </c>
      <c r="AM739" s="196" t="s">
        <v>279</v>
      </c>
      <c r="AN739" s="199">
        <v>0</v>
      </c>
      <c r="AO739" s="196" t="s">
        <v>279</v>
      </c>
      <c r="AP739" s="199">
        <v>0</v>
      </c>
      <c r="AQ739" s="199">
        <v>14.26</v>
      </c>
      <c r="AR739" s="199">
        <v>0</v>
      </c>
      <c r="AS739" s="196" t="str">
        <f t="shared" si="18"/>
        <v>1.00000000</v>
      </c>
      <c r="AT739" s="196" t="str">
        <f>"19.6"</f>
        <v>19.6</v>
      </c>
      <c r="AU739" s="199">
        <v>0</v>
      </c>
    </row>
    <row r="740" spans="1:47" s="196" customFormat="1" x14ac:dyDescent="0.2">
      <c r="A740" s="196" t="str">
        <f t="shared" si="19"/>
        <v>0496002595734</v>
      </c>
      <c r="B740" s="196">
        <v>3</v>
      </c>
      <c r="C740" s="196" t="s">
        <v>435</v>
      </c>
      <c r="D740" s="196">
        <v>82</v>
      </c>
      <c r="E740" s="196">
        <v>82</v>
      </c>
      <c r="F740" s="196" t="s">
        <v>243</v>
      </c>
      <c r="G740" s="196">
        <v>2086</v>
      </c>
      <c r="H740" s="196" t="s">
        <v>270</v>
      </c>
      <c r="I740" s="196">
        <v>64326</v>
      </c>
      <c r="J740" s="197">
        <v>42805</v>
      </c>
      <c r="K740" s="198">
        <v>0.68333333333333324</v>
      </c>
      <c r="L740" s="197">
        <v>42808</v>
      </c>
      <c r="M740" s="196" t="s">
        <v>271</v>
      </c>
      <c r="N740" s="196" t="s">
        <v>535</v>
      </c>
      <c r="O740" s="196" t="s">
        <v>536</v>
      </c>
      <c r="P740" s="196" t="s">
        <v>537</v>
      </c>
      <c r="Q740" s="196" t="s">
        <v>275</v>
      </c>
      <c r="R740" s="196">
        <v>2451</v>
      </c>
      <c r="S740" s="196" t="s">
        <v>436</v>
      </c>
      <c r="T740" s="196" t="s">
        <v>435</v>
      </c>
      <c r="U740" s="196">
        <v>2086</v>
      </c>
      <c r="V740" s="196" t="s">
        <v>435</v>
      </c>
      <c r="W740" s="196" t="s">
        <v>335</v>
      </c>
      <c r="X740" s="196">
        <v>9.7200000000000006</v>
      </c>
      <c r="Y740" s="199">
        <v>-0.19</v>
      </c>
      <c r="Z740" s="199">
        <v>2.4</v>
      </c>
      <c r="AA740" s="199">
        <v>23.32</v>
      </c>
      <c r="AB740" s="199">
        <v>-1.78</v>
      </c>
      <c r="AC740" s="199">
        <v>0</v>
      </c>
      <c r="AD740" s="199">
        <v>0</v>
      </c>
      <c r="AE740" s="199">
        <v>21.35</v>
      </c>
      <c r="AF740" s="199">
        <v>-2.33</v>
      </c>
      <c r="AG740" s="196" t="s">
        <v>279</v>
      </c>
      <c r="AH740" s="199">
        <v>0</v>
      </c>
      <c r="AI740" s="196" t="s">
        <v>279</v>
      </c>
      <c r="AJ740" s="199">
        <v>0</v>
      </c>
      <c r="AK740" s="196" t="s">
        <v>279</v>
      </c>
      <c r="AL740" s="199">
        <v>0</v>
      </c>
      <c r="AM740" s="196" t="s">
        <v>279</v>
      </c>
      <c r="AN740" s="199">
        <v>0</v>
      </c>
      <c r="AO740" s="196" t="s">
        <v>279</v>
      </c>
      <c r="AP740" s="199">
        <v>0</v>
      </c>
      <c r="AQ740" s="199">
        <v>23.32</v>
      </c>
      <c r="AR740" s="199">
        <v>0</v>
      </c>
      <c r="AS740" s="196" t="str">
        <f t="shared" si="18"/>
        <v>1.00000000</v>
      </c>
      <c r="AT740" s="196" t="str">
        <f>"18.1"</f>
        <v>18.1</v>
      </c>
      <c r="AU740" s="199">
        <v>0</v>
      </c>
    </row>
    <row r="741" spans="1:47" s="196" customFormat="1" x14ac:dyDescent="0.2">
      <c r="A741" s="196" t="str">
        <f t="shared" si="19"/>
        <v>0496002595734</v>
      </c>
      <c r="B741" s="196">
        <v>3</v>
      </c>
      <c r="C741" s="196" t="s">
        <v>435</v>
      </c>
      <c r="D741" s="196">
        <v>82</v>
      </c>
      <c r="E741" s="196">
        <v>82</v>
      </c>
      <c r="F741" s="196" t="s">
        <v>243</v>
      </c>
      <c r="G741" s="196">
        <v>2086</v>
      </c>
      <c r="H741" s="196" t="s">
        <v>270</v>
      </c>
      <c r="I741" s="196">
        <v>64495</v>
      </c>
      <c r="J741" s="197">
        <v>42805</v>
      </c>
      <c r="K741" s="198">
        <v>0.89236111111111116</v>
      </c>
      <c r="L741" s="197">
        <v>42808</v>
      </c>
      <c r="M741" s="196" t="s">
        <v>271</v>
      </c>
      <c r="N741" s="196" t="s">
        <v>538</v>
      </c>
      <c r="O741" s="196" t="s">
        <v>539</v>
      </c>
      <c r="P741" s="196" t="s">
        <v>540</v>
      </c>
      <c r="Q741" s="196" t="s">
        <v>309</v>
      </c>
      <c r="R741" s="196">
        <v>6033</v>
      </c>
      <c r="S741" s="196" t="s">
        <v>436</v>
      </c>
      <c r="T741" s="196" t="s">
        <v>435</v>
      </c>
      <c r="U741" s="196">
        <v>2086</v>
      </c>
      <c r="V741" s="196" t="s">
        <v>435</v>
      </c>
      <c r="W741" s="196" t="s">
        <v>335</v>
      </c>
      <c r="X741" s="196">
        <v>9.0540000000000003</v>
      </c>
      <c r="Y741" s="199">
        <v>-0.18</v>
      </c>
      <c r="Z741" s="199">
        <v>2.73</v>
      </c>
      <c r="AA741" s="199">
        <v>24.71</v>
      </c>
      <c r="AB741" s="199">
        <v>-1.66</v>
      </c>
      <c r="AC741" s="199">
        <v>0</v>
      </c>
      <c r="AD741" s="199">
        <v>0</v>
      </c>
      <c r="AE741" s="199">
        <v>22.87</v>
      </c>
      <c r="AF741" s="199">
        <v>-2.2599999999999998</v>
      </c>
      <c r="AG741" s="196" t="s">
        <v>279</v>
      </c>
      <c r="AH741" s="199">
        <v>0</v>
      </c>
      <c r="AI741" s="196" t="s">
        <v>279</v>
      </c>
      <c r="AJ741" s="199">
        <v>0</v>
      </c>
      <c r="AK741" s="196" t="s">
        <v>279</v>
      </c>
      <c r="AL741" s="199">
        <v>0</v>
      </c>
      <c r="AM741" s="196" t="s">
        <v>279</v>
      </c>
      <c r="AN741" s="199">
        <v>0</v>
      </c>
      <c r="AO741" s="196" t="s">
        <v>279</v>
      </c>
      <c r="AP741" s="199">
        <v>0</v>
      </c>
      <c r="AQ741" s="199">
        <v>24.71</v>
      </c>
      <c r="AR741" s="199">
        <v>0</v>
      </c>
      <c r="AS741" s="196" t="str">
        <f t="shared" si="18"/>
        <v>1.00000000</v>
      </c>
      <c r="AT741" s="196" t="str">
        <f>"18.7"</f>
        <v>18.7</v>
      </c>
      <c r="AU741" s="199">
        <v>0</v>
      </c>
    </row>
    <row r="742" spans="1:47" s="196" customFormat="1" x14ac:dyDescent="0.2">
      <c r="A742" s="196" t="str">
        <f t="shared" si="19"/>
        <v>0496002595734</v>
      </c>
      <c r="B742" s="196">
        <v>3</v>
      </c>
      <c r="C742" s="196" t="s">
        <v>435</v>
      </c>
      <c r="D742" s="196">
        <v>82</v>
      </c>
      <c r="E742" s="196">
        <v>82</v>
      </c>
      <c r="F742" s="196" t="s">
        <v>243</v>
      </c>
      <c r="G742" s="196">
        <v>2086</v>
      </c>
      <c r="H742" s="196" t="s">
        <v>270</v>
      </c>
      <c r="I742" s="196">
        <v>64698</v>
      </c>
      <c r="J742" s="197">
        <v>42807</v>
      </c>
      <c r="K742" s="198">
        <v>0.6694444444444444</v>
      </c>
      <c r="L742" s="197">
        <v>42809</v>
      </c>
      <c r="M742" s="196" t="s">
        <v>271</v>
      </c>
      <c r="N742" s="196" t="s">
        <v>272</v>
      </c>
      <c r="O742" s="196" t="s">
        <v>273</v>
      </c>
      <c r="P742" s="196" t="s">
        <v>274</v>
      </c>
      <c r="Q742" s="196" t="s">
        <v>275</v>
      </c>
      <c r="R742" s="196" t="s">
        <v>276</v>
      </c>
      <c r="S742" s="196" t="s">
        <v>436</v>
      </c>
      <c r="T742" s="196" t="s">
        <v>435</v>
      </c>
      <c r="U742" s="196">
        <v>2086</v>
      </c>
      <c r="V742" s="196" t="s">
        <v>435</v>
      </c>
      <c r="W742" s="196" t="s">
        <v>280</v>
      </c>
      <c r="X742" s="196">
        <v>11.521000000000001</v>
      </c>
      <c r="Y742" s="199">
        <v>-0.23</v>
      </c>
      <c r="Z742" s="199">
        <v>2.19</v>
      </c>
      <c r="AA742" s="199">
        <v>25.22</v>
      </c>
      <c r="AB742" s="199">
        <v>-2.11</v>
      </c>
      <c r="AC742" s="199">
        <v>0</v>
      </c>
      <c r="AD742" s="199">
        <v>0</v>
      </c>
      <c r="AE742" s="199">
        <v>22.88</v>
      </c>
      <c r="AF742" s="199">
        <v>-2.77</v>
      </c>
      <c r="AG742" s="196" t="s">
        <v>279</v>
      </c>
      <c r="AH742" s="199">
        <v>0</v>
      </c>
      <c r="AI742" s="196" t="s">
        <v>279</v>
      </c>
      <c r="AJ742" s="199">
        <v>0</v>
      </c>
      <c r="AK742" s="196" t="s">
        <v>279</v>
      </c>
      <c r="AL742" s="199">
        <v>0</v>
      </c>
      <c r="AM742" s="196" t="s">
        <v>279</v>
      </c>
      <c r="AN742" s="199">
        <v>0</v>
      </c>
      <c r="AO742" s="196" t="s">
        <v>279</v>
      </c>
      <c r="AP742" s="199">
        <v>0</v>
      </c>
      <c r="AQ742" s="199">
        <v>25.22</v>
      </c>
      <c r="AR742" s="199">
        <v>0</v>
      </c>
      <c r="AS742" s="196" t="str">
        <f t="shared" si="18"/>
        <v>1.00000000</v>
      </c>
      <c r="AT742" s="196" t="str">
        <f>"17.6"</f>
        <v>17.6</v>
      </c>
      <c r="AU742" s="199">
        <v>0</v>
      </c>
    </row>
    <row r="743" spans="1:47" s="196" customFormat="1" x14ac:dyDescent="0.2">
      <c r="A743" s="196" t="str">
        <f t="shared" si="19"/>
        <v>0496002595734</v>
      </c>
      <c r="B743" s="196">
        <v>3</v>
      </c>
      <c r="C743" s="196" t="s">
        <v>435</v>
      </c>
      <c r="D743" s="196">
        <v>82</v>
      </c>
      <c r="E743" s="196">
        <v>82</v>
      </c>
      <c r="F743" s="196" t="s">
        <v>243</v>
      </c>
      <c r="G743" s="196">
        <v>2086</v>
      </c>
      <c r="H743" s="196" t="s">
        <v>270</v>
      </c>
      <c r="I743" s="196">
        <v>64868</v>
      </c>
      <c r="J743" s="197">
        <v>42809</v>
      </c>
      <c r="K743" s="198">
        <v>0.78333333333333333</v>
      </c>
      <c r="L743" s="197">
        <v>42814</v>
      </c>
      <c r="M743" s="196" t="s">
        <v>325</v>
      </c>
      <c r="N743" s="196" t="s">
        <v>326</v>
      </c>
      <c r="O743" s="196" t="s">
        <v>451</v>
      </c>
      <c r="P743" s="196" t="s">
        <v>452</v>
      </c>
      <c r="Q743" s="196" t="s">
        <v>275</v>
      </c>
      <c r="R743" s="196">
        <v>2149</v>
      </c>
      <c r="S743" s="196" t="s">
        <v>436</v>
      </c>
      <c r="T743" s="196" t="s">
        <v>435</v>
      </c>
      <c r="U743" s="196">
        <v>2086</v>
      </c>
      <c r="V743" s="196" t="s">
        <v>435</v>
      </c>
      <c r="W743" s="196" t="s">
        <v>330</v>
      </c>
      <c r="X743" s="196">
        <v>12.023999999999999</v>
      </c>
      <c r="Y743" s="199">
        <v>0</v>
      </c>
      <c r="Z743" s="199">
        <v>2.5</v>
      </c>
      <c r="AA743" s="199">
        <v>30.05</v>
      </c>
      <c r="AB743" s="199">
        <v>-2.2000000000000002</v>
      </c>
      <c r="AC743" s="199">
        <v>0</v>
      </c>
      <c r="AD743" s="199">
        <v>0</v>
      </c>
      <c r="AE743" s="199">
        <v>27.85</v>
      </c>
      <c r="AF743" s="199">
        <v>-2.89</v>
      </c>
      <c r="AG743" s="196" t="s">
        <v>279</v>
      </c>
      <c r="AH743" s="199">
        <v>0</v>
      </c>
      <c r="AI743" s="196" t="s">
        <v>279</v>
      </c>
      <c r="AJ743" s="199">
        <v>0</v>
      </c>
      <c r="AK743" s="196" t="s">
        <v>279</v>
      </c>
      <c r="AL743" s="199">
        <v>0</v>
      </c>
      <c r="AM743" s="196" t="s">
        <v>279</v>
      </c>
      <c r="AN743" s="199">
        <v>0</v>
      </c>
      <c r="AO743" s="196" t="s">
        <v>279</v>
      </c>
      <c r="AP743" s="199">
        <v>0</v>
      </c>
      <c r="AQ743" s="199">
        <v>30.05</v>
      </c>
      <c r="AR743" s="199">
        <v>0</v>
      </c>
      <c r="AS743" s="196" t="str">
        <f t="shared" si="18"/>
        <v>1.00000000</v>
      </c>
      <c r="AT743" s="196" t="str">
        <f>"14.1"</f>
        <v>14.1</v>
      </c>
      <c r="AU743" s="199">
        <v>0</v>
      </c>
    </row>
    <row r="744" spans="1:47" s="196" customFormat="1" x14ac:dyDescent="0.2">
      <c r="A744" s="196" t="str">
        <f t="shared" si="19"/>
        <v>0496002595734</v>
      </c>
      <c r="B744" s="196">
        <v>3</v>
      </c>
      <c r="C744" s="196" t="s">
        <v>435</v>
      </c>
      <c r="D744" s="196">
        <v>82</v>
      </c>
      <c r="E744" s="196">
        <v>82</v>
      </c>
      <c r="F744" s="196" t="s">
        <v>243</v>
      </c>
      <c r="G744" s="196">
        <v>2086</v>
      </c>
      <c r="H744" s="196" t="s">
        <v>270</v>
      </c>
      <c r="I744" s="196">
        <v>65025</v>
      </c>
      <c r="J744" s="197">
        <v>42810</v>
      </c>
      <c r="K744" s="198">
        <v>0.45347222222222222</v>
      </c>
      <c r="L744" s="197">
        <v>42814</v>
      </c>
      <c r="M744" s="196" t="s">
        <v>271</v>
      </c>
      <c r="N744" s="196" t="s">
        <v>272</v>
      </c>
      <c r="O744" s="196" t="s">
        <v>273</v>
      </c>
      <c r="P744" s="196" t="s">
        <v>274</v>
      </c>
      <c r="Q744" s="196" t="s">
        <v>275</v>
      </c>
      <c r="R744" s="196" t="s">
        <v>276</v>
      </c>
      <c r="S744" s="196" t="s">
        <v>436</v>
      </c>
      <c r="T744" s="196" t="s">
        <v>435</v>
      </c>
      <c r="U744" s="196">
        <v>2086</v>
      </c>
      <c r="V744" s="196" t="s">
        <v>435</v>
      </c>
      <c r="W744" s="196" t="s">
        <v>280</v>
      </c>
      <c r="X744" s="196">
        <v>10.050000000000001</v>
      </c>
      <c r="Y744" s="199">
        <v>-0.2</v>
      </c>
      <c r="Z744" s="199">
        <v>2.19</v>
      </c>
      <c r="AA744" s="199">
        <v>22</v>
      </c>
      <c r="AB744" s="199">
        <v>-1.84</v>
      </c>
      <c r="AC744" s="199">
        <v>0</v>
      </c>
      <c r="AD744" s="199">
        <v>0</v>
      </c>
      <c r="AE744" s="199">
        <v>19.96</v>
      </c>
      <c r="AF744" s="199">
        <v>-2.41</v>
      </c>
      <c r="AG744" s="196" t="s">
        <v>279</v>
      </c>
      <c r="AH744" s="199">
        <v>0</v>
      </c>
      <c r="AI744" s="196" t="s">
        <v>279</v>
      </c>
      <c r="AJ744" s="199">
        <v>0</v>
      </c>
      <c r="AK744" s="196" t="s">
        <v>279</v>
      </c>
      <c r="AL744" s="199">
        <v>0</v>
      </c>
      <c r="AM744" s="196" t="s">
        <v>279</v>
      </c>
      <c r="AN744" s="199">
        <v>0</v>
      </c>
      <c r="AO744" s="196" t="s">
        <v>279</v>
      </c>
      <c r="AP744" s="199">
        <v>0</v>
      </c>
      <c r="AQ744" s="199">
        <v>22</v>
      </c>
      <c r="AR744" s="199">
        <v>0</v>
      </c>
      <c r="AS744" s="196" t="str">
        <f t="shared" si="18"/>
        <v>1.00000000</v>
      </c>
      <c r="AT744" s="196" t="str">
        <f>"15.6"</f>
        <v>15.6</v>
      </c>
      <c r="AU744" s="199">
        <v>0</v>
      </c>
    </row>
    <row r="745" spans="1:47" s="196" customFormat="1" x14ac:dyDescent="0.2">
      <c r="A745" s="196" t="str">
        <f t="shared" si="19"/>
        <v>0496002595734</v>
      </c>
      <c r="B745" s="196">
        <v>3</v>
      </c>
      <c r="C745" s="196" t="s">
        <v>435</v>
      </c>
      <c r="D745" s="196">
        <v>82</v>
      </c>
      <c r="E745" s="196">
        <v>82</v>
      </c>
      <c r="F745" s="196" t="s">
        <v>243</v>
      </c>
      <c r="G745" s="196">
        <v>2086</v>
      </c>
      <c r="H745" s="196" t="s">
        <v>270</v>
      </c>
      <c r="I745" s="196">
        <v>65151</v>
      </c>
      <c r="J745" s="197">
        <v>42810</v>
      </c>
      <c r="K745" s="198">
        <v>0.89097222222222217</v>
      </c>
      <c r="L745" s="197">
        <v>42814</v>
      </c>
      <c r="M745" s="196" t="s">
        <v>271</v>
      </c>
      <c r="N745" s="196" t="s">
        <v>513</v>
      </c>
      <c r="O745" s="196" t="s">
        <v>514</v>
      </c>
      <c r="P745" s="196" t="s">
        <v>515</v>
      </c>
      <c r="Q745" s="196" t="s">
        <v>275</v>
      </c>
      <c r="R745" s="196">
        <v>1886</v>
      </c>
      <c r="S745" s="196" t="s">
        <v>436</v>
      </c>
      <c r="T745" s="196" t="s">
        <v>435</v>
      </c>
      <c r="U745" s="196">
        <v>2086</v>
      </c>
      <c r="V745" s="196" t="s">
        <v>435</v>
      </c>
      <c r="W745" s="196" t="s">
        <v>280</v>
      </c>
      <c r="X745" s="196">
        <v>14.313000000000001</v>
      </c>
      <c r="Y745" s="199">
        <v>-0.28999999999999998</v>
      </c>
      <c r="Z745" s="199">
        <v>2.2799999999999998</v>
      </c>
      <c r="AA745" s="199">
        <v>32.619999999999997</v>
      </c>
      <c r="AB745" s="199">
        <v>-2.62</v>
      </c>
      <c r="AC745" s="199">
        <v>0</v>
      </c>
      <c r="AD745" s="199">
        <v>0</v>
      </c>
      <c r="AE745" s="199">
        <v>29.71</v>
      </c>
      <c r="AF745" s="199">
        <v>-3.44</v>
      </c>
      <c r="AG745" s="196" t="s">
        <v>279</v>
      </c>
      <c r="AH745" s="199">
        <v>0</v>
      </c>
      <c r="AI745" s="196" t="s">
        <v>279</v>
      </c>
      <c r="AJ745" s="199">
        <v>0</v>
      </c>
      <c r="AK745" s="196" t="s">
        <v>279</v>
      </c>
      <c r="AL745" s="199">
        <v>0</v>
      </c>
      <c r="AM745" s="196" t="s">
        <v>279</v>
      </c>
      <c r="AN745" s="199">
        <v>0</v>
      </c>
      <c r="AO745" s="196" t="s">
        <v>279</v>
      </c>
      <c r="AP745" s="199">
        <v>0</v>
      </c>
      <c r="AQ745" s="199">
        <v>32.619999999999997</v>
      </c>
      <c r="AR745" s="199">
        <v>0</v>
      </c>
      <c r="AS745" s="196" t="str">
        <f t="shared" si="18"/>
        <v>1.00000000</v>
      </c>
      <c r="AT745" s="196" t="str">
        <f>"19.6"</f>
        <v>19.6</v>
      </c>
      <c r="AU745" s="199">
        <v>0</v>
      </c>
    </row>
    <row r="746" spans="1:47" s="196" customFormat="1" x14ac:dyDescent="0.2">
      <c r="A746" s="196" t="str">
        <f t="shared" si="19"/>
        <v>0496002595734</v>
      </c>
      <c r="B746" s="196">
        <v>3</v>
      </c>
      <c r="C746" s="196" t="s">
        <v>435</v>
      </c>
      <c r="D746" s="196">
        <v>82</v>
      </c>
      <c r="E746" s="196">
        <v>82</v>
      </c>
      <c r="F746" s="196" t="s">
        <v>243</v>
      </c>
      <c r="G746" s="196">
        <v>2086</v>
      </c>
      <c r="H746" s="196" t="s">
        <v>270</v>
      </c>
      <c r="I746" s="196">
        <v>65317</v>
      </c>
      <c r="J746" s="197">
        <v>42812</v>
      </c>
      <c r="K746" s="198">
        <v>0.74513888888888891</v>
      </c>
      <c r="L746" s="197">
        <v>42815</v>
      </c>
      <c r="M746" s="196" t="s">
        <v>271</v>
      </c>
      <c r="N746" s="196" t="s">
        <v>272</v>
      </c>
      <c r="O746" s="196" t="s">
        <v>273</v>
      </c>
      <c r="P746" s="196" t="s">
        <v>274</v>
      </c>
      <c r="Q746" s="196" t="s">
        <v>275</v>
      </c>
      <c r="R746" s="196" t="s">
        <v>276</v>
      </c>
      <c r="S746" s="196" t="s">
        <v>436</v>
      </c>
      <c r="T746" s="196" t="s">
        <v>435</v>
      </c>
      <c r="U746" s="196">
        <v>2086</v>
      </c>
      <c r="V746" s="196" t="s">
        <v>435</v>
      </c>
      <c r="W746" s="196" t="s">
        <v>280</v>
      </c>
      <c r="X746" s="196">
        <v>9.3360000000000003</v>
      </c>
      <c r="Y746" s="199">
        <v>-0.19</v>
      </c>
      <c r="Z746" s="199">
        <v>2.2000000000000002</v>
      </c>
      <c r="AA746" s="199">
        <v>20.53</v>
      </c>
      <c r="AB746" s="199">
        <v>-1.71</v>
      </c>
      <c r="AC746" s="199">
        <v>0</v>
      </c>
      <c r="AD746" s="199">
        <v>0</v>
      </c>
      <c r="AE746" s="199">
        <v>18.63</v>
      </c>
      <c r="AF746" s="199">
        <v>-2.2400000000000002</v>
      </c>
      <c r="AG746" s="196" t="s">
        <v>279</v>
      </c>
      <c r="AH746" s="199">
        <v>0</v>
      </c>
      <c r="AI746" s="196" t="s">
        <v>279</v>
      </c>
      <c r="AJ746" s="199">
        <v>0</v>
      </c>
      <c r="AK746" s="196" t="s">
        <v>279</v>
      </c>
      <c r="AL746" s="199">
        <v>0</v>
      </c>
      <c r="AM746" s="196" t="s">
        <v>279</v>
      </c>
      <c r="AN746" s="199">
        <v>0</v>
      </c>
      <c r="AO746" s="196" t="s">
        <v>279</v>
      </c>
      <c r="AP746" s="199">
        <v>0</v>
      </c>
      <c r="AQ746" s="199">
        <v>20.53</v>
      </c>
      <c r="AR746" s="199">
        <v>0</v>
      </c>
      <c r="AS746" s="196" t="str">
        <f t="shared" si="18"/>
        <v>1.00000000</v>
      </c>
      <c r="AT746" s="196" t="str">
        <f>"17.8"</f>
        <v>17.8</v>
      </c>
      <c r="AU746" s="199">
        <v>0</v>
      </c>
    </row>
    <row r="747" spans="1:47" s="196" customFormat="1" x14ac:dyDescent="0.2">
      <c r="A747" s="196" t="str">
        <f t="shared" si="19"/>
        <v>0496002595734</v>
      </c>
      <c r="B747" s="196">
        <v>3</v>
      </c>
      <c r="C747" s="196" t="s">
        <v>435</v>
      </c>
      <c r="D747" s="196">
        <v>82</v>
      </c>
      <c r="E747" s="196">
        <v>82</v>
      </c>
      <c r="F747" s="196" t="s">
        <v>243</v>
      </c>
      <c r="G747" s="196">
        <v>2086</v>
      </c>
      <c r="H747" s="196" t="s">
        <v>270</v>
      </c>
      <c r="I747" s="196">
        <v>65591</v>
      </c>
      <c r="J747" s="197">
        <v>42814</v>
      </c>
      <c r="K747" s="198">
        <v>4.1666666666666666E-3</v>
      </c>
      <c r="L747" s="197">
        <v>42815</v>
      </c>
      <c r="M747" s="196" t="s">
        <v>271</v>
      </c>
      <c r="N747" s="196" t="s">
        <v>272</v>
      </c>
      <c r="O747" s="196" t="s">
        <v>273</v>
      </c>
      <c r="P747" s="196" t="s">
        <v>274</v>
      </c>
      <c r="Q747" s="196" t="s">
        <v>275</v>
      </c>
      <c r="R747" s="196" t="s">
        <v>276</v>
      </c>
      <c r="S747" s="196" t="s">
        <v>436</v>
      </c>
      <c r="T747" s="196" t="s">
        <v>435</v>
      </c>
      <c r="U747" s="196">
        <v>2086</v>
      </c>
      <c r="V747" s="196" t="s">
        <v>435</v>
      </c>
      <c r="W747" s="196" t="s">
        <v>280</v>
      </c>
      <c r="X747" s="196">
        <v>14.292</v>
      </c>
      <c r="Y747" s="199">
        <v>-0.28999999999999998</v>
      </c>
      <c r="Z747" s="199">
        <v>2.2000000000000002</v>
      </c>
      <c r="AA747" s="199">
        <v>31.43</v>
      </c>
      <c r="AB747" s="199">
        <v>-2.62</v>
      </c>
      <c r="AC747" s="199">
        <v>0</v>
      </c>
      <c r="AD747" s="199">
        <v>0</v>
      </c>
      <c r="AE747" s="199">
        <v>28.52</v>
      </c>
      <c r="AF747" s="199">
        <v>-3.43</v>
      </c>
      <c r="AG747" s="196" t="s">
        <v>279</v>
      </c>
      <c r="AH747" s="199">
        <v>0</v>
      </c>
      <c r="AI747" s="196" t="s">
        <v>279</v>
      </c>
      <c r="AJ747" s="199">
        <v>0</v>
      </c>
      <c r="AK747" s="196" t="s">
        <v>279</v>
      </c>
      <c r="AL747" s="199">
        <v>0</v>
      </c>
      <c r="AM747" s="196" t="s">
        <v>279</v>
      </c>
      <c r="AN747" s="199">
        <v>0</v>
      </c>
      <c r="AO747" s="196" t="s">
        <v>279</v>
      </c>
      <c r="AP747" s="199">
        <v>0</v>
      </c>
      <c r="AQ747" s="199">
        <v>31.43</v>
      </c>
      <c r="AR747" s="199">
        <v>0</v>
      </c>
      <c r="AS747" s="196" t="str">
        <f t="shared" si="18"/>
        <v>1.00000000</v>
      </c>
      <c r="AT747" s="196" t="str">
        <f>"19.2"</f>
        <v>19.2</v>
      </c>
      <c r="AU747" s="199">
        <v>0</v>
      </c>
    </row>
    <row r="748" spans="1:47" s="196" customFormat="1" x14ac:dyDescent="0.2">
      <c r="A748" s="196" t="str">
        <f t="shared" si="19"/>
        <v>0496002595734</v>
      </c>
      <c r="B748" s="196">
        <v>3</v>
      </c>
      <c r="C748" s="196" t="s">
        <v>435</v>
      </c>
      <c r="D748" s="196">
        <v>82</v>
      </c>
      <c r="E748" s="196">
        <v>82</v>
      </c>
      <c r="F748" s="196" t="s">
        <v>243</v>
      </c>
      <c r="G748" s="196">
        <v>2086</v>
      </c>
      <c r="H748" s="196" t="s">
        <v>270</v>
      </c>
      <c r="I748" s="196">
        <v>65802</v>
      </c>
      <c r="J748" s="197">
        <v>42815</v>
      </c>
      <c r="K748" s="198">
        <v>0.68819444444444444</v>
      </c>
      <c r="L748" s="197">
        <v>42817</v>
      </c>
      <c r="M748" s="196" t="s">
        <v>271</v>
      </c>
      <c r="N748" s="196" t="s">
        <v>272</v>
      </c>
      <c r="O748" s="196" t="s">
        <v>273</v>
      </c>
      <c r="P748" s="196" t="s">
        <v>274</v>
      </c>
      <c r="Q748" s="196" t="s">
        <v>275</v>
      </c>
      <c r="R748" s="196" t="s">
        <v>276</v>
      </c>
      <c r="S748" s="196" t="s">
        <v>436</v>
      </c>
      <c r="T748" s="196" t="s">
        <v>435</v>
      </c>
      <c r="U748" s="196">
        <v>2086</v>
      </c>
      <c r="V748" s="196" t="s">
        <v>435</v>
      </c>
      <c r="W748" s="196" t="s">
        <v>280</v>
      </c>
      <c r="X748" s="196">
        <v>10.413</v>
      </c>
      <c r="Y748" s="199">
        <v>-0.21</v>
      </c>
      <c r="Z748" s="199">
        <v>2.2000000000000002</v>
      </c>
      <c r="AA748" s="199">
        <v>22.9</v>
      </c>
      <c r="AB748" s="199">
        <v>-1.91</v>
      </c>
      <c r="AC748" s="199">
        <v>0</v>
      </c>
      <c r="AD748" s="199">
        <v>0</v>
      </c>
      <c r="AE748" s="199">
        <v>20.78</v>
      </c>
      <c r="AF748" s="199">
        <v>-2.5</v>
      </c>
      <c r="AG748" s="196" t="s">
        <v>279</v>
      </c>
      <c r="AH748" s="199">
        <v>0</v>
      </c>
      <c r="AI748" s="196" t="s">
        <v>279</v>
      </c>
      <c r="AJ748" s="199">
        <v>0</v>
      </c>
      <c r="AK748" s="196" t="s">
        <v>279</v>
      </c>
      <c r="AL748" s="199">
        <v>0</v>
      </c>
      <c r="AM748" s="196" t="s">
        <v>279</v>
      </c>
      <c r="AN748" s="199">
        <v>0</v>
      </c>
      <c r="AO748" s="196" t="s">
        <v>279</v>
      </c>
      <c r="AP748" s="199">
        <v>0</v>
      </c>
      <c r="AQ748" s="199">
        <v>22.9</v>
      </c>
      <c r="AR748" s="199">
        <v>0</v>
      </c>
      <c r="AS748" s="196" t="str">
        <f t="shared" si="18"/>
        <v>1.00000000</v>
      </c>
      <c r="AT748" s="196" t="str">
        <f>"20.3"</f>
        <v>20.3</v>
      </c>
      <c r="AU748" s="199">
        <v>0</v>
      </c>
    </row>
    <row r="749" spans="1:47" s="196" customFormat="1" x14ac:dyDescent="0.2">
      <c r="A749" s="196" t="str">
        <f t="shared" si="19"/>
        <v>0496002595734</v>
      </c>
      <c r="B749" s="196">
        <v>3</v>
      </c>
      <c r="C749" s="196" t="s">
        <v>435</v>
      </c>
      <c r="D749" s="196">
        <v>82</v>
      </c>
      <c r="E749" s="196">
        <v>82</v>
      </c>
      <c r="F749" s="196" t="s">
        <v>243</v>
      </c>
      <c r="G749" s="196">
        <v>2086</v>
      </c>
      <c r="H749" s="196" t="s">
        <v>270</v>
      </c>
      <c r="I749" s="196">
        <v>66000</v>
      </c>
      <c r="J749" s="197">
        <v>42816</v>
      </c>
      <c r="K749" s="198">
        <v>0.50972222222222219</v>
      </c>
      <c r="L749" s="197">
        <v>42818</v>
      </c>
      <c r="M749" s="196" t="s">
        <v>271</v>
      </c>
      <c r="N749" s="196" t="s">
        <v>272</v>
      </c>
      <c r="O749" s="196" t="s">
        <v>273</v>
      </c>
      <c r="P749" s="196" t="s">
        <v>274</v>
      </c>
      <c r="Q749" s="196" t="s">
        <v>275</v>
      </c>
      <c r="R749" s="196" t="s">
        <v>276</v>
      </c>
      <c r="S749" s="196" t="s">
        <v>436</v>
      </c>
      <c r="T749" s="196" t="s">
        <v>435</v>
      </c>
      <c r="U749" s="196">
        <v>2086</v>
      </c>
      <c r="V749" s="196" t="s">
        <v>435</v>
      </c>
      <c r="W749" s="196" t="s">
        <v>280</v>
      </c>
      <c r="X749" s="196">
        <v>9.7040000000000006</v>
      </c>
      <c r="Y749" s="199">
        <v>-0.19</v>
      </c>
      <c r="Z749" s="199">
        <v>2.2000000000000002</v>
      </c>
      <c r="AA749" s="199">
        <v>21.34</v>
      </c>
      <c r="AB749" s="199">
        <v>-1.78</v>
      </c>
      <c r="AC749" s="199">
        <v>0</v>
      </c>
      <c r="AD749" s="199">
        <v>0</v>
      </c>
      <c r="AE749" s="199">
        <v>19.37</v>
      </c>
      <c r="AF749" s="199">
        <v>-2.33</v>
      </c>
      <c r="AG749" s="196" t="s">
        <v>279</v>
      </c>
      <c r="AH749" s="199">
        <v>0</v>
      </c>
      <c r="AI749" s="196" t="s">
        <v>279</v>
      </c>
      <c r="AJ749" s="199">
        <v>0</v>
      </c>
      <c r="AK749" s="196" t="s">
        <v>279</v>
      </c>
      <c r="AL749" s="199">
        <v>0</v>
      </c>
      <c r="AM749" s="196" t="s">
        <v>279</v>
      </c>
      <c r="AN749" s="199">
        <v>0</v>
      </c>
      <c r="AO749" s="196" t="s">
        <v>279</v>
      </c>
      <c r="AP749" s="199">
        <v>0</v>
      </c>
      <c r="AQ749" s="199">
        <v>21.34</v>
      </c>
      <c r="AR749" s="199">
        <v>0</v>
      </c>
      <c r="AS749" s="196" t="str">
        <f t="shared" si="18"/>
        <v>1.00000000</v>
      </c>
      <c r="AT749" s="196" t="str">
        <f>"20.4"</f>
        <v>20.4</v>
      </c>
      <c r="AU749" s="199">
        <v>0</v>
      </c>
    </row>
    <row r="750" spans="1:47" s="196" customFormat="1" x14ac:dyDescent="0.2">
      <c r="A750" s="196" t="str">
        <f t="shared" si="19"/>
        <v>0496002595734</v>
      </c>
      <c r="B750" s="196">
        <v>3</v>
      </c>
      <c r="C750" s="196" t="s">
        <v>435</v>
      </c>
      <c r="D750" s="196">
        <v>82</v>
      </c>
      <c r="E750" s="196">
        <v>82</v>
      </c>
      <c r="F750" s="196" t="s">
        <v>243</v>
      </c>
      <c r="G750" s="196">
        <v>2086</v>
      </c>
      <c r="H750" s="196" t="s">
        <v>270</v>
      </c>
      <c r="I750" s="196">
        <v>66613</v>
      </c>
      <c r="J750" s="197">
        <v>42833</v>
      </c>
      <c r="K750" s="198">
        <v>0.66388888888888886</v>
      </c>
      <c r="L750" s="197">
        <v>42836</v>
      </c>
      <c r="M750" s="196" t="s">
        <v>271</v>
      </c>
      <c r="N750" s="196" t="s">
        <v>272</v>
      </c>
      <c r="O750" s="196" t="s">
        <v>273</v>
      </c>
      <c r="P750" s="196" t="s">
        <v>274</v>
      </c>
      <c r="Q750" s="196" t="s">
        <v>275</v>
      </c>
      <c r="R750" s="196" t="s">
        <v>276</v>
      </c>
      <c r="S750" s="196" t="s">
        <v>436</v>
      </c>
      <c r="T750" s="196" t="s">
        <v>435</v>
      </c>
      <c r="U750" s="196">
        <v>2086</v>
      </c>
      <c r="V750" s="196" t="s">
        <v>435</v>
      </c>
      <c r="W750" s="196" t="s">
        <v>280</v>
      </c>
      <c r="X750" s="196">
        <v>14.468999999999999</v>
      </c>
      <c r="Y750" s="199">
        <v>-0.28999999999999998</v>
      </c>
      <c r="Z750" s="199">
        <v>2.31</v>
      </c>
      <c r="AA750" s="199">
        <v>33.409999999999997</v>
      </c>
      <c r="AB750" s="199">
        <v>-2.65</v>
      </c>
      <c r="AC750" s="199">
        <v>0</v>
      </c>
      <c r="AD750" s="199">
        <v>0</v>
      </c>
      <c r="AE750" s="199">
        <v>30.47</v>
      </c>
      <c r="AF750" s="199">
        <v>-3.47</v>
      </c>
      <c r="AG750" s="196" t="s">
        <v>279</v>
      </c>
      <c r="AH750" s="199">
        <v>0</v>
      </c>
      <c r="AI750" s="196" t="s">
        <v>279</v>
      </c>
      <c r="AJ750" s="199">
        <v>0</v>
      </c>
      <c r="AK750" s="196" t="s">
        <v>279</v>
      </c>
      <c r="AL750" s="199">
        <v>0</v>
      </c>
      <c r="AM750" s="196" t="s">
        <v>279</v>
      </c>
      <c r="AN750" s="199">
        <v>0</v>
      </c>
      <c r="AO750" s="196" t="s">
        <v>279</v>
      </c>
      <c r="AP750" s="199">
        <v>0</v>
      </c>
      <c r="AQ750" s="199">
        <v>33.409999999999997</v>
      </c>
      <c r="AR750" s="199">
        <v>0</v>
      </c>
      <c r="AS750" s="196" t="str">
        <f t="shared" si="18"/>
        <v>1.00000000</v>
      </c>
      <c r="AT750" s="196" t="str">
        <f>"19.6"</f>
        <v>19.6</v>
      </c>
      <c r="AU750" s="199">
        <v>0</v>
      </c>
    </row>
    <row r="751" spans="1:47" s="196" customFormat="1" x14ac:dyDescent="0.2">
      <c r="A751" s="196" t="str">
        <f t="shared" si="19"/>
        <v>0496002595734</v>
      </c>
      <c r="B751" s="196">
        <v>3</v>
      </c>
      <c r="C751" s="196" t="s">
        <v>435</v>
      </c>
      <c r="D751" s="196">
        <v>82</v>
      </c>
      <c r="E751" s="196">
        <v>82</v>
      </c>
      <c r="F751" s="196" t="s">
        <v>243</v>
      </c>
      <c r="G751" s="196">
        <v>2086</v>
      </c>
      <c r="H751" s="196" t="s">
        <v>270</v>
      </c>
      <c r="I751" s="196">
        <v>66780</v>
      </c>
      <c r="J751" s="197">
        <v>42837</v>
      </c>
      <c r="K751" s="198">
        <v>0.68819444444444444</v>
      </c>
      <c r="L751" s="197">
        <v>42839</v>
      </c>
      <c r="M751" s="196" t="s">
        <v>302</v>
      </c>
      <c r="N751" s="196" t="s">
        <v>503</v>
      </c>
      <c r="O751" s="196" t="s">
        <v>504</v>
      </c>
      <c r="P751" s="196" t="s">
        <v>505</v>
      </c>
      <c r="Q751" s="196" t="s">
        <v>309</v>
      </c>
      <c r="R751" s="196">
        <v>6840</v>
      </c>
      <c r="S751" s="196" t="s">
        <v>436</v>
      </c>
      <c r="T751" s="196" t="s">
        <v>435</v>
      </c>
      <c r="U751" s="196">
        <v>2086</v>
      </c>
      <c r="V751" s="196" t="s">
        <v>435</v>
      </c>
      <c r="W751" s="196" t="s">
        <v>278</v>
      </c>
      <c r="X751" s="196">
        <v>9.4960000000000004</v>
      </c>
      <c r="Y751" s="199">
        <v>0</v>
      </c>
      <c r="Z751" s="199">
        <v>3.2</v>
      </c>
      <c r="AA751" s="199">
        <v>30.38</v>
      </c>
      <c r="AB751" s="199">
        <v>-1.74</v>
      </c>
      <c r="AC751" s="199">
        <v>0</v>
      </c>
      <c r="AD751" s="199">
        <v>0</v>
      </c>
      <c r="AE751" s="199">
        <v>28.64</v>
      </c>
      <c r="AF751" s="199">
        <v>-2.37</v>
      </c>
      <c r="AG751" s="196" t="s">
        <v>279</v>
      </c>
      <c r="AH751" s="199">
        <v>0</v>
      </c>
      <c r="AI751" s="196" t="s">
        <v>279</v>
      </c>
      <c r="AJ751" s="199">
        <v>0</v>
      </c>
      <c r="AK751" s="196" t="s">
        <v>279</v>
      </c>
      <c r="AL751" s="199">
        <v>0</v>
      </c>
      <c r="AM751" s="196" t="s">
        <v>279</v>
      </c>
      <c r="AN751" s="199">
        <v>0</v>
      </c>
      <c r="AO751" s="196" t="s">
        <v>279</v>
      </c>
      <c r="AP751" s="199">
        <v>0</v>
      </c>
      <c r="AQ751" s="199">
        <v>30.38</v>
      </c>
      <c r="AR751" s="199">
        <v>0</v>
      </c>
      <c r="AS751" s="196" t="str">
        <f t="shared" si="18"/>
        <v>1.00000000</v>
      </c>
      <c r="AT751" s="196" t="str">
        <f>"17.6"</f>
        <v>17.6</v>
      </c>
      <c r="AU751" s="199">
        <v>0</v>
      </c>
    </row>
    <row r="752" spans="1:47" s="196" customFormat="1" x14ac:dyDescent="0.2">
      <c r="A752" s="196" t="str">
        <f t="shared" si="19"/>
        <v>0496002595734</v>
      </c>
      <c r="B752" s="196">
        <v>3</v>
      </c>
      <c r="C752" s="196" t="s">
        <v>435</v>
      </c>
      <c r="D752" s="196">
        <v>82</v>
      </c>
      <c r="E752" s="196">
        <v>82</v>
      </c>
      <c r="F752" s="196" t="s">
        <v>243</v>
      </c>
      <c r="G752" s="196">
        <v>2086</v>
      </c>
      <c r="H752" s="196" t="s">
        <v>270</v>
      </c>
      <c r="I752" s="196">
        <v>66909</v>
      </c>
      <c r="J752" s="197">
        <v>42838</v>
      </c>
      <c r="K752" s="198">
        <v>0.3833333333333333</v>
      </c>
      <c r="L752" s="197">
        <v>42842</v>
      </c>
      <c r="M752" s="196" t="s">
        <v>302</v>
      </c>
      <c r="N752" s="196" t="s">
        <v>503</v>
      </c>
      <c r="O752" s="196" t="s">
        <v>541</v>
      </c>
      <c r="P752" s="196" t="s">
        <v>389</v>
      </c>
      <c r="Q752" s="196" t="s">
        <v>309</v>
      </c>
      <c r="R752" s="196">
        <v>6477</v>
      </c>
      <c r="S752" s="196" t="s">
        <v>436</v>
      </c>
      <c r="T752" s="196" t="s">
        <v>435</v>
      </c>
      <c r="U752" s="196">
        <v>2086</v>
      </c>
      <c r="V752" s="196" t="s">
        <v>435</v>
      </c>
      <c r="W752" s="196" t="s">
        <v>278</v>
      </c>
      <c r="X752" s="196">
        <v>6.8680000000000003</v>
      </c>
      <c r="Y752" s="199">
        <v>0</v>
      </c>
      <c r="Z752" s="199">
        <v>3.1</v>
      </c>
      <c r="AA752" s="199">
        <v>21.28</v>
      </c>
      <c r="AB752" s="199">
        <v>-1.26</v>
      </c>
      <c r="AC752" s="199">
        <v>0</v>
      </c>
      <c r="AD752" s="199">
        <v>0</v>
      </c>
      <c r="AE752" s="199">
        <v>20.02</v>
      </c>
      <c r="AF752" s="199">
        <v>-1.72</v>
      </c>
      <c r="AG752" s="196" t="s">
        <v>279</v>
      </c>
      <c r="AH752" s="199">
        <v>0</v>
      </c>
      <c r="AI752" s="196" t="s">
        <v>279</v>
      </c>
      <c r="AJ752" s="199">
        <v>0</v>
      </c>
      <c r="AK752" s="196" t="s">
        <v>279</v>
      </c>
      <c r="AL752" s="199">
        <v>0</v>
      </c>
      <c r="AM752" s="196" t="s">
        <v>279</v>
      </c>
      <c r="AN752" s="199">
        <v>0</v>
      </c>
      <c r="AO752" s="196" t="s">
        <v>279</v>
      </c>
      <c r="AP752" s="199">
        <v>0</v>
      </c>
      <c r="AQ752" s="199">
        <v>21.28</v>
      </c>
      <c r="AR752" s="199">
        <v>0</v>
      </c>
      <c r="AS752" s="196" t="str">
        <f t="shared" si="18"/>
        <v>1.00000000</v>
      </c>
      <c r="AT752" s="196" t="str">
        <f>"18.8"</f>
        <v>18.8</v>
      </c>
      <c r="AU752" s="199">
        <v>0</v>
      </c>
    </row>
    <row r="753" spans="1:47" s="196" customFormat="1" x14ac:dyDescent="0.2">
      <c r="A753" s="196" t="str">
        <f t="shared" si="19"/>
        <v>0496002595734</v>
      </c>
      <c r="B753" s="196">
        <v>3</v>
      </c>
      <c r="C753" s="196" t="s">
        <v>435</v>
      </c>
      <c r="D753" s="196">
        <v>82</v>
      </c>
      <c r="E753" s="196">
        <v>82</v>
      </c>
      <c r="F753" s="196" t="s">
        <v>243</v>
      </c>
      <c r="G753" s="196">
        <v>2086</v>
      </c>
      <c r="H753" s="196" t="s">
        <v>270</v>
      </c>
      <c r="I753" s="196">
        <v>67138</v>
      </c>
      <c r="J753" s="197">
        <v>42840</v>
      </c>
      <c r="K753" s="198">
        <v>0.4777777777777778</v>
      </c>
      <c r="L753" s="197">
        <v>42843</v>
      </c>
      <c r="M753" s="196" t="s">
        <v>271</v>
      </c>
      <c r="N753" s="196" t="s">
        <v>272</v>
      </c>
      <c r="O753" s="196" t="s">
        <v>273</v>
      </c>
      <c r="P753" s="196" t="s">
        <v>274</v>
      </c>
      <c r="Q753" s="196" t="s">
        <v>275</v>
      </c>
      <c r="R753" s="196" t="s">
        <v>276</v>
      </c>
      <c r="S753" s="196" t="s">
        <v>436</v>
      </c>
      <c r="T753" s="196" t="s">
        <v>435</v>
      </c>
      <c r="U753" s="196">
        <v>2086</v>
      </c>
      <c r="V753" s="196" t="s">
        <v>435</v>
      </c>
      <c r="W753" s="196" t="s">
        <v>280</v>
      </c>
      <c r="X753" s="196">
        <v>12.294</v>
      </c>
      <c r="Y753" s="199">
        <v>-0.25</v>
      </c>
      <c r="Z753" s="199">
        <v>2.35</v>
      </c>
      <c r="AA753" s="199">
        <v>28.88</v>
      </c>
      <c r="AB753" s="199">
        <v>-2.25</v>
      </c>
      <c r="AC753" s="199">
        <v>0</v>
      </c>
      <c r="AD753" s="199">
        <v>0</v>
      </c>
      <c r="AE753" s="199">
        <v>26.38</v>
      </c>
      <c r="AF753" s="199">
        <v>-2.95</v>
      </c>
      <c r="AG753" s="196" t="s">
        <v>279</v>
      </c>
      <c r="AH753" s="199">
        <v>0</v>
      </c>
      <c r="AI753" s="196" t="s">
        <v>279</v>
      </c>
      <c r="AJ753" s="199">
        <v>0</v>
      </c>
      <c r="AK753" s="196" t="s">
        <v>279</v>
      </c>
      <c r="AL753" s="199">
        <v>0</v>
      </c>
      <c r="AM753" s="196" t="s">
        <v>279</v>
      </c>
      <c r="AN753" s="199">
        <v>0</v>
      </c>
      <c r="AO753" s="196" t="s">
        <v>279</v>
      </c>
      <c r="AP753" s="199">
        <v>0</v>
      </c>
      <c r="AQ753" s="199">
        <v>28.88</v>
      </c>
      <c r="AR753" s="199">
        <v>0</v>
      </c>
      <c r="AS753" s="196" t="str">
        <f t="shared" si="18"/>
        <v>1.00000000</v>
      </c>
      <c r="AT753" s="196" t="str">
        <f>"18.6"</f>
        <v>18.6</v>
      </c>
      <c r="AU753" s="199">
        <v>0</v>
      </c>
    </row>
    <row r="754" spans="1:47" s="196" customFormat="1" x14ac:dyDescent="0.2">
      <c r="A754" s="196" t="str">
        <f t="shared" si="19"/>
        <v>0496002595734</v>
      </c>
      <c r="B754" s="196">
        <v>3</v>
      </c>
      <c r="C754" s="196" t="s">
        <v>435</v>
      </c>
      <c r="D754" s="196">
        <v>82</v>
      </c>
      <c r="E754" s="196">
        <v>82</v>
      </c>
      <c r="F754" s="196" t="s">
        <v>243</v>
      </c>
      <c r="G754" s="196">
        <v>2086</v>
      </c>
      <c r="H754" s="196" t="s">
        <v>270</v>
      </c>
      <c r="I754" s="196">
        <v>47346</v>
      </c>
      <c r="J754" s="197">
        <v>42842</v>
      </c>
      <c r="K754" s="198">
        <v>0.7909722222222223</v>
      </c>
      <c r="L754" s="197">
        <v>42844</v>
      </c>
      <c r="M754" s="196" t="s">
        <v>271</v>
      </c>
      <c r="N754" s="196" t="s">
        <v>272</v>
      </c>
      <c r="O754" s="196" t="s">
        <v>273</v>
      </c>
      <c r="P754" s="196" t="s">
        <v>274</v>
      </c>
      <c r="Q754" s="196" t="s">
        <v>275</v>
      </c>
      <c r="R754" s="196" t="s">
        <v>276</v>
      </c>
      <c r="S754" s="196" t="s">
        <v>436</v>
      </c>
      <c r="T754" s="196" t="s">
        <v>435</v>
      </c>
      <c r="U754" s="196">
        <v>2086</v>
      </c>
      <c r="V754" s="196" t="s">
        <v>435</v>
      </c>
      <c r="W754" s="196" t="s">
        <v>280</v>
      </c>
      <c r="X754" s="196">
        <v>15.214</v>
      </c>
      <c r="Y754" s="199">
        <v>-0.3</v>
      </c>
      <c r="Z754" s="199">
        <v>2.35</v>
      </c>
      <c r="AA754" s="199">
        <v>35.74</v>
      </c>
      <c r="AB754" s="199">
        <v>-2.78</v>
      </c>
      <c r="AC754" s="199">
        <v>0</v>
      </c>
      <c r="AD754" s="199">
        <v>0</v>
      </c>
      <c r="AE754" s="199">
        <v>32.659999999999997</v>
      </c>
      <c r="AF754" s="199">
        <v>-3.65</v>
      </c>
      <c r="AG754" s="196" t="s">
        <v>279</v>
      </c>
      <c r="AH754" s="199">
        <v>0</v>
      </c>
      <c r="AI754" s="196" t="s">
        <v>279</v>
      </c>
      <c r="AJ754" s="199">
        <v>0</v>
      </c>
      <c r="AK754" s="196" t="s">
        <v>279</v>
      </c>
      <c r="AL754" s="199">
        <v>0</v>
      </c>
      <c r="AM754" s="196" t="s">
        <v>279</v>
      </c>
      <c r="AN754" s="199">
        <v>0</v>
      </c>
      <c r="AO754" s="196" t="s">
        <v>279</v>
      </c>
      <c r="AP754" s="199">
        <v>0</v>
      </c>
      <c r="AQ754" s="199">
        <v>35.74</v>
      </c>
      <c r="AR754" s="199">
        <v>0</v>
      </c>
      <c r="AS754" s="196" t="str">
        <f t="shared" si="18"/>
        <v>1.00000000</v>
      </c>
      <c r="AT754" s="196" t="str">
        <f>"19.4"</f>
        <v>19.4</v>
      </c>
      <c r="AU754" s="199">
        <v>0</v>
      </c>
    </row>
    <row r="755" spans="1:47" s="196" customFormat="1" x14ac:dyDescent="0.2">
      <c r="A755" s="196" t="str">
        <f t="shared" si="19"/>
        <v>0496002595734</v>
      </c>
      <c r="B755" s="196">
        <v>3</v>
      </c>
      <c r="C755" s="196" t="s">
        <v>435</v>
      </c>
      <c r="D755" s="196">
        <v>82</v>
      </c>
      <c r="E755" s="196">
        <v>82</v>
      </c>
      <c r="F755" s="196" t="s">
        <v>243</v>
      </c>
      <c r="G755" s="196">
        <v>2086</v>
      </c>
      <c r="H755" s="196" t="s">
        <v>270</v>
      </c>
      <c r="I755" s="196">
        <v>67643</v>
      </c>
      <c r="J755" s="197">
        <v>42848</v>
      </c>
      <c r="K755" s="198">
        <v>0.61597222222222225</v>
      </c>
      <c r="L755" s="197">
        <v>42850</v>
      </c>
      <c r="M755" s="196" t="s">
        <v>294</v>
      </c>
      <c r="N755" s="196" t="s">
        <v>299</v>
      </c>
      <c r="O755" s="196" t="s">
        <v>542</v>
      </c>
      <c r="P755" s="196" t="s">
        <v>543</v>
      </c>
      <c r="Q755" s="196" t="s">
        <v>275</v>
      </c>
      <c r="R755" s="196" t="s">
        <v>544</v>
      </c>
      <c r="S755" s="196" t="s">
        <v>436</v>
      </c>
      <c r="T755" s="196" t="s">
        <v>435</v>
      </c>
      <c r="U755" s="196">
        <v>2086</v>
      </c>
      <c r="V755" s="196" t="s">
        <v>435</v>
      </c>
      <c r="W755" s="196" t="s">
        <v>280</v>
      </c>
      <c r="X755" s="196">
        <v>13.04</v>
      </c>
      <c r="Y755" s="199">
        <v>0</v>
      </c>
      <c r="Z755" s="199">
        <v>2.36</v>
      </c>
      <c r="AA755" s="199">
        <v>30.77</v>
      </c>
      <c r="AB755" s="199">
        <v>-2.39</v>
      </c>
      <c r="AC755" s="199">
        <v>0</v>
      </c>
      <c r="AD755" s="199">
        <v>0</v>
      </c>
      <c r="AE755" s="199">
        <v>28.38</v>
      </c>
      <c r="AF755" s="199">
        <v>-3.13</v>
      </c>
      <c r="AG755" s="196" t="s">
        <v>279</v>
      </c>
      <c r="AH755" s="199">
        <v>0</v>
      </c>
      <c r="AI755" s="196" t="s">
        <v>279</v>
      </c>
      <c r="AJ755" s="199">
        <v>0</v>
      </c>
      <c r="AK755" s="196" t="s">
        <v>279</v>
      </c>
      <c r="AL755" s="199">
        <v>0</v>
      </c>
      <c r="AM755" s="196" t="s">
        <v>279</v>
      </c>
      <c r="AN755" s="199">
        <v>0</v>
      </c>
      <c r="AO755" s="196" t="s">
        <v>279</v>
      </c>
      <c r="AP755" s="199">
        <v>0</v>
      </c>
      <c r="AQ755" s="199">
        <v>30.77</v>
      </c>
      <c r="AR755" s="199">
        <v>0</v>
      </c>
      <c r="AS755" s="196" t="str">
        <f t="shared" si="18"/>
        <v>1.00000000</v>
      </c>
      <c r="AT755" s="196" t="str">
        <f>"16.1"</f>
        <v>16.1</v>
      </c>
      <c r="AU755" s="199">
        <v>0</v>
      </c>
    </row>
    <row r="756" spans="1:47" s="196" customFormat="1" x14ac:dyDescent="0.2">
      <c r="A756" s="196" t="str">
        <f t="shared" si="19"/>
        <v>0496002595734</v>
      </c>
      <c r="B756" s="196">
        <v>3</v>
      </c>
      <c r="C756" s="196" t="s">
        <v>435</v>
      </c>
      <c r="D756" s="196">
        <v>82</v>
      </c>
      <c r="E756" s="196">
        <v>82</v>
      </c>
      <c r="F756" s="196" t="s">
        <v>243</v>
      </c>
      <c r="G756" s="196">
        <v>2086</v>
      </c>
      <c r="H756" s="196" t="s">
        <v>270</v>
      </c>
      <c r="I756" s="196">
        <v>67990</v>
      </c>
      <c r="J756" s="197">
        <v>42849</v>
      </c>
      <c r="K756" s="198">
        <v>0.93194444444444446</v>
      </c>
      <c r="L756" s="197">
        <v>42851</v>
      </c>
      <c r="M756" s="196" t="s">
        <v>285</v>
      </c>
      <c r="N756" s="196" t="s">
        <v>399</v>
      </c>
      <c r="O756" s="196" t="s">
        <v>400</v>
      </c>
      <c r="P756" s="196" t="s">
        <v>274</v>
      </c>
      <c r="Q756" s="196" t="s">
        <v>275</v>
      </c>
      <c r="R756" s="196" t="s">
        <v>401</v>
      </c>
      <c r="S756" s="196" t="s">
        <v>436</v>
      </c>
      <c r="T756" s="196" t="s">
        <v>435</v>
      </c>
      <c r="U756" s="196">
        <v>2086</v>
      </c>
      <c r="V756" s="196" t="s">
        <v>435</v>
      </c>
      <c r="W756" s="196" t="s">
        <v>280</v>
      </c>
      <c r="X756" s="196">
        <v>15.442</v>
      </c>
      <c r="Y756" s="199">
        <v>0</v>
      </c>
      <c r="Z756" s="199">
        <v>2.36</v>
      </c>
      <c r="AA756" s="199">
        <v>36.43</v>
      </c>
      <c r="AB756" s="199">
        <v>-2.83</v>
      </c>
      <c r="AC756" s="199">
        <v>0</v>
      </c>
      <c r="AD756" s="199">
        <v>0</v>
      </c>
      <c r="AE756" s="199">
        <v>33.6</v>
      </c>
      <c r="AF756" s="199">
        <v>-3.71</v>
      </c>
      <c r="AG756" s="196" t="s">
        <v>279</v>
      </c>
      <c r="AH756" s="199">
        <v>0</v>
      </c>
      <c r="AI756" s="196" t="s">
        <v>279</v>
      </c>
      <c r="AJ756" s="199">
        <v>0</v>
      </c>
      <c r="AK756" s="196" t="s">
        <v>279</v>
      </c>
      <c r="AL756" s="199">
        <v>0</v>
      </c>
      <c r="AM756" s="196" t="s">
        <v>279</v>
      </c>
      <c r="AN756" s="199">
        <v>0</v>
      </c>
      <c r="AO756" s="196" t="s">
        <v>279</v>
      </c>
      <c r="AP756" s="199">
        <v>0</v>
      </c>
      <c r="AQ756" s="199">
        <v>36.43</v>
      </c>
      <c r="AR756" s="199">
        <v>0</v>
      </c>
      <c r="AS756" s="196" t="str">
        <f t="shared" si="18"/>
        <v>1.00000000</v>
      </c>
      <c r="AT756" s="196" t="str">
        <f>"22.5"</f>
        <v>22.5</v>
      </c>
      <c r="AU756" s="199">
        <v>0</v>
      </c>
    </row>
    <row r="757" spans="1:47" s="196" customFormat="1" x14ac:dyDescent="0.2">
      <c r="A757" s="196" t="str">
        <f t="shared" si="19"/>
        <v>0496002595734</v>
      </c>
      <c r="B757" s="196">
        <v>3</v>
      </c>
      <c r="C757" s="196" t="s">
        <v>435</v>
      </c>
      <c r="D757" s="196">
        <v>82</v>
      </c>
      <c r="E757" s="196">
        <v>82</v>
      </c>
      <c r="F757" s="196" t="s">
        <v>243</v>
      </c>
      <c r="G757" s="196">
        <v>2086</v>
      </c>
      <c r="H757" s="196" t="s">
        <v>270</v>
      </c>
      <c r="I757" s="196">
        <v>68126</v>
      </c>
      <c r="J757" s="197">
        <v>42852</v>
      </c>
      <c r="K757" s="198">
        <v>0.59537037037037044</v>
      </c>
      <c r="L757" s="197">
        <v>42856</v>
      </c>
      <c r="M757" s="196" t="s">
        <v>384</v>
      </c>
      <c r="N757" s="196" t="s">
        <v>385</v>
      </c>
      <c r="O757" s="196" t="s">
        <v>386</v>
      </c>
      <c r="P757" s="196" t="s">
        <v>343</v>
      </c>
      <c r="Q757" s="196" t="s">
        <v>275</v>
      </c>
      <c r="R757" s="196" t="s">
        <v>387</v>
      </c>
      <c r="S757" s="196" t="s">
        <v>436</v>
      </c>
      <c r="T757" s="196" t="s">
        <v>435</v>
      </c>
      <c r="U757" s="196">
        <v>2086</v>
      </c>
      <c r="V757" s="196" t="s">
        <v>435</v>
      </c>
      <c r="W757" s="196" t="s">
        <v>280</v>
      </c>
      <c r="X757" s="196">
        <v>8.0530000000000008</v>
      </c>
      <c r="Y757" s="199">
        <v>0</v>
      </c>
      <c r="Z757" s="199">
        <v>2.36</v>
      </c>
      <c r="AA757" s="199">
        <v>19</v>
      </c>
      <c r="AB757" s="199">
        <v>-1.47</v>
      </c>
      <c r="AC757" s="199">
        <v>0</v>
      </c>
      <c r="AD757" s="199">
        <v>0</v>
      </c>
      <c r="AE757" s="199">
        <v>17.53</v>
      </c>
      <c r="AF757" s="199">
        <v>-1.93</v>
      </c>
      <c r="AG757" s="196" t="s">
        <v>279</v>
      </c>
      <c r="AH757" s="199">
        <v>0</v>
      </c>
      <c r="AI757" s="196" t="s">
        <v>279</v>
      </c>
      <c r="AJ757" s="199">
        <v>0</v>
      </c>
      <c r="AK757" s="196" t="s">
        <v>279</v>
      </c>
      <c r="AL757" s="199">
        <v>0</v>
      </c>
      <c r="AM757" s="196" t="s">
        <v>279</v>
      </c>
      <c r="AN757" s="199">
        <v>0</v>
      </c>
      <c r="AO757" s="196" t="s">
        <v>279</v>
      </c>
      <c r="AP757" s="199">
        <v>0</v>
      </c>
      <c r="AQ757" s="199">
        <v>19</v>
      </c>
      <c r="AR757" s="199">
        <v>0</v>
      </c>
      <c r="AS757" s="196" t="str">
        <f t="shared" si="18"/>
        <v>1.00000000</v>
      </c>
      <c r="AT757" s="196" t="str">
        <f>"16.9"</f>
        <v>16.9</v>
      </c>
      <c r="AU757" s="199">
        <v>0</v>
      </c>
    </row>
    <row r="758" spans="1:47" s="196" customFormat="1" x14ac:dyDescent="0.2">
      <c r="A758" s="196" t="str">
        <f t="shared" si="19"/>
        <v>0496002595734</v>
      </c>
      <c r="B758" s="196">
        <v>3</v>
      </c>
      <c r="C758" s="196" t="s">
        <v>435</v>
      </c>
      <c r="D758" s="196">
        <v>82</v>
      </c>
      <c r="E758" s="196">
        <v>82</v>
      </c>
      <c r="F758" s="196" t="s">
        <v>243</v>
      </c>
      <c r="G758" s="196">
        <v>2086</v>
      </c>
      <c r="H758" s="196" t="s">
        <v>270</v>
      </c>
      <c r="I758" s="196">
        <v>68337</v>
      </c>
      <c r="J758" s="197">
        <v>42852</v>
      </c>
      <c r="K758" s="198">
        <v>0.97123842592592602</v>
      </c>
      <c r="L758" s="197">
        <v>42857</v>
      </c>
      <c r="M758" s="196" t="s">
        <v>545</v>
      </c>
      <c r="N758" s="196" t="s">
        <v>546</v>
      </c>
      <c r="O758" s="196" t="s">
        <v>547</v>
      </c>
      <c r="P758" s="196" t="s">
        <v>548</v>
      </c>
      <c r="Q758" s="196" t="s">
        <v>329</v>
      </c>
      <c r="R758" s="196" t="s">
        <v>549</v>
      </c>
      <c r="S758" s="196" t="s">
        <v>436</v>
      </c>
      <c r="T758" s="196" t="s">
        <v>435</v>
      </c>
      <c r="U758" s="196">
        <v>2086</v>
      </c>
      <c r="V758" s="196" t="s">
        <v>435</v>
      </c>
      <c r="W758" s="196" t="s">
        <v>280</v>
      </c>
      <c r="X758" s="196">
        <v>8.86</v>
      </c>
      <c r="Y758" s="199">
        <v>0</v>
      </c>
      <c r="Z758" s="199">
        <v>2.54</v>
      </c>
      <c r="AA758" s="199">
        <v>22.5</v>
      </c>
      <c r="AB758" s="199">
        <v>-1.62</v>
      </c>
      <c r="AC758" s="199">
        <v>0</v>
      </c>
      <c r="AD758" s="199">
        <v>0</v>
      </c>
      <c r="AE758" s="199">
        <v>20.88</v>
      </c>
      <c r="AF758" s="199">
        <v>-3.79</v>
      </c>
      <c r="AG758" s="196" t="s">
        <v>279</v>
      </c>
      <c r="AH758" s="199">
        <v>0</v>
      </c>
      <c r="AI758" s="196" t="s">
        <v>279</v>
      </c>
      <c r="AJ758" s="199">
        <v>0</v>
      </c>
      <c r="AK758" s="196" t="s">
        <v>279</v>
      </c>
      <c r="AL758" s="199">
        <v>0</v>
      </c>
      <c r="AM758" s="196" t="s">
        <v>279</v>
      </c>
      <c r="AN758" s="199">
        <v>0</v>
      </c>
      <c r="AO758" s="196" t="s">
        <v>279</v>
      </c>
      <c r="AP758" s="199">
        <v>0</v>
      </c>
      <c r="AQ758" s="199">
        <v>22.5</v>
      </c>
      <c r="AR758" s="199">
        <v>0</v>
      </c>
      <c r="AS758" s="196" t="str">
        <f t="shared" si="18"/>
        <v>1.00000000</v>
      </c>
      <c r="AT758" s="196" t="str">
        <f>"23.8"</f>
        <v>23.8</v>
      </c>
      <c r="AU758" s="199">
        <v>0</v>
      </c>
    </row>
    <row r="759" spans="1:47" s="196" customFormat="1" x14ac:dyDescent="0.2">
      <c r="A759" s="196" t="str">
        <f t="shared" si="19"/>
        <v>0496002595734</v>
      </c>
      <c r="B759" s="196">
        <v>3</v>
      </c>
      <c r="C759" s="196" t="s">
        <v>435</v>
      </c>
      <c r="D759" s="196">
        <v>82</v>
      </c>
      <c r="E759" s="196">
        <v>82</v>
      </c>
      <c r="F759" s="196" t="s">
        <v>243</v>
      </c>
      <c r="G759" s="196">
        <v>2086</v>
      </c>
      <c r="H759" s="196" t="s">
        <v>270</v>
      </c>
      <c r="I759" s="196">
        <v>68638</v>
      </c>
      <c r="J759" s="197">
        <v>42854</v>
      </c>
      <c r="K759" s="198">
        <v>0.69848379629629631</v>
      </c>
      <c r="L759" s="197">
        <v>42857</v>
      </c>
      <c r="M759" s="196" t="s">
        <v>314</v>
      </c>
      <c r="N759" s="196" t="s">
        <v>550</v>
      </c>
      <c r="O759" s="196" t="s">
        <v>551</v>
      </c>
      <c r="P759" s="196" t="s">
        <v>552</v>
      </c>
      <c r="Q759" s="196" t="s">
        <v>275</v>
      </c>
      <c r="R759" s="196" t="s">
        <v>553</v>
      </c>
      <c r="S759" s="196" t="s">
        <v>436</v>
      </c>
      <c r="T759" s="196" t="s">
        <v>435</v>
      </c>
      <c r="U759" s="196">
        <v>2086</v>
      </c>
      <c r="V759" s="196" t="s">
        <v>435</v>
      </c>
      <c r="W759" s="196" t="s">
        <v>280</v>
      </c>
      <c r="X759" s="196">
        <v>13.534000000000001</v>
      </c>
      <c r="Y759" s="199">
        <v>0</v>
      </c>
      <c r="Z759" s="199">
        <v>2.36</v>
      </c>
      <c r="AA759" s="199">
        <v>31.93</v>
      </c>
      <c r="AB759" s="199">
        <v>-2.48</v>
      </c>
      <c r="AC759" s="199">
        <v>0</v>
      </c>
      <c r="AD759" s="199">
        <v>0</v>
      </c>
      <c r="AE759" s="199">
        <v>29.45</v>
      </c>
      <c r="AF759" s="199">
        <v>-3.25</v>
      </c>
      <c r="AG759" s="196" t="s">
        <v>279</v>
      </c>
      <c r="AH759" s="199">
        <v>0</v>
      </c>
      <c r="AI759" s="196" t="s">
        <v>279</v>
      </c>
      <c r="AJ759" s="199">
        <v>0</v>
      </c>
      <c r="AK759" s="196" t="s">
        <v>279</v>
      </c>
      <c r="AL759" s="199">
        <v>0</v>
      </c>
      <c r="AM759" s="196" t="s">
        <v>279</v>
      </c>
      <c r="AN759" s="199">
        <v>0</v>
      </c>
      <c r="AO759" s="196" t="s">
        <v>279</v>
      </c>
      <c r="AP759" s="199">
        <v>0</v>
      </c>
      <c r="AQ759" s="199">
        <v>31.93</v>
      </c>
      <c r="AR759" s="199">
        <v>0</v>
      </c>
      <c r="AS759" s="196" t="str">
        <f t="shared" si="18"/>
        <v>1.00000000</v>
      </c>
      <c r="AT759" s="196" t="str">
        <f>"22.2"</f>
        <v>22.2</v>
      </c>
      <c r="AU759" s="199">
        <v>0</v>
      </c>
    </row>
    <row r="760" spans="1:47" s="196" customFormat="1" x14ac:dyDescent="0.2">
      <c r="A760" s="196" t="str">
        <f t="shared" si="19"/>
        <v>0496002595734</v>
      </c>
      <c r="B760" s="196">
        <v>3</v>
      </c>
      <c r="C760" s="196" t="s">
        <v>435</v>
      </c>
      <c r="D760" s="196">
        <v>82</v>
      </c>
      <c r="E760" s="196">
        <v>82</v>
      </c>
      <c r="F760" s="196" t="s">
        <v>243</v>
      </c>
      <c r="G760" s="196">
        <v>2086</v>
      </c>
      <c r="H760" s="196" t="s">
        <v>270</v>
      </c>
      <c r="I760" s="196">
        <v>69000</v>
      </c>
      <c r="J760" s="197">
        <v>42857</v>
      </c>
      <c r="K760" s="198">
        <v>0.82638888888888884</v>
      </c>
      <c r="L760" s="197">
        <v>42859</v>
      </c>
      <c r="M760" s="196" t="s">
        <v>285</v>
      </c>
      <c r="N760" s="196" t="s">
        <v>399</v>
      </c>
      <c r="O760" s="196" t="s">
        <v>400</v>
      </c>
      <c r="P760" s="196" t="s">
        <v>274</v>
      </c>
      <c r="Q760" s="196" t="s">
        <v>275</v>
      </c>
      <c r="R760" s="196" t="s">
        <v>401</v>
      </c>
      <c r="S760" s="196" t="s">
        <v>436</v>
      </c>
      <c r="T760" s="196" t="s">
        <v>435</v>
      </c>
      <c r="U760" s="196">
        <v>2086</v>
      </c>
      <c r="V760" s="196" t="s">
        <v>435</v>
      </c>
      <c r="W760" s="196" t="s">
        <v>280</v>
      </c>
      <c r="X760" s="196">
        <v>15.224</v>
      </c>
      <c r="Y760" s="199">
        <v>0</v>
      </c>
      <c r="Z760" s="199">
        <v>2.2999999999999998</v>
      </c>
      <c r="AA760" s="199">
        <v>35</v>
      </c>
      <c r="AB760" s="199">
        <v>-2.79</v>
      </c>
      <c r="AC760" s="199">
        <v>0</v>
      </c>
      <c r="AD760" s="199">
        <v>0</v>
      </c>
      <c r="AE760" s="199">
        <v>32.21</v>
      </c>
      <c r="AF760" s="199">
        <v>-3.65</v>
      </c>
      <c r="AG760" s="196" t="s">
        <v>279</v>
      </c>
      <c r="AH760" s="199">
        <v>0</v>
      </c>
      <c r="AI760" s="196" t="s">
        <v>279</v>
      </c>
      <c r="AJ760" s="199">
        <v>0</v>
      </c>
      <c r="AK760" s="196" t="s">
        <v>279</v>
      </c>
      <c r="AL760" s="199">
        <v>0</v>
      </c>
      <c r="AM760" s="196" t="s">
        <v>279</v>
      </c>
      <c r="AN760" s="199">
        <v>0</v>
      </c>
      <c r="AO760" s="196" t="s">
        <v>279</v>
      </c>
      <c r="AP760" s="199">
        <v>0</v>
      </c>
      <c r="AQ760" s="199">
        <v>35</v>
      </c>
      <c r="AR760" s="199">
        <v>0</v>
      </c>
      <c r="AS760" s="196" t="str">
        <f t="shared" si="18"/>
        <v>1.00000000</v>
      </c>
      <c r="AT760" s="196" t="str">
        <f>"23.8"</f>
        <v>23.8</v>
      </c>
      <c r="AU760" s="199">
        <v>0</v>
      </c>
    </row>
    <row r="761" spans="1:47" s="196" customFormat="1" x14ac:dyDescent="0.2">
      <c r="A761" s="196" t="str">
        <f t="shared" si="19"/>
        <v>0496002595734</v>
      </c>
      <c r="B761" s="196">
        <v>3</v>
      </c>
      <c r="C761" s="196" t="s">
        <v>435</v>
      </c>
      <c r="D761" s="196">
        <v>82</v>
      </c>
      <c r="E761" s="196">
        <v>82</v>
      </c>
      <c r="F761" s="196" t="s">
        <v>243</v>
      </c>
      <c r="G761" s="196">
        <v>2086</v>
      </c>
      <c r="H761" s="196" t="s">
        <v>270</v>
      </c>
      <c r="I761" s="196">
        <v>69000</v>
      </c>
      <c r="J761" s="197">
        <v>42857</v>
      </c>
      <c r="K761" s="198">
        <v>0.82916666666666661</v>
      </c>
      <c r="L761" s="197">
        <v>42859</v>
      </c>
      <c r="M761" s="196" t="s">
        <v>285</v>
      </c>
      <c r="N761" s="196" t="s">
        <v>399</v>
      </c>
      <c r="O761" s="196" t="s">
        <v>400</v>
      </c>
      <c r="P761" s="196" t="s">
        <v>274</v>
      </c>
      <c r="Q761" s="196" t="s">
        <v>275</v>
      </c>
      <c r="R761" s="196" t="s">
        <v>401</v>
      </c>
      <c r="S761" s="196" t="s">
        <v>436</v>
      </c>
      <c r="T761" s="196" t="s">
        <v>435</v>
      </c>
      <c r="U761" s="196">
        <v>2086</v>
      </c>
      <c r="V761" s="196" t="s">
        <v>435</v>
      </c>
      <c r="W761" s="196" t="s">
        <v>280</v>
      </c>
      <c r="X761" s="196">
        <v>-0.78</v>
      </c>
      <c r="Y761" s="199">
        <v>0</v>
      </c>
      <c r="Z761" s="199">
        <v>-2.2999999999999998</v>
      </c>
      <c r="AA761" s="199">
        <v>-1.8</v>
      </c>
      <c r="AB761" s="199">
        <v>0</v>
      </c>
      <c r="AC761" s="199">
        <v>0</v>
      </c>
      <c r="AD761" s="199">
        <v>0</v>
      </c>
      <c r="AE761" s="199">
        <v>-1.8</v>
      </c>
      <c r="AF761" s="199">
        <v>0</v>
      </c>
      <c r="AG761" s="196" t="s">
        <v>279</v>
      </c>
      <c r="AH761" s="199">
        <v>0</v>
      </c>
      <c r="AI761" s="196" t="s">
        <v>279</v>
      </c>
      <c r="AJ761" s="199">
        <v>0</v>
      </c>
      <c r="AK761" s="196" t="s">
        <v>279</v>
      </c>
      <c r="AL761" s="199">
        <v>0</v>
      </c>
      <c r="AM761" s="196" t="s">
        <v>279</v>
      </c>
      <c r="AN761" s="199">
        <v>0</v>
      </c>
      <c r="AO761" s="196" t="s">
        <v>279</v>
      </c>
      <c r="AP761" s="199">
        <v>0</v>
      </c>
      <c r="AQ761" s="199">
        <v>-1.8</v>
      </c>
      <c r="AR761" s="199">
        <v>0</v>
      </c>
      <c r="AS761" s="196" t="str">
        <f t="shared" si="18"/>
        <v>1.00000000</v>
      </c>
      <c r="AT761" s="196" t="str">
        <f>"0.0"</f>
        <v>0.0</v>
      </c>
      <c r="AU761" s="199">
        <v>0</v>
      </c>
    </row>
    <row r="762" spans="1:47" s="196" customFormat="1" x14ac:dyDescent="0.2">
      <c r="A762" s="196" t="str">
        <f t="shared" si="19"/>
        <v>0496002595734</v>
      </c>
      <c r="B762" s="196">
        <v>3</v>
      </c>
      <c r="C762" s="196" t="s">
        <v>435</v>
      </c>
      <c r="D762" s="196">
        <v>82</v>
      </c>
      <c r="E762" s="196">
        <v>82</v>
      </c>
      <c r="F762" s="196" t="s">
        <v>243</v>
      </c>
      <c r="G762" s="196">
        <v>2086</v>
      </c>
      <c r="H762" s="196" t="s">
        <v>270</v>
      </c>
      <c r="I762" s="196">
        <v>69123</v>
      </c>
      <c r="J762" s="197">
        <v>42861</v>
      </c>
      <c r="K762" s="198">
        <v>0.41250000000000003</v>
      </c>
      <c r="L762" s="197">
        <v>42864</v>
      </c>
      <c r="M762" s="196" t="s">
        <v>271</v>
      </c>
      <c r="N762" s="196" t="s">
        <v>272</v>
      </c>
      <c r="O762" s="196" t="s">
        <v>273</v>
      </c>
      <c r="P762" s="196" t="s">
        <v>274</v>
      </c>
      <c r="Q762" s="196" t="s">
        <v>275</v>
      </c>
      <c r="R762" s="196" t="s">
        <v>276</v>
      </c>
      <c r="S762" s="196" t="s">
        <v>436</v>
      </c>
      <c r="T762" s="196" t="s">
        <v>435</v>
      </c>
      <c r="U762" s="196">
        <v>2086</v>
      </c>
      <c r="V762" s="196" t="s">
        <v>435</v>
      </c>
      <c r="W762" s="196" t="s">
        <v>280</v>
      </c>
      <c r="X762" s="196">
        <v>12.484</v>
      </c>
      <c r="Y762" s="199">
        <v>-0.25</v>
      </c>
      <c r="Z762" s="199">
        <v>2.4</v>
      </c>
      <c r="AA762" s="199">
        <v>29.95</v>
      </c>
      <c r="AB762" s="199">
        <v>-2.2799999999999998</v>
      </c>
      <c r="AC762" s="199">
        <v>0</v>
      </c>
      <c r="AD762" s="199">
        <v>0</v>
      </c>
      <c r="AE762" s="199">
        <v>27.42</v>
      </c>
      <c r="AF762" s="199">
        <v>-3</v>
      </c>
      <c r="AG762" s="196" t="s">
        <v>279</v>
      </c>
      <c r="AH762" s="199">
        <v>0</v>
      </c>
      <c r="AI762" s="196" t="s">
        <v>279</v>
      </c>
      <c r="AJ762" s="199">
        <v>0</v>
      </c>
      <c r="AK762" s="196" t="s">
        <v>279</v>
      </c>
      <c r="AL762" s="199">
        <v>0</v>
      </c>
      <c r="AM762" s="196" t="s">
        <v>279</v>
      </c>
      <c r="AN762" s="199">
        <v>0</v>
      </c>
      <c r="AO762" s="196" t="s">
        <v>279</v>
      </c>
      <c r="AP762" s="199">
        <v>0</v>
      </c>
      <c r="AQ762" s="199">
        <v>29.95</v>
      </c>
      <c r="AR762" s="199">
        <v>0</v>
      </c>
      <c r="AS762" s="196" t="str">
        <f t="shared" si="18"/>
        <v>1.00000000</v>
      </c>
      <c r="AT762" s="196" t="str">
        <f>"23.8"</f>
        <v>23.8</v>
      </c>
      <c r="AU762" s="199">
        <v>0</v>
      </c>
    </row>
    <row r="763" spans="1:47" s="196" customFormat="1" x14ac:dyDescent="0.2">
      <c r="A763" s="196" t="str">
        <f t="shared" si="19"/>
        <v>0496002595734</v>
      </c>
      <c r="B763" s="196">
        <v>3</v>
      </c>
      <c r="C763" s="196" t="s">
        <v>435</v>
      </c>
      <c r="D763" s="196">
        <v>82</v>
      </c>
      <c r="E763" s="196">
        <v>82</v>
      </c>
      <c r="F763" s="196" t="s">
        <v>243</v>
      </c>
      <c r="G763" s="196">
        <v>2086</v>
      </c>
      <c r="H763" s="196" t="s">
        <v>270</v>
      </c>
      <c r="I763" s="196">
        <v>69431</v>
      </c>
      <c r="J763" s="197">
        <v>42864</v>
      </c>
      <c r="K763" s="198">
        <v>0.48541666666666666</v>
      </c>
      <c r="L763" s="197">
        <v>42866</v>
      </c>
      <c r="M763" s="196" t="s">
        <v>271</v>
      </c>
      <c r="N763" s="196" t="s">
        <v>272</v>
      </c>
      <c r="O763" s="196" t="s">
        <v>273</v>
      </c>
      <c r="P763" s="196" t="s">
        <v>274</v>
      </c>
      <c r="Q763" s="196" t="s">
        <v>275</v>
      </c>
      <c r="R763" s="196" t="s">
        <v>276</v>
      </c>
      <c r="S763" s="196" t="s">
        <v>436</v>
      </c>
      <c r="T763" s="196" t="s">
        <v>435</v>
      </c>
      <c r="U763" s="196">
        <v>2086</v>
      </c>
      <c r="V763" s="196" t="s">
        <v>435</v>
      </c>
      <c r="W763" s="196" t="s">
        <v>280</v>
      </c>
      <c r="X763" s="196">
        <v>10.654</v>
      </c>
      <c r="Y763" s="199">
        <v>-0.21</v>
      </c>
      <c r="Z763" s="199">
        <v>2.37</v>
      </c>
      <c r="AA763" s="199">
        <v>25.24</v>
      </c>
      <c r="AB763" s="199">
        <v>-1.95</v>
      </c>
      <c r="AC763" s="199">
        <v>0</v>
      </c>
      <c r="AD763" s="199">
        <v>0</v>
      </c>
      <c r="AE763" s="199">
        <v>23.08</v>
      </c>
      <c r="AF763" s="199">
        <v>-2.56</v>
      </c>
      <c r="AG763" s="196" t="s">
        <v>279</v>
      </c>
      <c r="AH763" s="199">
        <v>0</v>
      </c>
      <c r="AI763" s="196" t="s">
        <v>279</v>
      </c>
      <c r="AJ763" s="199">
        <v>0</v>
      </c>
      <c r="AK763" s="196" t="s">
        <v>279</v>
      </c>
      <c r="AL763" s="199">
        <v>0</v>
      </c>
      <c r="AM763" s="196" t="s">
        <v>279</v>
      </c>
      <c r="AN763" s="199">
        <v>0</v>
      </c>
      <c r="AO763" s="196" t="s">
        <v>279</v>
      </c>
      <c r="AP763" s="199">
        <v>0</v>
      </c>
      <c r="AQ763" s="199">
        <v>25.24</v>
      </c>
      <c r="AR763" s="199">
        <v>0</v>
      </c>
      <c r="AS763" s="196" t="str">
        <f t="shared" si="18"/>
        <v>1.00000000</v>
      </c>
      <c r="AT763" s="196" t="str">
        <f>"13.8"</f>
        <v>13.8</v>
      </c>
      <c r="AU763" s="199">
        <v>0</v>
      </c>
    </row>
    <row r="764" spans="1:47" s="196" customFormat="1" x14ac:dyDescent="0.2">
      <c r="A764" s="196" t="str">
        <f t="shared" si="19"/>
        <v>0496002595734</v>
      </c>
      <c r="B764" s="196">
        <v>3</v>
      </c>
      <c r="C764" s="196" t="s">
        <v>435</v>
      </c>
      <c r="D764" s="196">
        <v>82</v>
      </c>
      <c r="E764" s="196">
        <v>82</v>
      </c>
      <c r="F764" s="196" t="s">
        <v>243</v>
      </c>
      <c r="G764" s="196">
        <v>2086</v>
      </c>
      <c r="H764" s="196" t="s">
        <v>270</v>
      </c>
      <c r="I764" s="196">
        <v>2086</v>
      </c>
      <c r="J764" s="197">
        <v>42865</v>
      </c>
      <c r="K764" s="198">
        <v>0.2986226851851852</v>
      </c>
      <c r="L764" s="197">
        <v>42867</v>
      </c>
      <c r="M764" s="196" t="s">
        <v>310</v>
      </c>
      <c r="N764" s="196" t="s">
        <v>463</v>
      </c>
      <c r="O764" s="196" t="s">
        <v>332</v>
      </c>
      <c r="P764" s="196" t="s">
        <v>274</v>
      </c>
      <c r="Q764" s="196" t="s">
        <v>275</v>
      </c>
      <c r="R764" s="196">
        <v>1002</v>
      </c>
      <c r="S764" s="196" t="s">
        <v>436</v>
      </c>
      <c r="T764" s="196" t="s">
        <v>435</v>
      </c>
      <c r="U764" s="196">
        <v>2086</v>
      </c>
      <c r="V764" s="196" t="s">
        <v>435</v>
      </c>
      <c r="W764" s="196" t="s">
        <v>280</v>
      </c>
      <c r="X764" s="196">
        <v>7.63</v>
      </c>
      <c r="Y764" s="199">
        <v>0</v>
      </c>
      <c r="Z764" s="199">
        <v>2.36</v>
      </c>
      <c r="AA764" s="199">
        <v>18</v>
      </c>
      <c r="AB764" s="199">
        <v>-1.4</v>
      </c>
      <c r="AC764" s="199">
        <v>0</v>
      </c>
      <c r="AD764" s="199">
        <v>0</v>
      </c>
      <c r="AE764" s="199">
        <v>16.600000000000001</v>
      </c>
      <c r="AF764" s="199">
        <v>-1.83</v>
      </c>
      <c r="AG764" s="196" t="s">
        <v>279</v>
      </c>
      <c r="AH764" s="199">
        <v>0</v>
      </c>
      <c r="AI764" s="196" t="s">
        <v>279</v>
      </c>
      <c r="AJ764" s="199">
        <v>0</v>
      </c>
      <c r="AK764" s="196" t="s">
        <v>279</v>
      </c>
      <c r="AL764" s="199">
        <v>0</v>
      </c>
      <c r="AM764" s="196" t="s">
        <v>279</v>
      </c>
      <c r="AN764" s="199">
        <v>0</v>
      </c>
      <c r="AO764" s="196" t="s">
        <v>279</v>
      </c>
      <c r="AP764" s="199">
        <v>0</v>
      </c>
      <c r="AQ764" s="199">
        <v>18</v>
      </c>
      <c r="AR764" s="199">
        <v>0</v>
      </c>
      <c r="AS764" s="196" t="str">
        <f t="shared" si="18"/>
        <v>1.00000000</v>
      </c>
      <c r="AT764" s="196" t="str">
        <f>"19.4"</f>
        <v>19.4</v>
      </c>
      <c r="AU764" s="199">
        <v>0</v>
      </c>
    </row>
    <row r="765" spans="1:47" s="196" customFormat="1" x14ac:dyDescent="0.2">
      <c r="A765" s="196" t="str">
        <f t="shared" si="19"/>
        <v>0496002595734</v>
      </c>
      <c r="B765" s="196">
        <v>3</v>
      </c>
      <c r="C765" s="196" t="s">
        <v>435</v>
      </c>
      <c r="D765" s="196">
        <v>82</v>
      </c>
      <c r="E765" s="196">
        <v>82</v>
      </c>
      <c r="F765" s="196" t="s">
        <v>243</v>
      </c>
      <c r="G765" s="196">
        <v>2086</v>
      </c>
      <c r="H765" s="196" t="s">
        <v>270</v>
      </c>
      <c r="I765" s="196">
        <v>0</v>
      </c>
      <c r="J765" s="197">
        <v>42865</v>
      </c>
      <c r="K765" s="198">
        <v>0.55592592592592593</v>
      </c>
      <c r="L765" s="197">
        <v>42867</v>
      </c>
      <c r="M765" s="196" t="s">
        <v>310</v>
      </c>
      <c r="N765" s="196" t="s">
        <v>463</v>
      </c>
      <c r="O765" s="196" t="s">
        <v>332</v>
      </c>
      <c r="P765" s="196" t="s">
        <v>274</v>
      </c>
      <c r="Q765" s="196" t="s">
        <v>275</v>
      </c>
      <c r="R765" s="196">
        <v>1002</v>
      </c>
      <c r="S765" s="196" t="s">
        <v>436</v>
      </c>
      <c r="T765" s="196" t="s">
        <v>435</v>
      </c>
      <c r="U765" s="196">
        <v>2086</v>
      </c>
      <c r="V765" s="196" t="s">
        <v>435</v>
      </c>
      <c r="W765" s="196" t="s">
        <v>280</v>
      </c>
      <c r="X765" s="196">
        <v>9.3260000000000005</v>
      </c>
      <c r="Y765" s="199">
        <v>0</v>
      </c>
      <c r="Z765" s="199">
        <v>2.36</v>
      </c>
      <c r="AA765" s="199">
        <v>22</v>
      </c>
      <c r="AB765" s="199">
        <v>-1.71</v>
      </c>
      <c r="AC765" s="199">
        <v>0</v>
      </c>
      <c r="AD765" s="199">
        <v>0</v>
      </c>
      <c r="AE765" s="199">
        <v>20.29</v>
      </c>
      <c r="AF765" s="199">
        <v>-2.2400000000000002</v>
      </c>
      <c r="AG765" s="196" t="s">
        <v>279</v>
      </c>
      <c r="AH765" s="199">
        <v>0</v>
      </c>
      <c r="AI765" s="196" t="s">
        <v>279</v>
      </c>
      <c r="AJ765" s="199">
        <v>0</v>
      </c>
      <c r="AK765" s="196" t="s">
        <v>279</v>
      </c>
      <c r="AL765" s="199">
        <v>0</v>
      </c>
      <c r="AM765" s="196" t="s">
        <v>279</v>
      </c>
      <c r="AN765" s="199">
        <v>0</v>
      </c>
      <c r="AO765" s="196" t="s">
        <v>279</v>
      </c>
      <c r="AP765" s="199">
        <v>0</v>
      </c>
      <c r="AQ765" s="199">
        <v>22</v>
      </c>
      <c r="AR765" s="199">
        <v>0</v>
      </c>
      <c r="AS765" s="196" t="str">
        <f t="shared" si="18"/>
        <v>1.00000000</v>
      </c>
      <c r="AT765" s="196" t="str">
        <f>"19.4"</f>
        <v>19.4</v>
      </c>
      <c r="AU765" s="199">
        <v>0</v>
      </c>
    </row>
    <row r="766" spans="1:47" s="196" customFormat="1" x14ac:dyDescent="0.2">
      <c r="A766" s="196" t="str">
        <f t="shared" si="19"/>
        <v>0496002595734</v>
      </c>
      <c r="B766" s="196">
        <v>3</v>
      </c>
      <c r="C766" s="196" t="s">
        <v>435</v>
      </c>
      <c r="D766" s="196">
        <v>82</v>
      </c>
      <c r="E766" s="196">
        <v>82</v>
      </c>
      <c r="F766" s="196" t="s">
        <v>243</v>
      </c>
      <c r="G766" s="196">
        <v>2086</v>
      </c>
      <c r="H766" s="196" t="s">
        <v>270</v>
      </c>
      <c r="I766" s="196">
        <v>69843</v>
      </c>
      <c r="J766" s="197">
        <v>42866</v>
      </c>
      <c r="K766" s="198">
        <v>0.98402777777777783</v>
      </c>
      <c r="L766" s="197">
        <v>42870</v>
      </c>
      <c r="M766" s="196" t="s">
        <v>271</v>
      </c>
      <c r="N766" s="196" t="s">
        <v>272</v>
      </c>
      <c r="O766" s="196" t="s">
        <v>273</v>
      </c>
      <c r="P766" s="196" t="s">
        <v>274</v>
      </c>
      <c r="Q766" s="196" t="s">
        <v>275</v>
      </c>
      <c r="R766" s="196" t="s">
        <v>276</v>
      </c>
      <c r="S766" s="196" t="s">
        <v>436</v>
      </c>
      <c r="T766" s="196" t="s">
        <v>435</v>
      </c>
      <c r="U766" s="196">
        <v>2086</v>
      </c>
      <c r="V766" s="196" t="s">
        <v>435</v>
      </c>
      <c r="W766" s="196" t="s">
        <v>280</v>
      </c>
      <c r="X766" s="196">
        <v>10.59</v>
      </c>
      <c r="Y766" s="199">
        <v>-0.21</v>
      </c>
      <c r="Z766" s="199">
        <v>2.37</v>
      </c>
      <c r="AA766" s="199">
        <v>25.09</v>
      </c>
      <c r="AB766" s="199">
        <v>-1.94</v>
      </c>
      <c r="AC766" s="199">
        <v>0</v>
      </c>
      <c r="AD766" s="199">
        <v>0</v>
      </c>
      <c r="AE766" s="199">
        <v>22.94</v>
      </c>
      <c r="AF766" s="199">
        <v>-2.54</v>
      </c>
      <c r="AG766" s="196" t="s">
        <v>279</v>
      </c>
      <c r="AH766" s="199">
        <v>0</v>
      </c>
      <c r="AI766" s="196" t="s">
        <v>279</v>
      </c>
      <c r="AJ766" s="199">
        <v>0</v>
      </c>
      <c r="AK766" s="196" t="s">
        <v>279</v>
      </c>
      <c r="AL766" s="199">
        <v>0</v>
      </c>
      <c r="AM766" s="196" t="s">
        <v>279</v>
      </c>
      <c r="AN766" s="199">
        <v>0</v>
      </c>
      <c r="AO766" s="196" t="s">
        <v>279</v>
      </c>
      <c r="AP766" s="199">
        <v>0</v>
      </c>
      <c r="AQ766" s="199">
        <v>25.09</v>
      </c>
      <c r="AR766" s="199">
        <v>0</v>
      </c>
      <c r="AS766" s="196" t="str">
        <f t="shared" si="18"/>
        <v>1.00000000</v>
      </c>
      <c r="AT766" s="196" t="str">
        <f>"19.4"</f>
        <v>19.4</v>
      </c>
      <c r="AU766" s="199">
        <v>0</v>
      </c>
    </row>
    <row r="767" spans="1:47" s="196" customFormat="1" x14ac:dyDescent="0.2">
      <c r="A767" s="196" t="str">
        <f t="shared" si="19"/>
        <v>0496002595734</v>
      </c>
      <c r="B767" s="196">
        <v>3</v>
      </c>
      <c r="C767" s="196" t="s">
        <v>435</v>
      </c>
      <c r="D767" s="196">
        <v>82</v>
      </c>
      <c r="E767" s="196">
        <v>82</v>
      </c>
      <c r="F767" s="196" t="s">
        <v>243</v>
      </c>
      <c r="G767" s="196">
        <v>2086</v>
      </c>
      <c r="H767" s="196" t="s">
        <v>270</v>
      </c>
      <c r="I767" s="196">
        <v>70000</v>
      </c>
      <c r="J767" s="197">
        <v>42869</v>
      </c>
      <c r="K767" s="198">
        <v>0.93619212962962972</v>
      </c>
      <c r="L767" s="197">
        <v>42871</v>
      </c>
      <c r="M767" s="196" t="s">
        <v>340</v>
      </c>
      <c r="N767" s="196" t="s">
        <v>341</v>
      </c>
      <c r="O767" s="196" t="s">
        <v>342</v>
      </c>
      <c r="P767" s="196" t="s">
        <v>343</v>
      </c>
      <c r="Q767" s="196" t="s">
        <v>275</v>
      </c>
      <c r="R767" s="196">
        <v>1035</v>
      </c>
      <c r="S767" s="196" t="s">
        <v>436</v>
      </c>
      <c r="T767" s="196" t="s">
        <v>435</v>
      </c>
      <c r="U767" s="196">
        <v>2086</v>
      </c>
      <c r="V767" s="196" t="s">
        <v>435</v>
      </c>
      <c r="W767" s="196" t="s">
        <v>280</v>
      </c>
      <c r="X767" s="196">
        <v>15.35</v>
      </c>
      <c r="Y767" s="199">
        <v>0</v>
      </c>
      <c r="Z767" s="199">
        <v>2.2999999999999998</v>
      </c>
      <c r="AA767" s="199">
        <v>35.29</v>
      </c>
      <c r="AB767" s="199">
        <v>-2.81</v>
      </c>
      <c r="AC767" s="199">
        <v>0</v>
      </c>
      <c r="AD767" s="199">
        <v>0</v>
      </c>
      <c r="AE767" s="199">
        <v>32.479999999999997</v>
      </c>
      <c r="AF767" s="199">
        <v>-3.68</v>
      </c>
      <c r="AG767" s="196" t="s">
        <v>279</v>
      </c>
      <c r="AH767" s="199">
        <v>0</v>
      </c>
      <c r="AI767" s="196" t="s">
        <v>279</v>
      </c>
      <c r="AJ767" s="199">
        <v>0</v>
      </c>
      <c r="AK767" s="196" t="s">
        <v>279</v>
      </c>
      <c r="AL767" s="199">
        <v>0</v>
      </c>
      <c r="AM767" s="196" t="s">
        <v>279</v>
      </c>
      <c r="AN767" s="199">
        <v>0</v>
      </c>
      <c r="AO767" s="196" t="s">
        <v>279</v>
      </c>
      <c r="AP767" s="199">
        <v>0</v>
      </c>
      <c r="AQ767" s="199">
        <v>35.29</v>
      </c>
      <c r="AR767" s="199">
        <v>0</v>
      </c>
      <c r="AS767" s="196" t="str">
        <f t="shared" si="18"/>
        <v>1.00000000</v>
      </c>
      <c r="AT767" s="196" t="str">
        <f>"19.5"</f>
        <v>19.5</v>
      </c>
      <c r="AU767" s="199">
        <v>0</v>
      </c>
    </row>
    <row r="768" spans="1:47" s="196" customFormat="1" x14ac:dyDescent="0.2">
      <c r="A768" s="196" t="str">
        <f t="shared" si="19"/>
        <v>0496002595734</v>
      </c>
      <c r="B768" s="196">
        <v>3</v>
      </c>
      <c r="C768" s="196" t="s">
        <v>435</v>
      </c>
      <c r="D768" s="196">
        <v>82</v>
      </c>
      <c r="E768" s="196">
        <v>82</v>
      </c>
      <c r="F768" s="196" t="s">
        <v>243</v>
      </c>
      <c r="G768" s="196">
        <v>2086</v>
      </c>
      <c r="H768" s="196" t="s">
        <v>270</v>
      </c>
      <c r="I768" s="196">
        <v>17343</v>
      </c>
      <c r="J768" s="197">
        <v>42871</v>
      </c>
      <c r="K768" s="198">
        <v>0.44375000000000003</v>
      </c>
      <c r="L768" s="197">
        <v>42874</v>
      </c>
      <c r="M768" s="196" t="s">
        <v>325</v>
      </c>
      <c r="N768" s="196" t="s">
        <v>326</v>
      </c>
      <c r="O768" s="196" t="s">
        <v>402</v>
      </c>
      <c r="P768" s="196" t="s">
        <v>403</v>
      </c>
      <c r="Q768" s="196" t="s">
        <v>289</v>
      </c>
      <c r="R768" s="196">
        <v>7095</v>
      </c>
      <c r="S768" s="196" t="s">
        <v>436</v>
      </c>
      <c r="T768" s="196" t="s">
        <v>435</v>
      </c>
      <c r="U768" s="196">
        <v>2086</v>
      </c>
      <c r="V768" s="196" t="s">
        <v>435</v>
      </c>
      <c r="W768" s="196" t="s">
        <v>330</v>
      </c>
      <c r="X768" s="196">
        <v>11.471</v>
      </c>
      <c r="Y768" s="199">
        <v>0</v>
      </c>
      <c r="Z768" s="199">
        <v>2.36</v>
      </c>
      <c r="AA768" s="199">
        <v>27.06</v>
      </c>
      <c r="AB768" s="199">
        <v>-2.1</v>
      </c>
      <c r="AC768" s="199">
        <v>0</v>
      </c>
      <c r="AD768" s="199">
        <v>0</v>
      </c>
      <c r="AE768" s="199">
        <v>24.96</v>
      </c>
      <c r="AF768" s="199">
        <v>-4.25</v>
      </c>
      <c r="AG768" s="196" t="s">
        <v>279</v>
      </c>
      <c r="AH768" s="199">
        <v>0</v>
      </c>
      <c r="AI768" s="196" t="s">
        <v>279</v>
      </c>
      <c r="AJ768" s="199">
        <v>0</v>
      </c>
      <c r="AK768" s="196" t="s">
        <v>279</v>
      </c>
      <c r="AL768" s="199">
        <v>0</v>
      </c>
      <c r="AM768" s="196" t="s">
        <v>279</v>
      </c>
      <c r="AN768" s="199">
        <v>0</v>
      </c>
      <c r="AO768" s="196" t="s">
        <v>279</v>
      </c>
      <c r="AP768" s="199">
        <v>0</v>
      </c>
      <c r="AQ768" s="199">
        <v>27.06</v>
      </c>
      <c r="AR768" s="199">
        <v>0</v>
      </c>
      <c r="AS768" s="196" t="str">
        <f t="shared" si="18"/>
        <v>1.00000000</v>
      </c>
      <c r="AT768" s="196" t="str">
        <f>"10.2"</f>
        <v>10.2</v>
      </c>
      <c r="AU768" s="199">
        <v>0</v>
      </c>
    </row>
    <row r="769" spans="1:47" s="196" customFormat="1" x14ac:dyDescent="0.2">
      <c r="A769" s="196" t="str">
        <f t="shared" si="19"/>
        <v>0496002595734</v>
      </c>
      <c r="B769" s="196">
        <v>3</v>
      </c>
      <c r="C769" s="196" t="s">
        <v>435</v>
      </c>
      <c r="D769" s="196">
        <v>82</v>
      </c>
      <c r="E769" s="196">
        <v>82</v>
      </c>
      <c r="F769" s="196" t="s">
        <v>243</v>
      </c>
      <c r="G769" s="196">
        <v>2086</v>
      </c>
      <c r="H769" s="196" t="s">
        <v>270</v>
      </c>
      <c r="I769" s="196">
        <v>70561</v>
      </c>
      <c r="J769" s="197">
        <v>42872</v>
      </c>
      <c r="K769" s="198">
        <v>0.60626157407407411</v>
      </c>
      <c r="L769" s="197">
        <v>42874</v>
      </c>
      <c r="M769" s="196" t="s">
        <v>554</v>
      </c>
      <c r="N769" s="196" t="s">
        <v>555</v>
      </c>
      <c r="O769" s="196" t="s">
        <v>556</v>
      </c>
      <c r="P769" s="196" t="s">
        <v>557</v>
      </c>
      <c r="Q769" s="196" t="s">
        <v>558</v>
      </c>
      <c r="R769" s="196">
        <v>17543</v>
      </c>
      <c r="S769" s="196" t="s">
        <v>436</v>
      </c>
      <c r="T769" s="196" t="s">
        <v>435</v>
      </c>
      <c r="U769" s="196">
        <v>2086</v>
      </c>
      <c r="V769" s="196" t="s">
        <v>435</v>
      </c>
      <c r="W769" s="196" t="s">
        <v>280</v>
      </c>
      <c r="X769" s="196">
        <v>11.285</v>
      </c>
      <c r="Y769" s="199">
        <v>0</v>
      </c>
      <c r="Z769" s="199">
        <v>2.46</v>
      </c>
      <c r="AA769" s="199">
        <v>27.75</v>
      </c>
      <c r="AB769" s="199">
        <v>-2.0699999999999998</v>
      </c>
      <c r="AC769" s="199">
        <v>0</v>
      </c>
      <c r="AD769" s="199">
        <v>0</v>
      </c>
      <c r="AE769" s="199">
        <v>25.68</v>
      </c>
      <c r="AF769" s="199">
        <v>-6.57</v>
      </c>
      <c r="AG769" s="196" t="s">
        <v>279</v>
      </c>
      <c r="AH769" s="199">
        <v>0</v>
      </c>
      <c r="AI769" s="196" t="s">
        <v>279</v>
      </c>
      <c r="AJ769" s="199">
        <v>0</v>
      </c>
      <c r="AK769" s="196" t="s">
        <v>279</v>
      </c>
      <c r="AL769" s="199">
        <v>0</v>
      </c>
      <c r="AM769" s="196" t="s">
        <v>279</v>
      </c>
      <c r="AN769" s="199">
        <v>0</v>
      </c>
      <c r="AO769" s="196" t="s">
        <v>279</v>
      </c>
      <c r="AP769" s="199">
        <v>0</v>
      </c>
      <c r="AQ769" s="199">
        <v>27.75</v>
      </c>
      <c r="AR769" s="199">
        <v>0</v>
      </c>
      <c r="AS769" s="196" t="str">
        <f t="shared" si="18"/>
        <v>1.00000000</v>
      </c>
      <c r="AT769" s="196" t="str">
        <f>"10.2"</f>
        <v>10.2</v>
      </c>
      <c r="AU769" s="199">
        <v>0</v>
      </c>
    </row>
    <row r="770" spans="1:47" s="196" customFormat="1" x14ac:dyDescent="0.2">
      <c r="A770" s="196" t="str">
        <f t="shared" si="19"/>
        <v>0496002595734</v>
      </c>
      <c r="B770" s="196">
        <v>3</v>
      </c>
      <c r="C770" s="196" t="s">
        <v>435</v>
      </c>
      <c r="D770" s="196">
        <v>82</v>
      </c>
      <c r="E770" s="196">
        <v>82</v>
      </c>
      <c r="F770" s="196" t="s">
        <v>243</v>
      </c>
      <c r="G770" s="196">
        <v>2086</v>
      </c>
      <c r="H770" s="196" t="s">
        <v>270</v>
      </c>
      <c r="I770" s="196">
        <v>70893</v>
      </c>
      <c r="J770" s="197">
        <v>42872</v>
      </c>
      <c r="K770" s="198">
        <v>0.92569444444444438</v>
      </c>
      <c r="L770" s="197">
        <v>42874</v>
      </c>
      <c r="M770" s="196" t="s">
        <v>271</v>
      </c>
      <c r="N770" s="196" t="s">
        <v>272</v>
      </c>
      <c r="O770" s="196" t="s">
        <v>273</v>
      </c>
      <c r="P770" s="196" t="s">
        <v>274</v>
      </c>
      <c r="Q770" s="196" t="s">
        <v>275</v>
      </c>
      <c r="R770" s="196" t="s">
        <v>276</v>
      </c>
      <c r="S770" s="196" t="s">
        <v>436</v>
      </c>
      <c r="T770" s="196" t="s">
        <v>435</v>
      </c>
      <c r="U770" s="196">
        <v>2086</v>
      </c>
      <c r="V770" s="196" t="s">
        <v>435</v>
      </c>
      <c r="W770" s="196" t="s">
        <v>280</v>
      </c>
      <c r="X770" s="196">
        <v>14.576000000000001</v>
      </c>
      <c r="Y770" s="199">
        <v>-0.28999999999999998</v>
      </c>
      <c r="Z770" s="199">
        <v>2.4</v>
      </c>
      <c r="AA770" s="199">
        <v>34.97</v>
      </c>
      <c r="AB770" s="199">
        <v>-2.67</v>
      </c>
      <c r="AC770" s="199">
        <v>0</v>
      </c>
      <c r="AD770" s="199">
        <v>0</v>
      </c>
      <c r="AE770" s="199">
        <v>32.01</v>
      </c>
      <c r="AF770" s="199">
        <v>-3.5</v>
      </c>
      <c r="AG770" s="196" t="s">
        <v>279</v>
      </c>
      <c r="AH770" s="199">
        <v>0</v>
      </c>
      <c r="AI770" s="196" t="s">
        <v>279</v>
      </c>
      <c r="AJ770" s="199">
        <v>0</v>
      </c>
      <c r="AK770" s="196" t="s">
        <v>279</v>
      </c>
      <c r="AL770" s="199">
        <v>0</v>
      </c>
      <c r="AM770" s="196" t="s">
        <v>279</v>
      </c>
      <c r="AN770" s="199">
        <v>0</v>
      </c>
      <c r="AO770" s="196" t="s">
        <v>279</v>
      </c>
      <c r="AP770" s="199">
        <v>0</v>
      </c>
      <c r="AQ770" s="199">
        <v>34.97</v>
      </c>
      <c r="AR770" s="199">
        <v>0</v>
      </c>
      <c r="AS770" s="196" t="str">
        <f t="shared" ref="AS770:AS833" si="20">"1.00000000"</f>
        <v>1.00000000</v>
      </c>
      <c r="AT770" s="196" t="str">
        <f>"10.2"</f>
        <v>10.2</v>
      </c>
      <c r="AU770" s="199">
        <v>0</v>
      </c>
    </row>
    <row r="771" spans="1:47" s="196" customFormat="1" x14ac:dyDescent="0.2">
      <c r="A771" s="196" t="str">
        <f t="shared" si="19"/>
        <v>0496002595734</v>
      </c>
      <c r="B771" s="196">
        <v>3</v>
      </c>
      <c r="C771" s="196" t="s">
        <v>435</v>
      </c>
      <c r="D771" s="196">
        <v>82</v>
      </c>
      <c r="E771" s="196">
        <v>82</v>
      </c>
      <c r="F771" s="196" t="s">
        <v>243</v>
      </c>
      <c r="G771" s="196">
        <v>2086</v>
      </c>
      <c r="H771" s="196" t="s">
        <v>270</v>
      </c>
      <c r="I771" s="196">
        <v>71053</v>
      </c>
      <c r="J771" s="197">
        <v>42874</v>
      </c>
      <c r="K771" s="198">
        <v>0.42708333333333331</v>
      </c>
      <c r="L771" s="197">
        <v>42878</v>
      </c>
      <c r="M771" s="196" t="s">
        <v>271</v>
      </c>
      <c r="N771" s="196" t="s">
        <v>272</v>
      </c>
      <c r="O771" s="196" t="s">
        <v>273</v>
      </c>
      <c r="P771" s="196" t="s">
        <v>274</v>
      </c>
      <c r="Q771" s="196" t="s">
        <v>275</v>
      </c>
      <c r="R771" s="196" t="s">
        <v>276</v>
      </c>
      <c r="S771" s="196" t="s">
        <v>436</v>
      </c>
      <c r="T771" s="196" t="s">
        <v>435</v>
      </c>
      <c r="U771" s="196">
        <v>2086</v>
      </c>
      <c r="V771" s="196" t="s">
        <v>435</v>
      </c>
      <c r="W771" s="196" t="s">
        <v>280</v>
      </c>
      <c r="X771" s="196">
        <v>7.8860000000000001</v>
      </c>
      <c r="Y771" s="199">
        <v>-0.16</v>
      </c>
      <c r="Z771" s="199">
        <v>2.4</v>
      </c>
      <c r="AA771" s="199">
        <v>18.920000000000002</v>
      </c>
      <c r="AB771" s="199">
        <v>-1.44</v>
      </c>
      <c r="AC771" s="199">
        <v>0</v>
      </c>
      <c r="AD771" s="199">
        <v>0</v>
      </c>
      <c r="AE771" s="199">
        <v>17.32</v>
      </c>
      <c r="AF771" s="199">
        <v>-1.89</v>
      </c>
      <c r="AG771" s="196" t="s">
        <v>279</v>
      </c>
      <c r="AH771" s="199">
        <v>0</v>
      </c>
      <c r="AI771" s="196" t="s">
        <v>279</v>
      </c>
      <c r="AJ771" s="199">
        <v>0</v>
      </c>
      <c r="AK771" s="196" t="s">
        <v>279</v>
      </c>
      <c r="AL771" s="199">
        <v>0</v>
      </c>
      <c r="AM771" s="196" t="s">
        <v>279</v>
      </c>
      <c r="AN771" s="199">
        <v>0</v>
      </c>
      <c r="AO771" s="196" t="s">
        <v>279</v>
      </c>
      <c r="AP771" s="199">
        <v>0</v>
      </c>
      <c r="AQ771" s="199">
        <v>18.920000000000002</v>
      </c>
      <c r="AR771" s="199">
        <v>0</v>
      </c>
      <c r="AS771" s="196" t="str">
        <f t="shared" si="20"/>
        <v>1.00000000</v>
      </c>
      <c r="AT771" s="196" t="str">
        <f>"20.3"</f>
        <v>20.3</v>
      </c>
      <c r="AU771" s="199">
        <v>0</v>
      </c>
    </row>
    <row r="772" spans="1:47" s="196" customFormat="1" x14ac:dyDescent="0.2">
      <c r="A772" s="196" t="str">
        <f t="shared" si="19"/>
        <v>0496002595734</v>
      </c>
      <c r="B772" s="196">
        <v>3</v>
      </c>
      <c r="C772" s="196" t="s">
        <v>435</v>
      </c>
      <c r="D772" s="196">
        <v>82</v>
      </c>
      <c r="E772" s="196">
        <v>82</v>
      </c>
      <c r="F772" s="196" t="s">
        <v>243</v>
      </c>
      <c r="G772" s="196">
        <v>2086</v>
      </c>
      <c r="H772" s="196" t="s">
        <v>270</v>
      </c>
      <c r="I772" s="196">
        <v>71272</v>
      </c>
      <c r="J772" s="197">
        <v>42875</v>
      </c>
      <c r="K772" s="198">
        <v>0.76736111111111116</v>
      </c>
      <c r="L772" s="197">
        <v>42878</v>
      </c>
      <c r="M772" s="196" t="s">
        <v>271</v>
      </c>
      <c r="N772" s="196" t="s">
        <v>272</v>
      </c>
      <c r="O772" s="196" t="s">
        <v>273</v>
      </c>
      <c r="P772" s="196" t="s">
        <v>274</v>
      </c>
      <c r="Q772" s="196" t="s">
        <v>275</v>
      </c>
      <c r="R772" s="196" t="s">
        <v>276</v>
      </c>
      <c r="S772" s="196" t="s">
        <v>436</v>
      </c>
      <c r="T772" s="196" t="s">
        <v>435</v>
      </c>
      <c r="U772" s="196">
        <v>2086</v>
      </c>
      <c r="V772" s="196" t="s">
        <v>435</v>
      </c>
      <c r="W772" s="196" t="s">
        <v>280</v>
      </c>
      <c r="X772" s="196">
        <v>11.897</v>
      </c>
      <c r="Y772" s="199">
        <v>-0.24</v>
      </c>
      <c r="Z772" s="199">
        <v>2.4300000000000002</v>
      </c>
      <c r="AA772" s="199">
        <v>28.9</v>
      </c>
      <c r="AB772" s="199">
        <v>-2.1800000000000002</v>
      </c>
      <c r="AC772" s="199">
        <v>0</v>
      </c>
      <c r="AD772" s="199">
        <v>0</v>
      </c>
      <c r="AE772" s="199">
        <v>26.48</v>
      </c>
      <c r="AF772" s="199">
        <v>-2.86</v>
      </c>
      <c r="AG772" s="196" t="s">
        <v>279</v>
      </c>
      <c r="AH772" s="199">
        <v>0</v>
      </c>
      <c r="AI772" s="196" t="s">
        <v>279</v>
      </c>
      <c r="AJ772" s="199">
        <v>0</v>
      </c>
      <c r="AK772" s="196" t="s">
        <v>279</v>
      </c>
      <c r="AL772" s="199">
        <v>0</v>
      </c>
      <c r="AM772" s="196" t="s">
        <v>279</v>
      </c>
      <c r="AN772" s="199">
        <v>0</v>
      </c>
      <c r="AO772" s="196" t="s">
        <v>279</v>
      </c>
      <c r="AP772" s="199">
        <v>0</v>
      </c>
      <c r="AQ772" s="199">
        <v>28.9</v>
      </c>
      <c r="AR772" s="199">
        <v>0</v>
      </c>
      <c r="AS772" s="196" t="str">
        <f t="shared" si="20"/>
        <v>1.00000000</v>
      </c>
      <c r="AT772" s="196" t="str">
        <f>"18.4"</f>
        <v>18.4</v>
      </c>
      <c r="AU772" s="199">
        <v>0</v>
      </c>
    </row>
    <row r="773" spans="1:47" s="196" customFormat="1" x14ac:dyDescent="0.2">
      <c r="A773" s="196" t="str">
        <f t="shared" si="19"/>
        <v>0496002595734</v>
      </c>
      <c r="B773" s="196">
        <v>3</v>
      </c>
      <c r="C773" s="196" t="s">
        <v>435</v>
      </c>
      <c r="D773" s="196">
        <v>82</v>
      </c>
      <c r="E773" s="196">
        <v>82</v>
      </c>
      <c r="F773" s="196" t="s">
        <v>243</v>
      </c>
      <c r="G773" s="196">
        <v>2086</v>
      </c>
      <c r="H773" s="196" t="s">
        <v>270</v>
      </c>
      <c r="I773" s="196">
        <v>71563</v>
      </c>
      <c r="J773" s="197">
        <v>42876</v>
      </c>
      <c r="K773" s="198">
        <v>0.58958333333333335</v>
      </c>
      <c r="L773" s="197">
        <v>42878</v>
      </c>
      <c r="M773" s="196" t="s">
        <v>271</v>
      </c>
      <c r="N773" s="196" t="s">
        <v>272</v>
      </c>
      <c r="O773" s="196" t="s">
        <v>273</v>
      </c>
      <c r="P773" s="196" t="s">
        <v>274</v>
      </c>
      <c r="Q773" s="196" t="s">
        <v>275</v>
      </c>
      <c r="R773" s="196" t="s">
        <v>276</v>
      </c>
      <c r="S773" s="196" t="s">
        <v>436</v>
      </c>
      <c r="T773" s="196" t="s">
        <v>435</v>
      </c>
      <c r="U773" s="196">
        <v>2086</v>
      </c>
      <c r="V773" s="196" t="s">
        <v>435</v>
      </c>
      <c r="W773" s="196" t="s">
        <v>280</v>
      </c>
      <c r="X773" s="196">
        <v>15.03</v>
      </c>
      <c r="Y773" s="199">
        <v>-0.3</v>
      </c>
      <c r="Z773" s="199">
        <v>2.4300000000000002</v>
      </c>
      <c r="AA773" s="199">
        <v>36.51</v>
      </c>
      <c r="AB773" s="199">
        <v>-2.75</v>
      </c>
      <c r="AC773" s="199">
        <v>0</v>
      </c>
      <c r="AD773" s="199">
        <v>0</v>
      </c>
      <c r="AE773" s="199">
        <v>33.46</v>
      </c>
      <c r="AF773" s="199">
        <v>-3.61</v>
      </c>
      <c r="AG773" s="196" t="s">
        <v>279</v>
      </c>
      <c r="AH773" s="199">
        <v>0</v>
      </c>
      <c r="AI773" s="196" t="s">
        <v>279</v>
      </c>
      <c r="AJ773" s="199">
        <v>0</v>
      </c>
      <c r="AK773" s="196" t="s">
        <v>279</v>
      </c>
      <c r="AL773" s="199">
        <v>0</v>
      </c>
      <c r="AM773" s="196" t="s">
        <v>279</v>
      </c>
      <c r="AN773" s="199">
        <v>0</v>
      </c>
      <c r="AO773" s="196" t="s">
        <v>279</v>
      </c>
      <c r="AP773" s="199">
        <v>0</v>
      </c>
      <c r="AQ773" s="199">
        <v>36.51</v>
      </c>
      <c r="AR773" s="199">
        <v>0</v>
      </c>
      <c r="AS773" s="196" t="str">
        <f t="shared" si="20"/>
        <v>1.00000000</v>
      </c>
      <c r="AT773" s="196" t="str">
        <f>"19.4"</f>
        <v>19.4</v>
      </c>
      <c r="AU773" s="199">
        <v>0</v>
      </c>
    </row>
    <row r="774" spans="1:47" s="196" customFormat="1" x14ac:dyDescent="0.2">
      <c r="A774" s="196" t="str">
        <f t="shared" si="19"/>
        <v>0496002595734</v>
      </c>
      <c r="B774" s="196">
        <v>3</v>
      </c>
      <c r="C774" s="196" t="s">
        <v>435</v>
      </c>
      <c r="D774" s="196">
        <v>82</v>
      </c>
      <c r="E774" s="196">
        <v>82</v>
      </c>
      <c r="F774" s="196" t="s">
        <v>243</v>
      </c>
      <c r="G774" s="196">
        <v>2086</v>
      </c>
      <c r="H774" s="196" t="s">
        <v>270</v>
      </c>
      <c r="I774" s="196">
        <v>332</v>
      </c>
      <c r="J774" s="197">
        <v>42880</v>
      </c>
      <c r="K774" s="198">
        <v>0.55972222222222223</v>
      </c>
      <c r="L774" s="197">
        <v>42884</v>
      </c>
      <c r="M774" s="196" t="s">
        <v>271</v>
      </c>
      <c r="N774" s="196" t="s">
        <v>454</v>
      </c>
      <c r="O774" s="196" t="s">
        <v>559</v>
      </c>
      <c r="P774" s="196" t="s">
        <v>560</v>
      </c>
      <c r="Q774" s="196" t="s">
        <v>275</v>
      </c>
      <c r="R774" s="196">
        <v>1247</v>
      </c>
      <c r="S774" s="196" t="s">
        <v>436</v>
      </c>
      <c r="T774" s="196" t="s">
        <v>435</v>
      </c>
      <c r="U774" s="196">
        <v>2086</v>
      </c>
      <c r="V774" s="196" t="s">
        <v>435</v>
      </c>
      <c r="W774" s="196" t="s">
        <v>280</v>
      </c>
      <c r="X774" s="196">
        <v>9.8309999999999995</v>
      </c>
      <c r="Y774" s="199">
        <v>-0.2</v>
      </c>
      <c r="Z774" s="199">
        <v>2.38</v>
      </c>
      <c r="AA774" s="199">
        <v>23.39</v>
      </c>
      <c r="AB774" s="199">
        <v>-1.8</v>
      </c>
      <c r="AC774" s="199">
        <v>0</v>
      </c>
      <c r="AD774" s="199">
        <v>0</v>
      </c>
      <c r="AE774" s="199">
        <v>21.39</v>
      </c>
      <c r="AF774" s="199">
        <v>-2.36</v>
      </c>
      <c r="AG774" s="196" t="s">
        <v>279</v>
      </c>
      <c r="AH774" s="199">
        <v>0</v>
      </c>
      <c r="AI774" s="196" t="s">
        <v>279</v>
      </c>
      <c r="AJ774" s="199">
        <v>0</v>
      </c>
      <c r="AK774" s="196" t="s">
        <v>279</v>
      </c>
      <c r="AL774" s="199">
        <v>0</v>
      </c>
      <c r="AM774" s="196" t="s">
        <v>279</v>
      </c>
      <c r="AN774" s="199">
        <v>0</v>
      </c>
      <c r="AO774" s="196" t="s">
        <v>279</v>
      </c>
      <c r="AP774" s="199">
        <v>0</v>
      </c>
      <c r="AQ774" s="199">
        <v>23.39</v>
      </c>
      <c r="AR774" s="199">
        <v>0</v>
      </c>
      <c r="AS774" s="196" t="str">
        <f t="shared" si="20"/>
        <v>1.00000000</v>
      </c>
      <c r="AT774" s="196" t="str">
        <f>"22.8"</f>
        <v>22.8</v>
      </c>
      <c r="AU774" s="199">
        <v>0</v>
      </c>
    </row>
    <row r="775" spans="1:47" s="196" customFormat="1" x14ac:dyDescent="0.2">
      <c r="A775" s="196" t="str">
        <f t="shared" si="19"/>
        <v>0496002595734</v>
      </c>
      <c r="B775" s="196">
        <v>3</v>
      </c>
      <c r="C775" s="196" t="s">
        <v>435</v>
      </c>
      <c r="D775" s="196">
        <v>82</v>
      </c>
      <c r="E775" s="196">
        <v>82</v>
      </c>
      <c r="F775" s="196" t="s">
        <v>243</v>
      </c>
      <c r="G775" s="196">
        <v>2086</v>
      </c>
      <c r="H775" s="196" t="s">
        <v>270</v>
      </c>
      <c r="I775" s="196">
        <v>476</v>
      </c>
      <c r="J775" s="197">
        <v>42882</v>
      </c>
      <c r="K775" s="198">
        <v>0.34791666666666665</v>
      </c>
      <c r="L775" s="197">
        <v>42885</v>
      </c>
      <c r="M775" s="196" t="s">
        <v>285</v>
      </c>
      <c r="N775" s="196" t="s">
        <v>399</v>
      </c>
      <c r="O775" s="196" t="s">
        <v>400</v>
      </c>
      <c r="P775" s="196" t="s">
        <v>274</v>
      </c>
      <c r="Q775" s="196" t="s">
        <v>275</v>
      </c>
      <c r="R775" s="196" t="s">
        <v>401</v>
      </c>
      <c r="S775" s="196" t="s">
        <v>436</v>
      </c>
      <c r="T775" s="196" t="s">
        <v>435</v>
      </c>
      <c r="U775" s="196">
        <v>2086</v>
      </c>
      <c r="V775" s="196" t="s">
        <v>435</v>
      </c>
      <c r="W775" s="196" t="s">
        <v>280</v>
      </c>
      <c r="X775" s="196">
        <v>7.5789999999999997</v>
      </c>
      <c r="Y775" s="199">
        <v>0</v>
      </c>
      <c r="Z775" s="199">
        <v>2.2999999999999998</v>
      </c>
      <c r="AA775" s="199">
        <v>17.420000000000002</v>
      </c>
      <c r="AB775" s="199">
        <v>-1.39</v>
      </c>
      <c r="AC775" s="199">
        <v>0</v>
      </c>
      <c r="AD775" s="199">
        <v>0</v>
      </c>
      <c r="AE775" s="199">
        <v>16.03</v>
      </c>
      <c r="AF775" s="199">
        <v>-1.82</v>
      </c>
      <c r="AG775" s="196" t="s">
        <v>279</v>
      </c>
      <c r="AH775" s="199">
        <v>0</v>
      </c>
      <c r="AI775" s="196" t="s">
        <v>279</v>
      </c>
      <c r="AJ775" s="199">
        <v>0</v>
      </c>
      <c r="AK775" s="196" t="s">
        <v>279</v>
      </c>
      <c r="AL775" s="199">
        <v>0</v>
      </c>
      <c r="AM775" s="196" t="s">
        <v>279</v>
      </c>
      <c r="AN775" s="199">
        <v>0</v>
      </c>
      <c r="AO775" s="196" t="s">
        <v>279</v>
      </c>
      <c r="AP775" s="199">
        <v>0</v>
      </c>
      <c r="AQ775" s="199">
        <v>17.420000000000002</v>
      </c>
      <c r="AR775" s="199">
        <v>0</v>
      </c>
      <c r="AS775" s="196" t="str">
        <f t="shared" si="20"/>
        <v>1.00000000</v>
      </c>
      <c r="AT775" s="196" t="str">
        <f>"19.0"</f>
        <v>19.0</v>
      </c>
      <c r="AU775" s="199">
        <v>0</v>
      </c>
    </row>
    <row r="776" spans="1:47" s="196" customFormat="1" x14ac:dyDescent="0.2">
      <c r="A776" s="196" t="str">
        <f t="shared" si="19"/>
        <v>0496002595734</v>
      </c>
      <c r="B776" s="196">
        <v>3</v>
      </c>
      <c r="C776" s="196" t="s">
        <v>435</v>
      </c>
      <c r="D776" s="196">
        <v>82</v>
      </c>
      <c r="E776" s="196">
        <v>82</v>
      </c>
      <c r="F776" s="196" t="s">
        <v>243</v>
      </c>
      <c r="G776" s="196">
        <v>2086</v>
      </c>
      <c r="H776" s="196" t="s">
        <v>270</v>
      </c>
      <c r="I776" s="196">
        <v>515</v>
      </c>
      <c r="J776" s="197">
        <v>42882</v>
      </c>
      <c r="K776" s="198">
        <v>0.79791666666666661</v>
      </c>
      <c r="L776" s="197">
        <v>42885</v>
      </c>
      <c r="M776" s="196" t="s">
        <v>271</v>
      </c>
      <c r="N776" s="196" t="s">
        <v>561</v>
      </c>
      <c r="O776" s="196" t="s">
        <v>562</v>
      </c>
      <c r="P776" s="196" t="s">
        <v>563</v>
      </c>
      <c r="Q776" s="196" t="s">
        <v>275</v>
      </c>
      <c r="R776" s="196">
        <v>2667</v>
      </c>
      <c r="S776" s="196" t="s">
        <v>436</v>
      </c>
      <c r="T776" s="196" t="s">
        <v>435</v>
      </c>
      <c r="U776" s="196">
        <v>2086</v>
      </c>
      <c r="V776" s="196" t="s">
        <v>435</v>
      </c>
      <c r="W776" s="196" t="s">
        <v>280</v>
      </c>
      <c r="X776" s="196">
        <v>9.6579999999999995</v>
      </c>
      <c r="Y776" s="199">
        <v>-0.19</v>
      </c>
      <c r="Z776" s="199">
        <v>2.46</v>
      </c>
      <c r="AA776" s="199">
        <v>23.75</v>
      </c>
      <c r="AB776" s="199">
        <v>-1.77</v>
      </c>
      <c r="AC776" s="199">
        <v>0</v>
      </c>
      <c r="AD776" s="199">
        <v>0</v>
      </c>
      <c r="AE776" s="199">
        <v>21.79</v>
      </c>
      <c r="AF776" s="199">
        <v>-2.3199999999999998</v>
      </c>
      <c r="AG776" s="196" t="s">
        <v>279</v>
      </c>
      <c r="AH776" s="199">
        <v>0</v>
      </c>
      <c r="AI776" s="196" t="s">
        <v>279</v>
      </c>
      <c r="AJ776" s="199">
        <v>0</v>
      </c>
      <c r="AK776" s="196" t="s">
        <v>279</v>
      </c>
      <c r="AL776" s="199">
        <v>0</v>
      </c>
      <c r="AM776" s="196" t="s">
        <v>279</v>
      </c>
      <c r="AN776" s="199">
        <v>0</v>
      </c>
      <c r="AO776" s="196" t="s">
        <v>279</v>
      </c>
      <c r="AP776" s="199">
        <v>0</v>
      </c>
      <c r="AQ776" s="199">
        <v>23.75</v>
      </c>
      <c r="AR776" s="199">
        <v>0</v>
      </c>
      <c r="AS776" s="196" t="str">
        <f t="shared" si="20"/>
        <v>1.00000000</v>
      </c>
      <c r="AT776" s="196" t="str">
        <f>"22.8"</f>
        <v>22.8</v>
      </c>
      <c r="AU776" s="199">
        <v>0</v>
      </c>
    </row>
    <row r="777" spans="1:47" s="196" customFormat="1" x14ac:dyDescent="0.2">
      <c r="A777" s="196" t="str">
        <f t="shared" si="19"/>
        <v>0496002595734</v>
      </c>
      <c r="B777" s="196">
        <v>3</v>
      </c>
      <c r="C777" s="196" t="s">
        <v>435</v>
      </c>
      <c r="D777" s="196">
        <v>82</v>
      </c>
      <c r="E777" s="196">
        <v>82</v>
      </c>
      <c r="F777" s="196" t="s">
        <v>243</v>
      </c>
      <c r="G777" s="196">
        <v>2086</v>
      </c>
      <c r="H777" s="196" t="s">
        <v>270</v>
      </c>
      <c r="I777" s="196">
        <v>977</v>
      </c>
      <c r="J777" s="197">
        <v>42883</v>
      </c>
      <c r="K777" s="198">
        <v>0.85138888888888886</v>
      </c>
      <c r="L777" s="197">
        <v>42886</v>
      </c>
      <c r="M777" s="196" t="s">
        <v>325</v>
      </c>
      <c r="N777" s="196" t="s">
        <v>326</v>
      </c>
      <c r="O777" s="196" t="s">
        <v>388</v>
      </c>
      <c r="P777" s="196" t="s">
        <v>389</v>
      </c>
      <c r="Q777" s="196" t="s">
        <v>275</v>
      </c>
      <c r="R777" s="196">
        <v>1364</v>
      </c>
      <c r="S777" s="196" t="s">
        <v>436</v>
      </c>
      <c r="T777" s="196" t="s">
        <v>435</v>
      </c>
      <c r="U777" s="196">
        <v>2086</v>
      </c>
      <c r="V777" s="196" t="s">
        <v>435</v>
      </c>
      <c r="W777" s="196" t="s">
        <v>280</v>
      </c>
      <c r="X777" s="196">
        <v>10.782</v>
      </c>
      <c r="Y777" s="199">
        <v>0</v>
      </c>
      <c r="Z777" s="199">
        <v>2.46</v>
      </c>
      <c r="AA777" s="199">
        <v>26.51</v>
      </c>
      <c r="AB777" s="199">
        <v>-1.97</v>
      </c>
      <c r="AC777" s="199">
        <v>0</v>
      </c>
      <c r="AD777" s="199">
        <v>0</v>
      </c>
      <c r="AE777" s="199">
        <v>24.54</v>
      </c>
      <c r="AF777" s="199">
        <v>-2.59</v>
      </c>
      <c r="AG777" s="196" t="s">
        <v>279</v>
      </c>
      <c r="AH777" s="199">
        <v>0</v>
      </c>
      <c r="AI777" s="196" t="s">
        <v>279</v>
      </c>
      <c r="AJ777" s="199">
        <v>0</v>
      </c>
      <c r="AK777" s="196" t="s">
        <v>279</v>
      </c>
      <c r="AL777" s="199">
        <v>0</v>
      </c>
      <c r="AM777" s="196" t="s">
        <v>279</v>
      </c>
      <c r="AN777" s="199">
        <v>0</v>
      </c>
      <c r="AO777" s="196" t="s">
        <v>279</v>
      </c>
      <c r="AP777" s="199">
        <v>0</v>
      </c>
      <c r="AQ777" s="199">
        <v>26.51</v>
      </c>
      <c r="AR777" s="199">
        <v>0</v>
      </c>
      <c r="AS777" s="196" t="str">
        <f t="shared" si="20"/>
        <v>1.00000000</v>
      </c>
      <c r="AT777" s="196" t="str">
        <f>"26.1"</f>
        <v>26.1</v>
      </c>
      <c r="AU777" s="199">
        <v>0</v>
      </c>
    </row>
    <row r="778" spans="1:47" s="196" customFormat="1" x14ac:dyDescent="0.2">
      <c r="A778" s="196" t="str">
        <f t="shared" si="19"/>
        <v>0496002595734</v>
      </c>
      <c r="B778" s="196">
        <v>3</v>
      </c>
      <c r="C778" s="196" t="s">
        <v>435</v>
      </c>
      <c r="D778" s="196">
        <v>82</v>
      </c>
      <c r="E778" s="196">
        <v>82</v>
      </c>
      <c r="F778" s="196" t="s">
        <v>243</v>
      </c>
      <c r="G778" s="196">
        <v>2086</v>
      </c>
      <c r="H778" s="196" t="s">
        <v>270</v>
      </c>
      <c r="I778" s="196">
        <v>1114</v>
      </c>
      <c r="J778" s="197">
        <v>42887</v>
      </c>
      <c r="K778" s="198">
        <v>0.8930555555555556</v>
      </c>
      <c r="L778" s="197">
        <v>42891</v>
      </c>
      <c r="M778" s="196" t="s">
        <v>271</v>
      </c>
      <c r="N778" s="196" t="s">
        <v>272</v>
      </c>
      <c r="O778" s="196" t="s">
        <v>273</v>
      </c>
      <c r="P778" s="196" t="s">
        <v>274</v>
      </c>
      <c r="Q778" s="196" t="s">
        <v>275</v>
      </c>
      <c r="R778" s="196" t="s">
        <v>276</v>
      </c>
      <c r="S778" s="196" t="s">
        <v>436</v>
      </c>
      <c r="T778" s="196" t="s">
        <v>435</v>
      </c>
      <c r="U778" s="196">
        <v>2086</v>
      </c>
      <c r="V778" s="196" t="s">
        <v>435</v>
      </c>
      <c r="W778" s="196" t="s">
        <v>280</v>
      </c>
      <c r="X778" s="196">
        <v>8.9489999999999998</v>
      </c>
      <c r="Y778" s="199">
        <v>-0.18</v>
      </c>
      <c r="Z778" s="199">
        <v>2.4</v>
      </c>
      <c r="AA778" s="199">
        <v>21.47</v>
      </c>
      <c r="AB778" s="199">
        <v>-1.64</v>
      </c>
      <c r="AC778" s="199">
        <v>0</v>
      </c>
      <c r="AD778" s="199">
        <v>0</v>
      </c>
      <c r="AE778" s="199">
        <v>19.649999999999999</v>
      </c>
      <c r="AF778" s="199">
        <v>-2.15</v>
      </c>
      <c r="AG778" s="196" t="s">
        <v>279</v>
      </c>
      <c r="AH778" s="199">
        <v>0</v>
      </c>
      <c r="AI778" s="196" t="s">
        <v>279</v>
      </c>
      <c r="AJ778" s="199">
        <v>0</v>
      </c>
      <c r="AK778" s="196" t="s">
        <v>279</v>
      </c>
      <c r="AL778" s="199">
        <v>0</v>
      </c>
      <c r="AM778" s="196" t="s">
        <v>279</v>
      </c>
      <c r="AN778" s="199">
        <v>0</v>
      </c>
      <c r="AO778" s="196" t="s">
        <v>279</v>
      </c>
      <c r="AP778" s="199">
        <v>0</v>
      </c>
      <c r="AQ778" s="199">
        <v>21.47</v>
      </c>
      <c r="AR778" s="199">
        <v>0</v>
      </c>
      <c r="AS778" s="196" t="str">
        <f t="shared" si="20"/>
        <v>1.00000000</v>
      </c>
      <c r="AT778" s="196" t="str">
        <f>"42.8"</f>
        <v>42.8</v>
      </c>
      <c r="AU778" s="199">
        <v>0</v>
      </c>
    </row>
    <row r="779" spans="1:47" s="196" customFormat="1" x14ac:dyDescent="0.2">
      <c r="A779" s="196" t="str">
        <f t="shared" si="19"/>
        <v>0496002595734</v>
      </c>
      <c r="B779" s="196">
        <v>3</v>
      </c>
      <c r="C779" s="196" t="s">
        <v>435</v>
      </c>
      <c r="D779" s="196">
        <v>82</v>
      </c>
      <c r="E779" s="196">
        <v>82</v>
      </c>
      <c r="F779" s="196" t="s">
        <v>243</v>
      </c>
      <c r="G779" s="196">
        <v>2086</v>
      </c>
      <c r="H779" s="196" t="s">
        <v>270</v>
      </c>
      <c r="I779" s="196">
        <v>1377</v>
      </c>
      <c r="J779" s="197">
        <v>42891</v>
      </c>
      <c r="K779" s="198">
        <v>0.57708333333333328</v>
      </c>
      <c r="L779" s="197">
        <v>42893</v>
      </c>
      <c r="M779" s="196" t="s">
        <v>271</v>
      </c>
      <c r="N779" s="196" t="s">
        <v>272</v>
      </c>
      <c r="O779" s="196" t="s">
        <v>273</v>
      </c>
      <c r="P779" s="196" t="s">
        <v>274</v>
      </c>
      <c r="Q779" s="196" t="s">
        <v>275</v>
      </c>
      <c r="R779" s="196" t="s">
        <v>276</v>
      </c>
      <c r="S779" s="196" t="s">
        <v>436</v>
      </c>
      <c r="T779" s="196" t="s">
        <v>435</v>
      </c>
      <c r="U779" s="196">
        <v>2086</v>
      </c>
      <c r="V779" s="196" t="s">
        <v>435</v>
      </c>
      <c r="W779" s="196" t="s">
        <v>280</v>
      </c>
      <c r="X779" s="196">
        <v>13.728</v>
      </c>
      <c r="Y779" s="199">
        <v>-0.27</v>
      </c>
      <c r="Z779" s="199">
        <v>2.34</v>
      </c>
      <c r="AA779" s="199">
        <v>32.11</v>
      </c>
      <c r="AB779" s="199">
        <v>-2.5099999999999998</v>
      </c>
      <c r="AC779" s="199">
        <v>0</v>
      </c>
      <c r="AD779" s="199">
        <v>0</v>
      </c>
      <c r="AE779" s="199">
        <v>29.33</v>
      </c>
      <c r="AF779" s="199">
        <v>-3.29</v>
      </c>
      <c r="AG779" s="196" t="s">
        <v>279</v>
      </c>
      <c r="AH779" s="199">
        <v>0</v>
      </c>
      <c r="AI779" s="196" t="s">
        <v>279</v>
      </c>
      <c r="AJ779" s="199">
        <v>0</v>
      </c>
      <c r="AK779" s="196" t="s">
        <v>279</v>
      </c>
      <c r="AL779" s="199">
        <v>0</v>
      </c>
      <c r="AM779" s="196" t="s">
        <v>279</v>
      </c>
      <c r="AN779" s="199">
        <v>0</v>
      </c>
      <c r="AO779" s="196" t="s">
        <v>279</v>
      </c>
      <c r="AP779" s="199">
        <v>0</v>
      </c>
      <c r="AQ779" s="199">
        <v>32.11</v>
      </c>
      <c r="AR779" s="199">
        <v>0</v>
      </c>
      <c r="AS779" s="196" t="str">
        <f t="shared" si="20"/>
        <v>1.00000000</v>
      </c>
      <c r="AT779" s="196" t="str">
        <f>"19.2"</f>
        <v>19.2</v>
      </c>
      <c r="AU779" s="199">
        <v>0</v>
      </c>
    </row>
    <row r="780" spans="1:47" s="196" customFormat="1" x14ac:dyDescent="0.2">
      <c r="A780" s="196" t="str">
        <f t="shared" si="19"/>
        <v>0496002595734</v>
      </c>
      <c r="B780" s="196">
        <v>3</v>
      </c>
      <c r="C780" s="196" t="s">
        <v>435</v>
      </c>
      <c r="D780" s="196">
        <v>82</v>
      </c>
      <c r="E780" s="196">
        <v>82</v>
      </c>
      <c r="F780" s="196" t="s">
        <v>243</v>
      </c>
      <c r="G780" s="196">
        <v>2086</v>
      </c>
      <c r="H780" s="196" t="s">
        <v>270</v>
      </c>
      <c r="I780" s="196">
        <v>1591</v>
      </c>
      <c r="J780" s="197">
        <v>42893</v>
      </c>
      <c r="K780" s="198">
        <v>0.8666666666666667</v>
      </c>
      <c r="L780" s="197">
        <v>42895</v>
      </c>
      <c r="M780" s="196" t="s">
        <v>271</v>
      </c>
      <c r="N780" s="196" t="s">
        <v>359</v>
      </c>
      <c r="O780" s="196" t="s">
        <v>360</v>
      </c>
      <c r="P780" s="196" t="s">
        <v>361</v>
      </c>
      <c r="Q780" s="196" t="s">
        <v>275</v>
      </c>
      <c r="R780" s="196">
        <v>1581</v>
      </c>
      <c r="S780" s="196" t="s">
        <v>436</v>
      </c>
      <c r="T780" s="196" t="s">
        <v>435</v>
      </c>
      <c r="U780" s="196">
        <v>2086</v>
      </c>
      <c r="V780" s="196" t="s">
        <v>435</v>
      </c>
      <c r="W780" s="196" t="s">
        <v>280</v>
      </c>
      <c r="X780" s="196">
        <v>8.0389999999999997</v>
      </c>
      <c r="Y780" s="199">
        <v>-0.24</v>
      </c>
      <c r="Z780" s="199">
        <v>2.5</v>
      </c>
      <c r="AA780" s="199">
        <v>20.09</v>
      </c>
      <c r="AB780" s="199">
        <v>-1.47</v>
      </c>
      <c r="AC780" s="199">
        <v>0</v>
      </c>
      <c r="AD780" s="199">
        <v>0</v>
      </c>
      <c r="AE780" s="199">
        <v>18.38</v>
      </c>
      <c r="AF780" s="199">
        <v>-1.93</v>
      </c>
      <c r="AG780" s="196" t="s">
        <v>279</v>
      </c>
      <c r="AH780" s="199">
        <v>0</v>
      </c>
      <c r="AI780" s="196" t="s">
        <v>279</v>
      </c>
      <c r="AJ780" s="199">
        <v>0</v>
      </c>
      <c r="AK780" s="196" t="s">
        <v>279</v>
      </c>
      <c r="AL780" s="199">
        <v>0</v>
      </c>
      <c r="AM780" s="196" t="s">
        <v>279</v>
      </c>
      <c r="AN780" s="199">
        <v>0</v>
      </c>
      <c r="AO780" s="196" t="s">
        <v>279</v>
      </c>
      <c r="AP780" s="199">
        <v>0</v>
      </c>
      <c r="AQ780" s="199">
        <v>20.09</v>
      </c>
      <c r="AR780" s="199">
        <v>0</v>
      </c>
      <c r="AS780" s="196" t="str">
        <f t="shared" si="20"/>
        <v>1.00000000</v>
      </c>
      <c r="AT780" s="196" t="str">
        <f>"19.2"</f>
        <v>19.2</v>
      </c>
      <c r="AU780" s="199">
        <v>0</v>
      </c>
    </row>
    <row r="781" spans="1:47" s="196" customFormat="1" x14ac:dyDescent="0.2">
      <c r="A781" s="196" t="str">
        <f t="shared" si="19"/>
        <v>0496002595734</v>
      </c>
      <c r="B781" s="196">
        <v>3</v>
      </c>
      <c r="C781" s="196" t="s">
        <v>435</v>
      </c>
      <c r="D781" s="196">
        <v>82</v>
      </c>
      <c r="E781" s="196">
        <v>82</v>
      </c>
      <c r="F781" s="196" t="s">
        <v>243</v>
      </c>
      <c r="G781" s="196">
        <v>2086</v>
      </c>
      <c r="H781" s="196" t="s">
        <v>270</v>
      </c>
      <c r="I781" s="196">
        <v>1702</v>
      </c>
      <c r="J781" s="197">
        <v>42895</v>
      </c>
      <c r="K781" s="198">
        <v>0.83750000000000002</v>
      </c>
      <c r="L781" s="197">
        <v>42899</v>
      </c>
      <c r="M781" s="196" t="s">
        <v>271</v>
      </c>
      <c r="N781" s="196" t="s">
        <v>272</v>
      </c>
      <c r="O781" s="196" t="s">
        <v>273</v>
      </c>
      <c r="P781" s="196" t="s">
        <v>274</v>
      </c>
      <c r="Q781" s="196" t="s">
        <v>275</v>
      </c>
      <c r="R781" s="196" t="s">
        <v>276</v>
      </c>
      <c r="S781" s="196" t="s">
        <v>436</v>
      </c>
      <c r="T781" s="196" t="s">
        <v>435</v>
      </c>
      <c r="U781" s="196">
        <v>2086</v>
      </c>
      <c r="V781" s="196" t="s">
        <v>435</v>
      </c>
      <c r="W781" s="196" t="s">
        <v>280</v>
      </c>
      <c r="X781" s="196">
        <v>6.6779999999999999</v>
      </c>
      <c r="Y781" s="199">
        <v>-0.13</v>
      </c>
      <c r="Z781" s="199">
        <v>2.31</v>
      </c>
      <c r="AA781" s="199">
        <v>15.42</v>
      </c>
      <c r="AB781" s="199">
        <v>-1.22</v>
      </c>
      <c r="AC781" s="199">
        <v>0</v>
      </c>
      <c r="AD781" s="199">
        <v>0</v>
      </c>
      <c r="AE781" s="199">
        <v>14.07</v>
      </c>
      <c r="AF781" s="199">
        <v>-1.6</v>
      </c>
      <c r="AG781" s="196" t="s">
        <v>279</v>
      </c>
      <c r="AH781" s="199">
        <v>0</v>
      </c>
      <c r="AI781" s="196" t="s">
        <v>279</v>
      </c>
      <c r="AJ781" s="199">
        <v>0</v>
      </c>
      <c r="AK781" s="196" t="s">
        <v>279</v>
      </c>
      <c r="AL781" s="199">
        <v>0</v>
      </c>
      <c r="AM781" s="196" t="s">
        <v>279</v>
      </c>
      <c r="AN781" s="199">
        <v>0</v>
      </c>
      <c r="AO781" s="196" t="s">
        <v>279</v>
      </c>
      <c r="AP781" s="199">
        <v>0</v>
      </c>
      <c r="AQ781" s="199">
        <v>15.42</v>
      </c>
      <c r="AR781" s="199">
        <v>0</v>
      </c>
      <c r="AS781" s="196" t="str">
        <f t="shared" si="20"/>
        <v>1.00000000</v>
      </c>
      <c r="AT781" s="196" t="str">
        <f>"16.6"</f>
        <v>16.6</v>
      </c>
      <c r="AU781" s="199">
        <v>0</v>
      </c>
    </row>
    <row r="782" spans="1:47" s="196" customFormat="1" x14ac:dyDescent="0.2">
      <c r="A782" s="196" t="str">
        <f t="shared" si="19"/>
        <v>0496002595734</v>
      </c>
      <c r="B782" s="196">
        <v>3</v>
      </c>
      <c r="C782" s="196" t="s">
        <v>435</v>
      </c>
      <c r="D782" s="196">
        <v>82</v>
      </c>
      <c r="E782" s="196">
        <v>82</v>
      </c>
      <c r="F782" s="196" t="s">
        <v>243</v>
      </c>
      <c r="G782" s="196">
        <v>2086</v>
      </c>
      <c r="H782" s="196" t="s">
        <v>270</v>
      </c>
      <c r="I782" s="196">
        <v>1923</v>
      </c>
      <c r="J782" s="197">
        <v>42896</v>
      </c>
      <c r="K782" s="198">
        <v>0.72152777777777777</v>
      </c>
      <c r="L782" s="197">
        <v>42899</v>
      </c>
      <c r="M782" s="196" t="s">
        <v>271</v>
      </c>
      <c r="N782" s="196" t="s">
        <v>454</v>
      </c>
      <c r="O782" s="196" t="s">
        <v>564</v>
      </c>
      <c r="P782" s="196" t="s">
        <v>565</v>
      </c>
      <c r="Q782" s="196" t="s">
        <v>275</v>
      </c>
      <c r="R782" s="196">
        <v>1742</v>
      </c>
      <c r="S782" s="196" t="s">
        <v>436</v>
      </c>
      <c r="T782" s="196" t="s">
        <v>435</v>
      </c>
      <c r="U782" s="196">
        <v>2086</v>
      </c>
      <c r="V782" s="196" t="s">
        <v>435</v>
      </c>
      <c r="W782" s="196" t="s">
        <v>280</v>
      </c>
      <c r="X782" s="196">
        <v>9.2710000000000008</v>
      </c>
      <c r="Y782" s="199">
        <v>-0.19</v>
      </c>
      <c r="Z782" s="199">
        <v>2.3199999999999998</v>
      </c>
      <c r="AA782" s="199">
        <v>21.5</v>
      </c>
      <c r="AB782" s="199">
        <v>-1.7</v>
      </c>
      <c r="AC782" s="199">
        <v>0</v>
      </c>
      <c r="AD782" s="199">
        <v>0</v>
      </c>
      <c r="AE782" s="199">
        <v>19.61</v>
      </c>
      <c r="AF782" s="199">
        <v>-2.23</v>
      </c>
      <c r="AG782" s="196" t="s">
        <v>279</v>
      </c>
      <c r="AH782" s="199">
        <v>0</v>
      </c>
      <c r="AI782" s="196" t="s">
        <v>279</v>
      </c>
      <c r="AJ782" s="199">
        <v>0</v>
      </c>
      <c r="AK782" s="196" t="s">
        <v>279</v>
      </c>
      <c r="AL782" s="199">
        <v>0</v>
      </c>
      <c r="AM782" s="196" t="s">
        <v>279</v>
      </c>
      <c r="AN782" s="199">
        <v>0</v>
      </c>
      <c r="AO782" s="196" t="s">
        <v>279</v>
      </c>
      <c r="AP782" s="199">
        <v>0</v>
      </c>
      <c r="AQ782" s="199">
        <v>21.5</v>
      </c>
      <c r="AR782" s="199">
        <v>0</v>
      </c>
      <c r="AS782" s="196" t="str">
        <f t="shared" si="20"/>
        <v>1.00000000</v>
      </c>
      <c r="AT782" s="196" t="str">
        <f>"23.8"</f>
        <v>23.8</v>
      </c>
      <c r="AU782" s="199">
        <v>0</v>
      </c>
    </row>
    <row r="783" spans="1:47" s="196" customFormat="1" x14ac:dyDescent="0.2">
      <c r="A783" s="196" t="str">
        <f t="shared" ref="A783:A788" si="21">"0496002595734"</f>
        <v>0496002595734</v>
      </c>
      <c r="B783" s="196">
        <v>3</v>
      </c>
      <c r="C783" s="196" t="s">
        <v>435</v>
      </c>
      <c r="D783" s="196">
        <v>82</v>
      </c>
      <c r="E783" s="196">
        <v>82</v>
      </c>
      <c r="F783" s="196" t="s">
        <v>243</v>
      </c>
      <c r="G783" s="196">
        <v>2086</v>
      </c>
      <c r="H783" s="196" t="s">
        <v>270</v>
      </c>
      <c r="I783" s="196">
        <v>2211</v>
      </c>
      <c r="J783" s="197">
        <v>42899</v>
      </c>
      <c r="K783" s="198">
        <v>0.72083333333333333</v>
      </c>
      <c r="L783" s="197">
        <v>42901</v>
      </c>
      <c r="M783" s="196" t="s">
        <v>271</v>
      </c>
      <c r="N783" s="196" t="s">
        <v>272</v>
      </c>
      <c r="O783" s="196" t="s">
        <v>273</v>
      </c>
      <c r="P783" s="196" t="s">
        <v>274</v>
      </c>
      <c r="Q783" s="196" t="s">
        <v>275</v>
      </c>
      <c r="R783" s="196" t="s">
        <v>276</v>
      </c>
      <c r="S783" s="196" t="s">
        <v>436</v>
      </c>
      <c r="T783" s="196" t="s">
        <v>435</v>
      </c>
      <c r="U783" s="196">
        <v>2086</v>
      </c>
      <c r="V783" s="196" t="s">
        <v>435</v>
      </c>
      <c r="W783" s="196" t="s">
        <v>280</v>
      </c>
      <c r="X783" s="196">
        <v>12.500999999999999</v>
      </c>
      <c r="Y783" s="199">
        <v>-0.25</v>
      </c>
      <c r="Z783" s="199">
        <v>2.2799999999999998</v>
      </c>
      <c r="AA783" s="199">
        <v>28.49</v>
      </c>
      <c r="AB783" s="199">
        <v>-2.29</v>
      </c>
      <c r="AC783" s="199">
        <v>0</v>
      </c>
      <c r="AD783" s="199">
        <v>0</v>
      </c>
      <c r="AE783" s="199">
        <v>25.95</v>
      </c>
      <c r="AF783" s="199">
        <v>-3</v>
      </c>
      <c r="AG783" s="196" t="s">
        <v>279</v>
      </c>
      <c r="AH783" s="199">
        <v>0</v>
      </c>
      <c r="AI783" s="196" t="s">
        <v>279</v>
      </c>
      <c r="AJ783" s="199">
        <v>0</v>
      </c>
      <c r="AK783" s="196" t="s">
        <v>279</v>
      </c>
      <c r="AL783" s="199">
        <v>0</v>
      </c>
      <c r="AM783" s="196" t="s">
        <v>279</v>
      </c>
      <c r="AN783" s="199">
        <v>0</v>
      </c>
      <c r="AO783" s="196" t="s">
        <v>279</v>
      </c>
      <c r="AP783" s="199">
        <v>0</v>
      </c>
      <c r="AQ783" s="199">
        <v>28.49</v>
      </c>
      <c r="AR783" s="199">
        <v>0</v>
      </c>
      <c r="AS783" s="196" t="str">
        <f t="shared" si="20"/>
        <v>1.00000000</v>
      </c>
      <c r="AT783" s="196" t="str">
        <f>"23.0"</f>
        <v>23.0</v>
      </c>
      <c r="AU783" s="199">
        <v>0</v>
      </c>
    </row>
    <row r="784" spans="1:47" s="196" customFormat="1" x14ac:dyDescent="0.2">
      <c r="A784" s="196" t="str">
        <f t="shared" si="21"/>
        <v>0496002595734</v>
      </c>
      <c r="B784" s="196">
        <v>3</v>
      </c>
      <c r="C784" s="196" t="s">
        <v>435</v>
      </c>
      <c r="D784" s="196">
        <v>82</v>
      </c>
      <c r="E784" s="196">
        <v>82</v>
      </c>
      <c r="F784" s="196" t="s">
        <v>243</v>
      </c>
      <c r="G784" s="196">
        <v>2086</v>
      </c>
      <c r="H784" s="196" t="s">
        <v>270</v>
      </c>
      <c r="I784" s="196">
        <v>2381</v>
      </c>
      <c r="J784" s="197">
        <v>42903</v>
      </c>
      <c r="K784" s="198">
        <v>0.92152777777777783</v>
      </c>
      <c r="L784" s="197">
        <v>42906</v>
      </c>
      <c r="M784" s="196" t="s">
        <v>271</v>
      </c>
      <c r="N784" s="196" t="s">
        <v>437</v>
      </c>
      <c r="O784" s="196" t="s">
        <v>438</v>
      </c>
      <c r="P784" s="196" t="s">
        <v>439</v>
      </c>
      <c r="Q784" s="196" t="s">
        <v>275</v>
      </c>
      <c r="R784" s="196">
        <v>1701</v>
      </c>
      <c r="S784" s="196" t="s">
        <v>436</v>
      </c>
      <c r="T784" s="196" t="s">
        <v>435</v>
      </c>
      <c r="U784" s="196">
        <v>2086</v>
      </c>
      <c r="V784" s="196" t="s">
        <v>435</v>
      </c>
      <c r="W784" s="196" t="s">
        <v>280</v>
      </c>
      <c r="X784" s="196">
        <v>8.0690000000000008</v>
      </c>
      <c r="Y784" s="199">
        <v>-0.24</v>
      </c>
      <c r="Z784" s="199">
        <v>2.57</v>
      </c>
      <c r="AA784" s="199">
        <v>20.73</v>
      </c>
      <c r="AB784" s="199">
        <v>-1.48</v>
      </c>
      <c r="AC784" s="199">
        <v>0</v>
      </c>
      <c r="AD784" s="199">
        <v>0</v>
      </c>
      <c r="AE784" s="199">
        <v>19.010000000000002</v>
      </c>
      <c r="AF784" s="199">
        <v>-1.94</v>
      </c>
      <c r="AG784" s="196" t="s">
        <v>279</v>
      </c>
      <c r="AH784" s="199">
        <v>0</v>
      </c>
      <c r="AI784" s="196" t="s">
        <v>279</v>
      </c>
      <c r="AJ784" s="199">
        <v>0</v>
      </c>
      <c r="AK784" s="196" t="s">
        <v>279</v>
      </c>
      <c r="AL784" s="199">
        <v>0</v>
      </c>
      <c r="AM784" s="196" t="s">
        <v>279</v>
      </c>
      <c r="AN784" s="199">
        <v>0</v>
      </c>
      <c r="AO784" s="196" t="s">
        <v>279</v>
      </c>
      <c r="AP784" s="199">
        <v>0</v>
      </c>
      <c r="AQ784" s="199">
        <v>20.73</v>
      </c>
      <c r="AR784" s="199">
        <v>0</v>
      </c>
      <c r="AS784" s="196" t="str">
        <f t="shared" si="20"/>
        <v>1.00000000</v>
      </c>
      <c r="AT784" s="196" t="str">
        <f>"21.1"</f>
        <v>21.1</v>
      </c>
      <c r="AU784" s="199">
        <v>0</v>
      </c>
    </row>
    <row r="785" spans="1:47" s="196" customFormat="1" x14ac:dyDescent="0.2">
      <c r="A785" s="196" t="str">
        <f t="shared" si="21"/>
        <v>0496002595734</v>
      </c>
      <c r="B785" s="196">
        <v>3</v>
      </c>
      <c r="C785" s="196" t="s">
        <v>435</v>
      </c>
      <c r="D785" s="196">
        <v>82</v>
      </c>
      <c r="E785" s="196">
        <v>82</v>
      </c>
      <c r="F785" s="196" t="s">
        <v>243</v>
      </c>
      <c r="G785" s="196">
        <v>2086</v>
      </c>
      <c r="H785" s="196" t="s">
        <v>270</v>
      </c>
      <c r="I785" s="196">
        <v>2657</v>
      </c>
      <c r="J785" s="197">
        <v>42909</v>
      </c>
      <c r="K785" s="198">
        <v>0.8256944444444444</v>
      </c>
      <c r="L785" s="197">
        <v>42913</v>
      </c>
      <c r="M785" s="196" t="s">
        <v>302</v>
      </c>
      <c r="N785" s="196" t="s">
        <v>566</v>
      </c>
      <c r="O785" s="196" t="s">
        <v>567</v>
      </c>
      <c r="P785" s="196" t="s">
        <v>568</v>
      </c>
      <c r="Q785" s="196" t="s">
        <v>309</v>
      </c>
      <c r="R785" s="196">
        <v>6460</v>
      </c>
      <c r="S785" s="196" t="s">
        <v>436</v>
      </c>
      <c r="T785" s="196" t="s">
        <v>435</v>
      </c>
      <c r="U785" s="196">
        <v>2086</v>
      </c>
      <c r="V785" s="196" t="s">
        <v>435</v>
      </c>
      <c r="W785" s="196" t="s">
        <v>280</v>
      </c>
      <c r="X785" s="196">
        <v>13.239000000000001</v>
      </c>
      <c r="Y785" s="199">
        <v>0</v>
      </c>
      <c r="Z785" s="199">
        <v>2.5</v>
      </c>
      <c r="AA785" s="199">
        <v>33.08</v>
      </c>
      <c r="AB785" s="199">
        <v>-2.42</v>
      </c>
      <c r="AC785" s="199">
        <v>0</v>
      </c>
      <c r="AD785" s="199">
        <v>0</v>
      </c>
      <c r="AE785" s="199">
        <v>30.66</v>
      </c>
      <c r="AF785" s="199">
        <v>-3.31</v>
      </c>
      <c r="AG785" s="196" t="s">
        <v>279</v>
      </c>
      <c r="AH785" s="199">
        <v>0</v>
      </c>
      <c r="AI785" s="196" t="s">
        <v>279</v>
      </c>
      <c r="AJ785" s="199">
        <v>0</v>
      </c>
      <c r="AK785" s="196" t="s">
        <v>279</v>
      </c>
      <c r="AL785" s="199">
        <v>0</v>
      </c>
      <c r="AM785" s="196" t="s">
        <v>279</v>
      </c>
      <c r="AN785" s="199">
        <v>0</v>
      </c>
      <c r="AO785" s="196" t="s">
        <v>279</v>
      </c>
      <c r="AP785" s="199">
        <v>0</v>
      </c>
      <c r="AQ785" s="199">
        <v>33.08</v>
      </c>
      <c r="AR785" s="199">
        <v>0</v>
      </c>
      <c r="AS785" s="196" t="str">
        <f t="shared" si="20"/>
        <v>1.00000000</v>
      </c>
      <c r="AT785" s="196" t="str">
        <f>"20.8"</f>
        <v>20.8</v>
      </c>
      <c r="AU785" s="199">
        <v>0</v>
      </c>
    </row>
    <row r="786" spans="1:47" s="196" customFormat="1" x14ac:dyDescent="0.2">
      <c r="A786" s="196" t="str">
        <f t="shared" si="21"/>
        <v>0496002595734</v>
      </c>
      <c r="B786" s="196">
        <v>3</v>
      </c>
      <c r="C786" s="196" t="s">
        <v>435</v>
      </c>
      <c r="D786" s="196">
        <v>82</v>
      </c>
      <c r="E786" s="196">
        <v>82</v>
      </c>
      <c r="F786" s="196" t="s">
        <v>243</v>
      </c>
      <c r="G786" s="196">
        <v>2086</v>
      </c>
      <c r="H786" s="196" t="s">
        <v>270</v>
      </c>
      <c r="I786" s="196">
        <v>2963</v>
      </c>
      <c r="J786" s="197">
        <v>42912</v>
      </c>
      <c r="K786" s="198">
        <v>0.78472222222222221</v>
      </c>
      <c r="L786" s="197">
        <v>42914</v>
      </c>
      <c r="M786" s="196" t="s">
        <v>271</v>
      </c>
      <c r="N786" s="196" t="s">
        <v>352</v>
      </c>
      <c r="O786" s="196" t="s">
        <v>353</v>
      </c>
      <c r="P786" s="196" t="s">
        <v>343</v>
      </c>
      <c r="Q786" s="196" t="s">
        <v>275</v>
      </c>
      <c r="R786" s="196">
        <v>1035</v>
      </c>
      <c r="S786" s="196" t="s">
        <v>436</v>
      </c>
      <c r="T786" s="196" t="s">
        <v>435</v>
      </c>
      <c r="U786" s="196">
        <v>2086</v>
      </c>
      <c r="V786" s="196" t="s">
        <v>435</v>
      </c>
      <c r="W786" s="196" t="s">
        <v>280</v>
      </c>
      <c r="X786" s="196">
        <v>13.762</v>
      </c>
      <c r="Y786" s="199">
        <v>-0.28000000000000003</v>
      </c>
      <c r="Z786" s="199">
        <v>2.2200000000000002</v>
      </c>
      <c r="AA786" s="199">
        <v>30.54</v>
      </c>
      <c r="AB786" s="199">
        <v>-2.52</v>
      </c>
      <c r="AC786" s="199">
        <v>0</v>
      </c>
      <c r="AD786" s="199">
        <v>0</v>
      </c>
      <c r="AE786" s="199">
        <v>27.74</v>
      </c>
      <c r="AF786" s="199">
        <v>-3.3</v>
      </c>
      <c r="AG786" s="196" t="s">
        <v>279</v>
      </c>
      <c r="AH786" s="199">
        <v>0</v>
      </c>
      <c r="AI786" s="196" t="s">
        <v>279</v>
      </c>
      <c r="AJ786" s="199">
        <v>0</v>
      </c>
      <c r="AK786" s="196" t="s">
        <v>279</v>
      </c>
      <c r="AL786" s="199">
        <v>0</v>
      </c>
      <c r="AM786" s="196" t="s">
        <v>279</v>
      </c>
      <c r="AN786" s="199">
        <v>0</v>
      </c>
      <c r="AO786" s="196" t="s">
        <v>279</v>
      </c>
      <c r="AP786" s="199">
        <v>0</v>
      </c>
      <c r="AQ786" s="199">
        <v>30.54</v>
      </c>
      <c r="AR786" s="199">
        <v>0</v>
      </c>
      <c r="AS786" s="196" t="str">
        <f t="shared" si="20"/>
        <v>1.00000000</v>
      </c>
      <c r="AT786" s="196" t="str">
        <f>"22.2"</f>
        <v>22.2</v>
      </c>
      <c r="AU786" s="199">
        <v>0</v>
      </c>
    </row>
    <row r="787" spans="1:47" s="196" customFormat="1" x14ac:dyDescent="0.2">
      <c r="A787" s="196" t="str">
        <f t="shared" si="21"/>
        <v>0496002595734</v>
      </c>
      <c r="B787" s="196">
        <v>4</v>
      </c>
      <c r="C787" s="196" t="s">
        <v>435</v>
      </c>
      <c r="E787" s="196">
        <v>80</v>
      </c>
      <c r="F787" s="196" t="s">
        <v>243</v>
      </c>
      <c r="G787" s="196">
        <v>2086</v>
      </c>
      <c r="H787" s="196" t="s">
        <v>270</v>
      </c>
      <c r="I787" s="196">
        <v>3155</v>
      </c>
      <c r="J787" s="197">
        <v>42914</v>
      </c>
      <c r="K787" s="198">
        <v>0.82361111111111107</v>
      </c>
      <c r="L787" s="197">
        <v>42916</v>
      </c>
      <c r="M787" s="196" t="s">
        <v>271</v>
      </c>
      <c r="N787" s="196" t="s">
        <v>272</v>
      </c>
      <c r="O787" s="196" t="s">
        <v>273</v>
      </c>
      <c r="P787" s="196" t="s">
        <v>274</v>
      </c>
      <c r="Q787" s="196" t="s">
        <v>275</v>
      </c>
      <c r="R787" s="196" t="s">
        <v>276</v>
      </c>
      <c r="S787" s="196" t="s">
        <v>436</v>
      </c>
      <c r="T787" s="196" t="s">
        <v>435</v>
      </c>
      <c r="U787" s="196">
        <v>2086</v>
      </c>
      <c r="V787" s="196" t="s">
        <v>435</v>
      </c>
      <c r="W787" s="196" t="s">
        <v>280</v>
      </c>
      <c r="X787" s="196">
        <v>10.164999999999999</v>
      </c>
      <c r="Y787" s="199">
        <v>-0.2</v>
      </c>
      <c r="Z787" s="199">
        <v>2.23</v>
      </c>
      <c r="AA787" s="199">
        <v>22.66</v>
      </c>
      <c r="AB787" s="199">
        <v>-1.86</v>
      </c>
      <c r="AC787" s="199">
        <v>0</v>
      </c>
      <c r="AD787" s="199">
        <v>0</v>
      </c>
      <c r="AE787" s="199">
        <v>20.6</v>
      </c>
      <c r="AF787" s="199">
        <v>-2.44</v>
      </c>
      <c r="AG787" s="196" t="s">
        <v>279</v>
      </c>
      <c r="AH787" s="199">
        <v>0</v>
      </c>
      <c r="AI787" s="196" t="s">
        <v>279</v>
      </c>
      <c r="AJ787" s="199">
        <v>0</v>
      </c>
      <c r="AK787" s="196" t="s">
        <v>279</v>
      </c>
      <c r="AL787" s="199">
        <v>0</v>
      </c>
      <c r="AM787" s="196" t="s">
        <v>279</v>
      </c>
      <c r="AN787" s="199">
        <v>0</v>
      </c>
      <c r="AO787" s="196" t="s">
        <v>279</v>
      </c>
      <c r="AP787" s="199">
        <v>0</v>
      </c>
      <c r="AQ787" s="199">
        <v>22.66</v>
      </c>
      <c r="AR787" s="199">
        <v>0</v>
      </c>
      <c r="AS787" s="196" t="str">
        <f t="shared" si="20"/>
        <v>1.00000000</v>
      </c>
      <c r="AT787" s="196" t="str">
        <f>"310.4"</f>
        <v>310.4</v>
      </c>
      <c r="AU787" s="199">
        <v>0</v>
      </c>
    </row>
    <row r="788" spans="1:47" s="196" customFormat="1" x14ac:dyDescent="0.2">
      <c r="A788" s="196" t="str">
        <f t="shared" si="21"/>
        <v>0496002595734</v>
      </c>
      <c r="B788" s="196">
        <v>5</v>
      </c>
      <c r="C788" s="196" t="s">
        <v>435</v>
      </c>
      <c r="E788" s="196">
        <v>82</v>
      </c>
      <c r="F788" s="196" t="s">
        <v>243</v>
      </c>
      <c r="G788" s="196">
        <v>2086</v>
      </c>
      <c r="H788" s="196" t="s">
        <v>270</v>
      </c>
      <c r="I788" s="196">
        <v>3214</v>
      </c>
      <c r="J788" s="197">
        <v>42915</v>
      </c>
      <c r="K788" s="198">
        <v>0.54652777777777783</v>
      </c>
      <c r="L788" s="197">
        <v>42919</v>
      </c>
      <c r="M788" s="196" t="s">
        <v>294</v>
      </c>
      <c r="N788" s="196" t="s">
        <v>379</v>
      </c>
      <c r="O788" s="196" t="s">
        <v>471</v>
      </c>
      <c r="P788" s="196" t="s">
        <v>389</v>
      </c>
      <c r="Q788" s="196" t="s">
        <v>275</v>
      </c>
      <c r="R788" s="196">
        <v>1364</v>
      </c>
      <c r="S788" s="196" t="s">
        <v>436</v>
      </c>
      <c r="T788" s="196" t="s">
        <v>435</v>
      </c>
      <c r="U788" s="196">
        <v>2086</v>
      </c>
      <c r="V788" s="196" t="s">
        <v>435</v>
      </c>
      <c r="W788" s="196" t="s">
        <v>280</v>
      </c>
      <c r="X788" s="196">
        <v>8.33</v>
      </c>
      <c r="Y788" s="199">
        <v>0</v>
      </c>
      <c r="Z788" s="199">
        <v>2.4</v>
      </c>
      <c r="AA788" s="199">
        <v>20</v>
      </c>
      <c r="AB788" s="199">
        <v>-1.52</v>
      </c>
      <c r="AC788" s="199">
        <v>0</v>
      </c>
      <c r="AD788" s="199">
        <v>0</v>
      </c>
      <c r="AE788" s="199">
        <v>18.48</v>
      </c>
      <c r="AF788" s="199">
        <v>-2</v>
      </c>
      <c r="AG788" s="196" t="s">
        <v>279</v>
      </c>
      <c r="AH788" s="199">
        <v>0</v>
      </c>
      <c r="AI788" s="196" t="s">
        <v>279</v>
      </c>
      <c r="AJ788" s="199">
        <v>0</v>
      </c>
      <c r="AK788" s="196" t="s">
        <v>279</v>
      </c>
      <c r="AL788" s="199">
        <v>0</v>
      </c>
      <c r="AM788" s="196" t="s">
        <v>279</v>
      </c>
      <c r="AN788" s="199">
        <v>0</v>
      </c>
      <c r="AO788" s="196" t="s">
        <v>279</v>
      </c>
      <c r="AP788" s="199">
        <v>0</v>
      </c>
      <c r="AQ788" s="199">
        <v>20</v>
      </c>
      <c r="AR788" s="199">
        <v>0</v>
      </c>
      <c r="AS788" s="196" t="str">
        <f t="shared" si="20"/>
        <v>1.00000000</v>
      </c>
      <c r="AT788" s="196" t="str">
        <f>"385.8"</f>
        <v>385.8</v>
      </c>
      <c r="AU788" s="199">
        <v>0</v>
      </c>
    </row>
    <row r="789" spans="1:47" s="196" customFormat="1" x14ac:dyDescent="0.2">
      <c r="A789" s="196" t="str">
        <f>"0496002595742"</f>
        <v>0496002595742</v>
      </c>
      <c r="B789" s="196">
        <v>1</v>
      </c>
      <c r="C789" s="196" t="s">
        <v>569</v>
      </c>
      <c r="D789" s="196">
        <v>84</v>
      </c>
      <c r="E789" s="196">
        <v>84</v>
      </c>
      <c r="F789" s="196" t="s">
        <v>243</v>
      </c>
      <c r="G789" s="196">
        <v>5823</v>
      </c>
      <c r="H789" s="196" t="s">
        <v>270</v>
      </c>
      <c r="I789" s="196">
        <v>22764</v>
      </c>
      <c r="J789" s="197">
        <v>42789</v>
      </c>
      <c r="K789" s="198">
        <v>0.52847222222222223</v>
      </c>
      <c r="L789" s="197">
        <v>42793</v>
      </c>
      <c r="M789" s="196" t="s">
        <v>271</v>
      </c>
      <c r="N789" s="196" t="s">
        <v>272</v>
      </c>
      <c r="O789" s="196" t="s">
        <v>273</v>
      </c>
      <c r="P789" s="196" t="s">
        <v>274</v>
      </c>
      <c r="Q789" s="196" t="s">
        <v>275</v>
      </c>
      <c r="R789" s="196" t="s">
        <v>276</v>
      </c>
      <c r="S789" s="196" t="s">
        <v>436</v>
      </c>
      <c r="T789" s="196" t="s">
        <v>569</v>
      </c>
      <c r="U789" s="196">
        <v>5823</v>
      </c>
      <c r="V789" s="196" t="s">
        <v>569</v>
      </c>
      <c r="W789" s="196" t="s">
        <v>280</v>
      </c>
      <c r="X789" s="196">
        <v>15.395</v>
      </c>
      <c r="Y789" s="199">
        <v>-0.31</v>
      </c>
      <c r="Z789" s="199">
        <v>2.19</v>
      </c>
      <c r="AA789" s="199">
        <v>33.700000000000003</v>
      </c>
      <c r="AB789" s="199">
        <v>-2.82</v>
      </c>
      <c r="AC789" s="199">
        <v>0</v>
      </c>
      <c r="AD789" s="199">
        <v>0</v>
      </c>
      <c r="AE789" s="199">
        <v>30.57</v>
      </c>
      <c r="AF789" s="199">
        <v>-3.69</v>
      </c>
      <c r="AG789" s="196" t="s">
        <v>279</v>
      </c>
      <c r="AH789" s="199">
        <v>0</v>
      </c>
      <c r="AI789" s="196" t="s">
        <v>279</v>
      </c>
      <c r="AJ789" s="199">
        <v>0</v>
      </c>
      <c r="AK789" s="196" t="s">
        <v>279</v>
      </c>
      <c r="AL789" s="199">
        <v>0</v>
      </c>
      <c r="AM789" s="196" t="s">
        <v>279</v>
      </c>
      <c r="AN789" s="199">
        <v>0</v>
      </c>
      <c r="AO789" s="196" t="s">
        <v>279</v>
      </c>
      <c r="AP789" s="199">
        <v>0</v>
      </c>
      <c r="AQ789" s="199">
        <v>33.700000000000003</v>
      </c>
      <c r="AR789" s="199">
        <v>0</v>
      </c>
      <c r="AS789" s="196" t="str">
        <f t="shared" si="20"/>
        <v>1.00000000</v>
      </c>
      <c r="AT789" s="196" t="str">
        <f>"10.5"</f>
        <v>10.5</v>
      </c>
      <c r="AU789" s="199">
        <v>0</v>
      </c>
    </row>
    <row r="790" spans="1:47" s="196" customFormat="1" x14ac:dyDescent="0.2">
      <c r="A790" s="196" t="str">
        <f>"0496002595742"</f>
        <v>0496002595742</v>
      </c>
      <c r="B790" s="196">
        <v>2</v>
      </c>
      <c r="C790" s="196" t="s">
        <v>569</v>
      </c>
      <c r="D790" s="196">
        <v>83</v>
      </c>
      <c r="E790" s="196">
        <v>83</v>
      </c>
      <c r="F790" s="196" t="s">
        <v>243</v>
      </c>
      <c r="G790" s="196">
        <v>5823</v>
      </c>
      <c r="H790" s="196" t="s">
        <v>270</v>
      </c>
      <c r="I790" s="196">
        <v>85669</v>
      </c>
      <c r="J790" s="197">
        <v>42802</v>
      </c>
      <c r="K790" s="198">
        <v>0.43888888888888888</v>
      </c>
      <c r="L790" s="197">
        <v>42804</v>
      </c>
      <c r="M790" s="196" t="s">
        <v>271</v>
      </c>
      <c r="N790" s="196" t="s">
        <v>272</v>
      </c>
      <c r="O790" s="196" t="s">
        <v>273</v>
      </c>
      <c r="P790" s="196" t="s">
        <v>274</v>
      </c>
      <c r="Q790" s="196" t="s">
        <v>275</v>
      </c>
      <c r="R790" s="196" t="s">
        <v>276</v>
      </c>
      <c r="S790" s="196" t="s">
        <v>436</v>
      </c>
      <c r="T790" s="196" t="s">
        <v>569</v>
      </c>
      <c r="U790" s="196">
        <v>5823</v>
      </c>
      <c r="V790" s="196" t="s">
        <v>569</v>
      </c>
      <c r="W790" s="196" t="s">
        <v>280</v>
      </c>
      <c r="X790" s="196">
        <v>6.1849999999999996</v>
      </c>
      <c r="Y790" s="199">
        <v>-0.12</v>
      </c>
      <c r="Z790" s="199">
        <v>2.19</v>
      </c>
      <c r="AA790" s="199">
        <v>13.54</v>
      </c>
      <c r="AB790" s="199">
        <v>-1.1299999999999999</v>
      </c>
      <c r="AC790" s="199">
        <v>0</v>
      </c>
      <c r="AD790" s="199">
        <v>0</v>
      </c>
      <c r="AE790" s="199">
        <v>12.29</v>
      </c>
      <c r="AF790" s="199">
        <v>-1.48</v>
      </c>
      <c r="AG790" s="196" t="s">
        <v>279</v>
      </c>
      <c r="AH790" s="199">
        <v>0</v>
      </c>
      <c r="AI790" s="196" t="s">
        <v>279</v>
      </c>
      <c r="AJ790" s="199">
        <v>0</v>
      </c>
      <c r="AK790" s="196" t="s">
        <v>279</v>
      </c>
      <c r="AL790" s="199">
        <v>0</v>
      </c>
      <c r="AM790" s="196" t="s">
        <v>279</v>
      </c>
      <c r="AN790" s="199">
        <v>0</v>
      </c>
      <c r="AO790" s="196" t="s">
        <v>279</v>
      </c>
      <c r="AP790" s="199">
        <v>0</v>
      </c>
      <c r="AQ790" s="199">
        <v>13.54</v>
      </c>
      <c r="AR790" s="199">
        <v>0</v>
      </c>
      <c r="AS790" s="196" t="str">
        <f t="shared" si="20"/>
        <v>1.00000000</v>
      </c>
      <c r="AT790" s="196" t="str">
        <f>"12597.7"</f>
        <v>12597.7</v>
      </c>
      <c r="AU790" s="199">
        <v>0</v>
      </c>
    </row>
    <row r="791" spans="1:47" s="196" customFormat="1" x14ac:dyDescent="0.2">
      <c r="A791" s="196" t="str">
        <f>"0496002595742"</f>
        <v>0496002595742</v>
      </c>
      <c r="B791" s="196">
        <v>2</v>
      </c>
      <c r="C791" s="196" t="s">
        <v>569</v>
      </c>
      <c r="D791" s="196">
        <v>83</v>
      </c>
      <c r="E791" s="196">
        <v>83</v>
      </c>
      <c r="F791" s="196" t="s">
        <v>243</v>
      </c>
      <c r="G791" s="196">
        <v>5823</v>
      </c>
      <c r="H791" s="196" t="s">
        <v>270</v>
      </c>
      <c r="I791" s="196">
        <v>86887</v>
      </c>
      <c r="J791" s="197">
        <v>42849</v>
      </c>
      <c r="K791" s="198">
        <v>0.53611111111111109</v>
      </c>
      <c r="L791" s="197">
        <v>42851</v>
      </c>
      <c r="M791" s="196" t="s">
        <v>271</v>
      </c>
      <c r="N791" s="196" t="s">
        <v>272</v>
      </c>
      <c r="O791" s="196" t="s">
        <v>273</v>
      </c>
      <c r="P791" s="196" t="s">
        <v>274</v>
      </c>
      <c r="Q791" s="196" t="s">
        <v>275</v>
      </c>
      <c r="R791" s="196" t="s">
        <v>276</v>
      </c>
      <c r="S791" s="196" t="s">
        <v>436</v>
      </c>
      <c r="T791" s="196" t="s">
        <v>569</v>
      </c>
      <c r="U791" s="196">
        <v>5823</v>
      </c>
      <c r="V791" s="196" t="s">
        <v>569</v>
      </c>
      <c r="W791" s="196" t="s">
        <v>280</v>
      </c>
      <c r="X791" s="196">
        <v>8.1199999999999992</v>
      </c>
      <c r="Y791" s="199">
        <v>-0.16</v>
      </c>
      <c r="Z791" s="199">
        <v>2.39</v>
      </c>
      <c r="AA791" s="199">
        <v>19.399999999999999</v>
      </c>
      <c r="AB791" s="199">
        <v>-1.49</v>
      </c>
      <c r="AC791" s="199">
        <v>0</v>
      </c>
      <c r="AD791" s="199">
        <v>0</v>
      </c>
      <c r="AE791" s="199">
        <v>17.75</v>
      </c>
      <c r="AF791" s="199">
        <v>-1.95</v>
      </c>
      <c r="AG791" s="196" t="s">
        <v>279</v>
      </c>
      <c r="AH791" s="199">
        <v>0</v>
      </c>
      <c r="AI791" s="196" t="s">
        <v>279</v>
      </c>
      <c r="AJ791" s="199">
        <v>0</v>
      </c>
      <c r="AK791" s="196" t="s">
        <v>279</v>
      </c>
      <c r="AL791" s="199">
        <v>0</v>
      </c>
      <c r="AM791" s="196" t="s">
        <v>279</v>
      </c>
      <c r="AN791" s="199">
        <v>0</v>
      </c>
      <c r="AO791" s="196" t="s">
        <v>279</v>
      </c>
      <c r="AP791" s="199">
        <v>0</v>
      </c>
      <c r="AQ791" s="199">
        <v>19.399999999999999</v>
      </c>
      <c r="AR791" s="199">
        <v>0</v>
      </c>
      <c r="AS791" s="196" t="str">
        <f t="shared" si="20"/>
        <v>1.00000000</v>
      </c>
      <c r="AT791" s="196" t="str">
        <f>"150.0"</f>
        <v>150.0</v>
      </c>
      <c r="AU791" s="199">
        <v>0</v>
      </c>
    </row>
    <row r="792" spans="1:47" s="196" customFormat="1" x14ac:dyDescent="0.2">
      <c r="A792" s="196" t="str">
        <f t="shared" ref="A792:A800" si="22">"0496002595809"</f>
        <v>0496002595809</v>
      </c>
      <c r="B792" s="196">
        <v>1</v>
      </c>
      <c r="C792" s="196" t="s">
        <v>570</v>
      </c>
      <c r="D792" s="196">
        <v>2003</v>
      </c>
      <c r="E792" s="196">
        <v>2003</v>
      </c>
      <c r="F792" s="196" t="s">
        <v>243</v>
      </c>
      <c r="G792" s="196">
        <v>2233</v>
      </c>
      <c r="H792" s="196" t="s">
        <v>270</v>
      </c>
      <c r="I792" s="196">
        <v>1043</v>
      </c>
      <c r="J792" s="197">
        <v>42772</v>
      </c>
      <c r="K792" s="198">
        <v>0.58819444444444446</v>
      </c>
      <c r="L792" s="197">
        <v>42774</v>
      </c>
      <c r="M792" s="196" t="s">
        <v>271</v>
      </c>
      <c r="N792" s="196" t="s">
        <v>272</v>
      </c>
      <c r="O792" s="196" t="s">
        <v>273</v>
      </c>
      <c r="P792" s="196" t="s">
        <v>274</v>
      </c>
      <c r="Q792" s="196" t="s">
        <v>275</v>
      </c>
      <c r="R792" s="196" t="s">
        <v>276</v>
      </c>
      <c r="S792" s="196" t="s">
        <v>436</v>
      </c>
      <c r="T792" s="196" t="s">
        <v>570</v>
      </c>
      <c r="U792" s="196">
        <v>2233</v>
      </c>
      <c r="V792" s="196" t="s">
        <v>570</v>
      </c>
      <c r="W792" s="196" t="s">
        <v>280</v>
      </c>
      <c r="X792" s="196">
        <v>7.1390000000000002</v>
      </c>
      <c r="Y792" s="199">
        <v>-0.14000000000000001</v>
      </c>
      <c r="Z792" s="199">
        <v>2.11</v>
      </c>
      <c r="AA792" s="199">
        <v>15.05</v>
      </c>
      <c r="AB792" s="199">
        <v>-1.31</v>
      </c>
      <c r="AC792" s="199">
        <v>0</v>
      </c>
      <c r="AD792" s="199">
        <v>0</v>
      </c>
      <c r="AE792" s="199">
        <v>13.6</v>
      </c>
      <c r="AF792" s="199">
        <v>-1.71</v>
      </c>
      <c r="AG792" s="196" t="s">
        <v>279</v>
      </c>
      <c r="AH792" s="199">
        <v>0</v>
      </c>
      <c r="AI792" s="196" t="s">
        <v>279</v>
      </c>
      <c r="AJ792" s="199">
        <v>0</v>
      </c>
      <c r="AK792" s="196" t="s">
        <v>279</v>
      </c>
      <c r="AL792" s="199">
        <v>0</v>
      </c>
      <c r="AM792" s="196" t="s">
        <v>279</v>
      </c>
      <c r="AN792" s="199">
        <v>0</v>
      </c>
      <c r="AO792" s="196" t="s">
        <v>279</v>
      </c>
      <c r="AP792" s="199">
        <v>0</v>
      </c>
      <c r="AQ792" s="199">
        <v>15.05</v>
      </c>
      <c r="AR792" s="199">
        <v>0</v>
      </c>
      <c r="AS792" s="196" t="str">
        <f t="shared" si="20"/>
        <v>1.00000000</v>
      </c>
      <c r="AT792" s="196" t="str">
        <f>"14.3"</f>
        <v>14.3</v>
      </c>
      <c r="AU792" s="199">
        <v>0</v>
      </c>
    </row>
    <row r="793" spans="1:47" s="196" customFormat="1" x14ac:dyDescent="0.2">
      <c r="A793" s="196" t="str">
        <f t="shared" si="22"/>
        <v>0496002595809</v>
      </c>
      <c r="B793" s="196">
        <v>1</v>
      </c>
      <c r="C793" s="196" t="s">
        <v>570</v>
      </c>
      <c r="D793" s="196">
        <v>2003</v>
      </c>
      <c r="E793" s="196">
        <v>2003</v>
      </c>
      <c r="F793" s="196" t="s">
        <v>243</v>
      </c>
      <c r="G793" s="196">
        <v>2233</v>
      </c>
      <c r="H793" s="196" t="s">
        <v>270</v>
      </c>
      <c r="I793" s="196">
        <v>1148</v>
      </c>
      <c r="J793" s="197">
        <v>42797</v>
      </c>
      <c r="K793" s="198">
        <v>0.3979166666666667</v>
      </c>
      <c r="L793" s="197">
        <v>42801</v>
      </c>
      <c r="M793" s="196" t="s">
        <v>271</v>
      </c>
      <c r="N793" s="196" t="s">
        <v>272</v>
      </c>
      <c r="O793" s="196" t="s">
        <v>273</v>
      </c>
      <c r="P793" s="196" t="s">
        <v>274</v>
      </c>
      <c r="Q793" s="196" t="s">
        <v>275</v>
      </c>
      <c r="R793" s="196" t="s">
        <v>276</v>
      </c>
      <c r="S793" s="196" t="s">
        <v>436</v>
      </c>
      <c r="T793" s="196" t="s">
        <v>570</v>
      </c>
      <c r="U793" s="196">
        <v>2233</v>
      </c>
      <c r="V793" s="196" t="s">
        <v>570</v>
      </c>
      <c r="W793" s="196" t="s">
        <v>280</v>
      </c>
      <c r="X793" s="196">
        <v>7.8159999999999998</v>
      </c>
      <c r="Y793" s="199">
        <v>-0.16</v>
      </c>
      <c r="Z793" s="199">
        <v>2.19</v>
      </c>
      <c r="AA793" s="199">
        <v>17.11</v>
      </c>
      <c r="AB793" s="199">
        <v>-1.43</v>
      </c>
      <c r="AC793" s="199">
        <v>0</v>
      </c>
      <c r="AD793" s="199">
        <v>0</v>
      </c>
      <c r="AE793" s="199">
        <v>15.52</v>
      </c>
      <c r="AF793" s="199">
        <v>-1.88</v>
      </c>
      <c r="AG793" s="196" t="s">
        <v>279</v>
      </c>
      <c r="AH793" s="199">
        <v>0</v>
      </c>
      <c r="AI793" s="196" t="s">
        <v>279</v>
      </c>
      <c r="AJ793" s="199">
        <v>0</v>
      </c>
      <c r="AK793" s="196" t="s">
        <v>279</v>
      </c>
      <c r="AL793" s="199">
        <v>0</v>
      </c>
      <c r="AM793" s="196" t="s">
        <v>279</v>
      </c>
      <c r="AN793" s="199">
        <v>0</v>
      </c>
      <c r="AO793" s="196" t="s">
        <v>279</v>
      </c>
      <c r="AP793" s="199">
        <v>0</v>
      </c>
      <c r="AQ793" s="199">
        <v>17.11</v>
      </c>
      <c r="AR793" s="199">
        <v>0</v>
      </c>
      <c r="AS793" s="196" t="str">
        <f t="shared" si="20"/>
        <v>1.00000000</v>
      </c>
      <c r="AT793" s="196" t="str">
        <f>"13.4"</f>
        <v>13.4</v>
      </c>
      <c r="AU793" s="199">
        <v>0</v>
      </c>
    </row>
    <row r="794" spans="1:47" s="196" customFormat="1" x14ac:dyDescent="0.2">
      <c r="A794" s="196" t="str">
        <f t="shared" si="22"/>
        <v>0496002595809</v>
      </c>
      <c r="B794" s="196">
        <v>1</v>
      </c>
      <c r="C794" s="196" t="s">
        <v>570</v>
      </c>
      <c r="D794" s="196">
        <v>2003</v>
      </c>
      <c r="E794" s="196">
        <v>2003</v>
      </c>
      <c r="F794" s="196" t="s">
        <v>243</v>
      </c>
      <c r="G794" s="196">
        <v>2233</v>
      </c>
      <c r="H794" s="196" t="s">
        <v>270</v>
      </c>
      <c r="I794" s="196">
        <v>1321</v>
      </c>
      <c r="J794" s="197">
        <v>42825</v>
      </c>
      <c r="K794" s="198">
        <v>0.38541666666666669</v>
      </c>
      <c r="L794" s="197">
        <v>42829</v>
      </c>
      <c r="M794" s="196" t="s">
        <v>271</v>
      </c>
      <c r="N794" s="196" t="s">
        <v>272</v>
      </c>
      <c r="O794" s="196" t="s">
        <v>273</v>
      </c>
      <c r="P794" s="196" t="s">
        <v>274</v>
      </c>
      <c r="Q794" s="196" t="s">
        <v>275</v>
      </c>
      <c r="R794" s="196" t="s">
        <v>276</v>
      </c>
      <c r="S794" s="196" t="s">
        <v>436</v>
      </c>
      <c r="T794" s="196" t="s">
        <v>570</v>
      </c>
      <c r="U794" s="196">
        <v>2233</v>
      </c>
      <c r="V794" s="196" t="s">
        <v>570</v>
      </c>
      <c r="W794" s="196" t="s">
        <v>280</v>
      </c>
      <c r="X794" s="196">
        <v>12.757999999999999</v>
      </c>
      <c r="Y794" s="199">
        <v>-0.26</v>
      </c>
      <c r="Z794" s="199">
        <v>2.1800000000000002</v>
      </c>
      <c r="AA794" s="199">
        <v>27.8</v>
      </c>
      <c r="AB794" s="199">
        <v>-2.33</v>
      </c>
      <c r="AC794" s="199">
        <v>0</v>
      </c>
      <c r="AD794" s="199">
        <v>0</v>
      </c>
      <c r="AE794" s="199">
        <v>25.21</v>
      </c>
      <c r="AF794" s="199">
        <v>-3.06</v>
      </c>
      <c r="AG794" s="196" t="s">
        <v>279</v>
      </c>
      <c r="AH794" s="199">
        <v>0</v>
      </c>
      <c r="AI794" s="196" t="s">
        <v>279</v>
      </c>
      <c r="AJ794" s="199">
        <v>0</v>
      </c>
      <c r="AK794" s="196" t="s">
        <v>279</v>
      </c>
      <c r="AL794" s="199">
        <v>0</v>
      </c>
      <c r="AM794" s="196" t="s">
        <v>279</v>
      </c>
      <c r="AN794" s="199">
        <v>0</v>
      </c>
      <c r="AO794" s="196" t="s">
        <v>279</v>
      </c>
      <c r="AP794" s="199">
        <v>0</v>
      </c>
      <c r="AQ794" s="199">
        <v>27.8</v>
      </c>
      <c r="AR794" s="199">
        <v>0</v>
      </c>
      <c r="AS794" s="196" t="str">
        <f t="shared" si="20"/>
        <v>1.00000000</v>
      </c>
      <c r="AT794" s="196" t="str">
        <f>"13.6"</f>
        <v>13.6</v>
      </c>
      <c r="AU794" s="199">
        <v>0</v>
      </c>
    </row>
    <row r="795" spans="1:47" s="196" customFormat="1" x14ac:dyDescent="0.2">
      <c r="A795" s="196" t="str">
        <f t="shared" si="22"/>
        <v>0496002595809</v>
      </c>
      <c r="B795" s="196">
        <v>1</v>
      </c>
      <c r="C795" s="196" t="s">
        <v>570</v>
      </c>
      <c r="D795" s="196">
        <v>2003</v>
      </c>
      <c r="E795" s="196">
        <v>2003</v>
      </c>
      <c r="F795" s="196" t="s">
        <v>243</v>
      </c>
      <c r="G795" s="196">
        <v>2233</v>
      </c>
      <c r="H795" s="196" t="s">
        <v>270</v>
      </c>
      <c r="I795" s="196">
        <v>1538</v>
      </c>
      <c r="J795" s="197">
        <v>42839</v>
      </c>
      <c r="K795" s="198">
        <v>0.39097222222222222</v>
      </c>
      <c r="L795" s="197">
        <v>42843</v>
      </c>
      <c r="M795" s="196" t="s">
        <v>271</v>
      </c>
      <c r="N795" s="196" t="s">
        <v>272</v>
      </c>
      <c r="O795" s="196" t="s">
        <v>273</v>
      </c>
      <c r="P795" s="196" t="s">
        <v>274</v>
      </c>
      <c r="Q795" s="196" t="s">
        <v>275</v>
      </c>
      <c r="R795" s="196" t="s">
        <v>276</v>
      </c>
      <c r="S795" s="196" t="s">
        <v>436</v>
      </c>
      <c r="T795" s="196" t="s">
        <v>570</v>
      </c>
      <c r="U795" s="196">
        <v>2233</v>
      </c>
      <c r="V795" s="196" t="s">
        <v>570</v>
      </c>
      <c r="W795" s="196" t="s">
        <v>280</v>
      </c>
      <c r="X795" s="196">
        <v>14.772</v>
      </c>
      <c r="Y795" s="199">
        <v>-0.3</v>
      </c>
      <c r="Z795" s="199">
        <v>2.35</v>
      </c>
      <c r="AA795" s="199">
        <v>34.700000000000003</v>
      </c>
      <c r="AB795" s="199">
        <v>-2.7</v>
      </c>
      <c r="AC795" s="199">
        <v>0</v>
      </c>
      <c r="AD795" s="199">
        <v>0</v>
      </c>
      <c r="AE795" s="199">
        <v>31.7</v>
      </c>
      <c r="AF795" s="199">
        <v>-3.55</v>
      </c>
      <c r="AG795" s="196" t="s">
        <v>279</v>
      </c>
      <c r="AH795" s="199">
        <v>0</v>
      </c>
      <c r="AI795" s="196" t="s">
        <v>279</v>
      </c>
      <c r="AJ795" s="199">
        <v>0</v>
      </c>
      <c r="AK795" s="196" t="s">
        <v>279</v>
      </c>
      <c r="AL795" s="199">
        <v>0</v>
      </c>
      <c r="AM795" s="196" t="s">
        <v>279</v>
      </c>
      <c r="AN795" s="199">
        <v>0</v>
      </c>
      <c r="AO795" s="196" t="s">
        <v>279</v>
      </c>
      <c r="AP795" s="199">
        <v>0</v>
      </c>
      <c r="AQ795" s="199">
        <v>34.700000000000003</v>
      </c>
      <c r="AR795" s="199">
        <v>0</v>
      </c>
      <c r="AS795" s="196" t="str">
        <f t="shared" si="20"/>
        <v>1.00000000</v>
      </c>
      <c r="AT795" s="196" t="str">
        <f>"14.7"</f>
        <v>14.7</v>
      </c>
      <c r="AU795" s="199">
        <v>0</v>
      </c>
    </row>
    <row r="796" spans="1:47" s="196" customFormat="1" x14ac:dyDescent="0.2">
      <c r="A796" s="196" t="str">
        <f t="shared" si="22"/>
        <v>0496002595809</v>
      </c>
      <c r="B796" s="196">
        <v>1</v>
      </c>
      <c r="C796" s="196" t="s">
        <v>570</v>
      </c>
      <c r="D796" s="196">
        <v>2003</v>
      </c>
      <c r="E796" s="196">
        <v>2003</v>
      </c>
      <c r="F796" s="196" t="s">
        <v>243</v>
      </c>
      <c r="G796" s="196">
        <v>2233</v>
      </c>
      <c r="H796" s="196" t="s">
        <v>270</v>
      </c>
      <c r="I796" s="196">
        <v>1871</v>
      </c>
      <c r="J796" s="197">
        <v>42842</v>
      </c>
      <c r="K796" s="198">
        <v>0.37847222222222227</v>
      </c>
      <c r="L796" s="197">
        <v>42844</v>
      </c>
      <c r="M796" s="196" t="s">
        <v>271</v>
      </c>
      <c r="N796" s="196" t="s">
        <v>272</v>
      </c>
      <c r="O796" s="196" t="s">
        <v>273</v>
      </c>
      <c r="P796" s="196" t="s">
        <v>274</v>
      </c>
      <c r="Q796" s="196" t="s">
        <v>275</v>
      </c>
      <c r="R796" s="196" t="s">
        <v>276</v>
      </c>
      <c r="S796" s="196" t="s">
        <v>436</v>
      </c>
      <c r="T796" s="196" t="s">
        <v>570</v>
      </c>
      <c r="U796" s="196">
        <v>2233</v>
      </c>
      <c r="V796" s="196" t="s">
        <v>570</v>
      </c>
      <c r="W796" s="196" t="s">
        <v>280</v>
      </c>
      <c r="X796" s="196">
        <v>20.245999999999999</v>
      </c>
      <c r="Y796" s="199">
        <v>-0.4</v>
      </c>
      <c r="Z796" s="199">
        <v>2.35</v>
      </c>
      <c r="AA796" s="199">
        <v>47.56</v>
      </c>
      <c r="AB796" s="199">
        <v>-3.71</v>
      </c>
      <c r="AC796" s="199">
        <v>0</v>
      </c>
      <c r="AD796" s="199">
        <v>0</v>
      </c>
      <c r="AE796" s="199">
        <v>43.45</v>
      </c>
      <c r="AF796" s="199">
        <v>-4.8600000000000003</v>
      </c>
      <c r="AG796" s="196" t="s">
        <v>279</v>
      </c>
      <c r="AH796" s="199">
        <v>0</v>
      </c>
      <c r="AI796" s="196" t="s">
        <v>279</v>
      </c>
      <c r="AJ796" s="199">
        <v>0</v>
      </c>
      <c r="AK796" s="196" t="s">
        <v>279</v>
      </c>
      <c r="AL796" s="199">
        <v>0</v>
      </c>
      <c r="AM796" s="196" t="s">
        <v>279</v>
      </c>
      <c r="AN796" s="199">
        <v>0</v>
      </c>
      <c r="AO796" s="196" t="s">
        <v>279</v>
      </c>
      <c r="AP796" s="199">
        <v>0</v>
      </c>
      <c r="AQ796" s="199">
        <v>47.56</v>
      </c>
      <c r="AR796" s="199">
        <v>0</v>
      </c>
      <c r="AS796" s="196" t="str">
        <f t="shared" si="20"/>
        <v>1.00000000</v>
      </c>
      <c r="AT796" s="196" t="str">
        <f>"16.4"</f>
        <v>16.4</v>
      </c>
      <c r="AU796" s="199">
        <v>0</v>
      </c>
    </row>
    <row r="797" spans="1:47" s="196" customFormat="1" x14ac:dyDescent="0.2">
      <c r="A797" s="196" t="str">
        <f t="shared" si="22"/>
        <v>0496002595809</v>
      </c>
      <c r="B797" s="196">
        <v>1</v>
      </c>
      <c r="C797" s="196" t="s">
        <v>570</v>
      </c>
      <c r="D797" s="196">
        <v>2003</v>
      </c>
      <c r="E797" s="196">
        <v>2003</v>
      </c>
      <c r="F797" s="196" t="s">
        <v>243</v>
      </c>
      <c r="G797" s="196">
        <v>2233</v>
      </c>
      <c r="H797" s="196" t="s">
        <v>270</v>
      </c>
      <c r="I797" s="196">
        <v>2178</v>
      </c>
      <c r="J797" s="197">
        <v>42849</v>
      </c>
      <c r="K797" s="198">
        <v>0.38125000000000003</v>
      </c>
      <c r="L797" s="197">
        <v>42851</v>
      </c>
      <c r="M797" s="196" t="s">
        <v>271</v>
      </c>
      <c r="N797" s="196" t="s">
        <v>272</v>
      </c>
      <c r="O797" s="196" t="s">
        <v>273</v>
      </c>
      <c r="P797" s="196" t="s">
        <v>274</v>
      </c>
      <c r="Q797" s="196" t="s">
        <v>275</v>
      </c>
      <c r="R797" s="196" t="s">
        <v>276</v>
      </c>
      <c r="S797" s="196" t="s">
        <v>436</v>
      </c>
      <c r="T797" s="196" t="s">
        <v>570</v>
      </c>
      <c r="U797" s="196">
        <v>2233</v>
      </c>
      <c r="V797" s="196" t="s">
        <v>570</v>
      </c>
      <c r="W797" s="196" t="s">
        <v>280</v>
      </c>
      <c r="X797" s="196">
        <v>10.673</v>
      </c>
      <c r="Y797" s="199">
        <v>-0.21</v>
      </c>
      <c r="Z797" s="199">
        <v>2.39</v>
      </c>
      <c r="AA797" s="199">
        <v>25.5</v>
      </c>
      <c r="AB797" s="199">
        <v>-1.95</v>
      </c>
      <c r="AC797" s="199">
        <v>0</v>
      </c>
      <c r="AD797" s="199">
        <v>0</v>
      </c>
      <c r="AE797" s="199">
        <v>23.34</v>
      </c>
      <c r="AF797" s="199">
        <v>-2.56</v>
      </c>
      <c r="AG797" s="196" t="s">
        <v>279</v>
      </c>
      <c r="AH797" s="199">
        <v>0</v>
      </c>
      <c r="AI797" s="196" t="s">
        <v>279</v>
      </c>
      <c r="AJ797" s="199">
        <v>0</v>
      </c>
      <c r="AK797" s="196" t="s">
        <v>279</v>
      </c>
      <c r="AL797" s="199">
        <v>0</v>
      </c>
      <c r="AM797" s="196" t="s">
        <v>279</v>
      </c>
      <c r="AN797" s="199">
        <v>0</v>
      </c>
      <c r="AO797" s="196" t="s">
        <v>279</v>
      </c>
      <c r="AP797" s="199">
        <v>0</v>
      </c>
      <c r="AQ797" s="199">
        <v>25.5</v>
      </c>
      <c r="AR797" s="199">
        <v>0</v>
      </c>
      <c r="AS797" s="196" t="str">
        <f t="shared" si="20"/>
        <v>1.00000000</v>
      </c>
      <c r="AT797" s="196" t="str">
        <f>"28.8"</f>
        <v>28.8</v>
      </c>
      <c r="AU797" s="199">
        <v>0</v>
      </c>
    </row>
    <row r="798" spans="1:47" s="196" customFormat="1" x14ac:dyDescent="0.2">
      <c r="A798" s="196" t="str">
        <f t="shared" si="22"/>
        <v>0496002595809</v>
      </c>
      <c r="B798" s="196">
        <v>2</v>
      </c>
      <c r="C798" s="196" t="s">
        <v>570</v>
      </c>
      <c r="D798" s="196">
        <v>2014</v>
      </c>
      <c r="E798" s="196">
        <v>2014</v>
      </c>
      <c r="F798" s="196" t="s">
        <v>243</v>
      </c>
      <c r="G798" s="196">
        <v>2233</v>
      </c>
      <c r="H798" s="196" t="s">
        <v>270</v>
      </c>
      <c r="I798" s="196">
        <v>9217</v>
      </c>
      <c r="J798" s="197">
        <v>42772</v>
      </c>
      <c r="K798" s="198">
        <v>0.46875</v>
      </c>
      <c r="L798" s="197">
        <v>42774</v>
      </c>
      <c r="M798" s="196" t="s">
        <v>271</v>
      </c>
      <c r="N798" s="196" t="s">
        <v>272</v>
      </c>
      <c r="O798" s="196" t="s">
        <v>273</v>
      </c>
      <c r="P798" s="196" t="s">
        <v>274</v>
      </c>
      <c r="Q798" s="196" t="s">
        <v>275</v>
      </c>
      <c r="R798" s="196" t="s">
        <v>276</v>
      </c>
      <c r="S798" s="196" t="s">
        <v>436</v>
      </c>
      <c r="T798" s="196" t="s">
        <v>570</v>
      </c>
      <c r="U798" s="196">
        <v>2233</v>
      </c>
      <c r="V798" s="196" t="s">
        <v>570</v>
      </c>
      <c r="W798" s="196" t="s">
        <v>280</v>
      </c>
      <c r="X798" s="196">
        <v>9.3689999999999998</v>
      </c>
      <c r="Y798" s="199">
        <v>-0.19</v>
      </c>
      <c r="Z798" s="199">
        <v>2.11</v>
      </c>
      <c r="AA798" s="199">
        <v>19.760000000000002</v>
      </c>
      <c r="AB798" s="199">
        <v>-1.71</v>
      </c>
      <c r="AC798" s="199">
        <v>0</v>
      </c>
      <c r="AD798" s="199">
        <v>0</v>
      </c>
      <c r="AE798" s="199">
        <v>17.86</v>
      </c>
      <c r="AF798" s="199">
        <v>-2.25</v>
      </c>
      <c r="AG798" s="196" t="s">
        <v>279</v>
      </c>
      <c r="AH798" s="199">
        <v>0</v>
      </c>
      <c r="AI798" s="196" t="s">
        <v>279</v>
      </c>
      <c r="AJ798" s="199">
        <v>0</v>
      </c>
      <c r="AK798" s="196" t="s">
        <v>279</v>
      </c>
      <c r="AL798" s="199">
        <v>0</v>
      </c>
      <c r="AM798" s="196" t="s">
        <v>279</v>
      </c>
      <c r="AN798" s="199">
        <v>0</v>
      </c>
      <c r="AO798" s="196" t="s">
        <v>279</v>
      </c>
      <c r="AP798" s="199">
        <v>0</v>
      </c>
      <c r="AQ798" s="199">
        <v>19.760000000000002</v>
      </c>
      <c r="AR798" s="199">
        <v>0</v>
      </c>
      <c r="AS798" s="196" t="str">
        <f t="shared" si="20"/>
        <v>1.00000000</v>
      </c>
      <c r="AT798" s="196" t="str">
        <f>"11.7"</f>
        <v>11.7</v>
      </c>
      <c r="AU798" s="199">
        <v>0</v>
      </c>
    </row>
    <row r="799" spans="1:47" s="196" customFormat="1" x14ac:dyDescent="0.2">
      <c r="A799" s="196" t="str">
        <f t="shared" si="22"/>
        <v>0496002595809</v>
      </c>
      <c r="B799" s="196">
        <v>2</v>
      </c>
      <c r="C799" s="196" t="s">
        <v>570</v>
      </c>
      <c r="D799" s="196">
        <v>2014</v>
      </c>
      <c r="E799" s="196">
        <v>2014</v>
      </c>
      <c r="F799" s="196" t="s">
        <v>243</v>
      </c>
      <c r="G799" s="196">
        <v>2233</v>
      </c>
      <c r="H799" s="196" t="s">
        <v>270</v>
      </c>
      <c r="I799" s="196">
        <v>9272</v>
      </c>
      <c r="J799" s="197">
        <v>42825</v>
      </c>
      <c r="K799" s="198">
        <v>0.37083333333333335</v>
      </c>
      <c r="L799" s="197">
        <v>42829</v>
      </c>
      <c r="M799" s="196" t="s">
        <v>271</v>
      </c>
      <c r="N799" s="196" t="s">
        <v>272</v>
      </c>
      <c r="O799" s="196" t="s">
        <v>273</v>
      </c>
      <c r="P799" s="196" t="s">
        <v>274</v>
      </c>
      <c r="Q799" s="196" t="s">
        <v>275</v>
      </c>
      <c r="R799" s="196" t="s">
        <v>276</v>
      </c>
      <c r="S799" s="196" t="s">
        <v>436</v>
      </c>
      <c r="T799" s="196" t="s">
        <v>570</v>
      </c>
      <c r="U799" s="196">
        <v>2233</v>
      </c>
      <c r="V799" s="196" t="s">
        <v>570</v>
      </c>
      <c r="W799" s="196" t="s">
        <v>280</v>
      </c>
      <c r="X799" s="196">
        <v>7.6769999999999996</v>
      </c>
      <c r="Y799" s="199">
        <v>-0.15</v>
      </c>
      <c r="Z799" s="199">
        <v>2.1800000000000002</v>
      </c>
      <c r="AA799" s="199">
        <v>16.73</v>
      </c>
      <c r="AB799" s="199">
        <v>-1.4</v>
      </c>
      <c r="AC799" s="199">
        <v>0</v>
      </c>
      <c r="AD799" s="199">
        <v>0</v>
      </c>
      <c r="AE799" s="199">
        <v>15.18</v>
      </c>
      <c r="AF799" s="199">
        <v>-1.84</v>
      </c>
      <c r="AG799" s="196" t="s">
        <v>279</v>
      </c>
      <c r="AH799" s="199">
        <v>0</v>
      </c>
      <c r="AI799" s="196" t="s">
        <v>279</v>
      </c>
      <c r="AJ799" s="199">
        <v>0</v>
      </c>
      <c r="AK799" s="196" t="s">
        <v>279</v>
      </c>
      <c r="AL799" s="199">
        <v>0</v>
      </c>
      <c r="AM799" s="196" t="s">
        <v>279</v>
      </c>
      <c r="AN799" s="199">
        <v>0</v>
      </c>
      <c r="AO799" s="196" t="s">
        <v>279</v>
      </c>
      <c r="AP799" s="199">
        <v>0</v>
      </c>
      <c r="AQ799" s="199">
        <v>16.73</v>
      </c>
      <c r="AR799" s="199">
        <v>0</v>
      </c>
      <c r="AS799" s="196" t="str">
        <f t="shared" si="20"/>
        <v>1.00000000</v>
      </c>
      <c r="AT799" s="196" t="str">
        <f>"11.7"</f>
        <v>11.7</v>
      </c>
      <c r="AU799" s="199">
        <v>0</v>
      </c>
    </row>
    <row r="800" spans="1:47" s="196" customFormat="1" x14ac:dyDescent="0.2">
      <c r="A800" s="196" t="str">
        <f t="shared" si="22"/>
        <v>0496002595809</v>
      </c>
      <c r="B800" s="196">
        <v>2</v>
      </c>
      <c r="C800" s="196" t="s">
        <v>570</v>
      </c>
      <c r="D800" s="196">
        <v>2014</v>
      </c>
      <c r="E800" s="196">
        <v>2014</v>
      </c>
      <c r="F800" s="196" t="s">
        <v>243</v>
      </c>
      <c r="G800" s="196">
        <v>2233</v>
      </c>
      <c r="H800" s="196" t="s">
        <v>270</v>
      </c>
      <c r="I800" s="196">
        <v>9425</v>
      </c>
      <c r="J800" s="197">
        <v>42905</v>
      </c>
      <c r="K800" s="198">
        <v>0.36527777777777781</v>
      </c>
      <c r="L800" s="197">
        <v>42907</v>
      </c>
      <c r="M800" s="196" t="s">
        <v>271</v>
      </c>
      <c r="N800" s="196" t="s">
        <v>272</v>
      </c>
      <c r="O800" s="196" t="s">
        <v>273</v>
      </c>
      <c r="P800" s="196" t="s">
        <v>274</v>
      </c>
      <c r="Q800" s="196" t="s">
        <v>275</v>
      </c>
      <c r="R800" s="196" t="s">
        <v>276</v>
      </c>
      <c r="S800" s="196" t="s">
        <v>436</v>
      </c>
      <c r="T800" s="196" t="s">
        <v>570</v>
      </c>
      <c r="U800" s="196">
        <v>2233</v>
      </c>
      <c r="V800" s="196" t="s">
        <v>570</v>
      </c>
      <c r="W800" s="196" t="s">
        <v>280</v>
      </c>
      <c r="X800" s="196">
        <v>12.111000000000001</v>
      </c>
      <c r="Y800" s="199">
        <v>-0.24</v>
      </c>
      <c r="Z800" s="199">
        <v>2.2599999999999998</v>
      </c>
      <c r="AA800" s="199">
        <v>27.36</v>
      </c>
      <c r="AB800" s="199">
        <v>-2.2200000000000002</v>
      </c>
      <c r="AC800" s="199">
        <v>0</v>
      </c>
      <c r="AD800" s="199">
        <v>0</v>
      </c>
      <c r="AE800" s="199">
        <v>24.9</v>
      </c>
      <c r="AF800" s="199">
        <v>-2.91</v>
      </c>
      <c r="AG800" s="196" t="s">
        <v>279</v>
      </c>
      <c r="AH800" s="199">
        <v>0</v>
      </c>
      <c r="AI800" s="196" t="s">
        <v>279</v>
      </c>
      <c r="AJ800" s="199">
        <v>0</v>
      </c>
      <c r="AK800" s="196" t="s">
        <v>279</v>
      </c>
      <c r="AL800" s="199">
        <v>0</v>
      </c>
      <c r="AM800" s="196" t="s">
        <v>279</v>
      </c>
      <c r="AN800" s="199">
        <v>0</v>
      </c>
      <c r="AO800" s="196" t="s">
        <v>279</v>
      </c>
      <c r="AP800" s="199">
        <v>0</v>
      </c>
      <c r="AQ800" s="199">
        <v>27.36</v>
      </c>
      <c r="AR800" s="199">
        <v>0</v>
      </c>
      <c r="AS800" s="196" t="str">
        <f t="shared" si="20"/>
        <v>1.00000000</v>
      </c>
      <c r="AT800" s="196" t="str">
        <f>"12.6"</f>
        <v>12.6</v>
      </c>
      <c r="AU800" s="199">
        <v>0</v>
      </c>
    </row>
    <row r="801" spans="1:47" s="196" customFormat="1" x14ac:dyDescent="0.2">
      <c r="A801" s="196" t="str">
        <f t="shared" ref="A801:A819" si="23">"0496002595833"</f>
        <v>0496002595833</v>
      </c>
      <c r="B801" s="196">
        <v>1</v>
      </c>
      <c r="C801" s="196" t="s">
        <v>571</v>
      </c>
      <c r="D801" s="196" t="s">
        <v>571</v>
      </c>
      <c r="E801" s="196" t="s">
        <v>572</v>
      </c>
      <c r="F801" s="196" t="s">
        <v>243</v>
      </c>
      <c r="G801" s="196">
        <v>2328</v>
      </c>
      <c r="H801" s="196" t="s">
        <v>270</v>
      </c>
      <c r="I801" s="196">
        <v>55087</v>
      </c>
      <c r="J801" s="197">
        <v>42749</v>
      </c>
      <c r="K801" s="198">
        <v>0.72430555555555554</v>
      </c>
      <c r="L801" s="197">
        <v>42752</v>
      </c>
      <c r="M801" s="196" t="s">
        <v>271</v>
      </c>
      <c r="N801" s="196" t="s">
        <v>272</v>
      </c>
      <c r="O801" s="196" t="s">
        <v>273</v>
      </c>
      <c r="P801" s="196" t="s">
        <v>274</v>
      </c>
      <c r="Q801" s="196" t="s">
        <v>275</v>
      </c>
      <c r="R801" s="196" t="s">
        <v>276</v>
      </c>
      <c r="S801" s="196" t="s">
        <v>436</v>
      </c>
      <c r="T801" s="196" t="s">
        <v>571</v>
      </c>
      <c r="U801" s="196">
        <v>2328</v>
      </c>
      <c r="V801" s="196" t="s">
        <v>571</v>
      </c>
      <c r="W801" s="196" t="s">
        <v>280</v>
      </c>
      <c r="X801" s="196">
        <v>10.268000000000001</v>
      </c>
      <c r="Y801" s="199">
        <v>-0.21</v>
      </c>
      <c r="Z801" s="199">
        <v>2.27</v>
      </c>
      <c r="AA801" s="199">
        <v>23.3</v>
      </c>
      <c r="AB801" s="199">
        <v>-1.88</v>
      </c>
      <c r="AC801" s="199">
        <v>0</v>
      </c>
      <c r="AD801" s="199">
        <v>0</v>
      </c>
      <c r="AE801" s="199">
        <v>21.21</v>
      </c>
      <c r="AF801" s="199">
        <v>-2.46</v>
      </c>
      <c r="AG801" s="196" t="s">
        <v>279</v>
      </c>
      <c r="AH801" s="199">
        <v>0</v>
      </c>
      <c r="AI801" s="196" t="s">
        <v>279</v>
      </c>
      <c r="AJ801" s="199">
        <v>0</v>
      </c>
      <c r="AK801" s="196" t="s">
        <v>279</v>
      </c>
      <c r="AL801" s="199">
        <v>0</v>
      </c>
      <c r="AM801" s="196" t="s">
        <v>279</v>
      </c>
      <c r="AN801" s="199">
        <v>0</v>
      </c>
      <c r="AO801" s="196" t="s">
        <v>279</v>
      </c>
      <c r="AP801" s="199">
        <v>0</v>
      </c>
      <c r="AQ801" s="199">
        <v>23.3</v>
      </c>
      <c r="AR801" s="199">
        <v>0</v>
      </c>
      <c r="AS801" s="196" t="str">
        <f t="shared" si="20"/>
        <v>1.00000000</v>
      </c>
      <c r="AT801" s="196" t="str">
        <f>"53.3"</f>
        <v>53.3</v>
      </c>
      <c r="AU801" s="199">
        <v>0</v>
      </c>
    </row>
    <row r="802" spans="1:47" s="196" customFormat="1" x14ac:dyDescent="0.2">
      <c r="A802" s="196" t="str">
        <f t="shared" si="23"/>
        <v>0496002595833</v>
      </c>
      <c r="B802" s="196">
        <v>1</v>
      </c>
      <c r="C802" s="196" t="s">
        <v>571</v>
      </c>
      <c r="D802" s="196" t="s">
        <v>571</v>
      </c>
      <c r="E802" s="196" t="s">
        <v>572</v>
      </c>
      <c r="F802" s="196" t="s">
        <v>243</v>
      </c>
      <c r="G802" s="196">
        <v>2328</v>
      </c>
      <c r="H802" s="196" t="s">
        <v>270</v>
      </c>
      <c r="I802" s="196">
        <v>55399</v>
      </c>
      <c r="J802" s="197">
        <v>42764</v>
      </c>
      <c r="K802" s="198">
        <v>0.54106481481481483</v>
      </c>
      <c r="L802" s="197">
        <v>42766</v>
      </c>
      <c r="M802" s="196" t="s">
        <v>384</v>
      </c>
      <c r="N802" s="196" t="s">
        <v>385</v>
      </c>
      <c r="O802" s="196" t="s">
        <v>386</v>
      </c>
      <c r="P802" s="196" t="s">
        <v>343</v>
      </c>
      <c r="Q802" s="196" t="s">
        <v>275</v>
      </c>
      <c r="R802" s="196" t="s">
        <v>387</v>
      </c>
      <c r="S802" s="196" t="s">
        <v>436</v>
      </c>
      <c r="T802" s="196" t="s">
        <v>571</v>
      </c>
      <c r="U802" s="196">
        <v>2328</v>
      </c>
      <c r="V802" s="196" t="s">
        <v>571</v>
      </c>
      <c r="W802" s="196" t="s">
        <v>280</v>
      </c>
      <c r="X802" s="196">
        <v>13.757</v>
      </c>
      <c r="Y802" s="199">
        <v>0</v>
      </c>
      <c r="Z802" s="199">
        <v>2.12</v>
      </c>
      <c r="AA802" s="199">
        <v>29.15</v>
      </c>
      <c r="AB802" s="199">
        <v>-2.52</v>
      </c>
      <c r="AC802" s="199">
        <v>0</v>
      </c>
      <c r="AD802" s="199">
        <v>0</v>
      </c>
      <c r="AE802" s="199">
        <v>26.63</v>
      </c>
      <c r="AF802" s="199">
        <v>-3.3</v>
      </c>
      <c r="AG802" s="196" t="s">
        <v>279</v>
      </c>
      <c r="AH802" s="199">
        <v>0</v>
      </c>
      <c r="AI802" s="196" t="s">
        <v>279</v>
      </c>
      <c r="AJ802" s="199">
        <v>0</v>
      </c>
      <c r="AK802" s="196" t="s">
        <v>279</v>
      </c>
      <c r="AL802" s="199">
        <v>0</v>
      </c>
      <c r="AM802" s="196" t="s">
        <v>279</v>
      </c>
      <c r="AN802" s="199">
        <v>0</v>
      </c>
      <c r="AO802" s="196" t="s">
        <v>279</v>
      </c>
      <c r="AP802" s="199">
        <v>0</v>
      </c>
      <c r="AQ802" s="199">
        <v>29.15</v>
      </c>
      <c r="AR802" s="199">
        <v>0</v>
      </c>
      <c r="AS802" s="196" t="str">
        <f t="shared" si="20"/>
        <v>1.00000000</v>
      </c>
      <c r="AT802" s="196" t="str">
        <f>"53.3"</f>
        <v>53.3</v>
      </c>
      <c r="AU802" s="199">
        <v>0</v>
      </c>
    </row>
    <row r="803" spans="1:47" s="196" customFormat="1" x14ac:dyDescent="0.2">
      <c r="A803" s="196" t="str">
        <f t="shared" si="23"/>
        <v>0496002595833</v>
      </c>
      <c r="B803" s="196">
        <v>1</v>
      </c>
      <c r="C803" s="196" t="s">
        <v>571</v>
      </c>
      <c r="D803" s="196" t="s">
        <v>571</v>
      </c>
      <c r="E803" s="196" t="s">
        <v>572</v>
      </c>
      <c r="F803" s="196" t="s">
        <v>243</v>
      </c>
      <c r="G803" s="196">
        <v>2328</v>
      </c>
      <c r="H803" s="196" t="s">
        <v>270</v>
      </c>
      <c r="I803" s="196">
        <v>55623</v>
      </c>
      <c r="J803" s="197">
        <v>42774</v>
      </c>
      <c r="K803" s="198">
        <v>0.71458333333333324</v>
      </c>
      <c r="L803" s="197">
        <v>42776</v>
      </c>
      <c r="M803" s="196" t="s">
        <v>271</v>
      </c>
      <c r="N803" s="196" t="s">
        <v>272</v>
      </c>
      <c r="O803" s="196" t="s">
        <v>273</v>
      </c>
      <c r="P803" s="196" t="s">
        <v>274</v>
      </c>
      <c r="Q803" s="196" t="s">
        <v>275</v>
      </c>
      <c r="R803" s="196" t="s">
        <v>276</v>
      </c>
      <c r="S803" s="196" t="s">
        <v>436</v>
      </c>
      <c r="T803" s="196" t="s">
        <v>571</v>
      </c>
      <c r="U803" s="196">
        <v>2328</v>
      </c>
      <c r="V803" s="196" t="s">
        <v>571</v>
      </c>
      <c r="W803" s="196" t="s">
        <v>280</v>
      </c>
      <c r="X803" s="196">
        <v>9.8949999999999996</v>
      </c>
      <c r="Y803" s="199">
        <v>-0.2</v>
      </c>
      <c r="Z803" s="199">
        <v>2.11</v>
      </c>
      <c r="AA803" s="199">
        <v>20.87</v>
      </c>
      <c r="AB803" s="199">
        <v>-1.81</v>
      </c>
      <c r="AC803" s="199">
        <v>0</v>
      </c>
      <c r="AD803" s="199">
        <v>0</v>
      </c>
      <c r="AE803" s="199">
        <v>18.86</v>
      </c>
      <c r="AF803" s="199">
        <v>-2.37</v>
      </c>
      <c r="AG803" s="196" t="s">
        <v>279</v>
      </c>
      <c r="AH803" s="199">
        <v>0</v>
      </c>
      <c r="AI803" s="196" t="s">
        <v>279</v>
      </c>
      <c r="AJ803" s="199">
        <v>0</v>
      </c>
      <c r="AK803" s="196" t="s">
        <v>279</v>
      </c>
      <c r="AL803" s="199">
        <v>0</v>
      </c>
      <c r="AM803" s="196" t="s">
        <v>279</v>
      </c>
      <c r="AN803" s="199">
        <v>0</v>
      </c>
      <c r="AO803" s="196" t="s">
        <v>279</v>
      </c>
      <c r="AP803" s="199">
        <v>0</v>
      </c>
      <c r="AQ803" s="199">
        <v>20.87</v>
      </c>
      <c r="AR803" s="199">
        <v>0</v>
      </c>
      <c r="AS803" s="196" t="str">
        <f t="shared" si="20"/>
        <v>1.00000000</v>
      </c>
      <c r="AT803" s="196" t="str">
        <f>"53.4"</f>
        <v>53.4</v>
      </c>
      <c r="AU803" s="199">
        <v>0</v>
      </c>
    </row>
    <row r="804" spans="1:47" s="196" customFormat="1" x14ac:dyDescent="0.2">
      <c r="A804" s="196" t="str">
        <f t="shared" si="23"/>
        <v>0496002595833</v>
      </c>
      <c r="B804" s="196">
        <v>1</v>
      </c>
      <c r="C804" s="196" t="s">
        <v>571</v>
      </c>
      <c r="D804" s="196" t="s">
        <v>571</v>
      </c>
      <c r="E804" s="196" t="s">
        <v>572</v>
      </c>
      <c r="F804" s="196" t="s">
        <v>243</v>
      </c>
      <c r="G804" s="196">
        <v>2328</v>
      </c>
      <c r="H804" s="196" t="s">
        <v>270</v>
      </c>
      <c r="I804" s="196">
        <v>56187</v>
      </c>
      <c r="J804" s="197">
        <v>42797</v>
      </c>
      <c r="K804" s="198">
        <v>0.3576388888888889</v>
      </c>
      <c r="L804" s="197">
        <v>42801</v>
      </c>
      <c r="M804" s="196" t="s">
        <v>271</v>
      </c>
      <c r="N804" s="196" t="s">
        <v>272</v>
      </c>
      <c r="O804" s="196" t="s">
        <v>273</v>
      </c>
      <c r="P804" s="196" t="s">
        <v>274</v>
      </c>
      <c r="Q804" s="196" t="s">
        <v>275</v>
      </c>
      <c r="R804" s="196" t="s">
        <v>276</v>
      </c>
      <c r="S804" s="196" t="s">
        <v>436</v>
      </c>
      <c r="T804" s="196" t="s">
        <v>571</v>
      </c>
      <c r="U804" s="196">
        <v>2328</v>
      </c>
      <c r="V804" s="196" t="s">
        <v>571</v>
      </c>
      <c r="W804" s="196" t="s">
        <v>280</v>
      </c>
      <c r="X804" s="196">
        <v>11.598000000000001</v>
      </c>
      <c r="Y804" s="199">
        <v>-0.23</v>
      </c>
      <c r="Z804" s="199">
        <v>2.19</v>
      </c>
      <c r="AA804" s="199">
        <v>25.39</v>
      </c>
      <c r="AB804" s="199">
        <v>-2.12</v>
      </c>
      <c r="AC804" s="199">
        <v>0</v>
      </c>
      <c r="AD804" s="199">
        <v>0</v>
      </c>
      <c r="AE804" s="199">
        <v>23.04</v>
      </c>
      <c r="AF804" s="199">
        <v>-2.78</v>
      </c>
      <c r="AG804" s="196" t="s">
        <v>279</v>
      </c>
      <c r="AH804" s="199">
        <v>0</v>
      </c>
      <c r="AI804" s="196" t="s">
        <v>279</v>
      </c>
      <c r="AJ804" s="199">
        <v>0</v>
      </c>
      <c r="AK804" s="196" t="s">
        <v>279</v>
      </c>
      <c r="AL804" s="199">
        <v>0</v>
      </c>
      <c r="AM804" s="196" t="s">
        <v>279</v>
      </c>
      <c r="AN804" s="199">
        <v>0</v>
      </c>
      <c r="AO804" s="196" t="s">
        <v>279</v>
      </c>
      <c r="AP804" s="199">
        <v>0</v>
      </c>
      <c r="AQ804" s="199">
        <v>25.39</v>
      </c>
      <c r="AR804" s="199">
        <v>0</v>
      </c>
      <c r="AS804" s="196" t="str">
        <f t="shared" si="20"/>
        <v>1.00000000</v>
      </c>
      <c r="AT804" s="196" t="str">
        <f t="shared" ref="AT804:AT815" si="24">"53.3"</f>
        <v>53.3</v>
      </c>
      <c r="AU804" s="199">
        <v>0</v>
      </c>
    </row>
    <row r="805" spans="1:47" s="196" customFormat="1" x14ac:dyDescent="0.2">
      <c r="A805" s="196" t="str">
        <f t="shared" si="23"/>
        <v>0496002595833</v>
      </c>
      <c r="B805" s="196">
        <v>1</v>
      </c>
      <c r="C805" s="196" t="s">
        <v>571</v>
      </c>
      <c r="D805" s="196" t="s">
        <v>571</v>
      </c>
      <c r="E805" s="196" t="s">
        <v>572</v>
      </c>
      <c r="F805" s="196" t="s">
        <v>243</v>
      </c>
      <c r="G805" s="196">
        <v>2328</v>
      </c>
      <c r="H805" s="196" t="s">
        <v>270</v>
      </c>
      <c r="I805" s="196">
        <v>1111</v>
      </c>
      <c r="J805" s="197">
        <v>42836</v>
      </c>
      <c r="K805" s="198">
        <v>0.60670138888888892</v>
      </c>
      <c r="L805" s="197">
        <v>42838</v>
      </c>
      <c r="M805" s="196" t="s">
        <v>310</v>
      </c>
      <c r="N805" s="196" t="s">
        <v>331</v>
      </c>
      <c r="O805" s="196" t="s">
        <v>332</v>
      </c>
      <c r="P805" s="196" t="s">
        <v>274</v>
      </c>
      <c r="Q805" s="196" t="s">
        <v>275</v>
      </c>
      <c r="R805" s="196">
        <v>1002</v>
      </c>
      <c r="S805" s="196" t="s">
        <v>436</v>
      </c>
      <c r="T805" s="196" t="s">
        <v>571</v>
      </c>
      <c r="U805" s="196">
        <v>2328</v>
      </c>
      <c r="V805" s="196" t="s">
        <v>571</v>
      </c>
      <c r="W805" s="196" t="s">
        <v>280</v>
      </c>
      <c r="X805" s="196">
        <v>14.430999999999999</v>
      </c>
      <c r="Y805" s="199">
        <v>0</v>
      </c>
      <c r="Z805" s="199">
        <v>2.2599999999999998</v>
      </c>
      <c r="AA805" s="199">
        <v>32.6</v>
      </c>
      <c r="AB805" s="199">
        <v>-2.64</v>
      </c>
      <c r="AC805" s="199">
        <v>0</v>
      </c>
      <c r="AD805" s="199">
        <v>0</v>
      </c>
      <c r="AE805" s="199">
        <v>29.96</v>
      </c>
      <c r="AF805" s="199">
        <v>-3.46</v>
      </c>
      <c r="AG805" s="196" t="s">
        <v>279</v>
      </c>
      <c r="AH805" s="199">
        <v>0</v>
      </c>
      <c r="AI805" s="196" t="s">
        <v>279</v>
      </c>
      <c r="AJ805" s="199">
        <v>0</v>
      </c>
      <c r="AK805" s="196" t="s">
        <v>279</v>
      </c>
      <c r="AL805" s="199">
        <v>0</v>
      </c>
      <c r="AM805" s="196" t="s">
        <v>279</v>
      </c>
      <c r="AN805" s="199">
        <v>0</v>
      </c>
      <c r="AO805" s="196" t="s">
        <v>279</v>
      </c>
      <c r="AP805" s="199">
        <v>0</v>
      </c>
      <c r="AQ805" s="199">
        <v>32.6</v>
      </c>
      <c r="AR805" s="199">
        <v>0</v>
      </c>
      <c r="AS805" s="196" t="str">
        <f t="shared" si="20"/>
        <v>1.00000000</v>
      </c>
      <c r="AT805" s="196" t="str">
        <f t="shared" si="24"/>
        <v>53.3</v>
      </c>
      <c r="AU805" s="199">
        <v>0</v>
      </c>
    </row>
    <row r="806" spans="1:47" s="196" customFormat="1" x14ac:dyDescent="0.2">
      <c r="A806" s="196" t="str">
        <f t="shared" si="23"/>
        <v>0496002595833</v>
      </c>
      <c r="B806" s="196">
        <v>1</v>
      </c>
      <c r="C806" s="196" t="s">
        <v>571</v>
      </c>
      <c r="D806" s="196" t="s">
        <v>571</v>
      </c>
      <c r="E806" s="196" t="s">
        <v>572</v>
      </c>
      <c r="F806" s="196" t="s">
        <v>243</v>
      </c>
      <c r="G806" s="196">
        <v>2328</v>
      </c>
      <c r="H806" s="196" t="s">
        <v>270</v>
      </c>
      <c r="I806" s="196">
        <v>57167</v>
      </c>
      <c r="J806" s="197">
        <v>42839</v>
      </c>
      <c r="K806" s="198">
        <v>0.3666666666666667</v>
      </c>
      <c r="L806" s="197">
        <v>42843</v>
      </c>
      <c r="M806" s="196" t="s">
        <v>271</v>
      </c>
      <c r="N806" s="196" t="s">
        <v>272</v>
      </c>
      <c r="O806" s="196" t="s">
        <v>273</v>
      </c>
      <c r="P806" s="196" t="s">
        <v>274</v>
      </c>
      <c r="Q806" s="196" t="s">
        <v>275</v>
      </c>
      <c r="R806" s="196" t="s">
        <v>276</v>
      </c>
      <c r="S806" s="196" t="s">
        <v>436</v>
      </c>
      <c r="T806" s="196" t="s">
        <v>571</v>
      </c>
      <c r="U806" s="196">
        <v>2328</v>
      </c>
      <c r="V806" s="196" t="s">
        <v>571</v>
      </c>
      <c r="W806" s="196" t="s">
        <v>280</v>
      </c>
      <c r="X806" s="196">
        <v>9.1989999999999998</v>
      </c>
      <c r="Y806" s="199">
        <v>-0.18</v>
      </c>
      <c r="Z806" s="199">
        <v>2.35</v>
      </c>
      <c r="AA806" s="199">
        <v>21.61</v>
      </c>
      <c r="AB806" s="199">
        <v>-1.68</v>
      </c>
      <c r="AC806" s="199">
        <v>0</v>
      </c>
      <c r="AD806" s="199">
        <v>0</v>
      </c>
      <c r="AE806" s="199">
        <v>19.75</v>
      </c>
      <c r="AF806" s="199">
        <v>-2.21</v>
      </c>
      <c r="AG806" s="196" t="s">
        <v>279</v>
      </c>
      <c r="AH806" s="199">
        <v>0</v>
      </c>
      <c r="AI806" s="196" t="s">
        <v>279</v>
      </c>
      <c r="AJ806" s="199">
        <v>0</v>
      </c>
      <c r="AK806" s="196" t="s">
        <v>279</v>
      </c>
      <c r="AL806" s="199">
        <v>0</v>
      </c>
      <c r="AM806" s="196" t="s">
        <v>279</v>
      </c>
      <c r="AN806" s="199">
        <v>0</v>
      </c>
      <c r="AO806" s="196" t="s">
        <v>279</v>
      </c>
      <c r="AP806" s="199">
        <v>0</v>
      </c>
      <c r="AQ806" s="199">
        <v>21.61</v>
      </c>
      <c r="AR806" s="199">
        <v>0</v>
      </c>
      <c r="AS806" s="196" t="str">
        <f t="shared" si="20"/>
        <v>1.00000000</v>
      </c>
      <c r="AT806" s="196" t="str">
        <f t="shared" si="24"/>
        <v>53.3</v>
      </c>
      <c r="AU806" s="199">
        <v>0</v>
      </c>
    </row>
    <row r="807" spans="1:47" s="196" customFormat="1" x14ac:dyDescent="0.2">
      <c r="A807" s="196" t="str">
        <f t="shared" si="23"/>
        <v>0496002595833</v>
      </c>
      <c r="B807" s="196">
        <v>1</v>
      </c>
      <c r="C807" s="196" t="s">
        <v>571</v>
      </c>
      <c r="D807" s="196" t="s">
        <v>571</v>
      </c>
      <c r="E807" s="196" t="s">
        <v>572</v>
      </c>
      <c r="F807" s="196" t="s">
        <v>243</v>
      </c>
      <c r="G807" s="196">
        <v>2328</v>
      </c>
      <c r="H807" s="196" t="s">
        <v>270</v>
      </c>
      <c r="I807" s="196">
        <v>57473</v>
      </c>
      <c r="J807" s="197">
        <v>42849</v>
      </c>
      <c r="K807" s="198">
        <v>0.60763888888888895</v>
      </c>
      <c r="L807" s="197">
        <v>42851</v>
      </c>
      <c r="M807" s="196" t="s">
        <v>271</v>
      </c>
      <c r="N807" s="196" t="s">
        <v>272</v>
      </c>
      <c r="O807" s="196" t="s">
        <v>273</v>
      </c>
      <c r="P807" s="196" t="s">
        <v>274</v>
      </c>
      <c r="Q807" s="196" t="s">
        <v>275</v>
      </c>
      <c r="R807" s="196" t="s">
        <v>276</v>
      </c>
      <c r="S807" s="196" t="s">
        <v>436</v>
      </c>
      <c r="T807" s="196" t="s">
        <v>571</v>
      </c>
      <c r="U807" s="196">
        <v>2328</v>
      </c>
      <c r="V807" s="196" t="s">
        <v>571</v>
      </c>
      <c r="W807" s="196" t="s">
        <v>280</v>
      </c>
      <c r="X807" s="196">
        <v>10.657</v>
      </c>
      <c r="Y807" s="199">
        <v>-0.21</v>
      </c>
      <c r="Z807" s="199">
        <v>2.39</v>
      </c>
      <c r="AA807" s="199">
        <v>25.46</v>
      </c>
      <c r="AB807" s="199">
        <v>-1.95</v>
      </c>
      <c r="AC807" s="199">
        <v>0</v>
      </c>
      <c r="AD807" s="199">
        <v>0</v>
      </c>
      <c r="AE807" s="199">
        <v>23.3</v>
      </c>
      <c r="AF807" s="199">
        <v>-2.56</v>
      </c>
      <c r="AG807" s="196" t="s">
        <v>279</v>
      </c>
      <c r="AH807" s="199">
        <v>0</v>
      </c>
      <c r="AI807" s="196" t="s">
        <v>279</v>
      </c>
      <c r="AJ807" s="199">
        <v>0</v>
      </c>
      <c r="AK807" s="196" t="s">
        <v>279</v>
      </c>
      <c r="AL807" s="199">
        <v>0</v>
      </c>
      <c r="AM807" s="196" t="s">
        <v>279</v>
      </c>
      <c r="AN807" s="199">
        <v>0</v>
      </c>
      <c r="AO807" s="196" t="s">
        <v>279</v>
      </c>
      <c r="AP807" s="199">
        <v>0</v>
      </c>
      <c r="AQ807" s="199">
        <v>25.46</v>
      </c>
      <c r="AR807" s="199">
        <v>0</v>
      </c>
      <c r="AS807" s="196" t="str">
        <f t="shared" si="20"/>
        <v>1.00000000</v>
      </c>
      <c r="AT807" s="196" t="str">
        <f t="shared" si="24"/>
        <v>53.3</v>
      </c>
      <c r="AU807" s="199">
        <v>0</v>
      </c>
    </row>
    <row r="808" spans="1:47" s="196" customFormat="1" x14ac:dyDescent="0.2">
      <c r="A808" s="196" t="str">
        <f t="shared" si="23"/>
        <v>0496002595833</v>
      </c>
      <c r="B808" s="196">
        <v>1</v>
      </c>
      <c r="C808" s="196" t="s">
        <v>571</v>
      </c>
      <c r="D808" s="196" t="s">
        <v>571</v>
      </c>
      <c r="E808" s="196" t="s">
        <v>572</v>
      </c>
      <c r="F808" s="196" t="s">
        <v>243</v>
      </c>
      <c r="G808" s="196">
        <v>2328</v>
      </c>
      <c r="H808" s="196" t="s">
        <v>270</v>
      </c>
      <c r="I808" s="196">
        <v>57650</v>
      </c>
      <c r="J808" s="197">
        <v>42850</v>
      </c>
      <c r="K808" s="198">
        <v>0.35069444444444442</v>
      </c>
      <c r="L808" s="197">
        <v>42852</v>
      </c>
      <c r="M808" s="196" t="s">
        <v>271</v>
      </c>
      <c r="N808" s="196" t="s">
        <v>272</v>
      </c>
      <c r="O808" s="196" t="s">
        <v>273</v>
      </c>
      <c r="P808" s="196" t="s">
        <v>274</v>
      </c>
      <c r="Q808" s="196" t="s">
        <v>275</v>
      </c>
      <c r="R808" s="196" t="s">
        <v>276</v>
      </c>
      <c r="S808" s="196" t="s">
        <v>436</v>
      </c>
      <c r="T808" s="196" t="s">
        <v>571</v>
      </c>
      <c r="U808" s="196">
        <v>2328</v>
      </c>
      <c r="V808" s="196" t="s">
        <v>571</v>
      </c>
      <c r="W808" s="196" t="s">
        <v>280</v>
      </c>
      <c r="X808" s="196">
        <v>9.6039999999999992</v>
      </c>
      <c r="Y808" s="199">
        <v>-0.19</v>
      </c>
      <c r="Z808" s="199">
        <v>2.4</v>
      </c>
      <c r="AA808" s="199">
        <v>23.04</v>
      </c>
      <c r="AB808" s="199">
        <v>-1.76</v>
      </c>
      <c r="AC808" s="199">
        <v>0</v>
      </c>
      <c r="AD808" s="199">
        <v>0</v>
      </c>
      <c r="AE808" s="199">
        <v>21.09</v>
      </c>
      <c r="AF808" s="199">
        <v>-2.2999999999999998</v>
      </c>
      <c r="AG808" s="196" t="s">
        <v>279</v>
      </c>
      <c r="AH808" s="199">
        <v>0</v>
      </c>
      <c r="AI808" s="196" t="s">
        <v>279</v>
      </c>
      <c r="AJ808" s="199">
        <v>0</v>
      </c>
      <c r="AK808" s="196" t="s">
        <v>279</v>
      </c>
      <c r="AL808" s="199">
        <v>0</v>
      </c>
      <c r="AM808" s="196" t="s">
        <v>279</v>
      </c>
      <c r="AN808" s="199">
        <v>0</v>
      </c>
      <c r="AO808" s="196" t="s">
        <v>279</v>
      </c>
      <c r="AP808" s="199">
        <v>0</v>
      </c>
      <c r="AQ808" s="199">
        <v>23.04</v>
      </c>
      <c r="AR808" s="199">
        <v>0</v>
      </c>
      <c r="AS808" s="196" t="str">
        <f t="shared" si="20"/>
        <v>1.00000000</v>
      </c>
      <c r="AT808" s="196" t="str">
        <f t="shared" si="24"/>
        <v>53.3</v>
      </c>
      <c r="AU808" s="199">
        <v>0</v>
      </c>
    </row>
    <row r="809" spans="1:47" s="196" customFormat="1" x14ac:dyDescent="0.2">
      <c r="A809" s="196" t="str">
        <f t="shared" si="23"/>
        <v>0496002595833</v>
      </c>
      <c r="B809" s="196">
        <v>1</v>
      </c>
      <c r="C809" s="196" t="s">
        <v>571</v>
      </c>
      <c r="D809" s="196" t="s">
        <v>571</v>
      </c>
      <c r="E809" s="196" t="s">
        <v>572</v>
      </c>
      <c r="F809" s="196" t="s">
        <v>243</v>
      </c>
      <c r="G809" s="196">
        <v>2328</v>
      </c>
      <c r="H809" s="196" t="s">
        <v>270</v>
      </c>
      <c r="I809" s="196">
        <v>57810</v>
      </c>
      <c r="J809" s="197">
        <v>42852</v>
      </c>
      <c r="K809" s="198">
        <v>0.87083333333333324</v>
      </c>
      <c r="L809" s="197">
        <v>42856</v>
      </c>
      <c r="M809" s="196" t="s">
        <v>294</v>
      </c>
      <c r="N809" s="196" t="s">
        <v>379</v>
      </c>
      <c r="O809" s="196" t="s">
        <v>433</v>
      </c>
      <c r="P809" s="196" t="s">
        <v>434</v>
      </c>
      <c r="Q809" s="196" t="s">
        <v>275</v>
      </c>
      <c r="R809" s="196">
        <v>1009</v>
      </c>
      <c r="S809" s="196" t="s">
        <v>436</v>
      </c>
      <c r="T809" s="196" t="s">
        <v>571</v>
      </c>
      <c r="U809" s="196">
        <v>2328</v>
      </c>
      <c r="V809" s="196" t="s">
        <v>571</v>
      </c>
      <c r="W809" s="196" t="s">
        <v>280</v>
      </c>
      <c r="X809" s="196">
        <v>5.65</v>
      </c>
      <c r="Y809" s="199">
        <v>0</v>
      </c>
      <c r="Z809" s="199">
        <v>2.38</v>
      </c>
      <c r="AA809" s="199">
        <v>13.44</v>
      </c>
      <c r="AB809" s="199">
        <v>-1.03</v>
      </c>
      <c r="AC809" s="199">
        <v>0</v>
      </c>
      <c r="AD809" s="199">
        <v>0</v>
      </c>
      <c r="AE809" s="199">
        <v>12.41</v>
      </c>
      <c r="AF809" s="199">
        <v>-1.36</v>
      </c>
      <c r="AG809" s="196" t="s">
        <v>279</v>
      </c>
      <c r="AH809" s="199">
        <v>0</v>
      </c>
      <c r="AI809" s="196" t="s">
        <v>279</v>
      </c>
      <c r="AJ809" s="199">
        <v>0</v>
      </c>
      <c r="AK809" s="196" t="s">
        <v>279</v>
      </c>
      <c r="AL809" s="199">
        <v>0</v>
      </c>
      <c r="AM809" s="196" t="s">
        <v>279</v>
      </c>
      <c r="AN809" s="199">
        <v>0</v>
      </c>
      <c r="AO809" s="196" t="s">
        <v>279</v>
      </c>
      <c r="AP809" s="199">
        <v>0</v>
      </c>
      <c r="AQ809" s="199">
        <v>13.44</v>
      </c>
      <c r="AR809" s="199">
        <v>0</v>
      </c>
      <c r="AS809" s="196" t="str">
        <f t="shared" si="20"/>
        <v>1.00000000</v>
      </c>
      <c r="AT809" s="196" t="str">
        <f t="shared" si="24"/>
        <v>53.3</v>
      </c>
      <c r="AU809" s="199">
        <v>0</v>
      </c>
    </row>
    <row r="810" spans="1:47" s="196" customFormat="1" x14ac:dyDescent="0.2">
      <c r="A810" s="196" t="str">
        <f t="shared" si="23"/>
        <v>0496002595833</v>
      </c>
      <c r="B810" s="196">
        <v>1</v>
      </c>
      <c r="C810" s="196" t="s">
        <v>571</v>
      </c>
      <c r="D810" s="196" t="s">
        <v>571</v>
      </c>
      <c r="E810" s="196" t="s">
        <v>572</v>
      </c>
      <c r="F810" s="196" t="s">
        <v>243</v>
      </c>
      <c r="G810" s="196">
        <v>2328</v>
      </c>
      <c r="H810" s="196" t="s">
        <v>270</v>
      </c>
      <c r="I810" s="196">
        <v>58048</v>
      </c>
      <c r="J810" s="197">
        <v>42856</v>
      </c>
      <c r="K810" s="198">
        <v>0.32916666666666666</v>
      </c>
      <c r="L810" s="197">
        <v>42858</v>
      </c>
      <c r="M810" s="196" t="s">
        <v>271</v>
      </c>
      <c r="N810" s="196" t="s">
        <v>272</v>
      </c>
      <c r="O810" s="196" t="s">
        <v>273</v>
      </c>
      <c r="P810" s="196" t="s">
        <v>274</v>
      </c>
      <c r="Q810" s="196" t="s">
        <v>275</v>
      </c>
      <c r="R810" s="196" t="s">
        <v>276</v>
      </c>
      <c r="S810" s="196" t="s">
        <v>436</v>
      </c>
      <c r="T810" s="196" t="s">
        <v>571</v>
      </c>
      <c r="U810" s="196">
        <v>2328</v>
      </c>
      <c r="V810" s="196" t="s">
        <v>571</v>
      </c>
      <c r="W810" s="196" t="s">
        <v>280</v>
      </c>
      <c r="X810" s="196">
        <v>11.025</v>
      </c>
      <c r="Y810" s="199">
        <v>-0.22</v>
      </c>
      <c r="Z810" s="199">
        <v>2.4</v>
      </c>
      <c r="AA810" s="199">
        <v>26.45</v>
      </c>
      <c r="AB810" s="199">
        <v>-2.02</v>
      </c>
      <c r="AC810" s="199">
        <v>0</v>
      </c>
      <c r="AD810" s="199">
        <v>0</v>
      </c>
      <c r="AE810" s="199">
        <v>24.21</v>
      </c>
      <c r="AF810" s="199">
        <v>-2.65</v>
      </c>
      <c r="AG810" s="196" t="s">
        <v>279</v>
      </c>
      <c r="AH810" s="199">
        <v>0</v>
      </c>
      <c r="AI810" s="196" t="s">
        <v>279</v>
      </c>
      <c r="AJ810" s="199">
        <v>0</v>
      </c>
      <c r="AK810" s="196" t="s">
        <v>279</v>
      </c>
      <c r="AL810" s="199">
        <v>0</v>
      </c>
      <c r="AM810" s="196" t="s">
        <v>279</v>
      </c>
      <c r="AN810" s="199">
        <v>0</v>
      </c>
      <c r="AO810" s="196" t="s">
        <v>279</v>
      </c>
      <c r="AP810" s="199">
        <v>0</v>
      </c>
      <c r="AQ810" s="199">
        <v>26.45</v>
      </c>
      <c r="AR810" s="199">
        <v>0</v>
      </c>
      <c r="AS810" s="196" t="str">
        <f t="shared" si="20"/>
        <v>1.00000000</v>
      </c>
      <c r="AT810" s="196" t="str">
        <f t="shared" si="24"/>
        <v>53.3</v>
      </c>
      <c r="AU810" s="199">
        <v>0</v>
      </c>
    </row>
    <row r="811" spans="1:47" s="196" customFormat="1" x14ac:dyDescent="0.2">
      <c r="A811" s="196" t="str">
        <f t="shared" si="23"/>
        <v>0496002595833</v>
      </c>
      <c r="B811" s="196">
        <v>1</v>
      </c>
      <c r="C811" s="196" t="s">
        <v>571</v>
      </c>
      <c r="D811" s="196" t="s">
        <v>571</v>
      </c>
      <c r="E811" s="196" t="s">
        <v>572</v>
      </c>
      <c r="F811" s="196" t="s">
        <v>243</v>
      </c>
      <c r="G811" s="196">
        <v>2328</v>
      </c>
      <c r="H811" s="196" t="s">
        <v>270</v>
      </c>
      <c r="I811" s="196">
        <v>58283</v>
      </c>
      <c r="J811" s="197">
        <v>42859</v>
      </c>
      <c r="K811" s="198">
        <v>0.36458333333333331</v>
      </c>
      <c r="L811" s="197">
        <v>42863</v>
      </c>
      <c r="M811" s="196" t="s">
        <v>271</v>
      </c>
      <c r="N811" s="196" t="s">
        <v>272</v>
      </c>
      <c r="O811" s="196" t="s">
        <v>273</v>
      </c>
      <c r="P811" s="196" t="s">
        <v>274</v>
      </c>
      <c r="Q811" s="196" t="s">
        <v>275</v>
      </c>
      <c r="R811" s="196" t="s">
        <v>276</v>
      </c>
      <c r="S811" s="196" t="s">
        <v>436</v>
      </c>
      <c r="T811" s="196" t="s">
        <v>571</v>
      </c>
      <c r="U811" s="196">
        <v>2328</v>
      </c>
      <c r="V811" s="196" t="s">
        <v>571</v>
      </c>
      <c r="W811" s="196" t="s">
        <v>280</v>
      </c>
      <c r="X811" s="196">
        <v>8.9700000000000006</v>
      </c>
      <c r="Y811" s="199">
        <v>-0.18</v>
      </c>
      <c r="Z811" s="199">
        <v>2.4</v>
      </c>
      <c r="AA811" s="199">
        <v>21.52</v>
      </c>
      <c r="AB811" s="199">
        <v>-1.64</v>
      </c>
      <c r="AC811" s="199">
        <v>0</v>
      </c>
      <c r="AD811" s="199">
        <v>0</v>
      </c>
      <c r="AE811" s="199">
        <v>19.7</v>
      </c>
      <c r="AF811" s="199">
        <v>-2.15</v>
      </c>
      <c r="AG811" s="196" t="s">
        <v>279</v>
      </c>
      <c r="AH811" s="199">
        <v>0</v>
      </c>
      <c r="AI811" s="196" t="s">
        <v>279</v>
      </c>
      <c r="AJ811" s="199">
        <v>0</v>
      </c>
      <c r="AK811" s="196" t="s">
        <v>279</v>
      </c>
      <c r="AL811" s="199">
        <v>0</v>
      </c>
      <c r="AM811" s="196" t="s">
        <v>279</v>
      </c>
      <c r="AN811" s="199">
        <v>0</v>
      </c>
      <c r="AO811" s="196" t="s">
        <v>279</v>
      </c>
      <c r="AP811" s="199">
        <v>0</v>
      </c>
      <c r="AQ811" s="199">
        <v>21.52</v>
      </c>
      <c r="AR811" s="199">
        <v>0</v>
      </c>
      <c r="AS811" s="196" t="str">
        <f t="shared" si="20"/>
        <v>1.00000000</v>
      </c>
      <c r="AT811" s="196" t="str">
        <f t="shared" si="24"/>
        <v>53.3</v>
      </c>
      <c r="AU811" s="199">
        <v>0</v>
      </c>
    </row>
    <row r="812" spans="1:47" s="196" customFormat="1" x14ac:dyDescent="0.2">
      <c r="A812" s="196" t="str">
        <f t="shared" si="23"/>
        <v>0496002595833</v>
      </c>
      <c r="B812" s="196">
        <v>1</v>
      </c>
      <c r="C812" s="196" t="s">
        <v>571</v>
      </c>
      <c r="D812" s="196" t="s">
        <v>571</v>
      </c>
      <c r="E812" s="196" t="s">
        <v>572</v>
      </c>
      <c r="F812" s="196" t="s">
        <v>243</v>
      </c>
      <c r="G812" s="196">
        <v>2328</v>
      </c>
      <c r="H812" s="196" t="s">
        <v>270</v>
      </c>
      <c r="I812" s="196">
        <v>58658</v>
      </c>
      <c r="J812" s="197">
        <v>42864</v>
      </c>
      <c r="K812" s="198">
        <v>0.76388888888888884</v>
      </c>
      <c r="L812" s="197">
        <v>42866</v>
      </c>
      <c r="M812" s="196" t="s">
        <v>271</v>
      </c>
      <c r="N812" s="196" t="s">
        <v>573</v>
      </c>
      <c r="O812" s="196" t="s">
        <v>574</v>
      </c>
      <c r="P812" s="196" t="s">
        <v>575</v>
      </c>
      <c r="Q812" s="196" t="s">
        <v>377</v>
      </c>
      <c r="R812" s="196">
        <v>5301</v>
      </c>
      <c r="S812" s="196" t="s">
        <v>436</v>
      </c>
      <c r="T812" s="196" t="s">
        <v>571</v>
      </c>
      <c r="U812" s="196">
        <v>2328</v>
      </c>
      <c r="V812" s="196" t="s">
        <v>571</v>
      </c>
      <c r="W812" s="196" t="s">
        <v>280</v>
      </c>
      <c r="X812" s="196">
        <v>15.663</v>
      </c>
      <c r="Y812" s="199">
        <v>-0.31</v>
      </c>
      <c r="Z812" s="199">
        <v>2.2999999999999998</v>
      </c>
      <c r="AA812" s="199">
        <v>36.01</v>
      </c>
      <c r="AB812" s="199">
        <v>-2.87</v>
      </c>
      <c r="AC812" s="199">
        <v>0</v>
      </c>
      <c r="AD812" s="199">
        <v>0</v>
      </c>
      <c r="AE812" s="199">
        <v>32.83</v>
      </c>
      <c r="AF812" s="199">
        <v>-3.76</v>
      </c>
      <c r="AG812" s="196" t="s">
        <v>279</v>
      </c>
      <c r="AH812" s="199">
        <v>0</v>
      </c>
      <c r="AI812" s="196" t="s">
        <v>279</v>
      </c>
      <c r="AJ812" s="199">
        <v>0</v>
      </c>
      <c r="AK812" s="196" t="s">
        <v>279</v>
      </c>
      <c r="AL812" s="199">
        <v>0</v>
      </c>
      <c r="AM812" s="196" t="s">
        <v>279</v>
      </c>
      <c r="AN812" s="199">
        <v>0</v>
      </c>
      <c r="AO812" s="196" t="s">
        <v>279</v>
      </c>
      <c r="AP812" s="199">
        <v>0</v>
      </c>
      <c r="AQ812" s="199">
        <v>36.01</v>
      </c>
      <c r="AR812" s="199">
        <v>0</v>
      </c>
      <c r="AS812" s="196" t="str">
        <f t="shared" si="20"/>
        <v>1.00000000</v>
      </c>
      <c r="AT812" s="196" t="str">
        <f t="shared" si="24"/>
        <v>53.3</v>
      </c>
      <c r="AU812" s="199">
        <v>0</v>
      </c>
    </row>
    <row r="813" spans="1:47" s="196" customFormat="1" x14ac:dyDescent="0.2">
      <c r="A813" s="196" t="str">
        <f t="shared" si="23"/>
        <v>0496002595833</v>
      </c>
      <c r="B813" s="196">
        <v>1</v>
      </c>
      <c r="C813" s="196" t="s">
        <v>571</v>
      </c>
      <c r="D813" s="196" t="s">
        <v>571</v>
      </c>
      <c r="E813" s="196" t="s">
        <v>572</v>
      </c>
      <c r="F813" s="196" t="s">
        <v>243</v>
      </c>
      <c r="G813" s="196">
        <v>2328</v>
      </c>
      <c r="H813" s="196" t="s">
        <v>270</v>
      </c>
      <c r="I813" s="196">
        <v>58741</v>
      </c>
      <c r="J813" s="197">
        <v>42865</v>
      </c>
      <c r="K813" s="198">
        <v>0.33749999999999997</v>
      </c>
      <c r="L813" s="197">
        <v>42867</v>
      </c>
      <c r="M813" s="196" t="s">
        <v>271</v>
      </c>
      <c r="N813" s="196" t="s">
        <v>352</v>
      </c>
      <c r="O813" s="196" t="s">
        <v>353</v>
      </c>
      <c r="P813" s="196" t="s">
        <v>343</v>
      </c>
      <c r="Q813" s="196" t="s">
        <v>275</v>
      </c>
      <c r="R813" s="196">
        <v>1035</v>
      </c>
      <c r="S813" s="196" t="s">
        <v>436</v>
      </c>
      <c r="T813" s="196" t="s">
        <v>571</v>
      </c>
      <c r="U813" s="196">
        <v>2328</v>
      </c>
      <c r="V813" s="196" t="s">
        <v>571</v>
      </c>
      <c r="W813" s="196" t="s">
        <v>280</v>
      </c>
      <c r="X813" s="196">
        <v>3.6179999999999999</v>
      </c>
      <c r="Y813" s="199">
        <v>-7.0000000000000007E-2</v>
      </c>
      <c r="Z813" s="199">
        <v>2.35</v>
      </c>
      <c r="AA813" s="199">
        <v>8.5</v>
      </c>
      <c r="AB813" s="199">
        <v>-0.66</v>
      </c>
      <c r="AC813" s="199">
        <v>0</v>
      </c>
      <c r="AD813" s="199">
        <v>0</v>
      </c>
      <c r="AE813" s="199">
        <v>7.77</v>
      </c>
      <c r="AF813" s="199">
        <v>-0.87</v>
      </c>
      <c r="AG813" s="196" t="s">
        <v>279</v>
      </c>
      <c r="AH813" s="199">
        <v>0</v>
      </c>
      <c r="AI813" s="196" t="s">
        <v>279</v>
      </c>
      <c r="AJ813" s="199">
        <v>0</v>
      </c>
      <c r="AK813" s="196" t="s">
        <v>279</v>
      </c>
      <c r="AL813" s="199">
        <v>0</v>
      </c>
      <c r="AM813" s="196" t="s">
        <v>279</v>
      </c>
      <c r="AN813" s="199">
        <v>0</v>
      </c>
      <c r="AO813" s="196" t="s">
        <v>279</v>
      </c>
      <c r="AP813" s="199">
        <v>0</v>
      </c>
      <c r="AQ813" s="199">
        <v>8.5</v>
      </c>
      <c r="AR813" s="199">
        <v>0</v>
      </c>
      <c r="AS813" s="196" t="str">
        <f t="shared" si="20"/>
        <v>1.00000000</v>
      </c>
      <c r="AT813" s="196" t="str">
        <f t="shared" si="24"/>
        <v>53.3</v>
      </c>
      <c r="AU813" s="199">
        <v>0</v>
      </c>
    </row>
    <row r="814" spans="1:47" s="196" customFormat="1" x14ac:dyDescent="0.2">
      <c r="A814" s="196" t="str">
        <f t="shared" si="23"/>
        <v>0496002595833</v>
      </c>
      <c r="B814" s="196">
        <v>1</v>
      </c>
      <c r="C814" s="196" t="s">
        <v>571</v>
      </c>
      <c r="D814" s="196" t="s">
        <v>571</v>
      </c>
      <c r="E814" s="196" t="s">
        <v>572</v>
      </c>
      <c r="F814" s="196" t="s">
        <v>243</v>
      </c>
      <c r="G814" s="196">
        <v>2328</v>
      </c>
      <c r="H814" s="196" t="s">
        <v>270</v>
      </c>
      <c r="I814" s="196">
        <v>58996</v>
      </c>
      <c r="J814" s="197">
        <v>42873</v>
      </c>
      <c r="K814" s="198">
        <v>0.37187500000000001</v>
      </c>
      <c r="L814" s="197">
        <v>42877</v>
      </c>
      <c r="M814" s="196" t="s">
        <v>340</v>
      </c>
      <c r="N814" s="196" t="s">
        <v>341</v>
      </c>
      <c r="O814" s="196" t="s">
        <v>342</v>
      </c>
      <c r="P814" s="196" t="s">
        <v>343</v>
      </c>
      <c r="Q814" s="196" t="s">
        <v>275</v>
      </c>
      <c r="R814" s="196">
        <v>1035</v>
      </c>
      <c r="S814" s="196" t="s">
        <v>436</v>
      </c>
      <c r="T814" s="196" t="s">
        <v>571</v>
      </c>
      <c r="U814" s="196">
        <v>2328</v>
      </c>
      <c r="V814" s="196" t="s">
        <v>571</v>
      </c>
      <c r="W814" s="196" t="s">
        <v>280</v>
      </c>
      <c r="X814" s="196">
        <v>10.4</v>
      </c>
      <c r="Y814" s="199">
        <v>0</v>
      </c>
      <c r="Z814" s="199">
        <v>2.2999999999999998</v>
      </c>
      <c r="AA814" s="199">
        <v>23.91</v>
      </c>
      <c r="AB814" s="199">
        <v>-1.9</v>
      </c>
      <c r="AC814" s="199">
        <v>0</v>
      </c>
      <c r="AD814" s="199">
        <v>0</v>
      </c>
      <c r="AE814" s="199">
        <v>22.01</v>
      </c>
      <c r="AF814" s="199">
        <v>-2.5</v>
      </c>
      <c r="AG814" s="196" t="s">
        <v>279</v>
      </c>
      <c r="AH814" s="199">
        <v>0</v>
      </c>
      <c r="AI814" s="196" t="s">
        <v>279</v>
      </c>
      <c r="AJ814" s="199">
        <v>0</v>
      </c>
      <c r="AK814" s="196" t="s">
        <v>279</v>
      </c>
      <c r="AL814" s="199">
        <v>0</v>
      </c>
      <c r="AM814" s="196" t="s">
        <v>279</v>
      </c>
      <c r="AN814" s="199">
        <v>0</v>
      </c>
      <c r="AO814" s="196" t="s">
        <v>279</v>
      </c>
      <c r="AP814" s="199">
        <v>0</v>
      </c>
      <c r="AQ814" s="199">
        <v>23.91</v>
      </c>
      <c r="AR814" s="199">
        <v>0</v>
      </c>
      <c r="AS814" s="196" t="str">
        <f t="shared" si="20"/>
        <v>1.00000000</v>
      </c>
      <c r="AT814" s="196" t="str">
        <f t="shared" si="24"/>
        <v>53.3</v>
      </c>
      <c r="AU814" s="199">
        <v>0</v>
      </c>
    </row>
    <row r="815" spans="1:47" s="196" customFormat="1" x14ac:dyDescent="0.2">
      <c r="A815" s="196" t="str">
        <f t="shared" si="23"/>
        <v>0496002595833</v>
      </c>
      <c r="B815" s="196">
        <v>1</v>
      </c>
      <c r="C815" s="196" t="s">
        <v>571</v>
      </c>
      <c r="D815" s="196" t="s">
        <v>571</v>
      </c>
      <c r="E815" s="196" t="s">
        <v>572</v>
      </c>
      <c r="F815" s="196" t="s">
        <v>243</v>
      </c>
      <c r="G815" s="196">
        <v>2328</v>
      </c>
      <c r="H815" s="196" t="s">
        <v>270</v>
      </c>
      <c r="I815" s="196">
        <v>59099</v>
      </c>
      <c r="J815" s="197">
        <v>42887</v>
      </c>
      <c r="K815" s="198">
        <v>0.90972222222222221</v>
      </c>
      <c r="L815" s="197">
        <v>42891</v>
      </c>
      <c r="M815" s="196" t="s">
        <v>271</v>
      </c>
      <c r="N815" s="196" t="s">
        <v>272</v>
      </c>
      <c r="O815" s="196" t="s">
        <v>273</v>
      </c>
      <c r="P815" s="196" t="s">
        <v>274</v>
      </c>
      <c r="Q815" s="196" t="s">
        <v>275</v>
      </c>
      <c r="R815" s="196" t="s">
        <v>276</v>
      </c>
      <c r="S815" s="196" t="s">
        <v>436</v>
      </c>
      <c r="T815" s="196" t="s">
        <v>571</v>
      </c>
      <c r="U815" s="196">
        <v>2328</v>
      </c>
      <c r="V815" s="196" t="s">
        <v>571</v>
      </c>
      <c r="W815" s="196" t="s">
        <v>280</v>
      </c>
      <c r="X815" s="196">
        <v>4.5810000000000004</v>
      </c>
      <c r="Y815" s="199">
        <v>-0.09</v>
      </c>
      <c r="Z815" s="199">
        <v>2.4</v>
      </c>
      <c r="AA815" s="199">
        <v>10.99</v>
      </c>
      <c r="AB815" s="199">
        <v>-0.84</v>
      </c>
      <c r="AC815" s="199">
        <v>0</v>
      </c>
      <c r="AD815" s="199">
        <v>0</v>
      </c>
      <c r="AE815" s="199">
        <v>10.06</v>
      </c>
      <c r="AF815" s="199">
        <v>-1.1000000000000001</v>
      </c>
      <c r="AG815" s="196" t="s">
        <v>279</v>
      </c>
      <c r="AH815" s="199">
        <v>0</v>
      </c>
      <c r="AI815" s="196" t="s">
        <v>279</v>
      </c>
      <c r="AJ815" s="199">
        <v>0</v>
      </c>
      <c r="AK815" s="196" t="s">
        <v>279</v>
      </c>
      <c r="AL815" s="199">
        <v>0</v>
      </c>
      <c r="AM815" s="196" t="s">
        <v>279</v>
      </c>
      <c r="AN815" s="199">
        <v>0</v>
      </c>
      <c r="AO815" s="196" t="s">
        <v>279</v>
      </c>
      <c r="AP815" s="199">
        <v>0</v>
      </c>
      <c r="AQ815" s="199">
        <v>10.99</v>
      </c>
      <c r="AR815" s="199">
        <v>0</v>
      </c>
      <c r="AS815" s="196" t="str">
        <f t="shared" si="20"/>
        <v>1.00000000</v>
      </c>
      <c r="AT815" s="196" t="str">
        <f t="shared" si="24"/>
        <v>53.3</v>
      </c>
      <c r="AU815" s="199">
        <v>0</v>
      </c>
    </row>
    <row r="816" spans="1:47" s="196" customFormat="1" x14ac:dyDescent="0.2">
      <c r="A816" s="196" t="str">
        <f t="shared" si="23"/>
        <v>0496002595833</v>
      </c>
      <c r="B816" s="196">
        <v>1</v>
      </c>
      <c r="C816" s="196" t="s">
        <v>571</v>
      </c>
      <c r="D816" s="196" t="s">
        <v>571</v>
      </c>
      <c r="E816" s="196" t="s">
        <v>572</v>
      </c>
      <c r="F816" s="196" t="s">
        <v>243</v>
      </c>
      <c r="G816" s="196">
        <v>2328</v>
      </c>
      <c r="H816" s="196" t="s">
        <v>270</v>
      </c>
      <c r="I816" s="196">
        <v>596346</v>
      </c>
      <c r="J816" s="197">
        <v>42892</v>
      </c>
      <c r="K816" s="198">
        <v>0.75347222222222221</v>
      </c>
      <c r="L816" s="197">
        <v>42894</v>
      </c>
      <c r="M816" s="196" t="s">
        <v>271</v>
      </c>
      <c r="N816" s="196" t="s">
        <v>272</v>
      </c>
      <c r="O816" s="196" t="s">
        <v>273</v>
      </c>
      <c r="P816" s="196" t="s">
        <v>274</v>
      </c>
      <c r="Q816" s="196" t="s">
        <v>275</v>
      </c>
      <c r="R816" s="196" t="s">
        <v>276</v>
      </c>
      <c r="S816" s="196" t="s">
        <v>436</v>
      </c>
      <c r="T816" s="196" t="s">
        <v>571</v>
      </c>
      <c r="U816" s="196">
        <v>2328</v>
      </c>
      <c r="V816" s="196" t="s">
        <v>571</v>
      </c>
      <c r="W816" s="196" t="s">
        <v>280</v>
      </c>
      <c r="X816" s="196">
        <v>10.91</v>
      </c>
      <c r="Y816" s="199">
        <v>-0.22</v>
      </c>
      <c r="Z816" s="199">
        <v>2.34</v>
      </c>
      <c r="AA816" s="199">
        <v>25.52</v>
      </c>
      <c r="AB816" s="199">
        <v>-2</v>
      </c>
      <c r="AC816" s="199">
        <v>0</v>
      </c>
      <c r="AD816" s="199">
        <v>0</v>
      </c>
      <c r="AE816" s="199">
        <v>23.3</v>
      </c>
      <c r="AF816" s="199">
        <v>-2.62</v>
      </c>
      <c r="AG816" s="196" t="s">
        <v>279</v>
      </c>
      <c r="AH816" s="199">
        <v>0</v>
      </c>
      <c r="AI816" s="196" t="s">
        <v>279</v>
      </c>
      <c r="AJ816" s="199">
        <v>0</v>
      </c>
      <c r="AK816" s="196" t="s">
        <v>279</v>
      </c>
      <c r="AL816" s="199">
        <v>0</v>
      </c>
      <c r="AM816" s="196" t="s">
        <v>279</v>
      </c>
      <c r="AN816" s="199">
        <v>0</v>
      </c>
      <c r="AO816" s="196" t="s">
        <v>279</v>
      </c>
      <c r="AP816" s="199">
        <v>0</v>
      </c>
      <c r="AQ816" s="199">
        <v>25.52</v>
      </c>
      <c r="AR816" s="199">
        <v>0</v>
      </c>
      <c r="AS816" s="196" t="str">
        <f t="shared" si="20"/>
        <v>1.00000000</v>
      </c>
      <c r="AT816" s="196" t="str">
        <f>"53.4"</f>
        <v>53.4</v>
      </c>
      <c r="AU816" s="199">
        <v>0</v>
      </c>
    </row>
    <row r="817" spans="1:47" s="196" customFormat="1" x14ac:dyDescent="0.2">
      <c r="A817" s="196" t="str">
        <f t="shared" si="23"/>
        <v>0496002595833</v>
      </c>
      <c r="B817" s="196">
        <v>1</v>
      </c>
      <c r="C817" s="196" t="s">
        <v>571</v>
      </c>
      <c r="D817" s="196" t="s">
        <v>571</v>
      </c>
      <c r="E817" s="196" t="s">
        <v>572</v>
      </c>
      <c r="F817" s="196" t="s">
        <v>243</v>
      </c>
      <c r="G817" s="196">
        <v>2328</v>
      </c>
      <c r="H817" s="196" t="s">
        <v>270</v>
      </c>
      <c r="I817" s="196">
        <v>59611</v>
      </c>
      <c r="J817" s="197">
        <v>42896</v>
      </c>
      <c r="K817" s="198">
        <v>0.59236111111111112</v>
      </c>
      <c r="L817" s="197">
        <v>42899</v>
      </c>
      <c r="M817" s="196" t="s">
        <v>271</v>
      </c>
      <c r="N817" s="196" t="s">
        <v>352</v>
      </c>
      <c r="O817" s="196" t="s">
        <v>353</v>
      </c>
      <c r="P817" s="196" t="s">
        <v>343</v>
      </c>
      <c r="Q817" s="196" t="s">
        <v>275</v>
      </c>
      <c r="R817" s="196">
        <v>1035</v>
      </c>
      <c r="S817" s="196" t="s">
        <v>436</v>
      </c>
      <c r="T817" s="196" t="s">
        <v>571</v>
      </c>
      <c r="U817" s="196">
        <v>2328</v>
      </c>
      <c r="V817" s="196" t="s">
        <v>571</v>
      </c>
      <c r="W817" s="196" t="s">
        <v>280</v>
      </c>
      <c r="X817" s="196">
        <v>10.176</v>
      </c>
      <c r="Y817" s="199">
        <v>-0.2</v>
      </c>
      <c r="Z817" s="199">
        <v>2.27</v>
      </c>
      <c r="AA817" s="199">
        <v>23.09</v>
      </c>
      <c r="AB817" s="199">
        <v>-1.86</v>
      </c>
      <c r="AC817" s="199">
        <v>0</v>
      </c>
      <c r="AD817" s="199">
        <v>0</v>
      </c>
      <c r="AE817" s="199">
        <v>21.03</v>
      </c>
      <c r="AF817" s="199">
        <v>-2.44</v>
      </c>
      <c r="AG817" s="196" t="s">
        <v>279</v>
      </c>
      <c r="AH817" s="199">
        <v>0</v>
      </c>
      <c r="AI817" s="196" t="s">
        <v>279</v>
      </c>
      <c r="AJ817" s="199">
        <v>0</v>
      </c>
      <c r="AK817" s="196" t="s">
        <v>279</v>
      </c>
      <c r="AL817" s="199">
        <v>0</v>
      </c>
      <c r="AM817" s="196" t="s">
        <v>279</v>
      </c>
      <c r="AN817" s="199">
        <v>0</v>
      </c>
      <c r="AO817" s="196" t="s">
        <v>279</v>
      </c>
      <c r="AP817" s="199">
        <v>0</v>
      </c>
      <c r="AQ817" s="199">
        <v>23.09</v>
      </c>
      <c r="AR817" s="199">
        <v>0</v>
      </c>
      <c r="AS817" s="196" t="str">
        <f t="shared" si="20"/>
        <v>1.00000000</v>
      </c>
      <c r="AT817" s="196" t="str">
        <f>"53.3"</f>
        <v>53.3</v>
      </c>
      <c r="AU817" s="199">
        <v>0</v>
      </c>
    </row>
    <row r="818" spans="1:47" s="196" customFormat="1" x14ac:dyDescent="0.2">
      <c r="A818" s="196" t="str">
        <f t="shared" si="23"/>
        <v>0496002595833</v>
      </c>
      <c r="B818" s="196">
        <v>1</v>
      </c>
      <c r="C818" s="196" t="s">
        <v>571</v>
      </c>
      <c r="D818" s="196" t="s">
        <v>571</v>
      </c>
      <c r="E818" s="196" t="s">
        <v>572</v>
      </c>
      <c r="F818" s="196" t="s">
        <v>243</v>
      </c>
      <c r="G818" s="196">
        <v>2328</v>
      </c>
      <c r="H818" s="196" t="s">
        <v>270</v>
      </c>
      <c r="I818" s="196">
        <v>59854</v>
      </c>
      <c r="J818" s="197">
        <v>42900</v>
      </c>
      <c r="K818" s="198">
        <v>0.3743055555555555</v>
      </c>
      <c r="L818" s="197">
        <v>42902</v>
      </c>
      <c r="M818" s="196" t="s">
        <v>271</v>
      </c>
      <c r="N818" s="196" t="s">
        <v>272</v>
      </c>
      <c r="O818" s="196" t="s">
        <v>273</v>
      </c>
      <c r="P818" s="196" t="s">
        <v>274</v>
      </c>
      <c r="Q818" s="196" t="s">
        <v>275</v>
      </c>
      <c r="R818" s="196" t="s">
        <v>276</v>
      </c>
      <c r="S818" s="196" t="s">
        <v>436</v>
      </c>
      <c r="T818" s="196" t="s">
        <v>571</v>
      </c>
      <c r="U818" s="196">
        <v>2328</v>
      </c>
      <c r="V818" s="196" t="s">
        <v>571</v>
      </c>
      <c r="W818" s="196" t="s">
        <v>280</v>
      </c>
      <c r="X818" s="196">
        <v>10.445</v>
      </c>
      <c r="Y818" s="199">
        <v>-0.21</v>
      </c>
      <c r="Z818" s="199">
        <v>2.27</v>
      </c>
      <c r="AA818" s="199">
        <v>23.7</v>
      </c>
      <c r="AB818" s="199">
        <v>-1.91</v>
      </c>
      <c r="AC818" s="199">
        <v>0</v>
      </c>
      <c r="AD818" s="199">
        <v>0</v>
      </c>
      <c r="AE818" s="199">
        <v>21.58</v>
      </c>
      <c r="AF818" s="199">
        <v>-2.5099999999999998</v>
      </c>
      <c r="AG818" s="196" t="s">
        <v>279</v>
      </c>
      <c r="AH818" s="199">
        <v>0</v>
      </c>
      <c r="AI818" s="196" t="s">
        <v>279</v>
      </c>
      <c r="AJ818" s="199">
        <v>0</v>
      </c>
      <c r="AK818" s="196" t="s">
        <v>279</v>
      </c>
      <c r="AL818" s="199">
        <v>0</v>
      </c>
      <c r="AM818" s="196" t="s">
        <v>279</v>
      </c>
      <c r="AN818" s="199">
        <v>0</v>
      </c>
      <c r="AO818" s="196" t="s">
        <v>279</v>
      </c>
      <c r="AP818" s="199">
        <v>0</v>
      </c>
      <c r="AQ818" s="199">
        <v>23.7</v>
      </c>
      <c r="AR818" s="199">
        <v>0</v>
      </c>
      <c r="AS818" s="196" t="str">
        <f t="shared" si="20"/>
        <v>1.00000000</v>
      </c>
      <c r="AT818" s="196" t="str">
        <f>"53.3"</f>
        <v>53.3</v>
      </c>
      <c r="AU818" s="199">
        <v>0</v>
      </c>
    </row>
    <row r="819" spans="1:47" s="196" customFormat="1" x14ac:dyDescent="0.2">
      <c r="A819" s="196" t="str">
        <f t="shared" si="23"/>
        <v>0496002595833</v>
      </c>
      <c r="B819" s="196">
        <v>1</v>
      </c>
      <c r="C819" s="196" t="s">
        <v>571</v>
      </c>
      <c r="D819" s="196" t="s">
        <v>571</v>
      </c>
      <c r="E819" s="196" t="s">
        <v>572</v>
      </c>
      <c r="F819" s="196" t="s">
        <v>243</v>
      </c>
      <c r="G819" s="196">
        <v>2328</v>
      </c>
      <c r="H819" s="196" t="s">
        <v>270</v>
      </c>
      <c r="I819" s="196">
        <v>60272</v>
      </c>
      <c r="J819" s="197">
        <v>42909</v>
      </c>
      <c r="K819" s="198">
        <v>0.63472222222222219</v>
      </c>
      <c r="L819" s="197">
        <v>42913</v>
      </c>
      <c r="M819" s="196" t="s">
        <v>302</v>
      </c>
      <c r="N819" s="196" t="s">
        <v>576</v>
      </c>
      <c r="O819" s="196" t="s">
        <v>577</v>
      </c>
      <c r="P819" s="196" t="s">
        <v>578</v>
      </c>
      <c r="Q819" s="196" t="s">
        <v>309</v>
      </c>
      <c r="R819" s="196">
        <v>6095</v>
      </c>
      <c r="S819" s="196" t="s">
        <v>436</v>
      </c>
      <c r="T819" s="196" t="s">
        <v>571</v>
      </c>
      <c r="U819" s="196">
        <v>2328</v>
      </c>
      <c r="V819" s="196" t="s">
        <v>571</v>
      </c>
      <c r="W819" s="196" t="s">
        <v>280</v>
      </c>
      <c r="X819" s="196">
        <v>14.961</v>
      </c>
      <c r="Y819" s="199">
        <v>0</v>
      </c>
      <c r="Z819" s="199">
        <v>2.5</v>
      </c>
      <c r="AA819" s="199">
        <v>37.39</v>
      </c>
      <c r="AB819" s="199">
        <v>-2.74</v>
      </c>
      <c r="AC819" s="199">
        <v>0</v>
      </c>
      <c r="AD819" s="199">
        <v>0</v>
      </c>
      <c r="AE819" s="199">
        <v>34.65</v>
      </c>
      <c r="AF819" s="199">
        <v>-3.74</v>
      </c>
      <c r="AG819" s="196" t="s">
        <v>279</v>
      </c>
      <c r="AH819" s="199">
        <v>0</v>
      </c>
      <c r="AI819" s="196" t="s">
        <v>279</v>
      </c>
      <c r="AJ819" s="199">
        <v>0</v>
      </c>
      <c r="AK819" s="196" t="s">
        <v>279</v>
      </c>
      <c r="AL819" s="199">
        <v>0</v>
      </c>
      <c r="AM819" s="196" t="s">
        <v>279</v>
      </c>
      <c r="AN819" s="199">
        <v>0</v>
      </c>
      <c r="AO819" s="196" t="s">
        <v>279</v>
      </c>
      <c r="AP819" s="199">
        <v>0</v>
      </c>
      <c r="AQ819" s="199">
        <v>37.39</v>
      </c>
      <c r="AR819" s="199">
        <v>0</v>
      </c>
      <c r="AS819" s="196" t="str">
        <f t="shared" si="20"/>
        <v>1.00000000</v>
      </c>
      <c r="AT819" s="196" t="str">
        <f>"53.3"</f>
        <v>53.3</v>
      </c>
      <c r="AU819" s="199">
        <v>0</v>
      </c>
    </row>
    <row r="820" spans="1:47" s="196" customFormat="1" x14ac:dyDescent="0.2">
      <c r="A820" s="196" t="str">
        <f t="shared" ref="A820:A826" si="25">"0496002595890"</f>
        <v>0496002595890</v>
      </c>
      <c r="B820" s="196">
        <v>1</v>
      </c>
      <c r="C820" s="196" t="s">
        <v>579</v>
      </c>
      <c r="D820" s="196">
        <v>12</v>
      </c>
      <c r="F820" s="196" t="s">
        <v>243</v>
      </c>
      <c r="G820" s="196">
        <v>2834</v>
      </c>
      <c r="H820" s="196" t="s">
        <v>270</v>
      </c>
      <c r="I820" s="196">
        <v>15228</v>
      </c>
      <c r="J820" s="197">
        <v>42760</v>
      </c>
      <c r="K820" s="198">
        <v>0.5444444444444444</v>
      </c>
      <c r="L820" s="197">
        <v>42762</v>
      </c>
      <c r="M820" s="196" t="s">
        <v>271</v>
      </c>
      <c r="N820" s="196" t="s">
        <v>272</v>
      </c>
      <c r="O820" s="196" t="s">
        <v>273</v>
      </c>
      <c r="P820" s="196" t="s">
        <v>274</v>
      </c>
      <c r="Q820" s="196" t="s">
        <v>275</v>
      </c>
      <c r="R820" s="196" t="s">
        <v>276</v>
      </c>
      <c r="S820" s="196" t="s">
        <v>436</v>
      </c>
      <c r="T820" s="196" t="s">
        <v>579</v>
      </c>
      <c r="U820" s="196">
        <v>2834</v>
      </c>
      <c r="V820" s="196" t="s">
        <v>579</v>
      </c>
      <c r="W820" s="196" t="s">
        <v>280</v>
      </c>
      <c r="X820" s="196">
        <v>27.681999999999999</v>
      </c>
      <c r="Y820" s="199">
        <v>-0.55000000000000004</v>
      </c>
      <c r="Z820" s="199">
        <v>2.15</v>
      </c>
      <c r="AA820" s="199">
        <v>59.49</v>
      </c>
      <c r="AB820" s="199">
        <v>-5.07</v>
      </c>
      <c r="AC820" s="199">
        <v>0</v>
      </c>
      <c r="AD820" s="199">
        <v>0</v>
      </c>
      <c r="AE820" s="199">
        <v>53.87</v>
      </c>
      <c r="AF820" s="199">
        <v>-6.64</v>
      </c>
      <c r="AG820" s="196" t="s">
        <v>279</v>
      </c>
      <c r="AH820" s="199">
        <v>0</v>
      </c>
      <c r="AI820" s="196" t="s">
        <v>279</v>
      </c>
      <c r="AJ820" s="199">
        <v>0</v>
      </c>
      <c r="AK820" s="196" t="s">
        <v>279</v>
      </c>
      <c r="AL820" s="199">
        <v>0</v>
      </c>
      <c r="AM820" s="196" t="s">
        <v>279</v>
      </c>
      <c r="AN820" s="199">
        <v>0</v>
      </c>
      <c r="AO820" s="196" t="s">
        <v>279</v>
      </c>
      <c r="AP820" s="199">
        <v>0</v>
      </c>
      <c r="AQ820" s="199">
        <v>59.49</v>
      </c>
      <c r="AR820" s="199">
        <v>0</v>
      </c>
      <c r="AS820" s="196" t="str">
        <f t="shared" si="20"/>
        <v>1.00000000</v>
      </c>
      <c r="AT820" s="196" t="str">
        <f>"548.9"</f>
        <v>548.9</v>
      </c>
      <c r="AU820" s="199">
        <v>0</v>
      </c>
    </row>
    <row r="821" spans="1:47" s="196" customFormat="1" x14ac:dyDescent="0.2">
      <c r="A821" s="196" t="str">
        <f t="shared" si="25"/>
        <v>0496002595890</v>
      </c>
      <c r="B821" s="196">
        <v>1</v>
      </c>
      <c r="C821" s="196" t="s">
        <v>579</v>
      </c>
      <c r="D821" s="196">
        <v>12</v>
      </c>
      <c r="F821" s="196" t="s">
        <v>243</v>
      </c>
      <c r="G821" s="196">
        <v>2834</v>
      </c>
      <c r="H821" s="196" t="s">
        <v>270</v>
      </c>
      <c r="I821" s="196">
        <v>15487</v>
      </c>
      <c r="J821" s="197">
        <v>42795</v>
      </c>
      <c r="K821" s="198">
        <v>0.64722222222222225</v>
      </c>
      <c r="L821" s="197">
        <v>42797</v>
      </c>
      <c r="M821" s="196" t="s">
        <v>271</v>
      </c>
      <c r="N821" s="196" t="s">
        <v>272</v>
      </c>
      <c r="O821" s="196" t="s">
        <v>273</v>
      </c>
      <c r="P821" s="196" t="s">
        <v>274</v>
      </c>
      <c r="Q821" s="196" t="s">
        <v>275</v>
      </c>
      <c r="R821" s="196" t="s">
        <v>276</v>
      </c>
      <c r="S821" s="196" t="s">
        <v>436</v>
      </c>
      <c r="T821" s="196" t="s">
        <v>579</v>
      </c>
      <c r="U821" s="196">
        <v>2834</v>
      </c>
      <c r="V821" s="196" t="s">
        <v>579</v>
      </c>
      <c r="W821" s="196" t="s">
        <v>280</v>
      </c>
      <c r="X821" s="196">
        <v>28.588000000000001</v>
      </c>
      <c r="Y821" s="199">
        <v>-0.56999999999999995</v>
      </c>
      <c r="Z821" s="199">
        <v>2.19</v>
      </c>
      <c r="AA821" s="199">
        <v>62.58</v>
      </c>
      <c r="AB821" s="199">
        <v>-5.23</v>
      </c>
      <c r="AC821" s="199">
        <v>0</v>
      </c>
      <c r="AD821" s="199">
        <v>0</v>
      </c>
      <c r="AE821" s="199">
        <v>56.78</v>
      </c>
      <c r="AF821" s="199">
        <v>-6.86</v>
      </c>
      <c r="AG821" s="196" t="s">
        <v>279</v>
      </c>
      <c r="AH821" s="199">
        <v>0</v>
      </c>
      <c r="AI821" s="196" t="s">
        <v>279</v>
      </c>
      <c r="AJ821" s="199">
        <v>0</v>
      </c>
      <c r="AK821" s="196" t="s">
        <v>279</v>
      </c>
      <c r="AL821" s="199">
        <v>0</v>
      </c>
      <c r="AM821" s="196" t="s">
        <v>279</v>
      </c>
      <c r="AN821" s="199">
        <v>0</v>
      </c>
      <c r="AO821" s="196" t="s">
        <v>279</v>
      </c>
      <c r="AP821" s="199">
        <v>0</v>
      </c>
      <c r="AQ821" s="199">
        <v>62.58</v>
      </c>
      <c r="AR821" s="199">
        <v>0</v>
      </c>
      <c r="AS821" s="196" t="str">
        <f t="shared" si="20"/>
        <v>1.00000000</v>
      </c>
      <c r="AT821" s="196" t="str">
        <f>"9.1"</f>
        <v>9.1</v>
      </c>
      <c r="AU821" s="199">
        <v>0</v>
      </c>
    </row>
    <row r="822" spans="1:47" s="196" customFormat="1" x14ac:dyDescent="0.2">
      <c r="A822" s="196" t="str">
        <f t="shared" si="25"/>
        <v>0496002595890</v>
      </c>
      <c r="B822" s="196">
        <v>1</v>
      </c>
      <c r="C822" s="196" t="s">
        <v>579</v>
      </c>
      <c r="D822" s="196">
        <v>12</v>
      </c>
      <c r="F822" s="196" t="s">
        <v>243</v>
      </c>
      <c r="G822" s="196">
        <v>2834</v>
      </c>
      <c r="H822" s="196" t="s">
        <v>270</v>
      </c>
      <c r="I822" s="196">
        <v>15701</v>
      </c>
      <c r="J822" s="197">
        <v>42824</v>
      </c>
      <c r="K822" s="198">
        <v>0.56597222222222221</v>
      </c>
      <c r="L822" s="197">
        <v>42828</v>
      </c>
      <c r="M822" s="196" t="s">
        <v>271</v>
      </c>
      <c r="N822" s="196" t="s">
        <v>272</v>
      </c>
      <c r="O822" s="196" t="s">
        <v>273</v>
      </c>
      <c r="P822" s="196" t="s">
        <v>274</v>
      </c>
      <c r="Q822" s="196" t="s">
        <v>275</v>
      </c>
      <c r="R822" s="196" t="s">
        <v>276</v>
      </c>
      <c r="S822" s="196" t="s">
        <v>436</v>
      </c>
      <c r="T822" s="196" t="s">
        <v>579</v>
      </c>
      <c r="U822" s="196">
        <v>2834</v>
      </c>
      <c r="V822" s="196" t="s">
        <v>579</v>
      </c>
      <c r="W822" s="196" t="s">
        <v>280</v>
      </c>
      <c r="X822" s="196">
        <v>27.608000000000001</v>
      </c>
      <c r="Y822" s="199">
        <v>-0.55000000000000004</v>
      </c>
      <c r="Z822" s="199">
        <v>2.1800000000000002</v>
      </c>
      <c r="AA822" s="199">
        <v>60.16</v>
      </c>
      <c r="AB822" s="199">
        <v>-5.05</v>
      </c>
      <c r="AC822" s="199">
        <v>0</v>
      </c>
      <c r="AD822" s="199">
        <v>0</v>
      </c>
      <c r="AE822" s="199">
        <v>54.56</v>
      </c>
      <c r="AF822" s="199">
        <v>-6.63</v>
      </c>
      <c r="AG822" s="196" t="s">
        <v>279</v>
      </c>
      <c r="AH822" s="199">
        <v>0</v>
      </c>
      <c r="AI822" s="196" t="s">
        <v>279</v>
      </c>
      <c r="AJ822" s="199">
        <v>0</v>
      </c>
      <c r="AK822" s="196" t="s">
        <v>279</v>
      </c>
      <c r="AL822" s="199">
        <v>0</v>
      </c>
      <c r="AM822" s="196" t="s">
        <v>279</v>
      </c>
      <c r="AN822" s="199">
        <v>0</v>
      </c>
      <c r="AO822" s="196" t="s">
        <v>279</v>
      </c>
      <c r="AP822" s="199">
        <v>0</v>
      </c>
      <c r="AQ822" s="199">
        <v>60.16</v>
      </c>
      <c r="AR822" s="199">
        <v>0</v>
      </c>
      <c r="AS822" s="196" t="str">
        <f t="shared" si="20"/>
        <v>1.00000000</v>
      </c>
      <c r="AT822" s="196" t="str">
        <f>"7.8"</f>
        <v>7.8</v>
      </c>
      <c r="AU822" s="199">
        <v>0</v>
      </c>
    </row>
    <row r="823" spans="1:47" s="196" customFormat="1" x14ac:dyDescent="0.2">
      <c r="A823" s="196" t="str">
        <f t="shared" si="25"/>
        <v>0496002595890</v>
      </c>
      <c r="B823" s="196">
        <v>1</v>
      </c>
      <c r="C823" s="196" t="s">
        <v>579</v>
      </c>
      <c r="D823" s="196">
        <v>12</v>
      </c>
      <c r="F823" s="196" t="s">
        <v>243</v>
      </c>
      <c r="G823" s="196">
        <v>2834</v>
      </c>
      <c r="H823" s="196" t="s">
        <v>270</v>
      </c>
      <c r="I823" s="196">
        <v>999999</v>
      </c>
      <c r="J823" s="197">
        <v>42837</v>
      </c>
      <c r="K823" s="198">
        <v>0.51736111111111105</v>
      </c>
      <c r="L823" s="197">
        <v>42839</v>
      </c>
      <c r="M823" s="196" t="s">
        <v>271</v>
      </c>
      <c r="N823" s="196" t="s">
        <v>272</v>
      </c>
      <c r="O823" s="196" t="s">
        <v>273</v>
      </c>
      <c r="P823" s="196" t="s">
        <v>274</v>
      </c>
      <c r="Q823" s="196" t="s">
        <v>275</v>
      </c>
      <c r="R823" s="196" t="s">
        <v>276</v>
      </c>
      <c r="S823" s="196" t="s">
        <v>436</v>
      </c>
      <c r="T823" s="196" t="s">
        <v>579</v>
      </c>
      <c r="U823" s="196">
        <v>2834</v>
      </c>
      <c r="V823" s="196" t="s">
        <v>579</v>
      </c>
      <c r="W823" s="196" t="s">
        <v>280</v>
      </c>
      <c r="X823" s="196">
        <v>20.116</v>
      </c>
      <c r="Y823" s="199">
        <v>-0.4</v>
      </c>
      <c r="Z823" s="199">
        <v>2.3199999999999998</v>
      </c>
      <c r="AA823" s="199">
        <v>46.65</v>
      </c>
      <c r="AB823" s="199">
        <v>-3.68</v>
      </c>
      <c r="AC823" s="199">
        <v>0</v>
      </c>
      <c r="AD823" s="199">
        <v>0</v>
      </c>
      <c r="AE823" s="199">
        <v>42.57</v>
      </c>
      <c r="AF823" s="199">
        <v>-4.83</v>
      </c>
      <c r="AG823" s="196" t="s">
        <v>279</v>
      </c>
      <c r="AH823" s="199">
        <v>0</v>
      </c>
      <c r="AI823" s="196" t="s">
        <v>279</v>
      </c>
      <c r="AJ823" s="199">
        <v>0</v>
      </c>
      <c r="AK823" s="196" t="s">
        <v>279</v>
      </c>
      <c r="AL823" s="199">
        <v>0</v>
      </c>
      <c r="AM823" s="196" t="s">
        <v>279</v>
      </c>
      <c r="AN823" s="199">
        <v>0</v>
      </c>
      <c r="AO823" s="196" t="s">
        <v>279</v>
      </c>
      <c r="AP823" s="199">
        <v>0</v>
      </c>
      <c r="AQ823" s="199">
        <v>46.65</v>
      </c>
      <c r="AR823" s="199">
        <v>0</v>
      </c>
      <c r="AS823" s="196" t="str">
        <f t="shared" si="20"/>
        <v>1.00000000</v>
      </c>
      <c r="AT823" s="196" t="str">
        <f>"9.0"</f>
        <v>9.0</v>
      </c>
      <c r="AU823" s="199">
        <v>0</v>
      </c>
    </row>
    <row r="824" spans="1:47" s="196" customFormat="1" x14ac:dyDescent="0.2">
      <c r="A824" s="196" t="str">
        <f t="shared" si="25"/>
        <v>0496002595890</v>
      </c>
      <c r="B824" s="196">
        <v>1</v>
      </c>
      <c r="C824" s="196" t="s">
        <v>579</v>
      </c>
      <c r="D824" s="196">
        <v>12</v>
      </c>
      <c r="F824" s="196" t="s">
        <v>243</v>
      </c>
      <c r="G824" s="196">
        <v>2834</v>
      </c>
      <c r="H824" s="196" t="s">
        <v>270</v>
      </c>
      <c r="I824" s="196">
        <v>15925</v>
      </c>
      <c r="J824" s="197">
        <v>42852</v>
      </c>
      <c r="K824" s="198">
        <v>0.8305555555555556</v>
      </c>
      <c r="L824" s="197">
        <v>42856</v>
      </c>
      <c r="M824" s="196" t="s">
        <v>271</v>
      </c>
      <c r="N824" s="196" t="s">
        <v>272</v>
      </c>
      <c r="O824" s="196" t="s">
        <v>273</v>
      </c>
      <c r="P824" s="196" t="s">
        <v>274</v>
      </c>
      <c r="Q824" s="196" t="s">
        <v>275</v>
      </c>
      <c r="R824" s="196" t="s">
        <v>276</v>
      </c>
      <c r="S824" s="196" t="s">
        <v>436</v>
      </c>
      <c r="T824" s="196" t="s">
        <v>579</v>
      </c>
      <c r="U824" s="196">
        <v>2834</v>
      </c>
      <c r="V824" s="196" t="s">
        <v>579</v>
      </c>
      <c r="W824" s="196" t="s">
        <v>280</v>
      </c>
      <c r="X824" s="196">
        <v>29.132000000000001</v>
      </c>
      <c r="Y824" s="199">
        <v>-0.57999999999999996</v>
      </c>
      <c r="Z824" s="199">
        <v>2.4</v>
      </c>
      <c r="AA824" s="199">
        <v>69.89</v>
      </c>
      <c r="AB824" s="199">
        <v>-5.33</v>
      </c>
      <c r="AC824" s="199">
        <v>0</v>
      </c>
      <c r="AD824" s="199">
        <v>0</v>
      </c>
      <c r="AE824" s="199">
        <v>63.98</v>
      </c>
      <c r="AF824" s="199">
        <v>-6.99</v>
      </c>
      <c r="AG824" s="196" t="s">
        <v>279</v>
      </c>
      <c r="AH824" s="199">
        <v>0</v>
      </c>
      <c r="AI824" s="196" t="s">
        <v>279</v>
      </c>
      <c r="AJ824" s="199">
        <v>0</v>
      </c>
      <c r="AK824" s="196" t="s">
        <v>279</v>
      </c>
      <c r="AL824" s="199">
        <v>0</v>
      </c>
      <c r="AM824" s="196" t="s">
        <v>279</v>
      </c>
      <c r="AN824" s="199">
        <v>0</v>
      </c>
      <c r="AO824" s="196" t="s">
        <v>279</v>
      </c>
      <c r="AP824" s="199">
        <v>0</v>
      </c>
      <c r="AQ824" s="199">
        <v>69.89</v>
      </c>
      <c r="AR824" s="199">
        <v>0</v>
      </c>
      <c r="AS824" s="196" t="str">
        <f t="shared" si="20"/>
        <v>1.00000000</v>
      </c>
      <c r="AT824" s="196" t="str">
        <f>"9.1"</f>
        <v>9.1</v>
      </c>
      <c r="AU824" s="199">
        <v>0</v>
      </c>
    </row>
    <row r="825" spans="1:47" s="196" customFormat="1" x14ac:dyDescent="0.2">
      <c r="A825" s="196" t="str">
        <f t="shared" si="25"/>
        <v>0496002595890</v>
      </c>
      <c r="B825" s="196">
        <v>1</v>
      </c>
      <c r="C825" s="196" t="s">
        <v>579</v>
      </c>
      <c r="D825" s="196">
        <v>12</v>
      </c>
      <c r="F825" s="196" t="s">
        <v>243</v>
      </c>
      <c r="G825" s="196">
        <v>2834</v>
      </c>
      <c r="H825" s="196" t="s">
        <v>270</v>
      </c>
      <c r="I825" s="196">
        <v>99999</v>
      </c>
      <c r="J825" s="197">
        <v>42881</v>
      </c>
      <c r="K825" s="198">
        <v>0.30486111111111108</v>
      </c>
      <c r="L825" s="197">
        <v>42885</v>
      </c>
      <c r="M825" s="196" t="s">
        <v>271</v>
      </c>
      <c r="N825" s="196" t="s">
        <v>272</v>
      </c>
      <c r="O825" s="196" t="s">
        <v>273</v>
      </c>
      <c r="P825" s="196" t="s">
        <v>274</v>
      </c>
      <c r="Q825" s="196" t="s">
        <v>275</v>
      </c>
      <c r="R825" s="196" t="s">
        <v>276</v>
      </c>
      <c r="S825" s="196" t="s">
        <v>436</v>
      </c>
      <c r="T825" s="196" t="s">
        <v>579</v>
      </c>
      <c r="U825" s="196">
        <v>2834</v>
      </c>
      <c r="V825" s="196" t="s">
        <v>579</v>
      </c>
      <c r="W825" s="196" t="s">
        <v>280</v>
      </c>
      <c r="X825" s="196">
        <v>6.2119999999999997</v>
      </c>
      <c r="Y825" s="199">
        <v>-0.12</v>
      </c>
      <c r="Z825" s="199">
        <v>2.4300000000000002</v>
      </c>
      <c r="AA825" s="199">
        <v>15.09</v>
      </c>
      <c r="AB825" s="199">
        <v>-1.1399999999999999</v>
      </c>
      <c r="AC825" s="199">
        <v>0</v>
      </c>
      <c r="AD825" s="199">
        <v>0</v>
      </c>
      <c r="AE825" s="199">
        <v>13.83</v>
      </c>
      <c r="AF825" s="199">
        <v>-1.49</v>
      </c>
      <c r="AG825" s="196" t="s">
        <v>279</v>
      </c>
      <c r="AH825" s="199">
        <v>0</v>
      </c>
      <c r="AI825" s="196" t="s">
        <v>279</v>
      </c>
      <c r="AJ825" s="199">
        <v>0</v>
      </c>
      <c r="AK825" s="196" t="s">
        <v>279</v>
      </c>
      <c r="AL825" s="199">
        <v>0</v>
      </c>
      <c r="AM825" s="196" t="s">
        <v>279</v>
      </c>
      <c r="AN825" s="199">
        <v>0</v>
      </c>
      <c r="AO825" s="196" t="s">
        <v>279</v>
      </c>
      <c r="AP825" s="199">
        <v>0</v>
      </c>
      <c r="AQ825" s="199">
        <v>15.09</v>
      </c>
      <c r="AR825" s="199">
        <v>0</v>
      </c>
      <c r="AS825" s="196" t="str">
        <f t="shared" si="20"/>
        <v>1.00000000</v>
      </c>
      <c r="AT825" s="196" t="str">
        <f>"7.7"</f>
        <v>7.7</v>
      </c>
      <c r="AU825" s="199">
        <v>0</v>
      </c>
    </row>
    <row r="826" spans="1:47" s="196" customFormat="1" x14ac:dyDescent="0.2">
      <c r="A826" s="196" t="str">
        <f t="shared" si="25"/>
        <v>0496002595890</v>
      </c>
      <c r="B826" s="196">
        <v>1</v>
      </c>
      <c r="C826" s="196" t="s">
        <v>579</v>
      </c>
      <c r="D826" s="196">
        <v>12</v>
      </c>
      <c r="F826" s="196" t="s">
        <v>243</v>
      </c>
      <c r="G826" s="196">
        <v>2834</v>
      </c>
      <c r="H826" s="196" t="s">
        <v>270</v>
      </c>
      <c r="I826" s="196">
        <v>16128</v>
      </c>
      <c r="J826" s="197">
        <v>42885</v>
      </c>
      <c r="K826" s="198">
        <v>0.4604166666666667</v>
      </c>
      <c r="L826" s="197">
        <v>42887</v>
      </c>
      <c r="M826" s="196" t="s">
        <v>271</v>
      </c>
      <c r="N826" s="196" t="s">
        <v>272</v>
      </c>
      <c r="O826" s="196" t="s">
        <v>273</v>
      </c>
      <c r="P826" s="196" t="s">
        <v>274</v>
      </c>
      <c r="Q826" s="196" t="s">
        <v>275</v>
      </c>
      <c r="R826" s="196" t="s">
        <v>276</v>
      </c>
      <c r="S826" s="196" t="s">
        <v>436</v>
      </c>
      <c r="T826" s="196" t="s">
        <v>579</v>
      </c>
      <c r="U826" s="196">
        <v>2834</v>
      </c>
      <c r="V826" s="196" t="s">
        <v>579</v>
      </c>
      <c r="W826" s="196" t="s">
        <v>280</v>
      </c>
      <c r="X826" s="196">
        <v>16.466999999999999</v>
      </c>
      <c r="Y826" s="199">
        <v>-0.33</v>
      </c>
      <c r="Z826" s="199">
        <v>2.4300000000000002</v>
      </c>
      <c r="AA826" s="199">
        <v>40</v>
      </c>
      <c r="AB826" s="199">
        <v>-3.01</v>
      </c>
      <c r="AC826" s="199">
        <v>0</v>
      </c>
      <c r="AD826" s="199">
        <v>0</v>
      </c>
      <c r="AE826" s="199">
        <v>36.659999999999997</v>
      </c>
      <c r="AF826" s="199">
        <v>-3.95</v>
      </c>
      <c r="AG826" s="196" t="s">
        <v>279</v>
      </c>
      <c r="AH826" s="199">
        <v>0</v>
      </c>
      <c r="AI826" s="196" t="s">
        <v>279</v>
      </c>
      <c r="AJ826" s="199">
        <v>0</v>
      </c>
      <c r="AK826" s="196" t="s">
        <v>279</v>
      </c>
      <c r="AL826" s="199">
        <v>0</v>
      </c>
      <c r="AM826" s="196" t="s">
        <v>279</v>
      </c>
      <c r="AN826" s="199">
        <v>0</v>
      </c>
      <c r="AO826" s="196" t="s">
        <v>279</v>
      </c>
      <c r="AP826" s="199">
        <v>0</v>
      </c>
      <c r="AQ826" s="199">
        <v>40</v>
      </c>
      <c r="AR826" s="199">
        <v>0</v>
      </c>
      <c r="AS826" s="196" t="str">
        <f t="shared" si="20"/>
        <v>1.00000000</v>
      </c>
      <c r="AT826" s="196" t="str">
        <f>"7.7"</f>
        <v>7.7</v>
      </c>
      <c r="AU826" s="199">
        <v>0</v>
      </c>
    </row>
    <row r="827" spans="1:47" s="196" customFormat="1" x14ac:dyDescent="0.2">
      <c r="A827" s="196" t="str">
        <f>"0496002595916"</f>
        <v>0496002595916</v>
      </c>
      <c r="B827" s="196">
        <v>1</v>
      </c>
      <c r="C827" s="196" t="s">
        <v>580</v>
      </c>
      <c r="D827" s="196">
        <v>1989</v>
      </c>
      <c r="E827" s="196">
        <v>1989</v>
      </c>
      <c r="F827" s="196" t="s">
        <v>243</v>
      </c>
      <c r="G827" s="196">
        <v>2411</v>
      </c>
      <c r="H827" s="196" t="s">
        <v>270</v>
      </c>
      <c r="I827" s="196">
        <v>79507</v>
      </c>
      <c r="J827" s="197">
        <v>42815</v>
      </c>
      <c r="K827" s="198">
        <v>0.40486111111111112</v>
      </c>
      <c r="L827" s="197">
        <v>42817</v>
      </c>
      <c r="M827" s="196" t="s">
        <v>271</v>
      </c>
      <c r="N827" s="196" t="s">
        <v>272</v>
      </c>
      <c r="O827" s="196" t="s">
        <v>273</v>
      </c>
      <c r="P827" s="196" t="s">
        <v>274</v>
      </c>
      <c r="Q827" s="196" t="s">
        <v>275</v>
      </c>
      <c r="R827" s="196" t="s">
        <v>276</v>
      </c>
      <c r="S827" s="196" t="s">
        <v>436</v>
      </c>
      <c r="T827" s="196" t="s">
        <v>580</v>
      </c>
      <c r="U827" s="196">
        <v>2411</v>
      </c>
      <c r="V827" s="196" t="s">
        <v>580</v>
      </c>
      <c r="W827" s="196" t="s">
        <v>280</v>
      </c>
      <c r="X827" s="196">
        <v>30.117999999999999</v>
      </c>
      <c r="Y827" s="199">
        <v>-0.6</v>
      </c>
      <c r="Z827" s="199">
        <v>2.2000000000000002</v>
      </c>
      <c r="AA827" s="199">
        <v>66.23</v>
      </c>
      <c r="AB827" s="199">
        <v>-5.51</v>
      </c>
      <c r="AC827" s="199">
        <v>0</v>
      </c>
      <c r="AD827" s="199">
        <v>0</v>
      </c>
      <c r="AE827" s="199">
        <v>60.12</v>
      </c>
      <c r="AF827" s="199">
        <v>-7.23</v>
      </c>
      <c r="AG827" s="196" t="s">
        <v>279</v>
      </c>
      <c r="AH827" s="199">
        <v>0</v>
      </c>
      <c r="AI827" s="196" t="s">
        <v>279</v>
      </c>
      <c r="AJ827" s="199">
        <v>0</v>
      </c>
      <c r="AK827" s="196" t="s">
        <v>279</v>
      </c>
      <c r="AL827" s="199">
        <v>0</v>
      </c>
      <c r="AM827" s="196" t="s">
        <v>279</v>
      </c>
      <c r="AN827" s="199">
        <v>0</v>
      </c>
      <c r="AO827" s="196" t="s">
        <v>279</v>
      </c>
      <c r="AP827" s="199">
        <v>0</v>
      </c>
      <c r="AQ827" s="199">
        <v>66.23</v>
      </c>
      <c r="AR827" s="199">
        <v>0</v>
      </c>
      <c r="AS827" s="196" t="str">
        <f t="shared" si="20"/>
        <v>1.00000000</v>
      </c>
      <c r="AT827" s="196" t="str">
        <f>"7.8"</f>
        <v>7.8</v>
      </c>
      <c r="AU827" s="199">
        <v>0</v>
      </c>
    </row>
    <row r="828" spans="1:47" s="196" customFormat="1" x14ac:dyDescent="0.2">
      <c r="A828" s="196" t="str">
        <f t="shared" ref="A828:A869" si="26">"0496002599140"</f>
        <v>0496002599140</v>
      </c>
      <c r="B828" s="196">
        <v>1</v>
      </c>
      <c r="C828" s="196" t="s">
        <v>581</v>
      </c>
      <c r="D828" s="196" t="s">
        <v>582</v>
      </c>
      <c r="E828" s="196" t="s">
        <v>582</v>
      </c>
      <c r="F828" s="196" t="s">
        <v>243</v>
      </c>
      <c r="G828" s="196">
        <v>2323</v>
      </c>
      <c r="H828" s="196" t="s">
        <v>270</v>
      </c>
      <c r="I828" s="196">
        <v>99</v>
      </c>
      <c r="J828" s="197">
        <v>42795</v>
      </c>
      <c r="K828" s="198">
        <v>0.60486111111111118</v>
      </c>
      <c r="L828" s="197">
        <v>42797</v>
      </c>
      <c r="M828" s="196" t="s">
        <v>285</v>
      </c>
      <c r="N828" s="196" t="s">
        <v>399</v>
      </c>
      <c r="O828" s="196" t="s">
        <v>400</v>
      </c>
      <c r="P828" s="196" t="s">
        <v>274</v>
      </c>
      <c r="Q828" s="196" t="s">
        <v>275</v>
      </c>
      <c r="R828" s="196" t="s">
        <v>401</v>
      </c>
      <c r="S828" s="196" t="s">
        <v>436</v>
      </c>
      <c r="T828" s="196" t="s">
        <v>581</v>
      </c>
      <c r="U828" s="196">
        <v>2323</v>
      </c>
      <c r="V828" s="196" t="s">
        <v>581</v>
      </c>
      <c r="W828" s="196" t="s">
        <v>280</v>
      </c>
      <c r="X828" s="196">
        <v>18.66</v>
      </c>
      <c r="Y828" s="199">
        <v>0</v>
      </c>
      <c r="Z828" s="199">
        <v>2.1800000000000002</v>
      </c>
      <c r="AA828" s="199">
        <v>40.659999999999997</v>
      </c>
      <c r="AB828" s="199">
        <v>-3.41</v>
      </c>
      <c r="AC828" s="199">
        <v>0</v>
      </c>
      <c r="AD828" s="199">
        <v>0</v>
      </c>
      <c r="AE828" s="199">
        <v>37.25</v>
      </c>
      <c r="AF828" s="199">
        <v>-4.4800000000000004</v>
      </c>
      <c r="AG828" s="196" t="s">
        <v>279</v>
      </c>
      <c r="AH828" s="199">
        <v>0</v>
      </c>
      <c r="AI828" s="196" t="s">
        <v>279</v>
      </c>
      <c r="AJ828" s="199">
        <v>0</v>
      </c>
      <c r="AK828" s="196" t="s">
        <v>279</v>
      </c>
      <c r="AL828" s="199">
        <v>0</v>
      </c>
      <c r="AM828" s="196" t="s">
        <v>279</v>
      </c>
      <c r="AN828" s="199">
        <v>0</v>
      </c>
      <c r="AO828" s="196" t="s">
        <v>279</v>
      </c>
      <c r="AP828" s="199">
        <v>0</v>
      </c>
      <c r="AQ828" s="199">
        <v>40.659999999999997</v>
      </c>
      <c r="AR828" s="199">
        <v>0</v>
      </c>
      <c r="AS828" s="196" t="str">
        <f t="shared" si="20"/>
        <v>1.00000000</v>
      </c>
      <c r="AT828" s="196" t="str">
        <f t="shared" ref="AT828:AT847" si="27">"0.0"</f>
        <v>0.0</v>
      </c>
      <c r="AU828" s="199">
        <v>0</v>
      </c>
    </row>
    <row r="829" spans="1:47" s="196" customFormat="1" x14ac:dyDescent="0.2">
      <c r="A829" s="196" t="str">
        <f t="shared" si="26"/>
        <v>0496002599140</v>
      </c>
      <c r="B829" s="196">
        <v>1</v>
      </c>
      <c r="C829" s="196" t="s">
        <v>581</v>
      </c>
      <c r="D829" s="196" t="s">
        <v>582</v>
      </c>
      <c r="E829" s="196" t="s">
        <v>582</v>
      </c>
      <c r="F829" s="196" t="s">
        <v>243</v>
      </c>
      <c r="G829" s="196">
        <v>2323</v>
      </c>
      <c r="H829" s="196" t="s">
        <v>270</v>
      </c>
      <c r="I829" s="196">
        <v>99</v>
      </c>
      <c r="J829" s="197">
        <v>42806</v>
      </c>
      <c r="K829" s="198">
        <v>0.2038888888888889</v>
      </c>
      <c r="L829" s="197">
        <v>42808</v>
      </c>
      <c r="M829" s="196" t="s">
        <v>396</v>
      </c>
      <c r="N829" s="196" t="s">
        <v>397</v>
      </c>
      <c r="O829" s="196" t="s">
        <v>398</v>
      </c>
      <c r="P829" s="196" t="s">
        <v>343</v>
      </c>
      <c r="Q829" s="196" t="s">
        <v>275</v>
      </c>
      <c r="R829" s="196">
        <v>1035</v>
      </c>
      <c r="S829" s="196" t="s">
        <v>436</v>
      </c>
      <c r="T829" s="196" t="s">
        <v>581</v>
      </c>
      <c r="U829" s="196">
        <v>2323</v>
      </c>
      <c r="V829" s="196" t="s">
        <v>581</v>
      </c>
      <c r="W829" s="196" t="s">
        <v>280</v>
      </c>
      <c r="X829" s="196">
        <v>36.128</v>
      </c>
      <c r="Y829" s="199">
        <v>0</v>
      </c>
      <c r="Z829" s="199">
        <v>2.16</v>
      </c>
      <c r="AA829" s="199">
        <v>78</v>
      </c>
      <c r="AB829" s="199">
        <v>-6.61</v>
      </c>
      <c r="AC829" s="199">
        <v>0</v>
      </c>
      <c r="AD829" s="199">
        <v>0</v>
      </c>
      <c r="AE829" s="199">
        <v>71.39</v>
      </c>
      <c r="AF829" s="199">
        <v>-8.67</v>
      </c>
      <c r="AG829" s="196" t="s">
        <v>279</v>
      </c>
      <c r="AH829" s="199">
        <v>0</v>
      </c>
      <c r="AI829" s="196" t="s">
        <v>279</v>
      </c>
      <c r="AJ829" s="199">
        <v>0</v>
      </c>
      <c r="AK829" s="196" t="s">
        <v>279</v>
      </c>
      <c r="AL829" s="199">
        <v>0</v>
      </c>
      <c r="AM829" s="196" t="s">
        <v>279</v>
      </c>
      <c r="AN829" s="199">
        <v>0</v>
      </c>
      <c r="AO829" s="196" t="s">
        <v>279</v>
      </c>
      <c r="AP829" s="199">
        <v>0</v>
      </c>
      <c r="AQ829" s="199">
        <v>78</v>
      </c>
      <c r="AR829" s="199">
        <v>0</v>
      </c>
      <c r="AS829" s="196" t="str">
        <f t="shared" si="20"/>
        <v>1.00000000</v>
      </c>
      <c r="AT829" s="196" t="str">
        <f t="shared" si="27"/>
        <v>0.0</v>
      </c>
      <c r="AU829" s="199">
        <v>0</v>
      </c>
    </row>
    <row r="830" spans="1:47" s="196" customFormat="1" x14ac:dyDescent="0.2">
      <c r="A830" s="196" t="str">
        <f t="shared" si="26"/>
        <v>0496002599140</v>
      </c>
      <c r="B830" s="196">
        <v>1</v>
      </c>
      <c r="C830" s="196" t="s">
        <v>581</v>
      </c>
      <c r="D830" s="196" t="s">
        <v>582</v>
      </c>
      <c r="E830" s="196" t="s">
        <v>582</v>
      </c>
      <c r="F830" s="196" t="s">
        <v>243</v>
      </c>
      <c r="G830" s="196">
        <v>2323</v>
      </c>
      <c r="H830" s="196" t="s">
        <v>270</v>
      </c>
      <c r="I830" s="196">
        <v>99</v>
      </c>
      <c r="J830" s="197">
        <v>42807</v>
      </c>
      <c r="K830" s="198">
        <v>0.64613425925925927</v>
      </c>
      <c r="L830" s="197">
        <v>42809</v>
      </c>
      <c r="M830" s="196" t="s">
        <v>384</v>
      </c>
      <c r="N830" s="196" t="s">
        <v>385</v>
      </c>
      <c r="O830" s="196" t="s">
        <v>386</v>
      </c>
      <c r="P830" s="196" t="s">
        <v>343</v>
      </c>
      <c r="Q830" s="196" t="s">
        <v>275</v>
      </c>
      <c r="R830" s="196" t="s">
        <v>387</v>
      </c>
      <c r="S830" s="196" t="s">
        <v>436</v>
      </c>
      <c r="T830" s="196" t="s">
        <v>581</v>
      </c>
      <c r="U830" s="196">
        <v>2323</v>
      </c>
      <c r="V830" s="196" t="s">
        <v>581</v>
      </c>
      <c r="W830" s="196" t="s">
        <v>278</v>
      </c>
      <c r="X830" s="196">
        <v>16.407</v>
      </c>
      <c r="Y830" s="199">
        <v>0</v>
      </c>
      <c r="Z830" s="199">
        <v>2.5</v>
      </c>
      <c r="AA830" s="199">
        <v>41</v>
      </c>
      <c r="AB830" s="199">
        <v>-3</v>
      </c>
      <c r="AC830" s="199">
        <v>0</v>
      </c>
      <c r="AD830" s="199">
        <v>0</v>
      </c>
      <c r="AE830" s="199">
        <v>38</v>
      </c>
      <c r="AF830" s="199">
        <v>-3.94</v>
      </c>
      <c r="AG830" s="196" t="s">
        <v>279</v>
      </c>
      <c r="AH830" s="199">
        <v>0</v>
      </c>
      <c r="AI830" s="196" t="s">
        <v>279</v>
      </c>
      <c r="AJ830" s="199">
        <v>0</v>
      </c>
      <c r="AK830" s="196" t="s">
        <v>279</v>
      </c>
      <c r="AL830" s="199">
        <v>0</v>
      </c>
      <c r="AM830" s="196" t="s">
        <v>279</v>
      </c>
      <c r="AN830" s="199">
        <v>0</v>
      </c>
      <c r="AO830" s="196" t="s">
        <v>279</v>
      </c>
      <c r="AP830" s="199">
        <v>0</v>
      </c>
      <c r="AQ830" s="199">
        <v>41</v>
      </c>
      <c r="AR830" s="199">
        <v>0</v>
      </c>
      <c r="AS830" s="196" t="str">
        <f t="shared" si="20"/>
        <v>1.00000000</v>
      </c>
      <c r="AT830" s="196" t="str">
        <f t="shared" si="27"/>
        <v>0.0</v>
      </c>
      <c r="AU830" s="199">
        <v>0</v>
      </c>
    </row>
    <row r="831" spans="1:47" s="196" customFormat="1" x14ac:dyDescent="0.2">
      <c r="A831" s="196" t="str">
        <f t="shared" si="26"/>
        <v>0496002599140</v>
      </c>
      <c r="B831" s="196">
        <v>1</v>
      </c>
      <c r="C831" s="196" t="s">
        <v>581</v>
      </c>
      <c r="D831" s="196" t="s">
        <v>582</v>
      </c>
      <c r="E831" s="196" t="s">
        <v>582</v>
      </c>
      <c r="F831" s="196" t="s">
        <v>243</v>
      </c>
      <c r="G831" s="196">
        <v>2323</v>
      </c>
      <c r="H831" s="196" t="s">
        <v>270</v>
      </c>
      <c r="I831" s="196">
        <v>99</v>
      </c>
      <c r="J831" s="197">
        <v>42819</v>
      </c>
      <c r="K831" s="198">
        <v>0.29231481481481481</v>
      </c>
      <c r="L831" s="197">
        <v>42822</v>
      </c>
      <c r="M831" s="196" t="s">
        <v>396</v>
      </c>
      <c r="N831" s="196" t="s">
        <v>397</v>
      </c>
      <c r="O831" s="196" t="s">
        <v>398</v>
      </c>
      <c r="P831" s="196" t="s">
        <v>343</v>
      </c>
      <c r="Q831" s="196" t="s">
        <v>275</v>
      </c>
      <c r="R831" s="196">
        <v>1035</v>
      </c>
      <c r="S831" s="196" t="s">
        <v>436</v>
      </c>
      <c r="T831" s="196" t="s">
        <v>581</v>
      </c>
      <c r="U831" s="196">
        <v>2323</v>
      </c>
      <c r="V831" s="196" t="s">
        <v>581</v>
      </c>
      <c r="W831" s="196" t="s">
        <v>278</v>
      </c>
      <c r="X831" s="196">
        <v>8.1660000000000004</v>
      </c>
      <c r="Y831" s="199">
        <v>0</v>
      </c>
      <c r="Z831" s="199">
        <v>2.4500000000000002</v>
      </c>
      <c r="AA831" s="199">
        <v>20</v>
      </c>
      <c r="AB831" s="199">
        <v>-1.49</v>
      </c>
      <c r="AC831" s="199">
        <v>0</v>
      </c>
      <c r="AD831" s="199">
        <v>0</v>
      </c>
      <c r="AE831" s="199">
        <v>18.510000000000002</v>
      </c>
      <c r="AF831" s="199">
        <v>-1.96</v>
      </c>
      <c r="AG831" s="196" t="s">
        <v>279</v>
      </c>
      <c r="AH831" s="199">
        <v>0</v>
      </c>
      <c r="AI831" s="196" t="s">
        <v>279</v>
      </c>
      <c r="AJ831" s="199">
        <v>0</v>
      </c>
      <c r="AK831" s="196" t="s">
        <v>279</v>
      </c>
      <c r="AL831" s="199">
        <v>0</v>
      </c>
      <c r="AM831" s="196" t="s">
        <v>279</v>
      </c>
      <c r="AN831" s="199">
        <v>0</v>
      </c>
      <c r="AO831" s="196" t="s">
        <v>279</v>
      </c>
      <c r="AP831" s="199">
        <v>0</v>
      </c>
      <c r="AQ831" s="199">
        <v>20</v>
      </c>
      <c r="AR831" s="199">
        <v>0</v>
      </c>
      <c r="AS831" s="196" t="str">
        <f t="shared" si="20"/>
        <v>1.00000000</v>
      </c>
      <c r="AT831" s="196" t="str">
        <f t="shared" si="27"/>
        <v>0.0</v>
      </c>
      <c r="AU831" s="199">
        <v>0</v>
      </c>
    </row>
    <row r="832" spans="1:47" s="196" customFormat="1" x14ac:dyDescent="0.2">
      <c r="A832" s="196" t="str">
        <f t="shared" si="26"/>
        <v>0496002599140</v>
      </c>
      <c r="B832" s="196">
        <v>1</v>
      </c>
      <c r="C832" s="196" t="s">
        <v>581</v>
      </c>
      <c r="D832" s="196" t="s">
        <v>582</v>
      </c>
      <c r="E832" s="196" t="s">
        <v>582</v>
      </c>
      <c r="F832" s="196" t="s">
        <v>243</v>
      </c>
      <c r="G832" s="196">
        <v>2323</v>
      </c>
      <c r="H832" s="196" t="s">
        <v>270</v>
      </c>
      <c r="I832" s="196">
        <v>99</v>
      </c>
      <c r="J832" s="197">
        <v>42823</v>
      </c>
      <c r="K832" s="198">
        <v>0.68038194444444444</v>
      </c>
      <c r="L832" s="197">
        <v>42825</v>
      </c>
      <c r="M832" s="196" t="s">
        <v>314</v>
      </c>
      <c r="N832" s="196" t="s">
        <v>415</v>
      </c>
      <c r="O832" s="196" t="s">
        <v>416</v>
      </c>
      <c r="P832" s="196" t="s">
        <v>417</v>
      </c>
      <c r="Q832" s="196" t="s">
        <v>275</v>
      </c>
      <c r="R832" s="196" t="s">
        <v>418</v>
      </c>
      <c r="S832" s="196" t="s">
        <v>436</v>
      </c>
      <c r="T832" s="196" t="s">
        <v>581</v>
      </c>
      <c r="U832" s="196">
        <v>2323</v>
      </c>
      <c r="V832" s="196" t="s">
        <v>581</v>
      </c>
      <c r="W832" s="196" t="s">
        <v>280</v>
      </c>
      <c r="X832" s="196">
        <v>37.399000000000001</v>
      </c>
      <c r="Y832" s="199">
        <v>0</v>
      </c>
      <c r="Z832" s="199">
        <v>2.14</v>
      </c>
      <c r="AA832" s="199">
        <v>80</v>
      </c>
      <c r="AB832" s="199">
        <v>-6.84</v>
      </c>
      <c r="AC832" s="199">
        <v>0</v>
      </c>
      <c r="AD832" s="199">
        <v>0</v>
      </c>
      <c r="AE832" s="199">
        <v>73.16</v>
      </c>
      <c r="AF832" s="199">
        <v>-8.98</v>
      </c>
      <c r="AG832" s="196" t="s">
        <v>279</v>
      </c>
      <c r="AH832" s="199">
        <v>0</v>
      </c>
      <c r="AI832" s="196" t="s">
        <v>279</v>
      </c>
      <c r="AJ832" s="199">
        <v>0</v>
      </c>
      <c r="AK832" s="196" t="s">
        <v>279</v>
      </c>
      <c r="AL832" s="199">
        <v>0</v>
      </c>
      <c r="AM832" s="196" t="s">
        <v>279</v>
      </c>
      <c r="AN832" s="199">
        <v>0</v>
      </c>
      <c r="AO832" s="196" t="s">
        <v>279</v>
      </c>
      <c r="AP832" s="199">
        <v>0</v>
      </c>
      <c r="AQ832" s="199">
        <v>80</v>
      </c>
      <c r="AR832" s="199">
        <v>0</v>
      </c>
      <c r="AS832" s="196" t="str">
        <f t="shared" si="20"/>
        <v>1.00000000</v>
      </c>
      <c r="AT832" s="196" t="str">
        <f t="shared" si="27"/>
        <v>0.0</v>
      </c>
      <c r="AU832" s="199">
        <v>0</v>
      </c>
    </row>
    <row r="833" spans="1:47" s="196" customFormat="1" x14ac:dyDescent="0.2">
      <c r="A833" s="196" t="str">
        <f t="shared" si="26"/>
        <v>0496002599140</v>
      </c>
      <c r="B833" s="196">
        <v>1</v>
      </c>
      <c r="C833" s="196" t="s">
        <v>581</v>
      </c>
      <c r="D833" s="196" t="s">
        <v>582</v>
      </c>
      <c r="E833" s="196" t="s">
        <v>582</v>
      </c>
      <c r="F833" s="196" t="s">
        <v>243</v>
      </c>
      <c r="G833" s="196">
        <v>2323</v>
      </c>
      <c r="H833" s="196" t="s">
        <v>270</v>
      </c>
      <c r="I833" s="196">
        <v>99</v>
      </c>
      <c r="J833" s="197">
        <v>42825</v>
      </c>
      <c r="K833" s="198">
        <v>0.53611111111111109</v>
      </c>
      <c r="L833" s="197">
        <v>42829</v>
      </c>
      <c r="M833" s="196" t="s">
        <v>285</v>
      </c>
      <c r="N833" s="196" t="s">
        <v>399</v>
      </c>
      <c r="O833" s="196" t="s">
        <v>400</v>
      </c>
      <c r="P833" s="196" t="s">
        <v>274</v>
      </c>
      <c r="Q833" s="196" t="s">
        <v>275</v>
      </c>
      <c r="R833" s="196" t="s">
        <v>401</v>
      </c>
      <c r="S833" s="196" t="s">
        <v>436</v>
      </c>
      <c r="T833" s="196" t="s">
        <v>581</v>
      </c>
      <c r="U833" s="196">
        <v>2323</v>
      </c>
      <c r="V833" s="196" t="s">
        <v>581</v>
      </c>
      <c r="W833" s="196" t="s">
        <v>280</v>
      </c>
      <c r="X833" s="196">
        <v>6.2610000000000001</v>
      </c>
      <c r="Y833" s="199">
        <v>0</v>
      </c>
      <c r="Z833" s="199">
        <v>2.29</v>
      </c>
      <c r="AA833" s="199">
        <v>14.33</v>
      </c>
      <c r="AB833" s="199">
        <v>-1.1499999999999999</v>
      </c>
      <c r="AC833" s="199">
        <v>0</v>
      </c>
      <c r="AD833" s="199">
        <v>0</v>
      </c>
      <c r="AE833" s="199">
        <v>13.18</v>
      </c>
      <c r="AF833" s="199">
        <v>-1.5</v>
      </c>
      <c r="AG833" s="196" t="s">
        <v>279</v>
      </c>
      <c r="AH833" s="199">
        <v>0</v>
      </c>
      <c r="AI833" s="196" t="s">
        <v>279</v>
      </c>
      <c r="AJ833" s="199">
        <v>0</v>
      </c>
      <c r="AK833" s="196" t="s">
        <v>279</v>
      </c>
      <c r="AL833" s="199">
        <v>0</v>
      </c>
      <c r="AM833" s="196" t="s">
        <v>279</v>
      </c>
      <c r="AN833" s="199">
        <v>0</v>
      </c>
      <c r="AO833" s="196" t="s">
        <v>279</v>
      </c>
      <c r="AP833" s="199">
        <v>0</v>
      </c>
      <c r="AQ833" s="199">
        <v>14.33</v>
      </c>
      <c r="AR833" s="199">
        <v>0</v>
      </c>
      <c r="AS833" s="196" t="str">
        <f t="shared" si="20"/>
        <v>1.00000000</v>
      </c>
      <c r="AT833" s="196" t="str">
        <f t="shared" si="27"/>
        <v>0.0</v>
      </c>
      <c r="AU833" s="199">
        <v>0</v>
      </c>
    </row>
    <row r="834" spans="1:47" s="196" customFormat="1" x14ac:dyDescent="0.2">
      <c r="A834" s="196" t="str">
        <f t="shared" si="26"/>
        <v>0496002599140</v>
      </c>
      <c r="B834" s="196">
        <v>1</v>
      </c>
      <c r="C834" s="196" t="s">
        <v>581</v>
      </c>
      <c r="D834" s="196" t="s">
        <v>582</v>
      </c>
      <c r="E834" s="196" t="s">
        <v>582</v>
      </c>
      <c r="F834" s="196" t="s">
        <v>243</v>
      </c>
      <c r="G834" s="196">
        <v>2323</v>
      </c>
      <c r="H834" s="196" t="s">
        <v>270</v>
      </c>
      <c r="I834" s="196">
        <v>99</v>
      </c>
      <c r="J834" s="197">
        <v>42827</v>
      </c>
      <c r="K834" s="198">
        <v>0.50486111111111109</v>
      </c>
      <c r="L834" s="197">
        <v>42829</v>
      </c>
      <c r="M834" s="196" t="s">
        <v>271</v>
      </c>
      <c r="N834" s="196" t="s">
        <v>352</v>
      </c>
      <c r="O834" s="196" t="s">
        <v>353</v>
      </c>
      <c r="P834" s="196" t="s">
        <v>343</v>
      </c>
      <c r="Q834" s="196" t="s">
        <v>275</v>
      </c>
      <c r="R834" s="196">
        <v>1035</v>
      </c>
      <c r="S834" s="196" t="s">
        <v>436</v>
      </c>
      <c r="T834" s="196" t="s">
        <v>581</v>
      </c>
      <c r="U834" s="196">
        <v>2323</v>
      </c>
      <c r="V834" s="196" t="s">
        <v>581</v>
      </c>
      <c r="W834" s="196" t="s">
        <v>280</v>
      </c>
      <c r="X834" s="196">
        <v>19.114999999999998</v>
      </c>
      <c r="Y834" s="199">
        <v>-0.38</v>
      </c>
      <c r="Z834" s="199">
        <v>2.16</v>
      </c>
      <c r="AA834" s="199">
        <v>41.27</v>
      </c>
      <c r="AB834" s="199">
        <v>-3.5</v>
      </c>
      <c r="AC834" s="199">
        <v>0</v>
      </c>
      <c r="AD834" s="199">
        <v>0</v>
      </c>
      <c r="AE834" s="199">
        <v>37.39</v>
      </c>
      <c r="AF834" s="199">
        <v>-4.59</v>
      </c>
      <c r="AG834" s="196" t="s">
        <v>279</v>
      </c>
      <c r="AH834" s="199">
        <v>0</v>
      </c>
      <c r="AI834" s="196" t="s">
        <v>279</v>
      </c>
      <c r="AJ834" s="199">
        <v>0</v>
      </c>
      <c r="AK834" s="196" t="s">
        <v>279</v>
      </c>
      <c r="AL834" s="199">
        <v>0</v>
      </c>
      <c r="AM834" s="196" t="s">
        <v>279</v>
      </c>
      <c r="AN834" s="199">
        <v>0</v>
      </c>
      <c r="AO834" s="196" t="s">
        <v>279</v>
      </c>
      <c r="AP834" s="199">
        <v>0</v>
      </c>
      <c r="AQ834" s="199">
        <v>41.27</v>
      </c>
      <c r="AR834" s="199">
        <v>0</v>
      </c>
      <c r="AS834" s="196" t="str">
        <f t="shared" ref="AS834:AS897" si="28">"1.00000000"</f>
        <v>1.00000000</v>
      </c>
      <c r="AT834" s="196" t="str">
        <f t="shared" si="27"/>
        <v>0.0</v>
      </c>
      <c r="AU834" s="199">
        <v>0</v>
      </c>
    </row>
    <row r="835" spans="1:47" s="196" customFormat="1" x14ac:dyDescent="0.2">
      <c r="A835" s="196" t="str">
        <f t="shared" si="26"/>
        <v>0496002599140</v>
      </c>
      <c r="B835" s="196">
        <v>1</v>
      </c>
      <c r="C835" s="196" t="s">
        <v>581</v>
      </c>
      <c r="D835" s="196" t="s">
        <v>582</v>
      </c>
      <c r="E835" s="196" t="s">
        <v>582</v>
      </c>
      <c r="F835" s="196" t="s">
        <v>243</v>
      </c>
      <c r="G835" s="196">
        <v>2323</v>
      </c>
      <c r="H835" s="196" t="s">
        <v>270</v>
      </c>
      <c r="I835" s="196">
        <v>99</v>
      </c>
      <c r="J835" s="197">
        <v>42827</v>
      </c>
      <c r="K835" s="198">
        <v>0.50486111111111109</v>
      </c>
      <c r="L835" s="197">
        <v>42829</v>
      </c>
      <c r="M835" s="196" t="s">
        <v>271</v>
      </c>
      <c r="N835" s="196" t="s">
        <v>352</v>
      </c>
      <c r="O835" s="196" t="s">
        <v>353</v>
      </c>
      <c r="P835" s="196" t="s">
        <v>343</v>
      </c>
      <c r="Q835" s="196" t="s">
        <v>275</v>
      </c>
      <c r="R835" s="196">
        <v>1035</v>
      </c>
      <c r="S835" s="196" t="s">
        <v>436</v>
      </c>
      <c r="T835" s="196" t="s">
        <v>581</v>
      </c>
      <c r="U835" s="196">
        <v>2323</v>
      </c>
      <c r="V835" s="196" t="s">
        <v>581</v>
      </c>
      <c r="W835" s="196" t="s">
        <v>280</v>
      </c>
      <c r="X835" s="196">
        <v>19.396999999999998</v>
      </c>
      <c r="Y835" s="199">
        <v>-0.39</v>
      </c>
      <c r="Z835" s="199">
        <v>2.16</v>
      </c>
      <c r="AA835" s="199">
        <v>41.88</v>
      </c>
      <c r="AB835" s="199">
        <v>-3.55</v>
      </c>
      <c r="AC835" s="199">
        <v>0</v>
      </c>
      <c r="AD835" s="199">
        <v>0</v>
      </c>
      <c r="AE835" s="199">
        <v>37.94</v>
      </c>
      <c r="AF835" s="199">
        <v>-4.66</v>
      </c>
      <c r="AG835" s="196" t="s">
        <v>279</v>
      </c>
      <c r="AH835" s="199">
        <v>0</v>
      </c>
      <c r="AI835" s="196" t="s">
        <v>279</v>
      </c>
      <c r="AJ835" s="199">
        <v>0</v>
      </c>
      <c r="AK835" s="196" t="s">
        <v>279</v>
      </c>
      <c r="AL835" s="199">
        <v>0</v>
      </c>
      <c r="AM835" s="196" t="s">
        <v>279</v>
      </c>
      <c r="AN835" s="199">
        <v>0</v>
      </c>
      <c r="AO835" s="196" t="s">
        <v>279</v>
      </c>
      <c r="AP835" s="199">
        <v>0</v>
      </c>
      <c r="AQ835" s="199">
        <v>41.88</v>
      </c>
      <c r="AR835" s="199">
        <v>0</v>
      </c>
      <c r="AS835" s="196" t="str">
        <f t="shared" si="28"/>
        <v>1.00000000</v>
      </c>
      <c r="AT835" s="196" t="str">
        <f t="shared" si="27"/>
        <v>0.0</v>
      </c>
      <c r="AU835" s="199">
        <v>0</v>
      </c>
    </row>
    <row r="836" spans="1:47" s="196" customFormat="1" x14ac:dyDescent="0.2">
      <c r="A836" s="196" t="str">
        <f t="shared" si="26"/>
        <v>0496002599140</v>
      </c>
      <c r="B836" s="196">
        <v>1</v>
      </c>
      <c r="C836" s="196" t="s">
        <v>581</v>
      </c>
      <c r="D836" s="196" t="s">
        <v>582</v>
      </c>
      <c r="E836" s="196" t="s">
        <v>582</v>
      </c>
      <c r="F836" s="196" t="s">
        <v>243</v>
      </c>
      <c r="G836" s="196">
        <v>2323</v>
      </c>
      <c r="H836" s="196" t="s">
        <v>270</v>
      </c>
      <c r="I836" s="196">
        <v>99</v>
      </c>
      <c r="J836" s="197">
        <v>42827</v>
      </c>
      <c r="K836" s="198">
        <v>0.50624999999999998</v>
      </c>
      <c r="L836" s="197">
        <v>42829</v>
      </c>
      <c r="M836" s="196" t="s">
        <v>271</v>
      </c>
      <c r="N836" s="196" t="s">
        <v>352</v>
      </c>
      <c r="O836" s="196" t="s">
        <v>353</v>
      </c>
      <c r="P836" s="196" t="s">
        <v>343</v>
      </c>
      <c r="Q836" s="196" t="s">
        <v>275</v>
      </c>
      <c r="R836" s="196">
        <v>1035</v>
      </c>
      <c r="S836" s="196" t="s">
        <v>436</v>
      </c>
      <c r="T836" s="196" t="s">
        <v>581</v>
      </c>
      <c r="U836" s="196">
        <v>2323</v>
      </c>
      <c r="V836" s="196" t="s">
        <v>581</v>
      </c>
      <c r="W836" s="196" t="s">
        <v>280</v>
      </c>
      <c r="X836" s="196">
        <v>21.847999999999999</v>
      </c>
      <c r="Y836" s="199">
        <v>-0.44</v>
      </c>
      <c r="Z836" s="199">
        <v>2.16</v>
      </c>
      <c r="AA836" s="199">
        <v>47.17</v>
      </c>
      <c r="AB836" s="199">
        <v>-4</v>
      </c>
      <c r="AC836" s="199">
        <v>0</v>
      </c>
      <c r="AD836" s="199">
        <v>0</v>
      </c>
      <c r="AE836" s="199">
        <v>42.73</v>
      </c>
      <c r="AF836" s="199">
        <v>-5.24</v>
      </c>
      <c r="AG836" s="196" t="s">
        <v>279</v>
      </c>
      <c r="AH836" s="199">
        <v>0</v>
      </c>
      <c r="AI836" s="196" t="s">
        <v>279</v>
      </c>
      <c r="AJ836" s="199">
        <v>0</v>
      </c>
      <c r="AK836" s="196" t="s">
        <v>279</v>
      </c>
      <c r="AL836" s="199">
        <v>0</v>
      </c>
      <c r="AM836" s="196" t="s">
        <v>279</v>
      </c>
      <c r="AN836" s="199">
        <v>0</v>
      </c>
      <c r="AO836" s="196" t="s">
        <v>279</v>
      </c>
      <c r="AP836" s="199">
        <v>0</v>
      </c>
      <c r="AQ836" s="199">
        <v>47.17</v>
      </c>
      <c r="AR836" s="199">
        <v>0</v>
      </c>
      <c r="AS836" s="196" t="str">
        <f t="shared" si="28"/>
        <v>1.00000000</v>
      </c>
      <c r="AT836" s="196" t="str">
        <f t="shared" si="27"/>
        <v>0.0</v>
      </c>
      <c r="AU836" s="199">
        <v>0</v>
      </c>
    </row>
    <row r="837" spans="1:47" s="196" customFormat="1" x14ac:dyDescent="0.2">
      <c r="A837" s="196" t="str">
        <f t="shared" si="26"/>
        <v>0496002599140</v>
      </c>
      <c r="B837" s="196">
        <v>1</v>
      </c>
      <c r="C837" s="196" t="s">
        <v>581</v>
      </c>
      <c r="D837" s="196" t="s">
        <v>582</v>
      </c>
      <c r="E837" s="196" t="s">
        <v>582</v>
      </c>
      <c r="F837" s="196" t="s">
        <v>243</v>
      </c>
      <c r="G837" s="196">
        <v>2323</v>
      </c>
      <c r="H837" s="196" t="s">
        <v>270</v>
      </c>
      <c r="I837" s="196">
        <v>99</v>
      </c>
      <c r="J837" s="197">
        <v>42827</v>
      </c>
      <c r="K837" s="198">
        <v>0.50624999999999998</v>
      </c>
      <c r="L837" s="197">
        <v>42829</v>
      </c>
      <c r="M837" s="196" t="s">
        <v>271</v>
      </c>
      <c r="N837" s="196" t="s">
        <v>352</v>
      </c>
      <c r="O837" s="196" t="s">
        <v>353</v>
      </c>
      <c r="P837" s="196" t="s">
        <v>343</v>
      </c>
      <c r="Q837" s="196" t="s">
        <v>275</v>
      </c>
      <c r="R837" s="196">
        <v>1035</v>
      </c>
      <c r="S837" s="196" t="s">
        <v>436</v>
      </c>
      <c r="T837" s="196" t="s">
        <v>581</v>
      </c>
      <c r="U837" s="196">
        <v>2323</v>
      </c>
      <c r="V837" s="196" t="s">
        <v>581</v>
      </c>
      <c r="W837" s="196" t="s">
        <v>280</v>
      </c>
      <c r="X837" s="196">
        <v>23.370999999999999</v>
      </c>
      <c r="Y837" s="199">
        <v>-0.47</v>
      </c>
      <c r="Z837" s="199">
        <v>2.16</v>
      </c>
      <c r="AA837" s="199">
        <v>50.46</v>
      </c>
      <c r="AB837" s="199">
        <v>-4.28</v>
      </c>
      <c r="AC837" s="199">
        <v>0</v>
      </c>
      <c r="AD837" s="199">
        <v>0</v>
      </c>
      <c r="AE837" s="199">
        <v>45.71</v>
      </c>
      <c r="AF837" s="199">
        <v>-5.61</v>
      </c>
      <c r="AG837" s="196" t="s">
        <v>279</v>
      </c>
      <c r="AH837" s="199">
        <v>0</v>
      </c>
      <c r="AI837" s="196" t="s">
        <v>279</v>
      </c>
      <c r="AJ837" s="199">
        <v>0</v>
      </c>
      <c r="AK837" s="196" t="s">
        <v>279</v>
      </c>
      <c r="AL837" s="199">
        <v>0</v>
      </c>
      <c r="AM837" s="196" t="s">
        <v>279</v>
      </c>
      <c r="AN837" s="199">
        <v>0</v>
      </c>
      <c r="AO837" s="196" t="s">
        <v>279</v>
      </c>
      <c r="AP837" s="199">
        <v>0</v>
      </c>
      <c r="AQ837" s="199">
        <v>50.46</v>
      </c>
      <c r="AR837" s="199">
        <v>0</v>
      </c>
      <c r="AS837" s="196" t="str">
        <f t="shared" si="28"/>
        <v>1.00000000</v>
      </c>
      <c r="AT837" s="196" t="str">
        <f t="shared" si="27"/>
        <v>0.0</v>
      </c>
      <c r="AU837" s="199">
        <v>0</v>
      </c>
    </row>
    <row r="838" spans="1:47" s="196" customFormat="1" x14ac:dyDescent="0.2">
      <c r="A838" s="196" t="str">
        <f t="shared" si="26"/>
        <v>0496002599140</v>
      </c>
      <c r="B838" s="196">
        <v>1</v>
      </c>
      <c r="C838" s="196" t="s">
        <v>581</v>
      </c>
      <c r="D838" s="196" t="s">
        <v>582</v>
      </c>
      <c r="E838" s="196" t="s">
        <v>582</v>
      </c>
      <c r="F838" s="196" t="s">
        <v>243</v>
      </c>
      <c r="G838" s="196">
        <v>2323</v>
      </c>
      <c r="H838" s="196" t="s">
        <v>270</v>
      </c>
      <c r="I838" s="196">
        <v>99</v>
      </c>
      <c r="J838" s="197">
        <v>42830</v>
      </c>
      <c r="K838" s="198">
        <v>0.50946759259259256</v>
      </c>
      <c r="L838" s="197">
        <v>42832</v>
      </c>
      <c r="M838" s="196" t="s">
        <v>396</v>
      </c>
      <c r="N838" s="196" t="s">
        <v>397</v>
      </c>
      <c r="O838" s="196" t="s">
        <v>398</v>
      </c>
      <c r="P838" s="196" t="s">
        <v>343</v>
      </c>
      <c r="Q838" s="196" t="s">
        <v>275</v>
      </c>
      <c r="R838" s="196">
        <v>1035</v>
      </c>
      <c r="S838" s="196" t="s">
        <v>436</v>
      </c>
      <c r="T838" s="196" t="s">
        <v>581</v>
      </c>
      <c r="U838" s="196">
        <v>2323</v>
      </c>
      <c r="V838" s="196" t="s">
        <v>581</v>
      </c>
      <c r="W838" s="196" t="s">
        <v>278</v>
      </c>
      <c r="X838" s="196">
        <v>21.465</v>
      </c>
      <c r="Y838" s="199">
        <v>0</v>
      </c>
      <c r="Z838" s="199">
        <v>2.4700000000000002</v>
      </c>
      <c r="AA838" s="199">
        <v>53</v>
      </c>
      <c r="AB838" s="199">
        <v>-3.93</v>
      </c>
      <c r="AC838" s="199">
        <v>0</v>
      </c>
      <c r="AD838" s="199">
        <v>0</v>
      </c>
      <c r="AE838" s="199">
        <v>49.07</v>
      </c>
      <c r="AF838" s="199">
        <v>-5.15</v>
      </c>
      <c r="AG838" s="196" t="s">
        <v>279</v>
      </c>
      <c r="AH838" s="199">
        <v>0</v>
      </c>
      <c r="AI838" s="196" t="s">
        <v>279</v>
      </c>
      <c r="AJ838" s="199">
        <v>0</v>
      </c>
      <c r="AK838" s="196" t="s">
        <v>279</v>
      </c>
      <c r="AL838" s="199">
        <v>0</v>
      </c>
      <c r="AM838" s="196" t="s">
        <v>279</v>
      </c>
      <c r="AN838" s="199">
        <v>0</v>
      </c>
      <c r="AO838" s="196" t="s">
        <v>279</v>
      </c>
      <c r="AP838" s="199">
        <v>0</v>
      </c>
      <c r="AQ838" s="199">
        <v>53</v>
      </c>
      <c r="AR838" s="199">
        <v>0</v>
      </c>
      <c r="AS838" s="196" t="str">
        <f t="shared" si="28"/>
        <v>1.00000000</v>
      </c>
      <c r="AT838" s="196" t="str">
        <f t="shared" si="27"/>
        <v>0.0</v>
      </c>
      <c r="AU838" s="199">
        <v>0</v>
      </c>
    </row>
    <row r="839" spans="1:47" s="196" customFormat="1" x14ac:dyDescent="0.2">
      <c r="A839" s="196" t="str">
        <f t="shared" si="26"/>
        <v>0496002599140</v>
      </c>
      <c r="B839" s="196">
        <v>1</v>
      </c>
      <c r="C839" s="196" t="s">
        <v>581</v>
      </c>
      <c r="D839" s="196" t="s">
        <v>582</v>
      </c>
      <c r="E839" s="196" t="s">
        <v>582</v>
      </c>
      <c r="F839" s="196" t="s">
        <v>243</v>
      </c>
      <c r="G839" s="196">
        <v>2323</v>
      </c>
      <c r="H839" s="196" t="s">
        <v>270</v>
      </c>
      <c r="I839" s="196">
        <v>99</v>
      </c>
      <c r="J839" s="197">
        <v>42833</v>
      </c>
      <c r="K839" s="198">
        <v>0.71572916666666664</v>
      </c>
      <c r="L839" s="197">
        <v>42836</v>
      </c>
      <c r="M839" s="196" t="s">
        <v>314</v>
      </c>
      <c r="N839" s="196" t="s">
        <v>415</v>
      </c>
      <c r="O839" s="196" t="s">
        <v>416</v>
      </c>
      <c r="P839" s="196" t="s">
        <v>417</v>
      </c>
      <c r="Q839" s="196" t="s">
        <v>275</v>
      </c>
      <c r="R839" s="196" t="s">
        <v>418</v>
      </c>
      <c r="S839" s="196" t="s">
        <v>436</v>
      </c>
      <c r="T839" s="196" t="s">
        <v>581</v>
      </c>
      <c r="U839" s="196">
        <v>2323</v>
      </c>
      <c r="V839" s="196" t="s">
        <v>581</v>
      </c>
      <c r="W839" s="196" t="s">
        <v>278</v>
      </c>
      <c r="X839" s="196">
        <v>5.306</v>
      </c>
      <c r="Y839" s="199">
        <v>0</v>
      </c>
      <c r="Z839" s="199">
        <v>2.64</v>
      </c>
      <c r="AA839" s="199">
        <v>14</v>
      </c>
      <c r="AB839" s="199">
        <v>-0.97</v>
      </c>
      <c r="AC839" s="199">
        <v>0</v>
      </c>
      <c r="AD839" s="199">
        <v>0</v>
      </c>
      <c r="AE839" s="199">
        <v>13.03</v>
      </c>
      <c r="AF839" s="199">
        <v>-1.27</v>
      </c>
      <c r="AG839" s="196" t="s">
        <v>279</v>
      </c>
      <c r="AH839" s="199">
        <v>0</v>
      </c>
      <c r="AI839" s="196" t="s">
        <v>279</v>
      </c>
      <c r="AJ839" s="199">
        <v>0</v>
      </c>
      <c r="AK839" s="196" t="s">
        <v>279</v>
      </c>
      <c r="AL839" s="199">
        <v>0</v>
      </c>
      <c r="AM839" s="196" t="s">
        <v>279</v>
      </c>
      <c r="AN839" s="199">
        <v>0</v>
      </c>
      <c r="AO839" s="196" t="s">
        <v>279</v>
      </c>
      <c r="AP839" s="199">
        <v>0</v>
      </c>
      <c r="AQ839" s="199">
        <v>14</v>
      </c>
      <c r="AR839" s="199">
        <v>0</v>
      </c>
      <c r="AS839" s="196" t="str">
        <f t="shared" si="28"/>
        <v>1.00000000</v>
      </c>
      <c r="AT839" s="196" t="str">
        <f t="shared" si="27"/>
        <v>0.0</v>
      </c>
      <c r="AU839" s="199">
        <v>0</v>
      </c>
    </row>
    <row r="840" spans="1:47" s="196" customFormat="1" x14ac:dyDescent="0.2">
      <c r="A840" s="196" t="str">
        <f t="shared" si="26"/>
        <v>0496002599140</v>
      </c>
      <c r="B840" s="196">
        <v>1</v>
      </c>
      <c r="C840" s="196" t="s">
        <v>581</v>
      </c>
      <c r="D840" s="196" t="s">
        <v>582</v>
      </c>
      <c r="E840" s="196" t="s">
        <v>582</v>
      </c>
      <c r="F840" s="196" t="s">
        <v>243</v>
      </c>
      <c r="G840" s="196">
        <v>2323</v>
      </c>
      <c r="H840" s="196" t="s">
        <v>270</v>
      </c>
      <c r="I840" s="196">
        <v>99</v>
      </c>
      <c r="J840" s="197">
        <v>42835</v>
      </c>
      <c r="K840" s="198">
        <v>0.69115740740740739</v>
      </c>
      <c r="L840" s="197">
        <v>42837</v>
      </c>
      <c r="M840" s="196" t="s">
        <v>314</v>
      </c>
      <c r="N840" s="196" t="s">
        <v>415</v>
      </c>
      <c r="O840" s="196" t="s">
        <v>416</v>
      </c>
      <c r="P840" s="196" t="s">
        <v>417</v>
      </c>
      <c r="Q840" s="196" t="s">
        <v>275</v>
      </c>
      <c r="R840" s="196" t="s">
        <v>418</v>
      </c>
      <c r="S840" s="196" t="s">
        <v>436</v>
      </c>
      <c r="T840" s="196" t="s">
        <v>581</v>
      </c>
      <c r="U840" s="196">
        <v>2323</v>
      </c>
      <c r="V840" s="196" t="s">
        <v>581</v>
      </c>
      <c r="W840" s="196" t="s">
        <v>280</v>
      </c>
      <c r="X840" s="196">
        <v>27.96</v>
      </c>
      <c r="Y840" s="199">
        <v>0</v>
      </c>
      <c r="Z840" s="199">
        <v>2.29</v>
      </c>
      <c r="AA840" s="199">
        <v>64</v>
      </c>
      <c r="AB840" s="199">
        <v>-5.12</v>
      </c>
      <c r="AC840" s="199">
        <v>0</v>
      </c>
      <c r="AD840" s="199">
        <v>0</v>
      </c>
      <c r="AE840" s="199">
        <v>58.88</v>
      </c>
      <c r="AF840" s="199">
        <v>-6.71</v>
      </c>
      <c r="AG840" s="196" t="s">
        <v>279</v>
      </c>
      <c r="AH840" s="199">
        <v>0</v>
      </c>
      <c r="AI840" s="196" t="s">
        <v>279</v>
      </c>
      <c r="AJ840" s="199">
        <v>0</v>
      </c>
      <c r="AK840" s="196" t="s">
        <v>279</v>
      </c>
      <c r="AL840" s="199">
        <v>0</v>
      </c>
      <c r="AM840" s="196" t="s">
        <v>279</v>
      </c>
      <c r="AN840" s="199">
        <v>0</v>
      </c>
      <c r="AO840" s="196" t="s">
        <v>279</v>
      </c>
      <c r="AP840" s="199">
        <v>0</v>
      </c>
      <c r="AQ840" s="199">
        <v>64</v>
      </c>
      <c r="AR840" s="199">
        <v>0</v>
      </c>
      <c r="AS840" s="196" t="str">
        <f t="shared" si="28"/>
        <v>1.00000000</v>
      </c>
      <c r="AT840" s="196" t="str">
        <f t="shared" si="27"/>
        <v>0.0</v>
      </c>
      <c r="AU840" s="199">
        <v>0</v>
      </c>
    </row>
    <row r="841" spans="1:47" s="196" customFormat="1" x14ac:dyDescent="0.2">
      <c r="A841" s="196" t="str">
        <f t="shared" si="26"/>
        <v>0496002599140</v>
      </c>
      <c r="B841" s="196">
        <v>1</v>
      </c>
      <c r="C841" s="196" t="s">
        <v>581</v>
      </c>
      <c r="D841" s="196" t="s">
        <v>582</v>
      </c>
      <c r="E841" s="196" t="s">
        <v>582</v>
      </c>
      <c r="F841" s="196" t="s">
        <v>243</v>
      </c>
      <c r="G841" s="196">
        <v>2323</v>
      </c>
      <c r="H841" s="196" t="s">
        <v>270</v>
      </c>
      <c r="I841" s="196">
        <v>99</v>
      </c>
      <c r="J841" s="197">
        <v>42836</v>
      </c>
      <c r="K841" s="198">
        <v>0.8125</v>
      </c>
      <c r="L841" s="197">
        <v>42838</v>
      </c>
      <c r="M841" s="196" t="s">
        <v>271</v>
      </c>
      <c r="N841" s="196" t="s">
        <v>352</v>
      </c>
      <c r="O841" s="196" t="s">
        <v>353</v>
      </c>
      <c r="P841" s="196" t="s">
        <v>343</v>
      </c>
      <c r="Q841" s="196" t="s">
        <v>275</v>
      </c>
      <c r="R841" s="196">
        <v>1035</v>
      </c>
      <c r="S841" s="196" t="s">
        <v>436</v>
      </c>
      <c r="T841" s="196" t="s">
        <v>581</v>
      </c>
      <c r="U841" s="196">
        <v>2323</v>
      </c>
      <c r="V841" s="196" t="s">
        <v>581</v>
      </c>
      <c r="W841" s="196" t="s">
        <v>280</v>
      </c>
      <c r="X841" s="196">
        <v>22.231000000000002</v>
      </c>
      <c r="Y841" s="199">
        <v>-0.44</v>
      </c>
      <c r="Z841" s="199">
        <v>2.2599999999999998</v>
      </c>
      <c r="AA841" s="199">
        <v>50.22</v>
      </c>
      <c r="AB841" s="199">
        <v>-4.07</v>
      </c>
      <c r="AC841" s="199">
        <v>0</v>
      </c>
      <c r="AD841" s="199">
        <v>0</v>
      </c>
      <c r="AE841" s="199">
        <v>45.71</v>
      </c>
      <c r="AF841" s="199">
        <v>-5.34</v>
      </c>
      <c r="AG841" s="196" t="s">
        <v>279</v>
      </c>
      <c r="AH841" s="199">
        <v>0</v>
      </c>
      <c r="AI841" s="196" t="s">
        <v>279</v>
      </c>
      <c r="AJ841" s="199">
        <v>0</v>
      </c>
      <c r="AK841" s="196" t="s">
        <v>279</v>
      </c>
      <c r="AL841" s="199">
        <v>0</v>
      </c>
      <c r="AM841" s="196" t="s">
        <v>279</v>
      </c>
      <c r="AN841" s="199">
        <v>0</v>
      </c>
      <c r="AO841" s="196" t="s">
        <v>279</v>
      </c>
      <c r="AP841" s="199">
        <v>0</v>
      </c>
      <c r="AQ841" s="199">
        <v>50.22</v>
      </c>
      <c r="AR841" s="199">
        <v>0</v>
      </c>
      <c r="AS841" s="196" t="str">
        <f t="shared" si="28"/>
        <v>1.00000000</v>
      </c>
      <c r="AT841" s="196" t="str">
        <f t="shared" si="27"/>
        <v>0.0</v>
      </c>
      <c r="AU841" s="199">
        <v>0</v>
      </c>
    </row>
    <row r="842" spans="1:47" s="196" customFormat="1" x14ac:dyDescent="0.2">
      <c r="A842" s="196" t="str">
        <f t="shared" si="26"/>
        <v>0496002599140</v>
      </c>
      <c r="B842" s="196">
        <v>1</v>
      </c>
      <c r="C842" s="196" t="s">
        <v>581</v>
      </c>
      <c r="D842" s="196" t="s">
        <v>582</v>
      </c>
      <c r="E842" s="196" t="s">
        <v>582</v>
      </c>
      <c r="F842" s="196" t="s">
        <v>243</v>
      </c>
      <c r="G842" s="196">
        <v>2323</v>
      </c>
      <c r="H842" s="196" t="s">
        <v>270</v>
      </c>
      <c r="I842" s="196">
        <v>99</v>
      </c>
      <c r="J842" s="197">
        <v>42836</v>
      </c>
      <c r="K842" s="198">
        <v>0.81319444444444444</v>
      </c>
      <c r="L842" s="197">
        <v>42838</v>
      </c>
      <c r="M842" s="196" t="s">
        <v>271</v>
      </c>
      <c r="N842" s="196" t="s">
        <v>352</v>
      </c>
      <c r="O842" s="196" t="s">
        <v>353</v>
      </c>
      <c r="P842" s="196" t="s">
        <v>343</v>
      </c>
      <c r="Q842" s="196" t="s">
        <v>275</v>
      </c>
      <c r="R842" s="196">
        <v>1035</v>
      </c>
      <c r="S842" s="196" t="s">
        <v>436</v>
      </c>
      <c r="T842" s="196" t="s">
        <v>581</v>
      </c>
      <c r="U842" s="196">
        <v>2323</v>
      </c>
      <c r="V842" s="196" t="s">
        <v>581</v>
      </c>
      <c r="W842" s="196" t="s">
        <v>280</v>
      </c>
      <c r="X842" s="196">
        <v>21.04</v>
      </c>
      <c r="Y842" s="199">
        <v>-0.42</v>
      </c>
      <c r="Z842" s="199">
        <v>2.2599999999999998</v>
      </c>
      <c r="AA842" s="199">
        <v>47.53</v>
      </c>
      <c r="AB842" s="199">
        <v>-3.85</v>
      </c>
      <c r="AC842" s="199">
        <v>0</v>
      </c>
      <c r="AD842" s="199">
        <v>0</v>
      </c>
      <c r="AE842" s="199">
        <v>43.26</v>
      </c>
      <c r="AF842" s="199">
        <v>-5.05</v>
      </c>
      <c r="AG842" s="196" t="s">
        <v>279</v>
      </c>
      <c r="AH842" s="199">
        <v>0</v>
      </c>
      <c r="AI842" s="196" t="s">
        <v>279</v>
      </c>
      <c r="AJ842" s="199">
        <v>0</v>
      </c>
      <c r="AK842" s="196" t="s">
        <v>279</v>
      </c>
      <c r="AL842" s="199">
        <v>0</v>
      </c>
      <c r="AM842" s="196" t="s">
        <v>279</v>
      </c>
      <c r="AN842" s="199">
        <v>0</v>
      </c>
      <c r="AO842" s="196" t="s">
        <v>279</v>
      </c>
      <c r="AP842" s="199">
        <v>0</v>
      </c>
      <c r="AQ842" s="199">
        <v>47.53</v>
      </c>
      <c r="AR842" s="199">
        <v>0</v>
      </c>
      <c r="AS842" s="196" t="str">
        <f t="shared" si="28"/>
        <v>1.00000000</v>
      </c>
      <c r="AT842" s="196" t="str">
        <f t="shared" si="27"/>
        <v>0.0</v>
      </c>
      <c r="AU842" s="199">
        <v>0</v>
      </c>
    </row>
    <row r="843" spans="1:47" s="196" customFormat="1" x14ac:dyDescent="0.2">
      <c r="A843" s="196" t="str">
        <f t="shared" si="26"/>
        <v>0496002599140</v>
      </c>
      <c r="B843" s="196">
        <v>1</v>
      </c>
      <c r="C843" s="196" t="s">
        <v>581</v>
      </c>
      <c r="D843" s="196" t="s">
        <v>582</v>
      </c>
      <c r="E843" s="196" t="s">
        <v>582</v>
      </c>
      <c r="F843" s="196" t="s">
        <v>243</v>
      </c>
      <c r="G843" s="196">
        <v>2323</v>
      </c>
      <c r="H843" s="196" t="s">
        <v>270</v>
      </c>
      <c r="I843" s="196">
        <v>99</v>
      </c>
      <c r="J843" s="197">
        <v>42836</v>
      </c>
      <c r="K843" s="198">
        <v>0.81388888888888899</v>
      </c>
      <c r="L843" s="197">
        <v>42838</v>
      </c>
      <c r="M843" s="196" t="s">
        <v>271</v>
      </c>
      <c r="N843" s="196" t="s">
        <v>352</v>
      </c>
      <c r="O843" s="196" t="s">
        <v>353</v>
      </c>
      <c r="P843" s="196" t="s">
        <v>343</v>
      </c>
      <c r="Q843" s="196" t="s">
        <v>275</v>
      </c>
      <c r="R843" s="196">
        <v>1035</v>
      </c>
      <c r="S843" s="196" t="s">
        <v>436</v>
      </c>
      <c r="T843" s="196" t="s">
        <v>581</v>
      </c>
      <c r="U843" s="196">
        <v>2323</v>
      </c>
      <c r="V843" s="196" t="s">
        <v>581</v>
      </c>
      <c r="W843" s="196" t="s">
        <v>280</v>
      </c>
      <c r="X843" s="196">
        <v>21.739000000000001</v>
      </c>
      <c r="Y843" s="199">
        <v>-0.43</v>
      </c>
      <c r="Z843" s="199">
        <v>2.2599999999999998</v>
      </c>
      <c r="AA843" s="199">
        <v>49.11</v>
      </c>
      <c r="AB843" s="199">
        <v>-3.98</v>
      </c>
      <c r="AC843" s="199">
        <v>0</v>
      </c>
      <c r="AD843" s="199">
        <v>0</v>
      </c>
      <c r="AE843" s="199">
        <v>44.7</v>
      </c>
      <c r="AF843" s="199">
        <v>-5.22</v>
      </c>
      <c r="AG843" s="196" t="s">
        <v>279</v>
      </c>
      <c r="AH843" s="199">
        <v>0</v>
      </c>
      <c r="AI843" s="196" t="s">
        <v>279</v>
      </c>
      <c r="AJ843" s="199">
        <v>0</v>
      </c>
      <c r="AK843" s="196" t="s">
        <v>279</v>
      </c>
      <c r="AL843" s="199">
        <v>0</v>
      </c>
      <c r="AM843" s="196" t="s">
        <v>279</v>
      </c>
      <c r="AN843" s="199">
        <v>0</v>
      </c>
      <c r="AO843" s="196" t="s">
        <v>279</v>
      </c>
      <c r="AP843" s="199">
        <v>0</v>
      </c>
      <c r="AQ843" s="199">
        <v>49.11</v>
      </c>
      <c r="AR843" s="199">
        <v>0</v>
      </c>
      <c r="AS843" s="196" t="str">
        <f t="shared" si="28"/>
        <v>1.00000000</v>
      </c>
      <c r="AT843" s="196" t="str">
        <f t="shared" si="27"/>
        <v>0.0</v>
      </c>
      <c r="AU843" s="199">
        <v>0</v>
      </c>
    </row>
    <row r="844" spans="1:47" s="196" customFormat="1" x14ac:dyDescent="0.2">
      <c r="A844" s="196" t="str">
        <f t="shared" si="26"/>
        <v>0496002599140</v>
      </c>
      <c r="B844" s="196">
        <v>1</v>
      </c>
      <c r="C844" s="196" t="s">
        <v>581</v>
      </c>
      <c r="D844" s="196" t="s">
        <v>582</v>
      </c>
      <c r="E844" s="196" t="s">
        <v>582</v>
      </c>
      <c r="F844" s="196" t="s">
        <v>243</v>
      </c>
      <c r="G844" s="196">
        <v>2323</v>
      </c>
      <c r="H844" s="196" t="s">
        <v>270</v>
      </c>
      <c r="I844" s="196">
        <v>99</v>
      </c>
      <c r="J844" s="197">
        <v>42837</v>
      </c>
      <c r="K844" s="198">
        <v>0.67547453703703697</v>
      </c>
      <c r="L844" s="197">
        <v>42839</v>
      </c>
      <c r="M844" s="196" t="s">
        <v>314</v>
      </c>
      <c r="N844" s="196" t="s">
        <v>415</v>
      </c>
      <c r="O844" s="196" t="s">
        <v>416</v>
      </c>
      <c r="P844" s="196" t="s">
        <v>417</v>
      </c>
      <c r="Q844" s="196" t="s">
        <v>275</v>
      </c>
      <c r="R844" s="196" t="s">
        <v>418</v>
      </c>
      <c r="S844" s="196" t="s">
        <v>436</v>
      </c>
      <c r="T844" s="196" t="s">
        <v>581</v>
      </c>
      <c r="U844" s="196">
        <v>2323</v>
      </c>
      <c r="V844" s="196" t="s">
        <v>581</v>
      </c>
      <c r="W844" s="196" t="s">
        <v>280</v>
      </c>
      <c r="X844" s="196">
        <v>9.4849999999999994</v>
      </c>
      <c r="Y844" s="199">
        <v>0</v>
      </c>
      <c r="Z844" s="199">
        <v>2.3199999999999998</v>
      </c>
      <c r="AA844" s="199">
        <v>22</v>
      </c>
      <c r="AB844" s="199">
        <v>-1.74</v>
      </c>
      <c r="AC844" s="199">
        <v>0</v>
      </c>
      <c r="AD844" s="199">
        <v>0</v>
      </c>
      <c r="AE844" s="199">
        <v>20.260000000000002</v>
      </c>
      <c r="AF844" s="199">
        <v>-2.2799999999999998</v>
      </c>
      <c r="AG844" s="196" t="s">
        <v>279</v>
      </c>
      <c r="AH844" s="199">
        <v>0</v>
      </c>
      <c r="AI844" s="196" t="s">
        <v>279</v>
      </c>
      <c r="AJ844" s="199">
        <v>0</v>
      </c>
      <c r="AK844" s="196" t="s">
        <v>279</v>
      </c>
      <c r="AL844" s="199">
        <v>0</v>
      </c>
      <c r="AM844" s="196" t="s">
        <v>279</v>
      </c>
      <c r="AN844" s="199">
        <v>0</v>
      </c>
      <c r="AO844" s="196" t="s">
        <v>279</v>
      </c>
      <c r="AP844" s="199">
        <v>0</v>
      </c>
      <c r="AQ844" s="199">
        <v>22</v>
      </c>
      <c r="AR844" s="199">
        <v>0</v>
      </c>
      <c r="AS844" s="196" t="str">
        <f t="shared" si="28"/>
        <v>1.00000000</v>
      </c>
      <c r="AT844" s="196" t="str">
        <f t="shared" si="27"/>
        <v>0.0</v>
      </c>
      <c r="AU844" s="199">
        <v>0</v>
      </c>
    </row>
    <row r="845" spans="1:47" s="196" customFormat="1" x14ac:dyDescent="0.2">
      <c r="A845" s="196" t="str">
        <f t="shared" si="26"/>
        <v>0496002599140</v>
      </c>
      <c r="B845" s="196">
        <v>1</v>
      </c>
      <c r="C845" s="196" t="s">
        <v>581</v>
      </c>
      <c r="D845" s="196" t="s">
        <v>582</v>
      </c>
      <c r="E845" s="196" t="s">
        <v>582</v>
      </c>
      <c r="F845" s="196" t="s">
        <v>243</v>
      </c>
      <c r="G845" s="196">
        <v>2323</v>
      </c>
      <c r="H845" s="196" t="s">
        <v>270</v>
      </c>
      <c r="I845" s="196">
        <v>99</v>
      </c>
      <c r="J845" s="197">
        <v>42837</v>
      </c>
      <c r="K845" s="198">
        <v>0.8208333333333333</v>
      </c>
      <c r="L845" s="197">
        <v>42839</v>
      </c>
      <c r="M845" s="196" t="s">
        <v>271</v>
      </c>
      <c r="N845" s="196" t="s">
        <v>352</v>
      </c>
      <c r="O845" s="196" t="s">
        <v>353</v>
      </c>
      <c r="P845" s="196" t="s">
        <v>343</v>
      </c>
      <c r="Q845" s="196" t="s">
        <v>275</v>
      </c>
      <c r="R845" s="196">
        <v>1035</v>
      </c>
      <c r="S845" s="196" t="s">
        <v>436</v>
      </c>
      <c r="T845" s="196" t="s">
        <v>581</v>
      </c>
      <c r="U845" s="196">
        <v>2323</v>
      </c>
      <c r="V845" s="196" t="s">
        <v>581</v>
      </c>
      <c r="W845" s="196" t="s">
        <v>280</v>
      </c>
      <c r="X845" s="196">
        <v>22.654</v>
      </c>
      <c r="Y845" s="199">
        <v>-0.45</v>
      </c>
      <c r="Z845" s="199">
        <v>2.2799999999999998</v>
      </c>
      <c r="AA845" s="199">
        <v>51.63</v>
      </c>
      <c r="AB845" s="199">
        <v>-4.1500000000000004</v>
      </c>
      <c r="AC845" s="199">
        <v>0</v>
      </c>
      <c r="AD845" s="199">
        <v>0</v>
      </c>
      <c r="AE845" s="199">
        <v>47.03</v>
      </c>
      <c r="AF845" s="199">
        <v>-5.44</v>
      </c>
      <c r="AG845" s="196" t="s">
        <v>279</v>
      </c>
      <c r="AH845" s="199">
        <v>0</v>
      </c>
      <c r="AI845" s="196" t="s">
        <v>279</v>
      </c>
      <c r="AJ845" s="199">
        <v>0</v>
      </c>
      <c r="AK845" s="196" t="s">
        <v>279</v>
      </c>
      <c r="AL845" s="199">
        <v>0</v>
      </c>
      <c r="AM845" s="196" t="s">
        <v>279</v>
      </c>
      <c r="AN845" s="199">
        <v>0</v>
      </c>
      <c r="AO845" s="196" t="s">
        <v>279</v>
      </c>
      <c r="AP845" s="199">
        <v>0</v>
      </c>
      <c r="AQ845" s="199">
        <v>51.63</v>
      </c>
      <c r="AR845" s="199">
        <v>0</v>
      </c>
      <c r="AS845" s="196" t="str">
        <f t="shared" si="28"/>
        <v>1.00000000</v>
      </c>
      <c r="AT845" s="196" t="str">
        <f t="shared" si="27"/>
        <v>0.0</v>
      </c>
      <c r="AU845" s="199">
        <v>0</v>
      </c>
    </row>
    <row r="846" spans="1:47" s="196" customFormat="1" x14ac:dyDescent="0.2">
      <c r="A846" s="196" t="str">
        <f t="shared" si="26"/>
        <v>0496002599140</v>
      </c>
      <c r="B846" s="196">
        <v>1</v>
      </c>
      <c r="C846" s="196" t="s">
        <v>581</v>
      </c>
      <c r="D846" s="196" t="s">
        <v>582</v>
      </c>
      <c r="E846" s="196" t="s">
        <v>582</v>
      </c>
      <c r="F846" s="196" t="s">
        <v>243</v>
      </c>
      <c r="G846" s="196">
        <v>2323</v>
      </c>
      <c r="H846" s="196" t="s">
        <v>270</v>
      </c>
      <c r="I846" s="196">
        <v>99</v>
      </c>
      <c r="J846" s="197">
        <v>42839</v>
      </c>
      <c r="K846" s="198">
        <v>0.67759259259259252</v>
      </c>
      <c r="L846" s="197">
        <v>42843</v>
      </c>
      <c r="M846" s="196" t="s">
        <v>314</v>
      </c>
      <c r="N846" s="196" t="s">
        <v>415</v>
      </c>
      <c r="O846" s="196" t="s">
        <v>416</v>
      </c>
      <c r="P846" s="196" t="s">
        <v>417</v>
      </c>
      <c r="Q846" s="196" t="s">
        <v>275</v>
      </c>
      <c r="R846" s="196" t="s">
        <v>418</v>
      </c>
      <c r="S846" s="196" t="s">
        <v>436</v>
      </c>
      <c r="T846" s="196" t="s">
        <v>581</v>
      </c>
      <c r="U846" s="196">
        <v>2323</v>
      </c>
      <c r="V846" s="196" t="s">
        <v>581</v>
      </c>
      <c r="W846" s="196" t="s">
        <v>278</v>
      </c>
      <c r="X846" s="196">
        <v>3.347</v>
      </c>
      <c r="Y846" s="199">
        <v>0</v>
      </c>
      <c r="Z846" s="199">
        <v>2.69</v>
      </c>
      <c r="AA846" s="199">
        <v>9</v>
      </c>
      <c r="AB846" s="199">
        <v>-0.61</v>
      </c>
      <c r="AC846" s="199">
        <v>0</v>
      </c>
      <c r="AD846" s="199">
        <v>0</v>
      </c>
      <c r="AE846" s="199">
        <v>8.39</v>
      </c>
      <c r="AF846" s="199">
        <v>-0.8</v>
      </c>
      <c r="AG846" s="196" t="s">
        <v>279</v>
      </c>
      <c r="AH846" s="199">
        <v>0</v>
      </c>
      <c r="AI846" s="196" t="s">
        <v>279</v>
      </c>
      <c r="AJ846" s="199">
        <v>0</v>
      </c>
      <c r="AK846" s="196" t="s">
        <v>279</v>
      </c>
      <c r="AL846" s="199">
        <v>0</v>
      </c>
      <c r="AM846" s="196" t="s">
        <v>279</v>
      </c>
      <c r="AN846" s="199">
        <v>0</v>
      </c>
      <c r="AO846" s="196" t="s">
        <v>279</v>
      </c>
      <c r="AP846" s="199">
        <v>0</v>
      </c>
      <c r="AQ846" s="199">
        <v>9</v>
      </c>
      <c r="AR846" s="199">
        <v>0</v>
      </c>
      <c r="AS846" s="196" t="str">
        <f t="shared" si="28"/>
        <v>1.00000000</v>
      </c>
      <c r="AT846" s="196" t="str">
        <f t="shared" si="27"/>
        <v>0.0</v>
      </c>
      <c r="AU846" s="199">
        <v>0</v>
      </c>
    </row>
    <row r="847" spans="1:47" s="196" customFormat="1" x14ac:dyDescent="0.2">
      <c r="A847" s="196" t="str">
        <f t="shared" si="26"/>
        <v>0496002599140</v>
      </c>
      <c r="B847" s="196">
        <v>1</v>
      </c>
      <c r="C847" s="196" t="s">
        <v>581</v>
      </c>
      <c r="D847" s="196" t="s">
        <v>582</v>
      </c>
      <c r="E847" s="196" t="s">
        <v>582</v>
      </c>
      <c r="F847" s="196" t="s">
        <v>243</v>
      </c>
      <c r="G847" s="196">
        <v>2323</v>
      </c>
      <c r="H847" s="196" t="s">
        <v>270</v>
      </c>
      <c r="I847" s="196">
        <v>9</v>
      </c>
      <c r="J847" s="197">
        <v>42840</v>
      </c>
      <c r="K847" s="198">
        <v>0.25</v>
      </c>
      <c r="L847" s="197">
        <v>42843</v>
      </c>
      <c r="M847" s="196" t="s">
        <v>271</v>
      </c>
      <c r="N847" s="196" t="s">
        <v>583</v>
      </c>
      <c r="O847" s="196" t="s">
        <v>584</v>
      </c>
      <c r="P847" s="196" t="s">
        <v>348</v>
      </c>
      <c r="Q847" s="196" t="s">
        <v>275</v>
      </c>
      <c r="R847" s="196">
        <v>1238</v>
      </c>
      <c r="S847" s="196" t="s">
        <v>436</v>
      </c>
      <c r="T847" s="196" t="s">
        <v>581</v>
      </c>
      <c r="U847" s="196">
        <v>2323</v>
      </c>
      <c r="V847" s="196" t="s">
        <v>581</v>
      </c>
      <c r="W847" s="196" t="s">
        <v>280</v>
      </c>
      <c r="X847" s="196">
        <v>7.41</v>
      </c>
      <c r="Y847" s="199">
        <v>-0.22</v>
      </c>
      <c r="Z847" s="199">
        <v>2.4300000000000002</v>
      </c>
      <c r="AA847" s="199">
        <v>18</v>
      </c>
      <c r="AB847" s="199">
        <v>-1.36</v>
      </c>
      <c r="AC847" s="199">
        <v>0</v>
      </c>
      <c r="AD847" s="199">
        <v>0</v>
      </c>
      <c r="AE847" s="199">
        <v>16.420000000000002</v>
      </c>
      <c r="AF847" s="199">
        <v>-1.78</v>
      </c>
      <c r="AG847" s="196" t="s">
        <v>279</v>
      </c>
      <c r="AH847" s="199">
        <v>0</v>
      </c>
      <c r="AI847" s="196" t="s">
        <v>279</v>
      </c>
      <c r="AJ847" s="199">
        <v>0</v>
      </c>
      <c r="AK847" s="196" t="s">
        <v>279</v>
      </c>
      <c r="AL847" s="199">
        <v>0</v>
      </c>
      <c r="AM847" s="196" t="s">
        <v>279</v>
      </c>
      <c r="AN847" s="199">
        <v>0</v>
      </c>
      <c r="AO847" s="196" t="s">
        <v>279</v>
      </c>
      <c r="AP847" s="199">
        <v>0</v>
      </c>
      <c r="AQ847" s="199">
        <v>18</v>
      </c>
      <c r="AR847" s="199">
        <v>0</v>
      </c>
      <c r="AS847" s="196" t="str">
        <f t="shared" si="28"/>
        <v>1.00000000</v>
      </c>
      <c r="AT847" s="196" t="str">
        <f t="shared" si="27"/>
        <v>0.0</v>
      </c>
      <c r="AU847" s="199">
        <v>0</v>
      </c>
    </row>
    <row r="848" spans="1:47" s="196" customFormat="1" x14ac:dyDescent="0.2">
      <c r="A848" s="196" t="str">
        <f t="shared" si="26"/>
        <v>0496002599140</v>
      </c>
      <c r="B848" s="196">
        <v>1</v>
      </c>
      <c r="C848" s="196" t="s">
        <v>581</v>
      </c>
      <c r="D848" s="196" t="s">
        <v>582</v>
      </c>
      <c r="E848" s="196" t="s">
        <v>582</v>
      </c>
      <c r="F848" s="196" t="s">
        <v>243</v>
      </c>
      <c r="G848" s="196">
        <v>2323</v>
      </c>
      <c r="H848" s="196" t="s">
        <v>270</v>
      </c>
      <c r="I848" s="196">
        <v>99</v>
      </c>
      <c r="J848" s="197">
        <v>42842</v>
      </c>
      <c r="K848" s="198">
        <v>0.70275462962962953</v>
      </c>
      <c r="L848" s="197">
        <v>42844</v>
      </c>
      <c r="M848" s="196" t="s">
        <v>314</v>
      </c>
      <c r="N848" s="196" t="s">
        <v>415</v>
      </c>
      <c r="O848" s="196" t="s">
        <v>416</v>
      </c>
      <c r="P848" s="196" t="s">
        <v>417</v>
      </c>
      <c r="Q848" s="196" t="s">
        <v>275</v>
      </c>
      <c r="R848" s="196" t="s">
        <v>418</v>
      </c>
      <c r="S848" s="196" t="s">
        <v>436</v>
      </c>
      <c r="T848" s="196" t="s">
        <v>581</v>
      </c>
      <c r="U848" s="196">
        <v>2323</v>
      </c>
      <c r="V848" s="196" t="s">
        <v>581</v>
      </c>
      <c r="W848" s="196" t="s">
        <v>280</v>
      </c>
      <c r="X848" s="196">
        <v>27.641999999999999</v>
      </c>
      <c r="Y848" s="199">
        <v>0</v>
      </c>
      <c r="Z848" s="199">
        <v>2.2799999999999998</v>
      </c>
      <c r="AA848" s="199">
        <v>63</v>
      </c>
      <c r="AB848" s="199">
        <v>-5.0599999999999996</v>
      </c>
      <c r="AC848" s="199">
        <v>0</v>
      </c>
      <c r="AD848" s="199">
        <v>0</v>
      </c>
      <c r="AE848" s="199">
        <v>57.94</v>
      </c>
      <c r="AF848" s="199">
        <v>-6.63</v>
      </c>
      <c r="AG848" s="196" t="s">
        <v>279</v>
      </c>
      <c r="AH848" s="199">
        <v>0</v>
      </c>
      <c r="AI848" s="196" t="s">
        <v>279</v>
      </c>
      <c r="AJ848" s="199">
        <v>0</v>
      </c>
      <c r="AK848" s="196" t="s">
        <v>279</v>
      </c>
      <c r="AL848" s="199">
        <v>0</v>
      </c>
      <c r="AM848" s="196" t="s">
        <v>279</v>
      </c>
      <c r="AN848" s="199">
        <v>0</v>
      </c>
      <c r="AO848" s="196" t="s">
        <v>279</v>
      </c>
      <c r="AP848" s="199">
        <v>0</v>
      </c>
      <c r="AQ848" s="199">
        <v>63</v>
      </c>
      <c r="AR848" s="199">
        <v>0</v>
      </c>
      <c r="AS848" s="196" t="str">
        <f t="shared" si="28"/>
        <v>1.00000000</v>
      </c>
      <c r="AT848" s="196" t="str">
        <f>"3.3"</f>
        <v>3.3</v>
      </c>
      <c r="AU848" s="199">
        <v>0</v>
      </c>
    </row>
    <row r="849" spans="1:47" s="196" customFormat="1" x14ac:dyDescent="0.2">
      <c r="A849" s="196" t="str">
        <f t="shared" si="26"/>
        <v>0496002599140</v>
      </c>
      <c r="B849" s="196">
        <v>1</v>
      </c>
      <c r="C849" s="196" t="s">
        <v>581</v>
      </c>
      <c r="D849" s="196" t="s">
        <v>582</v>
      </c>
      <c r="E849" s="196" t="s">
        <v>582</v>
      </c>
      <c r="F849" s="196" t="s">
        <v>243</v>
      </c>
      <c r="G849" s="196">
        <v>2323</v>
      </c>
      <c r="H849" s="196" t="s">
        <v>270</v>
      </c>
      <c r="I849" s="196">
        <v>99</v>
      </c>
      <c r="J849" s="197">
        <v>42843</v>
      </c>
      <c r="K849" s="198">
        <v>0.80763888888888891</v>
      </c>
      <c r="L849" s="197">
        <v>42845</v>
      </c>
      <c r="M849" s="196" t="s">
        <v>271</v>
      </c>
      <c r="N849" s="196" t="s">
        <v>352</v>
      </c>
      <c r="O849" s="196" t="s">
        <v>353</v>
      </c>
      <c r="P849" s="196" t="s">
        <v>343</v>
      </c>
      <c r="Q849" s="196" t="s">
        <v>275</v>
      </c>
      <c r="R849" s="196">
        <v>1035</v>
      </c>
      <c r="S849" s="196" t="s">
        <v>436</v>
      </c>
      <c r="T849" s="196" t="s">
        <v>581</v>
      </c>
      <c r="U849" s="196">
        <v>2323</v>
      </c>
      <c r="V849" s="196" t="s">
        <v>581</v>
      </c>
      <c r="W849" s="196" t="s">
        <v>280</v>
      </c>
      <c r="X849" s="196">
        <v>23.013999999999999</v>
      </c>
      <c r="Y849" s="199">
        <v>-0.46</v>
      </c>
      <c r="Z849" s="199">
        <v>2.33</v>
      </c>
      <c r="AA849" s="199">
        <v>53.6</v>
      </c>
      <c r="AB849" s="199">
        <v>-4.21</v>
      </c>
      <c r="AC849" s="199">
        <v>0</v>
      </c>
      <c r="AD849" s="199">
        <v>0</v>
      </c>
      <c r="AE849" s="199">
        <v>48.93</v>
      </c>
      <c r="AF849" s="199">
        <v>-5.52</v>
      </c>
      <c r="AG849" s="196" t="s">
        <v>279</v>
      </c>
      <c r="AH849" s="199">
        <v>0</v>
      </c>
      <c r="AI849" s="196" t="s">
        <v>279</v>
      </c>
      <c r="AJ849" s="199">
        <v>0</v>
      </c>
      <c r="AK849" s="196" t="s">
        <v>279</v>
      </c>
      <c r="AL849" s="199">
        <v>0</v>
      </c>
      <c r="AM849" s="196" t="s">
        <v>279</v>
      </c>
      <c r="AN849" s="199">
        <v>0</v>
      </c>
      <c r="AO849" s="196" t="s">
        <v>279</v>
      </c>
      <c r="AP849" s="199">
        <v>0</v>
      </c>
      <c r="AQ849" s="199">
        <v>53.6</v>
      </c>
      <c r="AR849" s="199">
        <v>0</v>
      </c>
      <c r="AS849" s="196" t="str">
        <f t="shared" si="28"/>
        <v>1.00000000</v>
      </c>
      <c r="AT849" s="196" t="str">
        <f t="shared" ref="AT849:AT869" si="29">"0.0"</f>
        <v>0.0</v>
      </c>
      <c r="AU849" s="199">
        <v>0</v>
      </c>
    </row>
    <row r="850" spans="1:47" s="196" customFormat="1" x14ac:dyDescent="0.2">
      <c r="A850" s="196" t="str">
        <f t="shared" si="26"/>
        <v>0496002599140</v>
      </c>
      <c r="B850" s="196">
        <v>1</v>
      </c>
      <c r="C850" s="196" t="s">
        <v>581</v>
      </c>
      <c r="D850" s="196" t="s">
        <v>582</v>
      </c>
      <c r="E850" s="196" t="s">
        <v>582</v>
      </c>
      <c r="F850" s="196" t="s">
        <v>243</v>
      </c>
      <c r="G850" s="196">
        <v>2323</v>
      </c>
      <c r="H850" s="196" t="s">
        <v>270</v>
      </c>
      <c r="I850" s="196">
        <v>99</v>
      </c>
      <c r="J850" s="197">
        <v>42843</v>
      </c>
      <c r="K850" s="198">
        <v>0.80833333333333324</v>
      </c>
      <c r="L850" s="197">
        <v>42845</v>
      </c>
      <c r="M850" s="196" t="s">
        <v>271</v>
      </c>
      <c r="N850" s="196" t="s">
        <v>352</v>
      </c>
      <c r="O850" s="196" t="s">
        <v>353</v>
      </c>
      <c r="P850" s="196" t="s">
        <v>343</v>
      </c>
      <c r="Q850" s="196" t="s">
        <v>275</v>
      </c>
      <c r="R850" s="196">
        <v>1035</v>
      </c>
      <c r="S850" s="196" t="s">
        <v>436</v>
      </c>
      <c r="T850" s="196" t="s">
        <v>581</v>
      </c>
      <c r="U850" s="196">
        <v>2323</v>
      </c>
      <c r="V850" s="196" t="s">
        <v>581</v>
      </c>
      <c r="W850" s="196" t="s">
        <v>280</v>
      </c>
      <c r="X850" s="196">
        <v>20.943999999999999</v>
      </c>
      <c r="Y850" s="199">
        <v>-0.42</v>
      </c>
      <c r="Z850" s="199">
        <v>2.33</v>
      </c>
      <c r="AA850" s="199">
        <v>48.78</v>
      </c>
      <c r="AB850" s="199">
        <v>-3.83</v>
      </c>
      <c r="AC850" s="199">
        <v>0</v>
      </c>
      <c r="AD850" s="199">
        <v>0</v>
      </c>
      <c r="AE850" s="199">
        <v>44.53</v>
      </c>
      <c r="AF850" s="199">
        <v>-5.03</v>
      </c>
      <c r="AG850" s="196" t="s">
        <v>279</v>
      </c>
      <c r="AH850" s="199">
        <v>0</v>
      </c>
      <c r="AI850" s="196" t="s">
        <v>279</v>
      </c>
      <c r="AJ850" s="199">
        <v>0</v>
      </c>
      <c r="AK850" s="196" t="s">
        <v>279</v>
      </c>
      <c r="AL850" s="199">
        <v>0</v>
      </c>
      <c r="AM850" s="196" t="s">
        <v>279</v>
      </c>
      <c r="AN850" s="199">
        <v>0</v>
      </c>
      <c r="AO850" s="196" t="s">
        <v>279</v>
      </c>
      <c r="AP850" s="199">
        <v>0</v>
      </c>
      <c r="AQ850" s="199">
        <v>48.78</v>
      </c>
      <c r="AR850" s="199">
        <v>0</v>
      </c>
      <c r="AS850" s="196" t="str">
        <f t="shared" si="28"/>
        <v>1.00000000</v>
      </c>
      <c r="AT850" s="196" t="str">
        <f t="shared" si="29"/>
        <v>0.0</v>
      </c>
      <c r="AU850" s="199">
        <v>0</v>
      </c>
    </row>
    <row r="851" spans="1:47" s="196" customFormat="1" x14ac:dyDescent="0.2">
      <c r="A851" s="196" t="str">
        <f t="shared" si="26"/>
        <v>0496002599140</v>
      </c>
      <c r="B851" s="196">
        <v>1</v>
      </c>
      <c r="C851" s="196" t="s">
        <v>581</v>
      </c>
      <c r="D851" s="196" t="s">
        <v>582</v>
      </c>
      <c r="E851" s="196" t="s">
        <v>582</v>
      </c>
      <c r="F851" s="196" t="s">
        <v>243</v>
      </c>
      <c r="G851" s="196">
        <v>2323</v>
      </c>
      <c r="H851" s="196" t="s">
        <v>270</v>
      </c>
      <c r="I851" s="196">
        <v>99</v>
      </c>
      <c r="J851" s="197">
        <v>42844</v>
      </c>
      <c r="K851" s="198">
        <v>0.23696759259259259</v>
      </c>
      <c r="L851" s="197">
        <v>42846</v>
      </c>
      <c r="M851" s="196" t="s">
        <v>396</v>
      </c>
      <c r="N851" s="196" t="s">
        <v>397</v>
      </c>
      <c r="O851" s="196" t="s">
        <v>398</v>
      </c>
      <c r="P851" s="196" t="s">
        <v>343</v>
      </c>
      <c r="Q851" s="196" t="s">
        <v>275</v>
      </c>
      <c r="R851" s="196">
        <v>1035</v>
      </c>
      <c r="S851" s="196" t="s">
        <v>436</v>
      </c>
      <c r="T851" s="196" t="s">
        <v>581</v>
      </c>
      <c r="U851" s="196">
        <v>2323</v>
      </c>
      <c r="V851" s="196" t="s">
        <v>581</v>
      </c>
      <c r="W851" s="196" t="s">
        <v>280</v>
      </c>
      <c r="X851" s="196">
        <v>8.5860000000000003</v>
      </c>
      <c r="Y851" s="199">
        <v>0</v>
      </c>
      <c r="Z851" s="199">
        <v>2.33</v>
      </c>
      <c r="AA851" s="199">
        <v>20</v>
      </c>
      <c r="AB851" s="199">
        <v>-1.57</v>
      </c>
      <c r="AC851" s="199">
        <v>0</v>
      </c>
      <c r="AD851" s="199">
        <v>0</v>
      </c>
      <c r="AE851" s="199">
        <v>18.43</v>
      </c>
      <c r="AF851" s="199">
        <v>-2.06</v>
      </c>
      <c r="AG851" s="196" t="s">
        <v>279</v>
      </c>
      <c r="AH851" s="199">
        <v>0</v>
      </c>
      <c r="AI851" s="196" t="s">
        <v>279</v>
      </c>
      <c r="AJ851" s="199">
        <v>0</v>
      </c>
      <c r="AK851" s="196" t="s">
        <v>279</v>
      </c>
      <c r="AL851" s="199">
        <v>0</v>
      </c>
      <c r="AM851" s="196" t="s">
        <v>279</v>
      </c>
      <c r="AN851" s="199">
        <v>0</v>
      </c>
      <c r="AO851" s="196" t="s">
        <v>279</v>
      </c>
      <c r="AP851" s="199">
        <v>0</v>
      </c>
      <c r="AQ851" s="199">
        <v>20</v>
      </c>
      <c r="AR851" s="199">
        <v>0</v>
      </c>
      <c r="AS851" s="196" t="str">
        <f t="shared" si="28"/>
        <v>1.00000000</v>
      </c>
      <c r="AT851" s="196" t="str">
        <f t="shared" si="29"/>
        <v>0.0</v>
      </c>
      <c r="AU851" s="199">
        <v>0</v>
      </c>
    </row>
    <row r="852" spans="1:47" s="196" customFormat="1" x14ac:dyDescent="0.2">
      <c r="A852" s="196" t="str">
        <f t="shared" si="26"/>
        <v>0496002599140</v>
      </c>
      <c r="B852" s="196">
        <v>1</v>
      </c>
      <c r="C852" s="196" t="s">
        <v>581</v>
      </c>
      <c r="D852" s="196" t="s">
        <v>582</v>
      </c>
      <c r="E852" s="196" t="s">
        <v>582</v>
      </c>
      <c r="F852" s="196" t="s">
        <v>243</v>
      </c>
      <c r="G852" s="196">
        <v>2323</v>
      </c>
      <c r="H852" s="196" t="s">
        <v>270</v>
      </c>
      <c r="I852" s="196">
        <v>99</v>
      </c>
      <c r="J852" s="197">
        <v>42844</v>
      </c>
      <c r="K852" s="198">
        <v>0.51046296296296301</v>
      </c>
      <c r="L852" s="197">
        <v>42846</v>
      </c>
      <c r="M852" s="196" t="s">
        <v>314</v>
      </c>
      <c r="N852" s="196" t="s">
        <v>415</v>
      </c>
      <c r="O852" s="196" t="s">
        <v>416</v>
      </c>
      <c r="P852" s="196" t="s">
        <v>417</v>
      </c>
      <c r="Q852" s="196" t="s">
        <v>275</v>
      </c>
      <c r="R852" s="196" t="s">
        <v>418</v>
      </c>
      <c r="S852" s="196" t="s">
        <v>436</v>
      </c>
      <c r="T852" s="196" t="s">
        <v>581</v>
      </c>
      <c r="U852" s="196">
        <v>2323</v>
      </c>
      <c r="V852" s="196" t="s">
        <v>581</v>
      </c>
      <c r="W852" s="196" t="s">
        <v>280</v>
      </c>
      <c r="X852" s="196">
        <v>10.875</v>
      </c>
      <c r="Y852" s="199">
        <v>0</v>
      </c>
      <c r="Z852" s="199">
        <v>2.2999999999999998</v>
      </c>
      <c r="AA852" s="199">
        <v>25</v>
      </c>
      <c r="AB852" s="199">
        <v>-1.99</v>
      </c>
      <c r="AC852" s="199">
        <v>0</v>
      </c>
      <c r="AD852" s="199">
        <v>0</v>
      </c>
      <c r="AE852" s="199">
        <v>23.01</v>
      </c>
      <c r="AF852" s="199">
        <v>-2.61</v>
      </c>
      <c r="AG852" s="196" t="s">
        <v>279</v>
      </c>
      <c r="AH852" s="199">
        <v>0</v>
      </c>
      <c r="AI852" s="196" t="s">
        <v>279</v>
      </c>
      <c r="AJ852" s="199">
        <v>0</v>
      </c>
      <c r="AK852" s="196" t="s">
        <v>279</v>
      </c>
      <c r="AL852" s="199">
        <v>0</v>
      </c>
      <c r="AM852" s="196" t="s">
        <v>279</v>
      </c>
      <c r="AN852" s="199">
        <v>0</v>
      </c>
      <c r="AO852" s="196" t="s">
        <v>279</v>
      </c>
      <c r="AP852" s="199">
        <v>0</v>
      </c>
      <c r="AQ852" s="199">
        <v>25</v>
      </c>
      <c r="AR852" s="199">
        <v>0</v>
      </c>
      <c r="AS852" s="196" t="str">
        <f t="shared" si="28"/>
        <v>1.00000000</v>
      </c>
      <c r="AT852" s="196" t="str">
        <f t="shared" si="29"/>
        <v>0.0</v>
      </c>
      <c r="AU852" s="199">
        <v>0</v>
      </c>
    </row>
    <row r="853" spans="1:47" s="196" customFormat="1" x14ac:dyDescent="0.2">
      <c r="A853" s="196" t="str">
        <f t="shared" si="26"/>
        <v>0496002599140</v>
      </c>
      <c r="B853" s="196">
        <v>1</v>
      </c>
      <c r="C853" s="196" t="s">
        <v>581</v>
      </c>
      <c r="D853" s="196" t="s">
        <v>582</v>
      </c>
      <c r="E853" s="196" t="s">
        <v>582</v>
      </c>
      <c r="F853" s="196" t="s">
        <v>243</v>
      </c>
      <c r="G853" s="196">
        <v>2323</v>
      </c>
      <c r="H853" s="196" t="s">
        <v>270</v>
      </c>
      <c r="I853" s="196">
        <v>99</v>
      </c>
      <c r="J853" s="197">
        <v>42846</v>
      </c>
      <c r="K853" s="198">
        <v>0.69582175925925915</v>
      </c>
      <c r="L853" s="197">
        <v>42850</v>
      </c>
      <c r="M853" s="196" t="s">
        <v>314</v>
      </c>
      <c r="N853" s="196" t="s">
        <v>415</v>
      </c>
      <c r="O853" s="196" t="s">
        <v>416</v>
      </c>
      <c r="P853" s="196" t="s">
        <v>417</v>
      </c>
      <c r="Q853" s="196" t="s">
        <v>275</v>
      </c>
      <c r="R853" s="196" t="s">
        <v>418</v>
      </c>
      <c r="S853" s="196" t="s">
        <v>436</v>
      </c>
      <c r="T853" s="196" t="s">
        <v>581</v>
      </c>
      <c r="U853" s="196">
        <v>2323</v>
      </c>
      <c r="V853" s="196" t="s">
        <v>581</v>
      </c>
      <c r="W853" s="196" t="s">
        <v>278</v>
      </c>
      <c r="X853" s="196">
        <v>3.637</v>
      </c>
      <c r="Y853" s="199">
        <v>0</v>
      </c>
      <c r="Z853" s="199">
        <v>2.75</v>
      </c>
      <c r="AA853" s="199">
        <v>10</v>
      </c>
      <c r="AB853" s="199">
        <v>-0.67</v>
      </c>
      <c r="AC853" s="199">
        <v>0</v>
      </c>
      <c r="AD853" s="199">
        <v>0</v>
      </c>
      <c r="AE853" s="199">
        <v>9.33</v>
      </c>
      <c r="AF853" s="199">
        <v>-0.87</v>
      </c>
      <c r="AG853" s="196" t="s">
        <v>279</v>
      </c>
      <c r="AH853" s="199">
        <v>0</v>
      </c>
      <c r="AI853" s="196" t="s">
        <v>279</v>
      </c>
      <c r="AJ853" s="199">
        <v>0</v>
      </c>
      <c r="AK853" s="196" t="s">
        <v>279</v>
      </c>
      <c r="AL853" s="199">
        <v>0</v>
      </c>
      <c r="AM853" s="196" t="s">
        <v>279</v>
      </c>
      <c r="AN853" s="199">
        <v>0</v>
      </c>
      <c r="AO853" s="196" t="s">
        <v>279</v>
      </c>
      <c r="AP853" s="199">
        <v>0</v>
      </c>
      <c r="AQ853" s="199">
        <v>10</v>
      </c>
      <c r="AR853" s="199">
        <v>0</v>
      </c>
      <c r="AS853" s="196" t="str">
        <f t="shared" si="28"/>
        <v>1.00000000</v>
      </c>
      <c r="AT853" s="196" t="str">
        <f t="shared" si="29"/>
        <v>0.0</v>
      </c>
      <c r="AU853" s="199">
        <v>0</v>
      </c>
    </row>
    <row r="854" spans="1:47" s="196" customFormat="1" x14ac:dyDescent="0.2">
      <c r="A854" s="196" t="str">
        <f t="shared" si="26"/>
        <v>0496002599140</v>
      </c>
      <c r="B854" s="196">
        <v>1</v>
      </c>
      <c r="C854" s="196" t="s">
        <v>581</v>
      </c>
      <c r="D854" s="196" t="s">
        <v>582</v>
      </c>
      <c r="E854" s="196" t="s">
        <v>582</v>
      </c>
      <c r="F854" s="196" t="s">
        <v>243</v>
      </c>
      <c r="G854" s="196">
        <v>2323</v>
      </c>
      <c r="H854" s="196" t="s">
        <v>270</v>
      </c>
      <c r="I854" s="196">
        <v>99</v>
      </c>
      <c r="J854" s="197">
        <v>42849</v>
      </c>
      <c r="K854" s="198">
        <v>0.8125</v>
      </c>
      <c r="L854" s="197">
        <v>42851</v>
      </c>
      <c r="M854" s="196" t="s">
        <v>271</v>
      </c>
      <c r="N854" s="196" t="s">
        <v>352</v>
      </c>
      <c r="O854" s="196" t="s">
        <v>353</v>
      </c>
      <c r="P854" s="196" t="s">
        <v>343</v>
      </c>
      <c r="Q854" s="196" t="s">
        <v>275</v>
      </c>
      <c r="R854" s="196">
        <v>1035</v>
      </c>
      <c r="S854" s="196" t="s">
        <v>436</v>
      </c>
      <c r="T854" s="196" t="s">
        <v>581</v>
      </c>
      <c r="U854" s="196">
        <v>2323</v>
      </c>
      <c r="V854" s="196" t="s">
        <v>581</v>
      </c>
      <c r="W854" s="196" t="s">
        <v>280</v>
      </c>
      <c r="X854" s="196">
        <v>19.472000000000001</v>
      </c>
      <c r="Y854" s="199">
        <v>-0.39</v>
      </c>
      <c r="Z854" s="199">
        <v>2.35</v>
      </c>
      <c r="AA854" s="199">
        <v>45.74</v>
      </c>
      <c r="AB854" s="199">
        <v>-3.56</v>
      </c>
      <c r="AC854" s="199">
        <v>0</v>
      </c>
      <c r="AD854" s="199">
        <v>0</v>
      </c>
      <c r="AE854" s="199">
        <v>41.79</v>
      </c>
      <c r="AF854" s="199">
        <v>-4.67</v>
      </c>
      <c r="AG854" s="196" t="s">
        <v>279</v>
      </c>
      <c r="AH854" s="199">
        <v>0</v>
      </c>
      <c r="AI854" s="196" t="s">
        <v>279</v>
      </c>
      <c r="AJ854" s="199">
        <v>0</v>
      </c>
      <c r="AK854" s="196" t="s">
        <v>279</v>
      </c>
      <c r="AL854" s="199">
        <v>0</v>
      </c>
      <c r="AM854" s="196" t="s">
        <v>279</v>
      </c>
      <c r="AN854" s="199">
        <v>0</v>
      </c>
      <c r="AO854" s="196" t="s">
        <v>279</v>
      </c>
      <c r="AP854" s="199">
        <v>0</v>
      </c>
      <c r="AQ854" s="199">
        <v>45.74</v>
      </c>
      <c r="AR854" s="199">
        <v>0</v>
      </c>
      <c r="AS854" s="196" t="str">
        <f t="shared" si="28"/>
        <v>1.00000000</v>
      </c>
      <c r="AT854" s="196" t="str">
        <f t="shared" si="29"/>
        <v>0.0</v>
      </c>
      <c r="AU854" s="199">
        <v>0</v>
      </c>
    </row>
    <row r="855" spans="1:47" s="196" customFormat="1" x14ac:dyDescent="0.2">
      <c r="A855" s="196" t="str">
        <f t="shared" si="26"/>
        <v>0496002599140</v>
      </c>
      <c r="B855" s="196">
        <v>1</v>
      </c>
      <c r="C855" s="196" t="s">
        <v>581</v>
      </c>
      <c r="D855" s="196" t="s">
        <v>582</v>
      </c>
      <c r="E855" s="196" t="s">
        <v>582</v>
      </c>
      <c r="F855" s="196" t="s">
        <v>243</v>
      </c>
      <c r="G855" s="196">
        <v>2323</v>
      </c>
      <c r="H855" s="196" t="s">
        <v>270</v>
      </c>
      <c r="I855" s="196">
        <v>99</v>
      </c>
      <c r="J855" s="197">
        <v>42849</v>
      </c>
      <c r="K855" s="198">
        <v>0.8125</v>
      </c>
      <c r="L855" s="197">
        <v>42851</v>
      </c>
      <c r="M855" s="196" t="s">
        <v>271</v>
      </c>
      <c r="N855" s="196" t="s">
        <v>352</v>
      </c>
      <c r="O855" s="196" t="s">
        <v>353</v>
      </c>
      <c r="P855" s="196" t="s">
        <v>343</v>
      </c>
      <c r="Q855" s="196" t="s">
        <v>275</v>
      </c>
      <c r="R855" s="196">
        <v>1035</v>
      </c>
      <c r="S855" s="196" t="s">
        <v>436</v>
      </c>
      <c r="T855" s="196" t="s">
        <v>581</v>
      </c>
      <c r="U855" s="196">
        <v>2323</v>
      </c>
      <c r="V855" s="196" t="s">
        <v>581</v>
      </c>
      <c r="W855" s="196" t="s">
        <v>280</v>
      </c>
      <c r="X855" s="196">
        <v>22.613</v>
      </c>
      <c r="Y855" s="199">
        <v>-0.45</v>
      </c>
      <c r="Z855" s="199">
        <v>2.35</v>
      </c>
      <c r="AA855" s="199">
        <v>53.12</v>
      </c>
      <c r="AB855" s="199">
        <v>-4.1399999999999997</v>
      </c>
      <c r="AC855" s="199">
        <v>0</v>
      </c>
      <c r="AD855" s="199">
        <v>0</v>
      </c>
      <c r="AE855" s="199">
        <v>48.53</v>
      </c>
      <c r="AF855" s="199">
        <v>-5.43</v>
      </c>
      <c r="AG855" s="196" t="s">
        <v>279</v>
      </c>
      <c r="AH855" s="199">
        <v>0</v>
      </c>
      <c r="AI855" s="196" t="s">
        <v>279</v>
      </c>
      <c r="AJ855" s="199">
        <v>0</v>
      </c>
      <c r="AK855" s="196" t="s">
        <v>279</v>
      </c>
      <c r="AL855" s="199">
        <v>0</v>
      </c>
      <c r="AM855" s="196" t="s">
        <v>279</v>
      </c>
      <c r="AN855" s="199">
        <v>0</v>
      </c>
      <c r="AO855" s="196" t="s">
        <v>279</v>
      </c>
      <c r="AP855" s="199">
        <v>0</v>
      </c>
      <c r="AQ855" s="199">
        <v>53.12</v>
      </c>
      <c r="AR855" s="199">
        <v>0</v>
      </c>
      <c r="AS855" s="196" t="str">
        <f t="shared" si="28"/>
        <v>1.00000000</v>
      </c>
      <c r="AT855" s="196" t="str">
        <f t="shared" si="29"/>
        <v>0.0</v>
      </c>
      <c r="AU855" s="199">
        <v>0</v>
      </c>
    </row>
    <row r="856" spans="1:47" s="196" customFormat="1" x14ac:dyDescent="0.2">
      <c r="A856" s="196" t="str">
        <f t="shared" si="26"/>
        <v>0496002599140</v>
      </c>
      <c r="B856" s="196">
        <v>1</v>
      </c>
      <c r="C856" s="196" t="s">
        <v>581</v>
      </c>
      <c r="D856" s="196" t="s">
        <v>582</v>
      </c>
      <c r="E856" s="196" t="s">
        <v>582</v>
      </c>
      <c r="F856" s="196" t="s">
        <v>243</v>
      </c>
      <c r="G856" s="196">
        <v>2323</v>
      </c>
      <c r="H856" s="196" t="s">
        <v>270</v>
      </c>
      <c r="I856" s="196">
        <v>99</v>
      </c>
      <c r="J856" s="197">
        <v>42849</v>
      </c>
      <c r="K856" s="198">
        <v>0.81388888888888899</v>
      </c>
      <c r="L856" s="197">
        <v>42851</v>
      </c>
      <c r="M856" s="196" t="s">
        <v>271</v>
      </c>
      <c r="N856" s="196" t="s">
        <v>352</v>
      </c>
      <c r="O856" s="196" t="s">
        <v>353</v>
      </c>
      <c r="P856" s="196" t="s">
        <v>343</v>
      </c>
      <c r="Q856" s="196" t="s">
        <v>275</v>
      </c>
      <c r="R856" s="196">
        <v>1035</v>
      </c>
      <c r="S856" s="196" t="s">
        <v>436</v>
      </c>
      <c r="T856" s="196" t="s">
        <v>581</v>
      </c>
      <c r="U856" s="196">
        <v>2323</v>
      </c>
      <c r="V856" s="196" t="s">
        <v>581</v>
      </c>
      <c r="W856" s="196" t="s">
        <v>280</v>
      </c>
      <c r="X856" s="196">
        <v>28.948</v>
      </c>
      <c r="Y856" s="199">
        <v>-0.57999999999999996</v>
      </c>
      <c r="Z856" s="199">
        <v>2.35</v>
      </c>
      <c r="AA856" s="199">
        <v>68</v>
      </c>
      <c r="AB856" s="199">
        <v>-5.3</v>
      </c>
      <c r="AC856" s="199">
        <v>0</v>
      </c>
      <c r="AD856" s="199">
        <v>0</v>
      </c>
      <c r="AE856" s="199">
        <v>62.12</v>
      </c>
      <c r="AF856" s="199">
        <v>-6.95</v>
      </c>
      <c r="AG856" s="196" t="s">
        <v>279</v>
      </c>
      <c r="AH856" s="199">
        <v>0</v>
      </c>
      <c r="AI856" s="196" t="s">
        <v>279</v>
      </c>
      <c r="AJ856" s="199">
        <v>0</v>
      </c>
      <c r="AK856" s="196" t="s">
        <v>279</v>
      </c>
      <c r="AL856" s="199">
        <v>0</v>
      </c>
      <c r="AM856" s="196" t="s">
        <v>279</v>
      </c>
      <c r="AN856" s="199">
        <v>0</v>
      </c>
      <c r="AO856" s="196" t="s">
        <v>279</v>
      </c>
      <c r="AP856" s="199">
        <v>0</v>
      </c>
      <c r="AQ856" s="199">
        <v>68</v>
      </c>
      <c r="AR856" s="199">
        <v>0</v>
      </c>
      <c r="AS856" s="196" t="str">
        <f t="shared" si="28"/>
        <v>1.00000000</v>
      </c>
      <c r="AT856" s="196" t="str">
        <f t="shared" si="29"/>
        <v>0.0</v>
      </c>
      <c r="AU856" s="199">
        <v>0</v>
      </c>
    </row>
    <row r="857" spans="1:47" s="196" customFormat="1" x14ac:dyDescent="0.2">
      <c r="A857" s="196" t="str">
        <f t="shared" si="26"/>
        <v>0496002599140</v>
      </c>
      <c r="B857" s="196">
        <v>1</v>
      </c>
      <c r="C857" s="196" t="s">
        <v>581</v>
      </c>
      <c r="D857" s="196" t="s">
        <v>582</v>
      </c>
      <c r="E857" s="196" t="s">
        <v>582</v>
      </c>
      <c r="F857" s="196" t="s">
        <v>243</v>
      </c>
      <c r="G857" s="196">
        <v>2323</v>
      </c>
      <c r="H857" s="196" t="s">
        <v>270</v>
      </c>
      <c r="I857" s="196">
        <v>99</v>
      </c>
      <c r="J857" s="197">
        <v>42852</v>
      </c>
      <c r="K857" s="198">
        <v>0.67013888888888884</v>
      </c>
      <c r="L857" s="197">
        <v>42856</v>
      </c>
      <c r="M857" s="196" t="s">
        <v>285</v>
      </c>
      <c r="N857" s="196" t="s">
        <v>399</v>
      </c>
      <c r="O857" s="196" t="s">
        <v>400</v>
      </c>
      <c r="P857" s="196" t="s">
        <v>274</v>
      </c>
      <c r="Q857" s="196" t="s">
        <v>275</v>
      </c>
      <c r="R857" s="196" t="s">
        <v>401</v>
      </c>
      <c r="S857" s="196" t="s">
        <v>436</v>
      </c>
      <c r="T857" s="196" t="s">
        <v>581</v>
      </c>
      <c r="U857" s="196">
        <v>2323</v>
      </c>
      <c r="V857" s="196" t="s">
        <v>581</v>
      </c>
      <c r="W857" s="196" t="s">
        <v>280</v>
      </c>
      <c r="X857" s="196">
        <v>5.7220000000000004</v>
      </c>
      <c r="Y857" s="199">
        <v>0</v>
      </c>
      <c r="Z857" s="199">
        <v>2.36</v>
      </c>
      <c r="AA857" s="199">
        <v>13.5</v>
      </c>
      <c r="AB857" s="199">
        <v>-1.05</v>
      </c>
      <c r="AC857" s="199">
        <v>0</v>
      </c>
      <c r="AD857" s="199">
        <v>0</v>
      </c>
      <c r="AE857" s="199">
        <v>12.45</v>
      </c>
      <c r="AF857" s="199">
        <v>-1.37</v>
      </c>
      <c r="AG857" s="196" t="s">
        <v>279</v>
      </c>
      <c r="AH857" s="199">
        <v>0</v>
      </c>
      <c r="AI857" s="196" t="s">
        <v>279</v>
      </c>
      <c r="AJ857" s="199">
        <v>0</v>
      </c>
      <c r="AK857" s="196" t="s">
        <v>279</v>
      </c>
      <c r="AL857" s="199">
        <v>0</v>
      </c>
      <c r="AM857" s="196" t="s">
        <v>279</v>
      </c>
      <c r="AN857" s="199">
        <v>0</v>
      </c>
      <c r="AO857" s="196" t="s">
        <v>279</v>
      </c>
      <c r="AP857" s="199">
        <v>0</v>
      </c>
      <c r="AQ857" s="199">
        <v>13.5</v>
      </c>
      <c r="AR857" s="199">
        <v>0</v>
      </c>
      <c r="AS857" s="196" t="str">
        <f t="shared" si="28"/>
        <v>1.00000000</v>
      </c>
      <c r="AT857" s="196" t="str">
        <f t="shared" si="29"/>
        <v>0.0</v>
      </c>
      <c r="AU857" s="199">
        <v>0</v>
      </c>
    </row>
    <row r="858" spans="1:47" s="196" customFormat="1" x14ac:dyDescent="0.2">
      <c r="A858" s="196" t="str">
        <f t="shared" si="26"/>
        <v>0496002599140</v>
      </c>
      <c r="B858" s="196">
        <v>1</v>
      </c>
      <c r="C858" s="196" t="s">
        <v>581</v>
      </c>
      <c r="D858" s="196" t="s">
        <v>582</v>
      </c>
      <c r="E858" s="196" t="s">
        <v>582</v>
      </c>
      <c r="F858" s="196" t="s">
        <v>243</v>
      </c>
      <c r="G858" s="196">
        <v>2323</v>
      </c>
      <c r="H858" s="196" t="s">
        <v>270</v>
      </c>
      <c r="I858" s="196">
        <v>99</v>
      </c>
      <c r="J858" s="197">
        <v>42853</v>
      </c>
      <c r="K858" s="198">
        <v>0.68630787037037033</v>
      </c>
      <c r="L858" s="197">
        <v>42857</v>
      </c>
      <c r="M858" s="196" t="s">
        <v>314</v>
      </c>
      <c r="N858" s="196" t="s">
        <v>415</v>
      </c>
      <c r="O858" s="196" t="s">
        <v>416</v>
      </c>
      <c r="P858" s="196" t="s">
        <v>417</v>
      </c>
      <c r="Q858" s="196" t="s">
        <v>275</v>
      </c>
      <c r="R858" s="196" t="s">
        <v>418</v>
      </c>
      <c r="S858" s="196" t="s">
        <v>436</v>
      </c>
      <c r="T858" s="196" t="s">
        <v>581</v>
      </c>
      <c r="U858" s="196">
        <v>2323</v>
      </c>
      <c r="V858" s="196" t="s">
        <v>581</v>
      </c>
      <c r="W858" s="196" t="s">
        <v>280</v>
      </c>
      <c r="X858" s="196">
        <v>6.4139999999999997</v>
      </c>
      <c r="Y858" s="199">
        <v>0</v>
      </c>
      <c r="Z858" s="199">
        <v>2.34</v>
      </c>
      <c r="AA858" s="199">
        <v>15</v>
      </c>
      <c r="AB858" s="199">
        <v>-1.17</v>
      </c>
      <c r="AC858" s="199">
        <v>0</v>
      </c>
      <c r="AD858" s="199">
        <v>0</v>
      </c>
      <c r="AE858" s="199">
        <v>13.83</v>
      </c>
      <c r="AF858" s="199">
        <v>-1.54</v>
      </c>
      <c r="AG858" s="196" t="s">
        <v>279</v>
      </c>
      <c r="AH858" s="199">
        <v>0</v>
      </c>
      <c r="AI858" s="196" t="s">
        <v>279</v>
      </c>
      <c r="AJ858" s="199">
        <v>0</v>
      </c>
      <c r="AK858" s="196" t="s">
        <v>279</v>
      </c>
      <c r="AL858" s="199">
        <v>0</v>
      </c>
      <c r="AM858" s="196" t="s">
        <v>279</v>
      </c>
      <c r="AN858" s="199">
        <v>0</v>
      </c>
      <c r="AO858" s="196" t="s">
        <v>279</v>
      </c>
      <c r="AP858" s="199">
        <v>0</v>
      </c>
      <c r="AQ858" s="199">
        <v>15</v>
      </c>
      <c r="AR858" s="199">
        <v>0</v>
      </c>
      <c r="AS858" s="196" t="str">
        <f t="shared" si="28"/>
        <v>1.00000000</v>
      </c>
      <c r="AT858" s="196" t="str">
        <f t="shared" si="29"/>
        <v>0.0</v>
      </c>
      <c r="AU858" s="199">
        <v>0</v>
      </c>
    </row>
    <row r="859" spans="1:47" s="196" customFormat="1" x14ac:dyDescent="0.2">
      <c r="A859" s="196" t="str">
        <f t="shared" si="26"/>
        <v>0496002599140</v>
      </c>
      <c r="B859" s="196">
        <v>1</v>
      </c>
      <c r="C859" s="196" t="s">
        <v>581</v>
      </c>
      <c r="D859" s="196" t="s">
        <v>582</v>
      </c>
      <c r="E859" s="196" t="s">
        <v>582</v>
      </c>
      <c r="F859" s="196" t="s">
        <v>243</v>
      </c>
      <c r="G859" s="196">
        <v>2323</v>
      </c>
      <c r="H859" s="196" t="s">
        <v>270</v>
      </c>
      <c r="I859" s="196">
        <v>99</v>
      </c>
      <c r="J859" s="197">
        <v>42854</v>
      </c>
      <c r="K859" s="198">
        <v>0.3444444444444445</v>
      </c>
      <c r="L859" s="197">
        <v>42857</v>
      </c>
      <c r="M859" s="196" t="s">
        <v>285</v>
      </c>
      <c r="N859" s="196" t="s">
        <v>399</v>
      </c>
      <c r="O859" s="196" t="s">
        <v>400</v>
      </c>
      <c r="P859" s="196" t="s">
        <v>274</v>
      </c>
      <c r="Q859" s="196" t="s">
        <v>275</v>
      </c>
      <c r="R859" s="196" t="s">
        <v>401</v>
      </c>
      <c r="S859" s="196" t="s">
        <v>436</v>
      </c>
      <c r="T859" s="196" t="s">
        <v>581</v>
      </c>
      <c r="U859" s="196">
        <v>2323</v>
      </c>
      <c r="V859" s="196" t="s">
        <v>581</v>
      </c>
      <c r="W859" s="196" t="s">
        <v>280</v>
      </c>
      <c r="X859" s="196">
        <v>6.36</v>
      </c>
      <c r="Y859" s="199">
        <v>0</v>
      </c>
      <c r="Z859" s="199">
        <v>2.36</v>
      </c>
      <c r="AA859" s="199">
        <v>15</v>
      </c>
      <c r="AB859" s="199">
        <v>-1.1599999999999999</v>
      </c>
      <c r="AC859" s="199">
        <v>0</v>
      </c>
      <c r="AD859" s="199">
        <v>0</v>
      </c>
      <c r="AE859" s="199">
        <v>13.84</v>
      </c>
      <c r="AF859" s="199">
        <v>-1.53</v>
      </c>
      <c r="AG859" s="196" t="s">
        <v>279</v>
      </c>
      <c r="AH859" s="199">
        <v>0</v>
      </c>
      <c r="AI859" s="196" t="s">
        <v>279</v>
      </c>
      <c r="AJ859" s="199">
        <v>0</v>
      </c>
      <c r="AK859" s="196" t="s">
        <v>279</v>
      </c>
      <c r="AL859" s="199">
        <v>0</v>
      </c>
      <c r="AM859" s="196" t="s">
        <v>279</v>
      </c>
      <c r="AN859" s="199">
        <v>0</v>
      </c>
      <c r="AO859" s="196" t="s">
        <v>279</v>
      </c>
      <c r="AP859" s="199">
        <v>0</v>
      </c>
      <c r="AQ859" s="199">
        <v>15</v>
      </c>
      <c r="AR859" s="199">
        <v>0</v>
      </c>
      <c r="AS859" s="196" t="str">
        <f t="shared" si="28"/>
        <v>1.00000000</v>
      </c>
      <c r="AT859" s="196" t="str">
        <f t="shared" si="29"/>
        <v>0.0</v>
      </c>
      <c r="AU859" s="199">
        <v>0</v>
      </c>
    </row>
    <row r="860" spans="1:47" s="196" customFormat="1" x14ac:dyDescent="0.2">
      <c r="A860" s="196" t="str">
        <f t="shared" si="26"/>
        <v>0496002599140</v>
      </c>
      <c r="B860" s="196">
        <v>1</v>
      </c>
      <c r="C860" s="196" t="s">
        <v>581</v>
      </c>
      <c r="D860" s="196" t="s">
        <v>582</v>
      </c>
      <c r="E860" s="196" t="s">
        <v>582</v>
      </c>
      <c r="F860" s="196" t="s">
        <v>243</v>
      </c>
      <c r="G860" s="196">
        <v>2323</v>
      </c>
      <c r="H860" s="196" t="s">
        <v>270</v>
      </c>
      <c r="I860" s="196">
        <v>99</v>
      </c>
      <c r="J860" s="197">
        <v>42859</v>
      </c>
      <c r="K860" s="198">
        <v>0.45416666666666666</v>
      </c>
      <c r="L860" s="197">
        <v>42863</v>
      </c>
      <c r="M860" s="196" t="s">
        <v>271</v>
      </c>
      <c r="N860" s="196" t="s">
        <v>352</v>
      </c>
      <c r="O860" s="196" t="s">
        <v>353</v>
      </c>
      <c r="P860" s="196" t="s">
        <v>343</v>
      </c>
      <c r="Q860" s="196" t="s">
        <v>275</v>
      </c>
      <c r="R860" s="196">
        <v>1035</v>
      </c>
      <c r="S860" s="196" t="s">
        <v>436</v>
      </c>
      <c r="T860" s="196" t="s">
        <v>581</v>
      </c>
      <c r="U860" s="196">
        <v>2323</v>
      </c>
      <c r="V860" s="196" t="s">
        <v>581</v>
      </c>
      <c r="W860" s="196" t="s">
        <v>280</v>
      </c>
      <c r="X860" s="196">
        <v>12.051</v>
      </c>
      <c r="Y860" s="199">
        <v>-0.24</v>
      </c>
      <c r="Z860" s="199">
        <v>2.35</v>
      </c>
      <c r="AA860" s="199">
        <v>28.31</v>
      </c>
      <c r="AB860" s="199">
        <v>-2.21</v>
      </c>
      <c r="AC860" s="199">
        <v>0</v>
      </c>
      <c r="AD860" s="199">
        <v>0</v>
      </c>
      <c r="AE860" s="199">
        <v>25.86</v>
      </c>
      <c r="AF860" s="199">
        <v>-2.89</v>
      </c>
      <c r="AG860" s="196" t="s">
        <v>279</v>
      </c>
      <c r="AH860" s="199">
        <v>0</v>
      </c>
      <c r="AI860" s="196" t="s">
        <v>279</v>
      </c>
      <c r="AJ860" s="199">
        <v>0</v>
      </c>
      <c r="AK860" s="196" t="s">
        <v>279</v>
      </c>
      <c r="AL860" s="199">
        <v>0</v>
      </c>
      <c r="AM860" s="196" t="s">
        <v>279</v>
      </c>
      <c r="AN860" s="199">
        <v>0</v>
      </c>
      <c r="AO860" s="196" t="s">
        <v>279</v>
      </c>
      <c r="AP860" s="199">
        <v>0</v>
      </c>
      <c r="AQ860" s="199">
        <v>28.31</v>
      </c>
      <c r="AR860" s="199">
        <v>0</v>
      </c>
      <c r="AS860" s="196" t="str">
        <f t="shared" si="28"/>
        <v>1.00000000</v>
      </c>
      <c r="AT860" s="196" t="str">
        <f t="shared" si="29"/>
        <v>0.0</v>
      </c>
      <c r="AU860" s="199">
        <v>0</v>
      </c>
    </row>
    <row r="861" spans="1:47" s="196" customFormat="1" x14ac:dyDescent="0.2">
      <c r="A861" s="196" t="str">
        <f t="shared" si="26"/>
        <v>0496002599140</v>
      </c>
      <c r="B861" s="196">
        <v>1</v>
      </c>
      <c r="C861" s="196" t="s">
        <v>581</v>
      </c>
      <c r="D861" s="196" t="s">
        <v>582</v>
      </c>
      <c r="E861" s="196" t="s">
        <v>582</v>
      </c>
      <c r="F861" s="196" t="s">
        <v>243</v>
      </c>
      <c r="G861" s="196">
        <v>2323</v>
      </c>
      <c r="H861" s="196" t="s">
        <v>270</v>
      </c>
      <c r="I861" s="196">
        <v>99</v>
      </c>
      <c r="J861" s="197">
        <v>42859</v>
      </c>
      <c r="K861" s="198">
        <v>0.45416666666666666</v>
      </c>
      <c r="L861" s="197">
        <v>42863</v>
      </c>
      <c r="M861" s="196" t="s">
        <v>271</v>
      </c>
      <c r="N861" s="196" t="s">
        <v>352</v>
      </c>
      <c r="O861" s="196" t="s">
        <v>353</v>
      </c>
      <c r="P861" s="196" t="s">
        <v>343</v>
      </c>
      <c r="Q861" s="196" t="s">
        <v>275</v>
      </c>
      <c r="R861" s="196">
        <v>1035</v>
      </c>
      <c r="S861" s="196" t="s">
        <v>436</v>
      </c>
      <c r="T861" s="196" t="s">
        <v>581</v>
      </c>
      <c r="U861" s="196">
        <v>2323</v>
      </c>
      <c r="V861" s="196" t="s">
        <v>581</v>
      </c>
      <c r="W861" s="196" t="s">
        <v>280</v>
      </c>
      <c r="X861" s="196">
        <v>15.679</v>
      </c>
      <c r="Y861" s="199">
        <v>-0.31</v>
      </c>
      <c r="Z861" s="199">
        <v>2.35</v>
      </c>
      <c r="AA861" s="199">
        <v>36.83</v>
      </c>
      <c r="AB861" s="199">
        <v>-2.87</v>
      </c>
      <c r="AC861" s="199">
        <v>0</v>
      </c>
      <c r="AD861" s="199">
        <v>0</v>
      </c>
      <c r="AE861" s="199">
        <v>33.65</v>
      </c>
      <c r="AF861" s="199">
        <v>-3.76</v>
      </c>
      <c r="AG861" s="196" t="s">
        <v>279</v>
      </c>
      <c r="AH861" s="199">
        <v>0</v>
      </c>
      <c r="AI861" s="196" t="s">
        <v>279</v>
      </c>
      <c r="AJ861" s="199">
        <v>0</v>
      </c>
      <c r="AK861" s="196" t="s">
        <v>279</v>
      </c>
      <c r="AL861" s="199">
        <v>0</v>
      </c>
      <c r="AM861" s="196" t="s">
        <v>279</v>
      </c>
      <c r="AN861" s="199">
        <v>0</v>
      </c>
      <c r="AO861" s="196" t="s">
        <v>279</v>
      </c>
      <c r="AP861" s="199">
        <v>0</v>
      </c>
      <c r="AQ861" s="199">
        <v>36.83</v>
      </c>
      <c r="AR861" s="199">
        <v>0</v>
      </c>
      <c r="AS861" s="196" t="str">
        <f t="shared" si="28"/>
        <v>1.00000000</v>
      </c>
      <c r="AT861" s="196" t="str">
        <f t="shared" si="29"/>
        <v>0.0</v>
      </c>
      <c r="AU861" s="199">
        <v>0</v>
      </c>
    </row>
    <row r="862" spans="1:47" s="196" customFormat="1" x14ac:dyDescent="0.2">
      <c r="A862" s="196" t="str">
        <f t="shared" si="26"/>
        <v>0496002599140</v>
      </c>
      <c r="B862" s="196">
        <v>1</v>
      </c>
      <c r="C862" s="196" t="s">
        <v>581</v>
      </c>
      <c r="D862" s="196" t="s">
        <v>582</v>
      </c>
      <c r="E862" s="196" t="s">
        <v>582</v>
      </c>
      <c r="F862" s="196" t="s">
        <v>243</v>
      </c>
      <c r="G862" s="196">
        <v>2323</v>
      </c>
      <c r="H862" s="196" t="s">
        <v>270</v>
      </c>
      <c r="I862" s="196">
        <v>99</v>
      </c>
      <c r="J862" s="197">
        <v>42859</v>
      </c>
      <c r="K862" s="198">
        <v>0.4548611111111111</v>
      </c>
      <c r="L862" s="197">
        <v>42863</v>
      </c>
      <c r="M862" s="196" t="s">
        <v>271</v>
      </c>
      <c r="N862" s="196" t="s">
        <v>352</v>
      </c>
      <c r="O862" s="196" t="s">
        <v>353</v>
      </c>
      <c r="P862" s="196" t="s">
        <v>343</v>
      </c>
      <c r="Q862" s="196" t="s">
        <v>275</v>
      </c>
      <c r="R862" s="196">
        <v>1035</v>
      </c>
      <c r="S862" s="196" t="s">
        <v>436</v>
      </c>
      <c r="T862" s="196" t="s">
        <v>581</v>
      </c>
      <c r="U862" s="196">
        <v>2323</v>
      </c>
      <c r="V862" s="196" t="s">
        <v>581</v>
      </c>
      <c r="W862" s="196" t="s">
        <v>280</v>
      </c>
      <c r="X862" s="196">
        <v>19.042000000000002</v>
      </c>
      <c r="Y862" s="199">
        <v>-0.38</v>
      </c>
      <c r="Z862" s="199">
        <v>2.35</v>
      </c>
      <c r="AA862" s="199">
        <v>44.73</v>
      </c>
      <c r="AB862" s="199">
        <v>-3.48</v>
      </c>
      <c r="AC862" s="199">
        <v>0</v>
      </c>
      <c r="AD862" s="199">
        <v>0</v>
      </c>
      <c r="AE862" s="199">
        <v>40.869999999999997</v>
      </c>
      <c r="AF862" s="199">
        <v>-4.57</v>
      </c>
      <c r="AG862" s="196" t="s">
        <v>279</v>
      </c>
      <c r="AH862" s="199">
        <v>0</v>
      </c>
      <c r="AI862" s="196" t="s">
        <v>279</v>
      </c>
      <c r="AJ862" s="199">
        <v>0</v>
      </c>
      <c r="AK862" s="196" t="s">
        <v>279</v>
      </c>
      <c r="AL862" s="199">
        <v>0</v>
      </c>
      <c r="AM862" s="196" t="s">
        <v>279</v>
      </c>
      <c r="AN862" s="199">
        <v>0</v>
      </c>
      <c r="AO862" s="196" t="s">
        <v>279</v>
      </c>
      <c r="AP862" s="199">
        <v>0</v>
      </c>
      <c r="AQ862" s="199">
        <v>44.73</v>
      </c>
      <c r="AR862" s="199">
        <v>0</v>
      </c>
      <c r="AS862" s="196" t="str">
        <f t="shared" si="28"/>
        <v>1.00000000</v>
      </c>
      <c r="AT862" s="196" t="str">
        <f t="shared" si="29"/>
        <v>0.0</v>
      </c>
      <c r="AU862" s="199">
        <v>0</v>
      </c>
    </row>
    <row r="863" spans="1:47" s="196" customFormat="1" x14ac:dyDescent="0.2">
      <c r="A863" s="196" t="str">
        <f t="shared" si="26"/>
        <v>0496002599140</v>
      </c>
      <c r="B863" s="196">
        <v>1</v>
      </c>
      <c r="C863" s="196" t="s">
        <v>581</v>
      </c>
      <c r="D863" s="196" t="s">
        <v>582</v>
      </c>
      <c r="E863" s="196" t="s">
        <v>582</v>
      </c>
      <c r="F863" s="196" t="s">
        <v>243</v>
      </c>
      <c r="G863" s="196">
        <v>2323</v>
      </c>
      <c r="H863" s="196" t="s">
        <v>270</v>
      </c>
      <c r="I863" s="196">
        <v>99</v>
      </c>
      <c r="J863" s="197">
        <v>42859</v>
      </c>
      <c r="K863" s="198">
        <v>0.45833333333333331</v>
      </c>
      <c r="L863" s="197">
        <v>42863</v>
      </c>
      <c r="M863" s="196" t="s">
        <v>271</v>
      </c>
      <c r="N863" s="196" t="s">
        <v>352</v>
      </c>
      <c r="O863" s="196" t="s">
        <v>353</v>
      </c>
      <c r="P863" s="196" t="s">
        <v>343</v>
      </c>
      <c r="Q863" s="196" t="s">
        <v>275</v>
      </c>
      <c r="R863" s="196">
        <v>1035</v>
      </c>
      <c r="S863" s="196" t="s">
        <v>436</v>
      </c>
      <c r="T863" s="196" t="s">
        <v>581</v>
      </c>
      <c r="U863" s="196">
        <v>2323</v>
      </c>
      <c r="V863" s="196" t="s">
        <v>581</v>
      </c>
      <c r="W863" s="196" t="s">
        <v>280</v>
      </c>
      <c r="X863" s="196">
        <v>21.285</v>
      </c>
      <c r="Y863" s="199">
        <v>-0.43</v>
      </c>
      <c r="Z863" s="199">
        <v>2.35</v>
      </c>
      <c r="AA863" s="199">
        <v>50</v>
      </c>
      <c r="AB863" s="199">
        <v>-3.9</v>
      </c>
      <c r="AC863" s="199">
        <v>0</v>
      </c>
      <c r="AD863" s="199">
        <v>0</v>
      </c>
      <c r="AE863" s="199">
        <v>45.67</v>
      </c>
      <c r="AF863" s="199">
        <v>-5.1100000000000003</v>
      </c>
      <c r="AG863" s="196" t="s">
        <v>279</v>
      </c>
      <c r="AH863" s="199">
        <v>0</v>
      </c>
      <c r="AI863" s="196" t="s">
        <v>279</v>
      </c>
      <c r="AJ863" s="199">
        <v>0</v>
      </c>
      <c r="AK863" s="196" t="s">
        <v>279</v>
      </c>
      <c r="AL863" s="199">
        <v>0</v>
      </c>
      <c r="AM863" s="196" t="s">
        <v>279</v>
      </c>
      <c r="AN863" s="199">
        <v>0</v>
      </c>
      <c r="AO863" s="196" t="s">
        <v>279</v>
      </c>
      <c r="AP863" s="199">
        <v>0</v>
      </c>
      <c r="AQ863" s="199">
        <v>50</v>
      </c>
      <c r="AR863" s="199">
        <v>0</v>
      </c>
      <c r="AS863" s="196" t="str">
        <f t="shared" si="28"/>
        <v>1.00000000</v>
      </c>
      <c r="AT863" s="196" t="str">
        <f t="shared" si="29"/>
        <v>0.0</v>
      </c>
      <c r="AU863" s="199">
        <v>0</v>
      </c>
    </row>
    <row r="864" spans="1:47" s="196" customFormat="1" x14ac:dyDescent="0.2">
      <c r="A864" s="196" t="str">
        <f t="shared" si="26"/>
        <v>0496002599140</v>
      </c>
      <c r="B864" s="196">
        <v>1</v>
      </c>
      <c r="C864" s="196" t="s">
        <v>581</v>
      </c>
      <c r="D864" s="196" t="s">
        <v>582</v>
      </c>
      <c r="E864" s="196" t="s">
        <v>582</v>
      </c>
      <c r="F864" s="196" t="s">
        <v>243</v>
      </c>
      <c r="G864" s="196">
        <v>2323</v>
      </c>
      <c r="H864" s="196" t="s">
        <v>270</v>
      </c>
      <c r="I864" s="196">
        <v>99</v>
      </c>
      <c r="J864" s="197">
        <v>42860</v>
      </c>
      <c r="K864" s="198">
        <v>0.72840277777777773</v>
      </c>
      <c r="L864" s="197">
        <v>42864</v>
      </c>
      <c r="M864" s="196" t="s">
        <v>314</v>
      </c>
      <c r="N864" s="196" t="s">
        <v>415</v>
      </c>
      <c r="O864" s="196" t="s">
        <v>416</v>
      </c>
      <c r="P864" s="196" t="s">
        <v>417</v>
      </c>
      <c r="Q864" s="196" t="s">
        <v>275</v>
      </c>
      <c r="R864" s="196" t="s">
        <v>418</v>
      </c>
      <c r="S864" s="196" t="s">
        <v>436</v>
      </c>
      <c r="T864" s="196" t="s">
        <v>581</v>
      </c>
      <c r="U864" s="196">
        <v>2323</v>
      </c>
      <c r="V864" s="196" t="s">
        <v>581</v>
      </c>
      <c r="W864" s="196" t="s">
        <v>280</v>
      </c>
      <c r="X864" s="196">
        <v>14.792999999999999</v>
      </c>
      <c r="Y864" s="199">
        <v>0</v>
      </c>
      <c r="Z864" s="199">
        <v>2.2999999999999998</v>
      </c>
      <c r="AA864" s="199">
        <v>34.01</v>
      </c>
      <c r="AB864" s="199">
        <v>-2.71</v>
      </c>
      <c r="AC864" s="199">
        <v>0</v>
      </c>
      <c r="AD864" s="199">
        <v>0</v>
      </c>
      <c r="AE864" s="199">
        <v>31.3</v>
      </c>
      <c r="AF864" s="199">
        <v>-3.55</v>
      </c>
      <c r="AG864" s="196" t="s">
        <v>279</v>
      </c>
      <c r="AH864" s="199">
        <v>0</v>
      </c>
      <c r="AI864" s="196" t="s">
        <v>279</v>
      </c>
      <c r="AJ864" s="199">
        <v>0</v>
      </c>
      <c r="AK864" s="196" t="s">
        <v>279</v>
      </c>
      <c r="AL864" s="199">
        <v>0</v>
      </c>
      <c r="AM864" s="196" t="s">
        <v>279</v>
      </c>
      <c r="AN864" s="199">
        <v>0</v>
      </c>
      <c r="AO864" s="196" t="s">
        <v>279</v>
      </c>
      <c r="AP864" s="199">
        <v>0</v>
      </c>
      <c r="AQ864" s="199">
        <v>34.01</v>
      </c>
      <c r="AR864" s="199">
        <v>0</v>
      </c>
      <c r="AS864" s="196" t="str">
        <f t="shared" si="28"/>
        <v>1.00000000</v>
      </c>
      <c r="AT864" s="196" t="str">
        <f t="shared" si="29"/>
        <v>0.0</v>
      </c>
      <c r="AU864" s="199">
        <v>0</v>
      </c>
    </row>
    <row r="865" spans="1:47" s="196" customFormat="1" x14ac:dyDescent="0.2">
      <c r="A865" s="196" t="str">
        <f t="shared" si="26"/>
        <v>0496002599140</v>
      </c>
      <c r="B865" s="196">
        <v>1</v>
      </c>
      <c r="C865" s="196" t="s">
        <v>581</v>
      </c>
      <c r="D865" s="196" t="s">
        <v>582</v>
      </c>
      <c r="E865" s="196" t="s">
        <v>582</v>
      </c>
      <c r="F865" s="196" t="s">
        <v>243</v>
      </c>
      <c r="G865" s="196">
        <v>2323</v>
      </c>
      <c r="H865" s="196" t="s">
        <v>270</v>
      </c>
      <c r="I865" s="196">
        <v>99</v>
      </c>
      <c r="J865" s="197">
        <v>42862</v>
      </c>
      <c r="K865" s="198">
        <v>0.60416666666666663</v>
      </c>
      <c r="L865" s="197">
        <v>42864</v>
      </c>
      <c r="M865" s="196" t="s">
        <v>285</v>
      </c>
      <c r="N865" s="196" t="s">
        <v>399</v>
      </c>
      <c r="O865" s="196" t="s">
        <v>400</v>
      </c>
      <c r="P865" s="196" t="s">
        <v>274</v>
      </c>
      <c r="Q865" s="196" t="s">
        <v>275</v>
      </c>
      <c r="R865" s="196" t="s">
        <v>401</v>
      </c>
      <c r="S865" s="196" t="s">
        <v>436</v>
      </c>
      <c r="T865" s="196" t="s">
        <v>581</v>
      </c>
      <c r="U865" s="196">
        <v>2323</v>
      </c>
      <c r="V865" s="196" t="s">
        <v>581</v>
      </c>
      <c r="W865" s="196" t="s">
        <v>280</v>
      </c>
      <c r="X865" s="196">
        <v>7.9989999999999997</v>
      </c>
      <c r="Y865" s="199">
        <v>0</v>
      </c>
      <c r="Z865" s="199">
        <v>2.2999999999999998</v>
      </c>
      <c r="AA865" s="199">
        <v>18.39</v>
      </c>
      <c r="AB865" s="199">
        <v>-1.46</v>
      </c>
      <c r="AC865" s="199">
        <v>0</v>
      </c>
      <c r="AD865" s="199">
        <v>0</v>
      </c>
      <c r="AE865" s="199">
        <v>16.93</v>
      </c>
      <c r="AF865" s="199">
        <v>-1.92</v>
      </c>
      <c r="AG865" s="196" t="s">
        <v>279</v>
      </c>
      <c r="AH865" s="199">
        <v>0</v>
      </c>
      <c r="AI865" s="196" t="s">
        <v>279</v>
      </c>
      <c r="AJ865" s="199">
        <v>0</v>
      </c>
      <c r="AK865" s="196" t="s">
        <v>279</v>
      </c>
      <c r="AL865" s="199">
        <v>0</v>
      </c>
      <c r="AM865" s="196" t="s">
        <v>279</v>
      </c>
      <c r="AN865" s="199">
        <v>0</v>
      </c>
      <c r="AO865" s="196" t="s">
        <v>279</v>
      </c>
      <c r="AP865" s="199">
        <v>0</v>
      </c>
      <c r="AQ865" s="199">
        <v>18.39</v>
      </c>
      <c r="AR865" s="199">
        <v>0</v>
      </c>
      <c r="AS865" s="196" t="str">
        <f t="shared" si="28"/>
        <v>1.00000000</v>
      </c>
      <c r="AT865" s="196" t="str">
        <f t="shared" si="29"/>
        <v>0.0</v>
      </c>
      <c r="AU865" s="199">
        <v>0</v>
      </c>
    </row>
    <row r="866" spans="1:47" s="196" customFormat="1" x14ac:dyDescent="0.2">
      <c r="A866" s="196" t="str">
        <f t="shared" si="26"/>
        <v>0496002599140</v>
      </c>
      <c r="B866" s="196">
        <v>1</v>
      </c>
      <c r="C866" s="196" t="s">
        <v>581</v>
      </c>
      <c r="D866" s="196" t="s">
        <v>582</v>
      </c>
      <c r="E866" s="196" t="s">
        <v>582</v>
      </c>
      <c r="F866" s="196" t="s">
        <v>243</v>
      </c>
      <c r="G866" s="196">
        <v>2323</v>
      </c>
      <c r="H866" s="196" t="s">
        <v>270</v>
      </c>
      <c r="I866" s="196">
        <v>99</v>
      </c>
      <c r="J866" s="197">
        <v>42862</v>
      </c>
      <c r="K866" s="198">
        <v>0.60416666666666663</v>
      </c>
      <c r="L866" s="197">
        <v>42864</v>
      </c>
      <c r="M866" s="196" t="s">
        <v>285</v>
      </c>
      <c r="N866" s="196" t="s">
        <v>399</v>
      </c>
      <c r="O866" s="196" t="s">
        <v>400</v>
      </c>
      <c r="P866" s="196" t="s">
        <v>274</v>
      </c>
      <c r="Q866" s="196" t="s">
        <v>275</v>
      </c>
      <c r="R866" s="196" t="s">
        <v>401</v>
      </c>
      <c r="S866" s="196" t="s">
        <v>436</v>
      </c>
      <c r="T866" s="196" t="s">
        <v>581</v>
      </c>
      <c r="U866" s="196">
        <v>2323</v>
      </c>
      <c r="V866" s="196" t="s">
        <v>581</v>
      </c>
      <c r="W866" s="196" t="s">
        <v>280</v>
      </c>
      <c r="X866" s="196">
        <v>7.7629999999999999</v>
      </c>
      <c r="Y866" s="199">
        <v>0</v>
      </c>
      <c r="Z866" s="199">
        <v>2.2999999999999998</v>
      </c>
      <c r="AA866" s="199">
        <v>17.850000000000001</v>
      </c>
      <c r="AB866" s="199">
        <v>-1.42</v>
      </c>
      <c r="AC866" s="199">
        <v>0</v>
      </c>
      <c r="AD866" s="199">
        <v>0</v>
      </c>
      <c r="AE866" s="199">
        <v>16.43</v>
      </c>
      <c r="AF866" s="199">
        <v>-1.86</v>
      </c>
      <c r="AG866" s="196" t="s">
        <v>279</v>
      </c>
      <c r="AH866" s="199">
        <v>0</v>
      </c>
      <c r="AI866" s="196" t="s">
        <v>279</v>
      </c>
      <c r="AJ866" s="199">
        <v>0</v>
      </c>
      <c r="AK866" s="196" t="s">
        <v>279</v>
      </c>
      <c r="AL866" s="199">
        <v>0</v>
      </c>
      <c r="AM866" s="196" t="s">
        <v>279</v>
      </c>
      <c r="AN866" s="199">
        <v>0</v>
      </c>
      <c r="AO866" s="196" t="s">
        <v>279</v>
      </c>
      <c r="AP866" s="199">
        <v>0</v>
      </c>
      <c r="AQ866" s="199">
        <v>17.850000000000001</v>
      </c>
      <c r="AR866" s="199">
        <v>0</v>
      </c>
      <c r="AS866" s="196" t="str">
        <f t="shared" si="28"/>
        <v>1.00000000</v>
      </c>
      <c r="AT866" s="196" t="str">
        <f t="shared" si="29"/>
        <v>0.0</v>
      </c>
      <c r="AU866" s="199">
        <v>0</v>
      </c>
    </row>
    <row r="867" spans="1:47" s="196" customFormat="1" x14ac:dyDescent="0.2">
      <c r="A867" s="196" t="str">
        <f t="shared" si="26"/>
        <v>0496002599140</v>
      </c>
      <c r="B867" s="196">
        <v>1</v>
      </c>
      <c r="C867" s="196" t="s">
        <v>581</v>
      </c>
      <c r="D867" s="196" t="s">
        <v>582</v>
      </c>
      <c r="E867" s="196" t="s">
        <v>582</v>
      </c>
      <c r="F867" s="196" t="s">
        <v>243</v>
      </c>
      <c r="G867" s="196">
        <v>2323</v>
      </c>
      <c r="H867" s="196" t="s">
        <v>270</v>
      </c>
      <c r="I867" s="196">
        <v>99</v>
      </c>
      <c r="J867" s="197">
        <v>42862</v>
      </c>
      <c r="K867" s="198">
        <v>0.60416666666666663</v>
      </c>
      <c r="L867" s="197">
        <v>42864</v>
      </c>
      <c r="M867" s="196" t="s">
        <v>285</v>
      </c>
      <c r="N867" s="196" t="s">
        <v>399</v>
      </c>
      <c r="O867" s="196" t="s">
        <v>400</v>
      </c>
      <c r="P867" s="196" t="s">
        <v>274</v>
      </c>
      <c r="Q867" s="196" t="s">
        <v>275</v>
      </c>
      <c r="R867" s="196" t="s">
        <v>401</v>
      </c>
      <c r="S867" s="196" t="s">
        <v>436</v>
      </c>
      <c r="T867" s="196" t="s">
        <v>581</v>
      </c>
      <c r="U867" s="196">
        <v>2323</v>
      </c>
      <c r="V867" s="196" t="s">
        <v>581</v>
      </c>
      <c r="W867" s="196" t="s">
        <v>280</v>
      </c>
      <c r="X867" s="196">
        <v>8.5389999999999997</v>
      </c>
      <c r="Y867" s="199">
        <v>0</v>
      </c>
      <c r="Z867" s="199">
        <v>2.2999999999999998</v>
      </c>
      <c r="AA867" s="199">
        <v>19.63</v>
      </c>
      <c r="AB867" s="199">
        <v>-1.56</v>
      </c>
      <c r="AC867" s="199">
        <v>0</v>
      </c>
      <c r="AD867" s="199">
        <v>0</v>
      </c>
      <c r="AE867" s="199">
        <v>18.07</v>
      </c>
      <c r="AF867" s="199">
        <v>-2.0499999999999998</v>
      </c>
      <c r="AG867" s="196" t="s">
        <v>279</v>
      </c>
      <c r="AH867" s="199">
        <v>0</v>
      </c>
      <c r="AI867" s="196" t="s">
        <v>279</v>
      </c>
      <c r="AJ867" s="199">
        <v>0</v>
      </c>
      <c r="AK867" s="196" t="s">
        <v>279</v>
      </c>
      <c r="AL867" s="199">
        <v>0</v>
      </c>
      <c r="AM867" s="196" t="s">
        <v>279</v>
      </c>
      <c r="AN867" s="199">
        <v>0</v>
      </c>
      <c r="AO867" s="196" t="s">
        <v>279</v>
      </c>
      <c r="AP867" s="199">
        <v>0</v>
      </c>
      <c r="AQ867" s="199">
        <v>19.63</v>
      </c>
      <c r="AR867" s="199">
        <v>0</v>
      </c>
      <c r="AS867" s="196" t="str">
        <f t="shared" si="28"/>
        <v>1.00000000</v>
      </c>
      <c r="AT867" s="196" t="str">
        <f t="shared" si="29"/>
        <v>0.0</v>
      </c>
      <c r="AU867" s="199">
        <v>0</v>
      </c>
    </row>
    <row r="868" spans="1:47" s="196" customFormat="1" x14ac:dyDescent="0.2">
      <c r="A868" s="196" t="str">
        <f t="shared" si="26"/>
        <v>0496002599140</v>
      </c>
      <c r="B868" s="196">
        <v>1</v>
      </c>
      <c r="C868" s="196" t="s">
        <v>581</v>
      </c>
      <c r="D868" s="196" t="s">
        <v>582</v>
      </c>
      <c r="E868" s="196" t="s">
        <v>582</v>
      </c>
      <c r="F868" s="196" t="s">
        <v>243</v>
      </c>
      <c r="G868" s="196">
        <v>2323</v>
      </c>
      <c r="H868" s="196" t="s">
        <v>270</v>
      </c>
      <c r="I868" s="196">
        <v>99</v>
      </c>
      <c r="J868" s="197">
        <v>42862</v>
      </c>
      <c r="K868" s="198">
        <v>0.60833333333333328</v>
      </c>
      <c r="L868" s="197">
        <v>42864</v>
      </c>
      <c r="M868" s="196" t="s">
        <v>285</v>
      </c>
      <c r="N868" s="196" t="s">
        <v>399</v>
      </c>
      <c r="O868" s="196" t="s">
        <v>400</v>
      </c>
      <c r="P868" s="196" t="s">
        <v>274</v>
      </c>
      <c r="Q868" s="196" t="s">
        <v>275</v>
      </c>
      <c r="R868" s="196" t="s">
        <v>401</v>
      </c>
      <c r="S868" s="196" t="s">
        <v>436</v>
      </c>
      <c r="T868" s="196" t="s">
        <v>581</v>
      </c>
      <c r="U868" s="196">
        <v>2323</v>
      </c>
      <c r="V868" s="196" t="s">
        <v>581</v>
      </c>
      <c r="W868" s="196" t="s">
        <v>280</v>
      </c>
      <c r="X868" s="196">
        <v>14.143000000000001</v>
      </c>
      <c r="Y868" s="199">
        <v>0</v>
      </c>
      <c r="Z868" s="199">
        <v>2.2999999999999998</v>
      </c>
      <c r="AA868" s="199">
        <v>32.51</v>
      </c>
      <c r="AB868" s="199">
        <v>-2.59</v>
      </c>
      <c r="AC868" s="199">
        <v>0</v>
      </c>
      <c r="AD868" s="199">
        <v>0</v>
      </c>
      <c r="AE868" s="199">
        <v>29.92</v>
      </c>
      <c r="AF868" s="199">
        <v>-3.39</v>
      </c>
      <c r="AG868" s="196" t="s">
        <v>279</v>
      </c>
      <c r="AH868" s="199">
        <v>0</v>
      </c>
      <c r="AI868" s="196" t="s">
        <v>279</v>
      </c>
      <c r="AJ868" s="199">
        <v>0</v>
      </c>
      <c r="AK868" s="196" t="s">
        <v>279</v>
      </c>
      <c r="AL868" s="199">
        <v>0</v>
      </c>
      <c r="AM868" s="196" t="s">
        <v>279</v>
      </c>
      <c r="AN868" s="199">
        <v>0</v>
      </c>
      <c r="AO868" s="196" t="s">
        <v>279</v>
      </c>
      <c r="AP868" s="199">
        <v>0</v>
      </c>
      <c r="AQ868" s="199">
        <v>32.51</v>
      </c>
      <c r="AR868" s="199">
        <v>0</v>
      </c>
      <c r="AS868" s="196" t="str">
        <f t="shared" si="28"/>
        <v>1.00000000</v>
      </c>
      <c r="AT868" s="196" t="str">
        <f t="shared" si="29"/>
        <v>0.0</v>
      </c>
      <c r="AU868" s="199">
        <v>0</v>
      </c>
    </row>
    <row r="869" spans="1:47" s="196" customFormat="1" x14ac:dyDescent="0.2">
      <c r="A869" s="196" t="str">
        <f t="shared" si="26"/>
        <v>0496002599140</v>
      </c>
      <c r="B869" s="196">
        <v>1</v>
      </c>
      <c r="C869" s="196" t="s">
        <v>581</v>
      </c>
      <c r="D869" s="196" t="s">
        <v>582</v>
      </c>
      <c r="E869" s="196" t="s">
        <v>582</v>
      </c>
      <c r="F869" s="196" t="s">
        <v>243</v>
      </c>
      <c r="G869" s="196">
        <v>2323</v>
      </c>
      <c r="H869" s="196" t="s">
        <v>270</v>
      </c>
      <c r="I869" s="196">
        <v>99</v>
      </c>
      <c r="J869" s="197">
        <v>42882</v>
      </c>
      <c r="K869" s="198">
        <v>0.36471064814814813</v>
      </c>
      <c r="L869" s="197">
        <v>42885</v>
      </c>
      <c r="M869" s="196" t="s">
        <v>384</v>
      </c>
      <c r="N869" s="196" t="s">
        <v>385</v>
      </c>
      <c r="O869" s="196" t="s">
        <v>386</v>
      </c>
      <c r="P869" s="196" t="s">
        <v>343</v>
      </c>
      <c r="Q869" s="196" t="s">
        <v>275</v>
      </c>
      <c r="R869" s="196" t="s">
        <v>387</v>
      </c>
      <c r="S869" s="196" t="s">
        <v>436</v>
      </c>
      <c r="T869" s="196" t="s">
        <v>581</v>
      </c>
      <c r="U869" s="196">
        <v>2323</v>
      </c>
      <c r="V869" s="196" t="s">
        <v>581</v>
      </c>
      <c r="W869" s="196" t="s">
        <v>278</v>
      </c>
      <c r="X869" s="196">
        <v>25.195</v>
      </c>
      <c r="Y869" s="199">
        <v>0</v>
      </c>
      <c r="Z869" s="199">
        <v>2.7</v>
      </c>
      <c r="AA869" s="199">
        <v>68</v>
      </c>
      <c r="AB869" s="199">
        <v>-4.6100000000000003</v>
      </c>
      <c r="AC869" s="199">
        <v>0</v>
      </c>
      <c r="AD869" s="199">
        <v>0</v>
      </c>
      <c r="AE869" s="199">
        <v>63.39</v>
      </c>
      <c r="AF869" s="199">
        <v>-6.05</v>
      </c>
      <c r="AG869" s="196" t="s">
        <v>279</v>
      </c>
      <c r="AH869" s="199">
        <v>0</v>
      </c>
      <c r="AI869" s="196" t="s">
        <v>279</v>
      </c>
      <c r="AJ869" s="199">
        <v>0</v>
      </c>
      <c r="AK869" s="196" t="s">
        <v>279</v>
      </c>
      <c r="AL869" s="199">
        <v>0</v>
      </c>
      <c r="AM869" s="196" t="s">
        <v>279</v>
      </c>
      <c r="AN869" s="199">
        <v>0</v>
      </c>
      <c r="AO869" s="196" t="s">
        <v>279</v>
      </c>
      <c r="AP869" s="199">
        <v>0</v>
      </c>
      <c r="AQ869" s="199">
        <v>68</v>
      </c>
      <c r="AR869" s="199">
        <v>0</v>
      </c>
      <c r="AS869" s="196" t="str">
        <f t="shared" si="28"/>
        <v>1.00000000</v>
      </c>
      <c r="AT869" s="196" t="str">
        <f t="shared" si="29"/>
        <v>0.0</v>
      </c>
      <c r="AU869" s="199">
        <v>0</v>
      </c>
    </row>
    <row r="870" spans="1:47" s="196" customFormat="1" x14ac:dyDescent="0.2">
      <c r="A870" s="196" t="str">
        <f t="shared" ref="A870:A907" si="30">"0496002599173"</f>
        <v>0496002599173</v>
      </c>
      <c r="B870" s="196">
        <v>1</v>
      </c>
      <c r="C870" s="196" t="s">
        <v>585</v>
      </c>
      <c r="D870" s="196" t="s">
        <v>586</v>
      </c>
      <c r="E870" s="196" t="s">
        <v>586</v>
      </c>
      <c r="F870" s="196" t="s">
        <v>243</v>
      </c>
      <c r="G870" s="196">
        <v>5314</v>
      </c>
      <c r="H870" s="196" t="s">
        <v>270</v>
      </c>
      <c r="I870" s="196">
        <v>63322</v>
      </c>
      <c r="J870" s="197">
        <v>42741</v>
      </c>
      <c r="K870" s="198">
        <v>0.41319444444444442</v>
      </c>
      <c r="L870" s="197">
        <v>42745</v>
      </c>
      <c r="M870" s="196" t="s">
        <v>271</v>
      </c>
      <c r="N870" s="196" t="s">
        <v>272</v>
      </c>
      <c r="O870" s="196" t="s">
        <v>273</v>
      </c>
      <c r="P870" s="196" t="s">
        <v>274</v>
      </c>
      <c r="Q870" s="196" t="s">
        <v>275</v>
      </c>
      <c r="R870" s="196" t="s">
        <v>276</v>
      </c>
      <c r="S870" s="196" t="s">
        <v>436</v>
      </c>
      <c r="T870" s="196" t="s">
        <v>587</v>
      </c>
      <c r="U870" s="196">
        <v>5314</v>
      </c>
      <c r="V870" s="196" t="s">
        <v>585</v>
      </c>
      <c r="W870" s="196" t="s">
        <v>280</v>
      </c>
      <c r="X870" s="196">
        <v>29.152000000000001</v>
      </c>
      <c r="Y870" s="199">
        <v>-0.57999999999999996</v>
      </c>
      <c r="Z870" s="199">
        <v>2.35</v>
      </c>
      <c r="AA870" s="199">
        <v>68.48</v>
      </c>
      <c r="AB870" s="199">
        <v>-5.33</v>
      </c>
      <c r="AC870" s="199">
        <v>0</v>
      </c>
      <c r="AD870" s="199">
        <v>0</v>
      </c>
      <c r="AE870" s="199">
        <v>62.57</v>
      </c>
      <c r="AF870" s="199">
        <v>-7</v>
      </c>
      <c r="AG870" s="196" t="s">
        <v>279</v>
      </c>
      <c r="AH870" s="199">
        <v>0</v>
      </c>
      <c r="AI870" s="196" t="s">
        <v>279</v>
      </c>
      <c r="AJ870" s="199">
        <v>0</v>
      </c>
      <c r="AK870" s="196" t="s">
        <v>279</v>
      </c>
      <c r="AL870" s="199">
        <v>0</v>
      </c>
      <c r="AM870" s="196" t="s">
        <v>279</v>
      </c>
      <c r="AN870" s="199">
        <v>0</v>
      </c>
      <c r="AO870" s="196" t="s">
        <v>279</v>
      </c>
      <c r="AP870" s="199">
        <v>0</v>
      </c>
      <c r="AQ870" s="199">
        <v>68.48</v>
      </c>
      <c r="AR870" s="199">
        <v>0</v>
      </c>
      <c r="AS870" s="196" t="str">
        <f t="shared" si="28"/>
        <v>1.00000000</v>
      </c>
      <c r="AT870" s="196" t="str">
        <f>"9.8"</f>
        <v>9.8</v>
      </c>
      <c r="AU870" s="199">
        <v>0</v>
      </c>
    </row>
    <row r="871" spans="1:47" s="196" customFormat="1" x14ac:dyDescent="0.2">
      <c r="A871" s="196" t="str">
        <f t="shared" si="30"/>
        <v>0496002599173</v>
      </c>
      <c r="B871" s="196">
        <v>1</v>
      </c>
      <c r="C871" s="196" t="s">
        <v>585</v>
      </c>
      <c r="D871" s="196" t="s">
        <v>586</v>
      </c>
      <c r="E871" s="196" t="s">
        <v>586</v>
      </c>
      <c r="F871" s="196" t="s">
        <v>243</v>
      </c>
      <c r="G871" s="196">
        <v>5314</v>
      </c>
      <c r="H871" s="196" t="s">
        <v>270</v>
      </c>
      <c r="I871" s="196">
        <v>63673</v>
      </c>
      <c r="J871" s="197">
        <v>42753</v>
      </c>
      <c r="K871" s="198">
        <v>0.34583333333333338</v>
      </c>
      <c r="L871" s="197">
        <v>42755</v>
      </c>
      <c r="M871" s="196" t="s">
        <v>271</v>
      </c>
      <c r="N871" s="196" t="s">
        <v>588</v>
      </c>
      <c r="O871" s="196" t="s">
        <v>589</v>
      </c>
      <c r="P871" s="196" t="s">
        <v>590</v>
      </c>
      <c r="Q871" s="196" t="s">
        <v>275</v>
      </c>
      <c r="R871" s="196">
        <v>1075</v>
      </c>
      <c r="S871" s="196" t="s">
        <v>436</v>
      </c>
      <c r="T871" s="196" t="s">
        <v>587</v>
      </c>
      <c r="U871" s="196">
        <v>5314</v>
      </c>
      <c r="V871" s="196" t="s">
        <v>585</v>
      </c>
      <c r="W871" s="196" t="s">
        <v>280</v>
      </c>
      <c r="X871" s="196">
        <v>29.24</v>
      </c>
      <c r="Y871" s="199">
        <v>-0.57999999999999996</v>
      </c>
      <c r="Z871" s="199">
        <v>2.2000000000000002</v>
      </c>
      <c r="AA871" s="199">
        <v>64.3</v>
      </c>
      <c r="AB871" s="199">
        <v>-5.35</v>
      </c>
      <c r="AC871" s="199">
        <v>0</v>
      </c>
      <c r="AD871" s="199">
        <v>0</v>
      </c>
      <c r="AE871" s="199">
        <v>58.37</v>
      </c>
      <c r="AF871" s="199">
        <v>-7.02</v>
      </c>
      <c r="AG871" s="196" t="s">
        <v>279</v>
      </c>
      <c r="AH871" s="199">
        <v>0</v>
      </c>
      <c r="AI871" s="196" t="s">
        <v>279</v>
      </c>
      <c r="AJ871" s="199">
        <v>0</v>
      </c>
      <c r="AK871" s="196" t="s">
        <v>279</v>
      </c>
      <c r="AL871" s="199">
        <v>0</v>
      </c>
      <c r="AM871" s="196" t="s">
        <v>279</v>
      </c>
      <c r="AN871" s="199">
        <v>0</v>
      </c>
      <c r="AO871" s="196" t="s">
        <v>279</v>
      </c>
      <c r="AP871" s="199">
        <v>0</v>
      </c>
      <c r="AQ871" s="199">
        <v>64.3</v>
      </c>
      <c r="AR871" s="199">
        <v>0</v>
      </c>
      <c r="AS871" s="196" t="str">
        <f t="shared" si="28"/>
        <v>1.00000000</v>
      </c>
      <c r="AT871" s="196" t="str">
        <f>"12.0"</f>
        <v>12.0</v>
      </c>
      <c r="AU871" s="199">
        <v>0</v>
      </c>
    </row>
    <row r="872" spans="1:47" s="196" customFormat="1" x14ac:dyDescent="0.2">
      <c r="A872" s="196" t="str">
        <f t="shared" si="30"/>
        <v>0496002599173</v>
      </c>
      <c r="B872" s="196">
        <v>1</v>
      </c>
      <c r="C872" s="196" t="s">
        <v>585</v>
      </c>
      <c r="D872" s="196" t="s">
        <v>586</v>
      </c>
      <c r="E872" s="196" t="s">
        <v>586</v>
      </c>
      <c r="F872" s="196" t="s">
        <v>243</v>
      </c>
      <c r="G872" s="196">
        <v>5314</v>
      </c>
      <c r="H872" s="196" t="s">
        <v>270</v>
      </c>
      <c r="I872" s="196">
        <v>64041</v>
      </c>
      <c r="J872" s="197">
        <v>42760</v>
      </c>
      <c r="K872" s="198">
        <v>0.50972222222222219</v>
      </c>
      <c r="L872" s="197">
        <v>42762</v>
      </c>
      <c r="M872" s="196" t="s">
        <v>271</v>
      </c>
      <c r="N872" s="196" t="s">
        <v>352</v>
      </c>
      <c r="O872" s="196" t="s">
        <v>353</v>
      </c>
      <c r="P872" s="196" t="s">
        <v>343</v>
      </c>
      <c r="Q872" s="196" t="s">
        <v>275</v>
      </c>
      <c r="R872" s="196">
        <v>1035</v>
      </c>
      <c r="S872" s="196" t="s">
        <v>436</v>
      </c>
      <c r="T872" s="196" t="s">
        <v>587</v>
      </c>
      <c r="U872" s="196">
        <v>5314</v>
      </c>
      <c r="V872" s="196" t="s">
        <v>585</v>
      </c>
      <c r="W872" s="196" t="s">
        <v>280</v>
      </c>
      <c r="X872" s="196">
        <v>28.876000000000001</v>
      </c>
      <c r="Y872" s="199">
        <v>-0.57999999999999996</v>
      </c>
      <c r="Z872" s="199">
        <v>2.12</v>
      </c>
      <c r="AA872" s="199">
        <v>61.19</v>
      </c>
      <c r="AB872" s="199">
        <v>-5.28</v>
      </c>
      <c r="AC872" s="199">
        <v>0</v>
      </c>
      <c r="AD872" s="199">
        <v>0</v>
      </c>
      <c r="AE872" s="199">
        <v>55.33</v>
      </c>
      <c r="AF872" s="199">
        <v>-6.93</v>
      </c>
      <c r="AG872" s="196" t="s">
        <v>279</v>
      </c>
      <c r="AH872" s="199">
        <v>0</v>
      </c>
      <c r="AI872" s="196" t="s">
        <v>279</v>
      </c>
      <c r="AJ872" s="199">
        <v>0</v>
      </c>
      <c r="AK872" s="196" t="s">
        <v>279</v>
      </c>
      <c r="AL872" s="199">
        <v>0</v>
      </c>
      <c r="AM872" s="196" t="s">
        <v>279</v>
      </c>
      <c r="AN872" s="199">
        <v>0</v>
      </c>
      <c r="AO872" s="196" t="s">
        <v>279</v>
      </c>
      <c r="AP872" s="199">
        <v>0</v>
      </c>
      <c r="AQ872" s="199">
        <v>61.19</v>
      </c>
      <c r="AR872" s="199">
        <v>0</v>
      </c>
      <c r="AS872" s="196" t="str">
        <f t="shared" si="28"/>
        <v>1.00000000</v>
      </c>
      <c r="AT872" s="196" t="str">
        <f>"12.7"</f>
        <v>12.7</v>
      </c>
      <c r="AU872" s="199">
        <v>0</v>
      </c>
    </row>
    <row r="873" spans="1:47" s="196" customFormat="1" x14ac:dyDescent="0.2">
      <c r="A873" s="196" t="str">
        <f t="shared" si="30"/>
        <v>0496002599173</v>
      </c>
      <c r="B873" s="196">
        <v>1</v>
      </c>
      <c r="C873" s="196" t="s">
        <v>585</v>
      </c>
      <c r="D873" s="196" t="s">
        <v>586</v>
      </c>
      <c r="E873" s="196" t="s">
        <v>586</v>
      </c>
      <c r="F873" s="196" t="s">
        <v>243</v>
      </c>
      <c r="G873" s="196">
        <v>5314</v>
      </c>
      <c r="H873" s="196" t="s">
        <v>270</v>
      </c>
      <c r="I873" s="196">
        <v>64409</v>
      </c>
      <c r="J873" s="197">
        <v>42772</v>
      </c>
      <c r="K873" s="198">
        <v>0.58819444444444446</v>
      </c>
      <c r="L873" s="197">
        <v>42774</v>
      </c>
      <c r="M873" s="196" t="s">
        <v>285</v>
      </c>
      <c r="N873" s="196" t="s">
        <v>399</v>
      </c>
      <c r="O873" s="196" t="s">
        <v>400</v>
      </c>
      <c r="P873" s="196" t="s">
        <v>274</v>
      </c>
      <c r="Q873" s="196" t="s">
        <v>275</v>
      </c>
      <c r="R873" s="196" t="s">
        <v>401</v>
      </c>
      <c r="S873" s="196" t="s">
        <v>436</v>
      </c>
      <c r="T873" s="196" t="s">
        <v>587</v>
      </c>
      <c r="U873" s="196">
        <v>5314</v>
      </c>
      <c r="V873" s="196" t="s">
        <v>585</v>
      </c>
      <c r="W873" s="196" t="s">
        <v>280</v>
      </c>
      <c r="X873" s="196">
        <v>29.792000000000002</v>
      </c>
      <c r="Y873" s="199">
        <v>0</v>
      </c>
      <c r="Z873" s="199">
        <v>2.16</v>
      </c>
      <c r="AA873" s="199">
        <v>64.319999999999993</v>
      </c>
      <c r="AB873" s="199">
        <v>-5.45</v>
      </c>
      <c r="AC873" s="199">
        <v>0</v>
      </c>
      <c r="AD873" s="199">
        <v>0</v>
      </c>
      <c r="AE873" s="199">
        <v>58.87</v>
      </c>
      <c r="AF873" s="199">
        <v>-7.15</v>
      </c>
      <c r="AG873" s="196" t="s">
        <v>279</v>
      </c>
      <c r="AH873" s="199">
        <v>0</v>
      </c>
      <c r="AI873" s="196" t="s">
        <v>279</v>
      </c>
      <c r="AJ873" s="199">
        <v>0</v>
      </c>
      <c r="AK873" s="196" t="s">
        <v>279</v>
      </c>
      <c r="AL873" s="199">
        <v>0</v>
      </c>
      <c r="AM873" s="196" t="s">
        <v>279</v>
      </c>
      <c r="AN873" s="199">
        <v>0</v>
      </c>
      <c r="AO873" s="196" t="s">
        <v>279</v>
      </c>
      <c r="AP873" s="199">
        <v>0</v>
      </c>
      <c r="AQ873" s="199">
        <v>64.319999999999993</v>
      </c>
      <c r="AR873" s="199">
        <v>0</v>
      </c>
      <c r="AS873" s="196" t="str">
        <f t="shared" si="28"/>
        <v>1.00000000</v>
      </c>
      <c r="AT873" s="196" t="str">
        <f>"12.4"</f>
        <v>12.4</v>
      </c>
      <c r="AU873" s="199">
        <v>0</v>
      </c>
    </row>
    <row r="874" spans="1:47" s="196" customFormat="1" x14ac:dyDescent="0.2">
      <c r="A874" s="196" t="str">
        <f t="shared" si="30"/>
        <v>0496002599173</v>
      </c>
      <c r="B874" s="196">
        <v>1</v>
      </c>
      <c r="C874" s="196" t="s">
        <v>585</v>
      </c>
      <c r="D874" s="196" t="s">
        <v>586</v>
      </c>
      <c r="E874" s="196" t="s">
        <v>586</v>
      </c>
      <c r="F874" s="196" t="s">
        <v>243</v>
      </c>
      <c r="G874" s="196">
        <v>5314</v>
      </c>
      <c r="H874" s="196" t="s">
        <v>270</v>
      </c>
      <c r="I874" s="196">
        <v>64781</v>
      </c>
      <c r="J874" s="197">
        <v>42786</v>
      </c>
      <c r="K874" s="198">
        <v>0.50694444444444442</v>
      </c>
      <c r="L874" s="197">
        <v>42788</v>
      </c>
      <c r="M874" s="196" t="s">
        <v>285</v>
      </c>
      <c r="N874" s="196" t="s">
        <v>399</v>
      </c>
      <c r="O874" s="196" t="s">
        <v>400</v>
      </c>
      <c r="P874" s="196" t="s">
        <v>274</v>
      </c>
      <c r="Q874" s="196" t="s">
        <v>275</v>
      </c>
      <c r="R874" s="196" t="s">
        <v>401</v>
      </c>
      <c r="S874" s="196" t="s">
        <v>436</v>
      </c>
      <c r="T874" s="196" t="s">
        <v>587</v>
      </c>
      <c r="U874" s="196">
        <v>5314</v>
      </c>
      <c r="V874" s="196" t="s">
        <v>585</v>
      </c>
      <c r="W874" s="196" t="s">
        <v>280</v>
      </c>
      <c r="X874" s="196">
        <v>30.157</v>
      </c>
      <c r="Y874" s="199">
        <v>0</v>
      </c>
      <c r="Z874" s="199">
        <v>2.2000000000000002</v>
      </c>
      <c r="AA874" s="199">
        <v>66.319999999999993</v>
      </c>
      <c r="AB874" s="199">
        <v>-5.52</v>
      </c>
      <c r="AC874" s="199">
        <v>0</v>
      </c>
      <c r="AD874" s="199">
        <v>0</v>
      </c>
      <c r="AE874" s="199">
        <v>60.8</v>
      </c>
      <c r="AF874" s="199">
        <v>-7.24</v>
      </c>
      <c r="AG874" s="196" t="s">
        <v>279</v>
      </c>
      <c r="AH874" s="199">
        <v>0</v>
      </c>
      <c r="AI874" s="196" t="s">
        <v>279</v>
      </c>
      <c r="AJ874" s="199">
        <v>0</v>
      </c>
      <c r="AK874" s="196" t="s">
        <v>279</v>
      </c>
      <c r="AL874" s="199">
        <v>0</v>
      </c>
      <c r="AM874" s="196" t="s">
        <v>279</v>
      </c>
      <c r="AN874" s="199">
        <v>0</v>
      </c>
      <c r="AO874" s="196" t="s">
        <v>279</v>
      </c>
      <c r="AP874" s="199">
        <v>0</v>
      </c>
      <c r="AQ874" s="199">
        <v>66.319999999999993</v>
      </c>
      <c r="AR874" s="199">
        <v>0</v>
      </c>
      <c r="AS874" s="196" t="str">
        <f t="shared" si="28"/>
        <v>1.00000000</v>
      </c>
      <c r="AT874" s="196" t="str">
        <f>"12.3"</f>
        <v>12.3</v>
      </c>
      <c r="AU874" s="199">
        <v>0</v>
      </c>
    </row>
    <row r="875" spans="1:47" s="196" customFormat="1" x14ac:dyDescent="0.2">
      <c r="A875" s="196" t="str">
        <f t="shared" si="30"/>
        <v>0496002599173</v>
      </c>
      <c r="B875" s="196">
        <v>1</v>
      </c>
      <c r="C875" s="196" t="s">
        <v>585</v>
      </c>
      <c r="D875" s="196" t="s">
        <v>586</v>
      </c>
      <c r="E875" s="196" t="s">
        <v>586</v>
      </c>
      <c r="F875" s="196" t="s">
        <v>243</v>
      </c>
      <c r="G875" s="196">
        <v>5314</v>
      </c>
      <c r="H875" s="196" t="s">
        <v>270</v>
      </c>
      <c r="I875" s="196">
        <v>65183</v>
      </c>
      <c r="J875" s="197">
        <v>42799</v>
      </c>
      <c r="K875" s="198">
        <v>0.55625000000000002</v>
      </c>
      <c r="L875" s="197">
        <v>42801</v>
      </c>
      <c r="M875" s="196" t="s">
        <v>285</v>
      </c>
      <c r="N875" s="196" t="s">
        <v>399</v>
      </c>
      <c r="O875" s="196" t="s">
        <v>400</v>
      </c>
      <c r="P875" s="196" t="s">
        <v>274</v>
      </c>
      <c r="Q875" s="196" t="s">
        <v>275</v>
      </c>
      <c r="R875" s="196" t="s">
        <v>401</v>
      </c>
      <c r="S875" s="196" t="s">
        <v>436</v>
      </c>
      <c r="T875" s="196" t="s">
        <v>587</v>
      </c>
      <c r="U875" s="196">
        <v>5314</v>
      </c>
      <c r="V875" s="196" t="s">
        <v>585</v>
      </c>
      <c r="W875" s="196" t="s">
        <v>280</v>
      </c>
      <c r="X875" s="196">
        <v>30.321999999999999</v>
      </c>
      <c r="Y875" s="199">
        <v>0</v>
      </c>
      <c r="Z875" s="199">
        <v>2.1800000000000002</v>
      </c>
      <c r="AA875" s="199">
        <v>66.069999999999993</v>
      </c>
      <c r="AB875" s="199">
        <v>-5.55</v>
      </c>
      <c r="AC875" s="199">
        <v>0</v>
      </c>
      <c r="AD875" s="199">
        <v>0</v>
      </c>
      <c r="AE875" s="199">
        <v>60.52</v>
      </c>
      <c r="AF875" s="199">
        <v>-7.28</v>
      </c>
      <c r="AG875" s="196" t="s">
        <v>279</v>
      </c>
      <c r="AH875" s="199">
        <v>0</v>
      </c>
      <c r="AI875" s="196" t="s">
        <v>279</v>
      </c>
      <c r="AJ875" s="199">
        <v>0</v>
      </c>
      <c r="AK875" s="196" t="s">
        <v>279</v>
      </c>
      <c r="AL875" s="199">
        <v>0</v>
      </c>
      <c r="AM875" s="196" t="s">
        <v>279</v>
      </c>
      <c r="AN875" s="199">
        <v>0</v>
      </c>
      <c r="AO875" s="196" t="s">
        <v>279</v>
      </c>
      <c r="AP875" s="199">
        <v>0</v>
      </c>
      <c r="AQ875" s="199">
        <v>66.069999999999993</v>
      </c>
      <c r="AR875" s="199">
        <v>0</v>
      </c>
      <c r="AS875" s="196" t="str">
        <f t="shared" si="28"/>
        <v>1.00000000</v>
      </c>
      <c r="AT875" s="196" t="str">
        <f>"13.3"</f>
        <v>13.3</v>
      </c>
      <c r="AU875" s="199">
        <v>0</v>
      </c>
    </row>
    <row r="876" spans="1:47" s="196" customFormat="1" x14ac:dyDescent="0.2">
      <c r="A876" s="196" t="str">
        <f t="shared" si="30"/>
        <v>0496002599173</v>
      </c>
      <c r="B876" s="196">
        <v>1</v>
      </c>
      <c r="C876" s="196" t="s">
        <v>585</v>
      </c>
      <c r="D876" s="196" t="s">
        <v>586</v>
      </c>
      <c r="E876" s="196" t="s">
        <v>586</v>
      </c>
      <c r="F876" s="196" t="s">
        <v>243</v>
      </c>
      <c r="G876" s="196">
        <v>5314</v>
      </c>
      <c r="H876" s="196" t="s">
        <v>270</v>
      </c>
      <c r="I876" s="196">
        <v>65556</v>
      </c>
      <c r="J876" s="197">
        <v>42816</v>
      </c>
      <c r="K876" s="198">
        <v>0.58194444444444449</v>
      </c>
      <c r="L876" s="197">
        <v>42818</v>
      </c>
      <c r="M876" s="196" t="s">
        <v>271</v>
      </c>
      <c r="N876" s="196" t="s">
        <v>272</v>
      </c>
      <c r="O876" s="196" t="s">
        <v>273</v>
      </c>
      <c r="P876" s="196" t="s">
        <v>274</v>
      </c>
      <c r="Q876" s="196" t="s">
        <v>275</v>
      </c>
      <c r="R876" s="196" t="s">
        <v>276</v>
      </c>
      <c r="S876" s="196" t="s">
        <v>436</v>
      </c>
      <c r="T876" s="196" t="s">
        <v>587</v>
      </c>
      <c r="U876" s="196">
        <v>5314</v>
      </c>
      <c r="V876" s="196" t="s">
        <v>585</v>
      </c>
      <c r="W876" s="196" t="s">
        <v>280</v>
      </c>
      <c r="X876" s="196">
        <v>31.105</v>
      </c>
      <c r="Y876" s="199">
        <v>-0.62</v>
      </c>
      <c r="Z876" s="199">
        <v>2.2000000000000002</v>
      </c>
      <c r="AA876" s="199">
        <v>68.400000000000006</v>
      </c>
      <c r="AB876" s="199">
        <v>-5.69</v>
      </c>
      <c r="AC876" s="199">
        <v>0</v>
      </c>
      <c r="AD876" s="199">
        <v>0</v>
      </c>
      <c r="AE876" s="199">
        <v>62.09</v>
      </c>
      <c r="AF876" s="199">
        <v>-7.47</v>
      </c>
      <c r="AG876" s="196" t="s">
        <v>279</v>
      </c>
      <c r="AH876" s="199">
        <v>0</v>
      </c>
      <c r="AI876" s="196" t="s">
        <v>279</v>
      </c>
      <c r="AJ876" s="199">
        <v>0</v>
      </c>
      <c r="AK876" s="196" t="s">
        <v>279</v>
      </c>
      <c r="AL876" s="199">
        <v>0</v>
      </c>
      <c r="AM876" s="196" t="s">
        <v>279</v>
      </c>
      <c r="AN876" s="199">
        <v>0</v>
      </c>
      <c r="AO876" s="196" t="s">
        <v>279</v>
      </c>
      <c r="AP876" s="199">
        <v>0</v>
      </c>
      <c r="AQ876" s="199">
        <v>68.400000000000006</v>
      </c>
      <c r="AR876" s="199">
        <v>0</v>
      </c>
      <c r="AS876" s="196" t="str">
        <f t="shared" si="28"/>
        <v>1.00000000</v>
      </c>
      <c r="AT876" s="196" t="str">
        <f>"12.0"</f>
        <v>12.0</v>
      </c>
      <c r="AU876" s="199">
        <v>0</v>
      </c>
    </row>
    <row r="877" spans="1:47" s="196" customFormat="1" x14ac:dyDescent="0.2">
      <c r="A877" s="196" t="str">
        <f t="shared" si="30"/>
        <v>0496002599173</v>
      </c>
      <c r="B877" s="196">
        <v>1</v>
      </c>
      <c r="C877" s="196" t="s">
        <v>585</v>
      </c>
      <c r="D877" s="196" t="s">
        <v>586</v>
      </c>
      <c r="E877" s="196" t="s">
        <v>586</v>
      </c>
      <c r="F877" s="196" t="s">
        <v>243</v>
      </c>
      <c r="G877" s="196">
        <v>5314</v>
      </c>
      <c r="H877" s="196" t="s">
        <v>270</v>
      </c>
      <c r="I877" s="196">
        <v>65948</v>
      </c>
      <c r="J877" s="197">
        <v>42832</v>
      </c>
      <c r="K877" s="198">
        <v>0.57430555555555551</v>
      </c>
      <c r="L877" s="197">
        <v>42836</v>
      </c>
      <c r="M877" s="196" t="s">
        <v>285</v>
      </c>
      <c r="N877" s="196" t="s">
        <v>399</v>
      </c>
      <c r="O877" s="196" t="s">
        <v>400</v>
      </c>
      <c r="P877" s="196" t="s">
        <v>274</v>
      </c>
      <c r="Q877" s="196" t="s">
        <v>275</v>
      </c>
      <c r="R877" s="196" t="s">
        <v>401</v>
      </c>
      <c r="S877" s="196" t="s">
        <v>436</v>
      </c>
      <c r="T877" s="196" t="s">
        <v>587</v>
      </c>
      <c r="U877" s="196">
        <v>5314</v>
      </c>
      <c r="V877" s="196" t="s">
        <v>585</v>
      </c>
      <c r="W877" s="196" t="s">
        <v>280</v>
      </c>
      <c r="X877" s="196">
        <v>30.626000000000001</v>
      </c>
      <c r="Y877" s="199">
        <v>0</v>
      </c>
      <c r="Z877" s="199">
        <v>2.2999999999999998</v>
      </c>
      <c r="AA877" s="199">
        <v>70.41</v>
      </c>
      <c r="AB877" s="199">
        <v>-5.6</v>
      </c>
      <c r="AC877" s="199">
        <v>0</v>
      </c>
      <c r="AD877" s="199">
        <v>0</v>
      </c>
      <c r="AE877" s="199">
        <v>64.81</v>
      </c>
      <c r="AF877" s="199">
        <v>-7.35</v>
      </c>
      <c r="AG877" s="196" t="s">
        <v>279</v>
      </c>
      <c r="AH877" s="199">
        <v>0</v>
      </c>
      <c r="AI877" s="196" t="s">
        <v>279</v>
      </c>
      <c r="AJ877" s="199">
        <v>0</v>
      </c>
      <c r="AK877" s="196" t="s">
        <v>279</v>
      </c>
      <c r="AL877" s="199">
        <v>0</v>
      </c>
      <c r="AM877" s="196" t="s">
        <v>279</v>
      </c>
      <c r="AN877" s="199">
        <v>0</v>
      </c>
      <c r="AO877" s="196" t="s">
        <v>279</v>
      </c>
      <c r="AP877" s="199">
        <v>0</v>
      </c>
      <c r="AQ877" s="199">
        <v>70.41</v>
      </c>
      <c r="AR877" s="199">
        <v>0</v>
      </c>
      <c r="AS877" s="196" t="str">
        <f t="shared" si="28"/>
        <v>1.00000000</v>
      </c>
      <c r="AT877" s="196" t="str">
        <f>"12.8"</f>
        <v>12.8</v>
      </c>
      <c r="AU877" s="199">
        <v>0</v>
      </c>
    </row>
    <row r="878" spans="1:47" s="196" customFormat="1" x14ac:dyDescent="0.2">
      <c r="A878" s="196" t="str">
        <f t="shared" si="30"/>
        <v>0496002599173</v>
      </c>
      <c r="B878" s="196">
        <v>1</v>
      </c>
      <c r="C878" s="196" t="s">
        <v>585</v>
      </c>
      <c r="D878" s="196" t="s">
        <v>586</v>
      </c>
      <c r="E878" s="196" t="s">
        <v>586</v>
      </c>
      <c r="F878" s="196" t="s">
        <v>243</v>
      </c>
      <c r="G878" s="196">
        <v>5314</v>
      </c>
      <c r="H878" s="196" t="s">
        <v>270</v>
      </c>
      <c r="I878" s="196">
        <v>66367</v>
      </c>
      <c r="J878" s="197">
        <v>42849</v>
      </c>
      <c r="K878" s="198">
        <v>0.32222222222222224</v>
      </c>
      <c r="L878" s="197">
        <v>42851</v>
      </c>
      <c r="M878" s="196" t="s">
        <v>285</v>
      </c>
      <c r="N878" s="196" t="s">
        <v>399</v>
      </c>
      <c r="O878" s="196" t="s">
        <v>400</v>
      </c>
      <c r="P878" s="196" t="s">
        <v>274</v>
      </c>
      <c r="Q878" s="196" t="s">
        <v>275</v>
      </c>
      <c r="R878" s="196" t="s">
        <v>401</v>
      </c>
      <c r="S878" s="196" t="s">
        <v>436</v>
      </c>
      <c r="T878" s="196" t="s">
        <v>587</v>
      </c>
      <c r="U878" s="196">
        <v>5314</v>
      </c>
      <c r="V878" s="196" t="s">
        <v>585</v>
      </c>
      <c r="W878" s="196" t="s">
        <v>280</v>
      </c>
      <c r="X878" s="196">
        <v>29.376000000000001</v>
      </c>
      <c r="Y878" s="199">
        <v>0</v>
      </c>
      <c r="Z878" s="199">
        <v>2.36</v>
      </c>
      <c r="AA878" s="199">
        <v>69.3</v>
      </c>
      <c r="AB878" s="199">
        <v>-5.38</v>
      </c>
      <c r="AC878" s="199">
        <v>0</v>
      </c>
      <c r="AD878" s="199">
        <v>0</v>
      </c>
      <c r="AE878" s="199">
        <v>63.92</v>
      </c>
      <c r="AF878" s="199">
        <v>-7.05</v>
      </c>
      <c r="AG878" s="196" t="s">
        <v>279</v>
      </c>
      <c r="AH878" s="199">
        <v>0</v>
      </c>
      <c r="AI878" s="196" t="s">
        <v>279</v>
      </c>
      <c r="AJ878" s="199">
        <v>0</v>
      </c>
      <c r="AK878" s="196" t="s">
        <v>279</v>
      </c>
      <c r="AL878" s="199">
        <v>0</v>
      </c>
      <c r="AM878" s="196" t="s">
        <v>279</v>
      </c>
      <c r="AN878" s="199">
        <v>0</v>
      </c>
      <c r="AO878" s="196" t="s">
        <v>279</v>
      </c>
      <c r="AP878" s="199">
        <v>0</v>
      </c>
      <c r="AQ878" s="199">
        <v>69.3</v>
      </c>
      <c r="AR878" s="199">
        <v>0</v>
      </c>
      <c r="AS878" s="196" t="str">
        <f t="shared" si="28"/>
        <v>1.00000000</v>
      </c>
      <c r="AT878" s="196" t="str">
        <f>"14.3"</f>
        <v>14.3</v>
      </c>
      <c r="AU878" s="199">
        <v>0</v>
      </c>
    </row>
    <row r="879" spans="1:47" s="196" customFormat="1" x14ac:dyDescent="0.2">
      <c r="A879" s="196" t="str">
        <f t="shared" si="30"/>
        <v>0496002599173</v>
      </c>
      <c r="B879" s="196">
        <v>1</v>
      </c>
      <c r="C879" s="196" t="s">
        <v>585</v>
      </c>
      <c r="D879" s="196" t="s">
        <v>586</v>
      </c>
      <c r="E879" s="196" t="s">
        <v>586</v>
      </c>
      <c r="F879" s="196" t="s">
        <v>243</v>
      </c>
      <c r="G879" s="196">
        <v>5314</v>
      </c>
      <c r="H879" s="196" t="s">
        <v>270</v>
      </c>
      <c r="I879" s="196">
        <v>66813</v>
      </c>
      <c r="J879" s="197">
        <v>42859</v>
      </c>
      <c r="K879" s="198">
        <v>0.47083333333333338</v>
      </c>
      <c r="L879" s="197">
        <v>42863</v>
      </c>
      <c r="M879" s="196" t="s">
        <v>285</v>
      </c>
      <c r="N879" s="196" t="s">
        <v>399</v>
      </c>
      <c r="O879" s="196" t="s">
        <v>400</v>
      </c>
      <c r="P879" s="196" t="s">
        <v>274</v>
      </c>
      <c r="Q879" s="196" t="s">
        <v>275</v>
      </c>
      <c r="R879" s="196" t="s">
        <v>401</v>
      </c>
      <c r="S879" s="196" t="s">
        <v>436</v>
      </c>
      <c r="T879" s="196" t="s">
        <v>587</v>
      </c>
      <c r="U879" s="196">
        <v>5314</v>
      </c>
      <c r="V879" s="196" t="s">
        <v>585</v>
      </c>
      <c r="W879" s="196" t="s">
        <v>280</v>
      </c>
      <c r="X879" s="196">
        <v>29.794</v>
      </c>
      <c r="Y879" s="199">
        <v>0</v>
      </c>
      <c r="Z879" s="199">
        <v>2.2999999999999998</v>
      </c>
      <c r="AA879" s="199">
        <v>68.5</v>
      </c>
      <c r="AB879" s="199">
        <v>-5.45</v>
      </c>
      <c r="AC879" s="199">
        <v>0</v>
      </c>
      <c r="AD879" s="199">
        <v>0</v>
      </c>
      <c r="AE879" s="199">
        <v>63.05</v>
      </c>
      <c r="AF879" s="199">
        <v>-7.15</v>
      </c>
      <c r="AG879" s="196" t="s">
        <v>279</v>
      </c>
      <c r="AH879" s="199">
        <v>0</v>
      </c>
      <c r="AI879" s="196" t="s">
        <v>279</v>
      </c>
      <c r="AJ879" s="199">
        <v>0</v>
      </c>
      <c r="AK879" s="196" t="s">
        <v>279</v>
      </c>
      <c r="AL879" s="199">
        <v>0</v>
      </c>
      <c r="AM879" s="196" t="s">
        <v>279</v>
      </c>
      <c r="AN879" s="199">
        <v>0</v>
      </c>
      <c r="AO879" s="196" t="s">
        <v>279</v>
      </c>
      <c r="AP879" s="199">
        <v>0</v>
      </c>
      <c r="AQ879" s="199">
        <v>68.5</v>
      </c>
      <c r="AR879" s="199">
        <v>0</v>
      </c>
      <c r="AS879" s="196" t="str">
        <f t="shared" si="28"/>
        <v>1.00000000</v>
      </c>
      <c r="AT879" s="196" t="str">
        <f>"15.0"</f>
        <v>15.0</v>
      </c>
      <c r="AU879" s="199">
        <v>0</v>
      </c>
    </row>
    <row r="880" spans="1:47" s="196" customFormat="1" x14ac:dyDescent="0.2">
      <c r="A880" s="196" t="str">
        <f t="shared" si="30"/>
        <v>0496002599173</v>
      </c>
      <c r="B880" s="196">
        <v>1</v>
      </c>
      <c r="C880" s="196" t="s">
        <v>585</v>
      </c>
      <c r="D880" s="196" t="s">
        <v>586</v>
      </c>
      <c r="E880" s="196" t="s">
        <v>586</v>
      </c>
      <c r="F880" s="196" t="s">
        <v>243</v>
      </c>
      <c r="G880" s="196">
        <v>5314</v>
      </c>
      <c r="H880" s="196" t="s">
        <v>270</v>
      </c>
      <c r="I880" s="196">
        <v>67198</v>
      </c>
      <c r="J880" s="197">
        <v>42874</v>
      </c>
      <c r="K880" s="198">
        <v>0.40416666666666662</v>
      </c>
      <c r="L880" s="197">
        <v>42878</v>
      </c>
      <c r="M880" s="196" t="s">
        <v>285</v>
      </c>
      <c r="N880" s="196" t="s">
        <v>399</v>
      </c>
      <c r="O880" s="196" t="s">
        <v>400</v>
      </c>
      <c r="P880" s="196" t="s">
        <v>274</v>
      </c>
      <c r="Q880" s="196" t="s">
        <v>275</v>
      </c>
      <c r="R880" s="196" t="s">
        <v>401</v>
      </c>
      <c r="S880" s="196" t="s">
        <v>436</v>
      </c>
      <c r="T880" s="196" t="s">
        <v>587</v>
      </c>
      <c r="U880" s="196">
        <v>5314</v>
      </c>
      <c r="V880" s="196" t="s">
        <v>585</v>
      </c>
      <c r="W880" s="196" t="s">
        <v>280</v>
      </c>
      <c r="X880" s="196">
        <v>29.102</v>
      </c>
      <c r="Y880" s="199">
        <v>0</v>
      </c>
      <c r="Z880" s="199">
        <v>2.2999999999999998</v>
      </c>
      <c r="AA880" s="199">
        <v>66.91</v>
      </c>
      <c r="AB880" s="199">
        <v>-5.33</v>
      </c>
      <c r="AC880" s="199">
        <v>0</v>
      </c>
      <c r="AD880" s="199">
        <v>0</v>
      </c>
      <c r="AE880" s="199">
        <v>61.58</v>
      </c>
      <c r="AF880" s="199">
        <v>-6.98</v>
      </c>
      <c r="AG880" s="196" t="s">
        <v>279</v>
      </c>
      <c r="AH880" s="199">
        <v>0</v>
      </c>
      <c r="AI880" s="196" t="s">
        <v>279</v>
      </c>
      <c r="AJ880" s="199">
        <v>0</v>
      </c>
      <c r="AK880" s="196" t="s">
        <v>279</v>
      </c>
      <c r="AL880" s="199">
        <v>0</v>
      </c>
      <c r="AM880" s="196" t="s">
        <v>279</v>
      </c>
      <c r="AN880" s="199">
        <v>0</v>
      </c>
      <c r="AO880" s="196" t="s">
        <v>279</v>
      </c>
      <c r="AP880" s="199">
        <v>0</v>
      </c>
      <c r="AQ880" s="199">
        <v>66.91</v>
      </c>
      <c r="AR880" s="199">
        <v>0</v>
      </c>
      <c r="AS880" s="196" t="str">
        <f t="shared" si="28"/>
        <v>1.00000000</v>
      </c>
      <c r="AT880" s="196" t="str">
        <f>"13.2"</f>
        <v>13.2</v>
      </c>
      <c r="AU880" s="199">
        <v>0</v>
      </c>
    </row>
    <row r="881" spans="1:47" s="196" customFormat="1" x14ac:dyDescent="0.2">
      <c r="A881" s="196" t="str">
        <f t="shared" si="30"/>
        <v>0496002599173</v>
      </c>
      <c r="B881" s="196">
        <v>1</v>
      </c>
      <c r="C881" s="196" t="s">
        <v>585</v>
      </c>
      <c r="D881" s="196" t="s">
        <v>586</v>
      </c>
      <c r="E881" s="196" t="s">
        <v>586</v>
      </c>
      <c r="F881" s="196" t="s">
        <v>243</v>
      </c>
      <c r="G881" s="196">
        <v>5314</v>
      </c>
      <c r="H881" s="196" t="s">
        <v>270</v>
      </c>
      <c r="I881" s="196">
        <v>67502</v>
      </c>
      <c r="J881" s="197">
        <v>42891</v>
      </c>
      <c r="K881" s="198">
        <v>0.63055555555555554</v>
      </c>
      <c r="L881" s="197">
        <v>42893</v>
      </c>
      <c r="M881" s="196" t="s">
        <v>285</v>
      </c>
      <c r="N881" s="196" t="s">
        <v>399</v>
      </c>
      <c r="O881" s="196" t="s">
        <v>400</v>
      </c>
      <c r="P881" s="196" t="s">
        <v>274</v>
      </c>
      <c r="Q881" s="196" t="s">
        <v>275</v>
      </c>
      <c r="R881" s="196" t="s">
        <v>401</v>
      </c>
      <c r="S881" s="196" t="s">
        <v>436</v>
      </c>
      <c r="T881" s="196" t="s">
        <v>587</v>
      </c>
      <c r="U881" s="196">
        <v>5314</v>
      </c>
      <c r="V881" s="196" t="s">
        <v>585</v>
      </c>
      <c r="W881" s="196" t="s">
        <v>280</v>
      </c>
      <c r="X881" s="196">
        <v>22.248000000000001</v>
      </c>
      <c r="Y881" s="199">
        <v>0</v>
      </c>
      <c r="Z881" s="199">
        <v>2.2999999999999998</v>
      </c>
      <c r="AA881" s="199">
        <v>51.15</v>
      </c>
      <c r="AB881" s="199">
        <v>-4.07</v>
      </c>
      <c r="AC881" s="199">
        <v>0</v>
      </c>
      <c r="AD881" s="199">
        <v>0</v>
      </c>
      <c r="AE881" s="199">
        <v>47.08</v>
      </c>
      <c r="AF881" s="199">
        <v>-5.34</v>
      </c>
      <c r="AG881" s="196" t="s">
        <v>279</v>
      </c>
      <c r="AH881" s="199">
        <v>0</v>
      </c>
      <c r="AI881" s="196" t="s">
        <v>279</v>
      </c>
      <c r="AJ881" s="199">
        <v>0</v>
      </c>
      <c r="AK881" s="196" t="s">
        <v>279</v>
      </c>
      <c r="AL881" s="199">
        <v>0</v>
      </c>
      <c r="AM881" s="196" t="s">
        <v>279</v>
      </c>
      <c r="AN881" s="199">
        <v>0</v>
      </c>
      <c r="AO881" s="196" t="s">
        <v>279</v>
      </c>
      <c r="AP881" s="199">
        <v>0</v>
      </c>
      <c r="AQ881" s="199">
        <v>51.15</v>
      </c>
      <c r="AR881" s="199">
        <v>0</v>
      </c>
      <c r="AS881" s="196" t="str">
        <f t="shared" si="28"/>
        <v>1.00000000</v>
      </c>
      <c r="AT881" s="196" t="str">
        <f>"13.7"</f>
        <v>13.7</v>
      </c>
      <c r="AU881" s="199">
        <v>0</v>
      </c>
    </row>
    <row r="882" spans="1:47" s="196" customFormat="1" x14ac:dyDescent="0.2">
      <c r="A882" s="196" t="str">
        <f t="shared" si="30"/>
        <v>0496002599173</v>
      </c>
      <c r="B882" s="196">
        <v>1</v>
      </c>
      <c r="C882" s="196" t="s">
        <v>585</v>
      </c>
      <c r="D882" s="196" t="s">
        <v>586</v>
      </c>
      <c r="E882" s="196" t="s">
        <v>586</v>
      </c>
      <c r="F882" s="196" t="s">
        <v>243</v>
      </c>
      <c r="G882" s="196">
        <v>5314</v>
      </c>
      <c r="H882" s="196" t="s">
        <v>270</v>
      </c>
      <c r="I882" s="196">
        <v>67977</v>
      </c>
      <c r="J882" s="197">
        <v>42898</v>
      </c>
      <c r="K882" s="198">
        <v>0.3520833333333333</v>
      </c>
      <c r="L882" s="197">
        <v>42900</v>
      </c>
      <c r="M882" s="196" t="s">
        <v>285</v>
      </c>
      <c r="N882" s="196" t="s">
        <v>399</v>
      </c>
      <c r="O882" s="196" t="s">
        <v>400</v>
      </c>
      <c r="P882" s="196" t="s">
        <v>274</v>
      </c>
      <c r="Q882" s="196" t="s">
        <v>275</v>
      </c>
      <c r="R882" s="196" t="s">
        <v>401</v>
      </c>
      <c r="S882" s="196" t="s">
        <v>436</v>
      </c>
      <c r="T882" s="196" t="s">
        <v>587</v>
      </c>
      <c r="U882" s="196">
        <v>5314</v>
      </c>
      <c r="V882" s="196" t="s">
        <v>585</v>
      </c>
      <c r="W882" s="196" t="s">
        <v>280</v>
      </c>
      <c r="X882" s="196">
        <v>30.125</v>
      </c>
      <c r="Y882" s="199">
        <v>0</v>
      </c>
      <c r="Z882" s="199">
        <v>2.2999999999999998</v>
      </c>
      <c r="AA882" s="199">
        <v>69.260000000000005</v>
      </c>
      <c r="AB882" s="199">
        <v>-5.51</v>
      </c>
      <c r="AC882" s="199">
        <v>0</v>
      </c>
      <c r="AD882" s="199">
        <v>0</v>
      </c>
      <c r="AE882" s="199">
        <v>63.75</v>
      </c>
      <c r="AF882" s="199">
        <v>-7.23</v>
      </c>
      <c r="AG882" s="196" t="s">
        <v>279</v>
      </c>
      <c r="AH882" s="199">
        <v>0</v>
      </c>
      <c r="AI882" s="196" t="s">
        <v>279</v>
      </c>
      <c r="AJ882" s="199">
        <v>0</v>
      </c>
      <c r="AK882" s="196" t="s">
        <v>279</v>
      </c>
      <c r="AL882" s="199">
        <v>0</v>
      </c>
      <c r="AM882" s="196" t="s">
        <v>279</v>
      </c>
      <c r="AN882" s="199">
        <v>0</v>
      </c>
      <c r="AO882" s="196" t="s">
        <v>279</v>
      </c>
      <c r="AP882" s="199">
        <v>0</v>
      </c>
      <c r="AQ882" s="199">
        <v>69.260000000000005</v>
      </c>
      <c r="AR882" s="199">
        <v>0</v>
      </c>
      <c r="AS882" s="196" t="str">
        <f t="shared" si="28"/>
        <v>1.00000000</v>
      </c>
      <c r="AT882" s="196" t="str">
        <f>"15.8"</f>
        <v>15.8</v>
      </c>
      <c r="AU882" s="199">
        <v>0</v>
      </c>
    </row>
    <row r="883" spans="1:47" s="196" customFormat="1" x14ac:dyDescent="0.2">
      <c r="A883" s="196" t="str">
        <f t="shared" si="30"/>
        <v>0496002599173</v>
      </c>
      <c r="B883" s="196">
        <v>1</v>
      </c>
      <c r="C883" s="196" t="s">
        <v>585</v>
      </c>
      <c r="D883" s="196" t="s">
        <v>586</v>
      </c>
      <c r="E883" s="196" t="s">
        <v>586</v>
      </c>
      <c r="F883" s="196" t="s">
        <v>243</v>
      </c>
      <c r="G883" s="196">
        <v>5314</v>
      </c>
      <c r="H883" s="196" t="s">
        <v>270</v>
      </c>
      <c r="I883" s="196">
        <v>115738</v>
      </c>
      <c r="J883" s="197">
        <v>42906</v>
      </c>
      <c r="K883" s="198">
        <v>0.53707175925925921</v>
      </c>
      <c r="L883" s="197">
        <v>42908</v>
      </c>
      <c r="M883" s="196" t="s">
        <v>314</v>
      </c>
      <c r="N883" s="196" t="s">
        <v>591</v>
      </c>
      <c r="O883" s="196" t="s">
        <v>592</v>
      </c>
      <c r="P883" s="196" t="s">
        <v>456</v>
      </c>
      <c r="Q883" s="196" t="s">
        <v>275</v>
      </c>
      <c r="R883" s="196" t="s">
        <v>593</v>
      </c>
      <c r="S883" s="196" t="s">
        <v>436</v>
      </c>
      <c r="T883" s="196" t="s">
        <v>587</v>
      </c>
      <c r="U883" s="196">
        <v>5314</v>
      </c>
      <c r="V883" s="196" t="s">
        <v>585</v>
      </c>
      <c r="W883" s="196" t="s">
        <v>280</v>
      </c>
      <c r="X883" s="196">
        <v>27.75</v>
      </c>
      <c r="Y883" s="199">
        <v>0</v>
      </c>
      <c r="Z883" s="199">
        <v>2.2200000000000002</v>
      </c>
      <c r="AA883" s="199">
        <v>61.58</v>
      </c>
      <c r="AB883" s="199">
        <v>-5.08</v>
      </c>
      <c r="AC883" s="199">
        <v>0</v>
      </c>
      <c r="AD883" s="199">
        <v>0</v>
      </c>
      <c r="AE883" s="199">
        <v>56.5</v>
      </c>
      <c r="AF883" s="199">
        <v>-6.66</v>
      </c>
      <c r="AG883" s="196" t="s">
        <v>279</v>
      </c>
      <c r="AH883" s="199">
        <v>0</v>
      </c>
      <c r="AI883" s="196" t="s">
        <v>279</v>
      </c>
      <c r="AJ883" s="199">
        <v>0</v>
      </c>
      <c r="AK883" s="196" t="s">
        <v>279</v>
      </c>
      <c r="AL883" s="199">
        <v>0</v>
      </c>
      <c r="AM883" s="196" t="s">
        <v>279</v>
      </c>
      <c r="AN883" s="199">
        <v>0</v>
      </c>
      <c r="AO883" s="196" t="s">
        <v>279</v>
      </c>
      <c r="AP883" s="199">
        <v>0</v>
      </c>
      <c r="AQ883" s="199">
        <v>61.58</v>
      </c>
      <c r="AR883" s="199">
        <v>0</v>
      </c>
      <c r="AS883" s="196" t="str">
        <f t="shared" si="28"/>
        <v>1.00000000</v>
      </c>
      <c r="AT883" s="196" t="str">
        <f>"13.2"</f>
        <v>13.2</v>
      </c>
      <c r="AU883" s="199">
        <v>0</v>
      </c>
    </row>
    <row r="884" spans="1:47" s="196" customFormat="1" x14ac:dyDescent="0.2">
      <c r="A884" s="196" t="str">
        <f t="shared" si="30"/>
        <v>0496002599173</v>
      </c>
      <c r="B884" s="196">
        <v>2</v>
      </c>
      <c r="C884" s="196" t="s">
        <v>585</v>
      </c>
      <c r="D884" s="196" t="s">
        <v>594</v>
      </c>
      <c r="E884" s="196" t="s">
        <v>594</v>
      </c>
      <c r="F884" s="196" t="s">
        <v>243</v>
      </c>
      <c r="G884" s="196">
        <v>5647</v>
      </c>
      <c r="H884" s="196" t="s">
        <v>270</v>
      </c>
      <c r="I884" s="196">
        <v>114369</v>
      </c>
      <c r="J884" s="197">
        <v>42741</v>
      </c>
      <c r="K884" s="198">
        <v>0.32083333333333336</v>
      </c>
      <c r="L884" s="197">
        <v>42745</v>
      </c>
      <c r="M884" s="196" t="s">
        <v>285</v>
      </c>
      <c r="N884" s="196" t="s">
        <v>399</v>
      </c>
      <c r="O884" s="196" t="s">
        <v>400</v>
      </c>
      <c r="P884" s="196" t="s">
        <v>274</v>
      </c>
      <c r="Q884" s="196" t="s">
        <v>275</v>
      </c>
      <c r="R884" s="196" t="s">
        <v>401</v>
      </c>
      <c r="S884" s="196" t="s">
        <v>436</v>
      </c>
      <c r="T884" s="196" t="s">
        <v>595</v>
      </c>
      <c r="U884" s="196">
        <v>5647</v>
      </c>
      <c r="V884" s="196" t="s">
        <v>585</v>
      </c>
      <c r="W884" s="196" t="s">
        <v>280</v>
      </c>
      <c r="X884" s="196">
        <v>21.196000000000002</v>
      </c>
      <c r="Y884" s="199">
        <v>0</v>
      </c>
      <c r="Z884" s="199">
        <v>2.36</v>
      </c>
      <c r="AA884" s="199">
        <v>50</v>
      </c>
      <c r="AB884" s="199">
        <v>-3.88</v>
      </c>
      <c r="AC884" s="199">
        <v>0</v>
      </c>
      <c r="AD884" s="199">
        <v>0</v>
      </c>
      <c r="AE884" s="199">
        <v>46.12</v>
      </c>
      <c r="AF884" s="199">
        <v>-5.09</v>
      </c>
      <c r="AG884" s="196" t="s">
        <v>279</v>
      </c>
      <c r="AH884" s="199">
        <v>0</v>
      </c>
      <c r="AI884" s="196" t="s">
        <v>279</v>
      </c>
      <c r="AJ884" s="199">
        <v>0</v>
      </c>
      <c r="AK884" s="196" t="s">
        <v>279</v>
      </c>
      <c r="AL884" s="199">
        <v>0</v>
      </c>
      <c r="AM884" s="196" t="s">
        <v>279</v>
      </c>
      <c r="AN884" s="199">
        <v>0</v>
      </c>
      <c r="AO884" s="196" t="s">
        <v>279</v>
      </c>
      <c r="AP884" s="199">
        <v>0</v>
      </c>
      <c r="AQ884" s="199">
        <v>50</v>
      </c>
      <c r="AR884" s="199">
        <v>0</v>
      </c>
      <c r="AS884" s="196" t="str">
        <f t="shared" si="28"/>
        <v>1.00000000</v>
      </c>
      <c r="AT884" s="196" t="str">
        <f>"15.2"</f>
        <v>15.2</v>
      </c>
      <c r="AU884" s="199">
        <v>0</v>
      </c>
    </row>
    <row r="885" spans="1:47" s="196" customFormat="1" x14ac:dyDescent="0.2">
      <c r="A885" s="196" t="str">
        <f t="shared" si="30"/>
        <v>0496002599173</v>
      </c>
      <c r="B885" s="196">
        <v>2</v>
      </c>
      <c r="C885" s="196" t="s">
        <v>585</v>
      </c>
      <c r="D885" s="196" t="s">
        <v>594</v>
      </c>
      <c r="E885" s="196" t="s">
        <v>594</v>
      </c>
      <c r="F885" s="196" t="s">
        <v>243</v>
      </c>
      <c r="G885" s="196">
        <v>5647</v>
      </c>
      <c r="H885" s="196" t="s">
        <v>270</v>
      </c>
      <c r="I885" s="196">
        <v>114580</v>
      </c>
      <c r="J885" s="197">
        <v>42748</v>
      </c>
      <c r="K885" s="198">
        <v>0.38750000000000001</v>
      </c>
      <c r="L885" s="197">
        <v>42752</v>
      </c>
      <c r="M885" s="196" t="s">
        <v>271</v>
      </c>
      <c r="N885" s="196" t="s">
        <v>588</v>
      </c>
      <c r="O885" s="196" t="s">
        <v>589</v>
      </c>
      <c r="P885" s="196" t="s">
        <v>590</v>
      </c>
      <c r="Q885" s="196" t="s">
        <v>275</v>
      </c>
      <c r="R885" s="196">
        <v>1075</v>
      </c>
      <c r="S885" s="196" t="s">
        <v>436</v>
      </c>
      <c r="T885" s="196" t="s">
        <v>595</v>
      </c>
      <c r="U885" s="196">
        <v>5647</v>
      </c>
      <c r="V885" s="196" t="s">
        <v>585</v>
      </c>
      <c r="W885" s="196" t="s">
        <v>280</v>
      </c>
      <c r="X885" s="196">
        <v>24.228999999999999</v>
      </c>
      <c r="Y885" s="199">
        <v>-0.48</v>
      </c>
      <c r="Z885" s="199">
        <v>2.2400000000000002</v>
      </c>
      <c r="AA885" s="199">
        <v>54.25</v>
      </c>
      <c r="AB885" s="199">
        <v>-4.43</v>
      </c>
      <c r="AC885" s="199">
        <v>0</v>
      </c>
      <c r="AD885" s="199">
        <v>0</v>
      </c>
      <c r="AE885" s="199">
        <v>49.34</v>
      </c>
      <c r="AF885" s="199">
        <v>-5.81</v>
      </c>
      <c r="AG885" s="196" t="s">
        <v>279</v>
      </c>
      <c r="AH885" s="199">
        <v>0</v>
      </c>
      <c r="AI885" s="196" t="s">
        <v>279</v>
      </c>
      <c r="AJ885" s="199">
        <v>0</v>
      </c>
      <c r="AK885" s="196" t="s">
        <v>279</v>
      </c>
      <c r="AL885" s="199">
        <v>0</v>
      </c>
      <c r="AM885" s="196" t="s">
        <v>279</v>
      </c>
      <c r="AN885" s="199">
        <v>0</v>
      </c>
      <c r="AO885" s="196" t="s">
        <v>279</v>
      </c>
      <c r="AP885" s="199">
        <v>0</v>
      </c>
      <c r="AQ885" s="199">
        <v>54.25</v>
      </c>
      <c r="AR885" s="199">
        <v>0</v>
      </c>
      <c r="AS885" s="196" t="str">
        <f t="shared" si="28"/>
        <v>1.00000000</v>
      </c>
      <c r="AT885" s="196" t="str">
        <f>"15.2"</f>
        <v>15.2</v>
      </c>
      <c r="AU885" s="199">
        <v>0</v>
      </c>
    </row>
    <row r="886" spans="1:47" s="196" customFormat="1" x14ac:dyDescent="0.2">
      <c r="A886" s="196" t="str">
        <f t="shared" si="30"/>
        <v>0496002599173</v>
      </c>
      <c r="B886" s="196">
        <v>2</v>
      </c>
      <c r="C886" s="196" t="s">
        <v>585</v>
      </c>
      <c r="D886" s="196" t="s">
        <v>594</v>
      </c>
      <c r="E886" s="196" t="s">
        <v>594</v>
      </c>
      <c r="F886" s="196" t="s">
        <v>243</v>
      </c>
      <c r="G886" s="196">
        <v>5647</v>
      </c>
      <c r="H886" s="196" t="s">
        <v>270</v>
      </c>
      <c r="I886" s="196">
        <v>114856</v>
      </c>
      <c r="J886" s="197">
        <v>42762</v>
      </c>
      <c r="K886" s="198">
        <v>0.29930555555555555</v>
      </c>
      <c r="L886" s="197">
        <v>42766</v>
      </c>
      <c r="M886" s="196" t="s">
        <v>271</v>
      </c>
      <c r="N886" s="196" t="s">
        <v>272</v>
      </c>
      <c r="O886" s="196" t="s">
        <v>273</v>
      </c>
      <c r="P886" s="196" t="s">
        <v>274</v>
      </c>
      <c r="Q886" s="196" t="s">
        <v>275</v>
      </c>
      <c r="R886" s="196" t="s">
        <v>276</v>
      </c>
      <c r="S886" s="196" t="s">
        <v>436</v>
      </c>
      <c r="T886" s="196" t="s">
        <v>595</v>
      </c>
      <c r="U886" s="196">
        <v>5647</v>
      </c>
      <c r="V886" s="196" t="s">
        <v>585</v>
      </c>
      <c r="W886" s="196" t="s">
        <v>280</v>
      </c>
      <c r="X886" s="196">
        <v>23.591999999999999</v>
      </c>
      <c r="Y886" s="199">
        <v>-0.47</v>
      </c>
      <c r="Z886" s="199">
        <v>2.15</v>
      </c>
      <c r="AA886" s="199">
        <v>50.7</v>
      </c>
      <c r="AB886" s="199">
        <v>-4.32</v>
      </c>
      <c r="AC886" s="199">
        <v>0</v>
      </c>
      <c r="AD886" s="199">
        <v>0</v>
      </c>
      <c r="AE886" s="199">
        <v>45.91</v>
      </c>
      <c r="AF886" s="199">
        <v>-5.66</v>
      </c>
      <c r="AG886" s="196" t="s">
        <v>279</v>
      </c>
      <c r="AH886" s="199">
        <v>0</v>
      </c>
      <c r="AI886" s="196" t="s">
        <v>279</v>
      </c>
      <c r="AJ886" s="199">
        <v>0</v>
      </c>
      <c r="AK886" s="196" t="s">
        <v>279</v>
      </c>
      <c r="AL886" s="199">
        <v>0</v>
      </c>
      <c r="AM886" s="196" t="s">
        <v>279</v>
      </c>
      <c r="AN886" s="199">
        <v>0</v>
      </c>
      <c r="AO886" s="196" t="s">
        <v>279</v>
      </c>
      <c r="AP886" s="199">
        <v>0</v>
      </c>
      <c r="AQ886" s="199">
        <v>50.7</v>
      </c>
      <c r="AR886" s="199">
        <v>0</v>
      </c>
      <c r="AS886" s="196" t="str">
        <f t="shared" si="28"/>
        <v>1.00000000</v>
      </c>
      <c r="AT886" s="196" t="str">
        <f>"15.2"</f>
        <v>15.2</v>
      </c>
      <c r="AU886" s="199">
        <v>0</v>
      </c>
    </row>
    <row r="887" spans="1:47" s="196" customFormat="1" x14ac:dyDescent="0.2">
      <c r="A887" s="196" t="str">
        <f t="shared" si="30"/>
        <v>0496002599173</v>
      </c>
      <c r="B887" s="196">
        <v>2</v>
      </c>
      <c r="C887" s="196" t="s">
        <v>585</v>
      </c>
      <c r="D887" s="196" t="s">
        <v>594</v>
      </c>
      <c r="E887" s="196" t="s">
        <v>594</v>
      </c>
      <c r="F887" s="196" t="s">
        <v>243</v>
      </c>
      <c r="G887" s="196">
        <v>5647</v>
      </c>
      <c r="H887" s="196" t="s">
        <v>270</v>
      </c>
      <c r="I887" s="196">
        <v>115155</v>
      </c>
      <c r="J887" s="197">
        <v>42767</v>
      </c>
      <c r="K887" s="198">
        <v>0.63402777777777775</v>
      </c>
      <c r="L887" s="197">
        <v>42769</v>
      </c>
      <c r="M887" s="196" t="s">
        <v>271</v>
      </c>
      <c r="N887" s="196" t="s">
        <v>454</v>
      </c>
      <c r="O887" s="196" t="s">
        <v>455</v>
      </c>
      <c r="P887" s="196" t="s">
        <v>456</v>
      </c>
      <c r="Q887" s="196" t="s">
        <v>275</v>
      </c>
      <c r="R887" s="196">
        <v>1060</v>
      </c>
      <c r="S887" s="196" t="s">
        <v>436</v>
      </c>
      <c r="T887" s="196" t="s">
        <v>595</v>
      </c>
      <c r="U887" s="196">
        <v>5647</v>
      </c>
      <c r="V887" s="196" t="s">
        <v>585</v>
      </c>
      <c r="W887" s="196" t="s">
        <v>280</v>
      </c>
      <c r="X887" s="196">
        <v>22.792999999999999</v>
      </c>
      <c r="Y887" s="199">
        <v>-0.46</v>
      </c>
      <c r="Z887" s="199">
        <v>2.12</v>
      </c>
      <c r="AA887" s="199">
        <v>48.3</v>
      </c>
      <c r="AB887" s="199">
        <v>-4.17</v>
      </c>
      <c r="AC887" s="199">
        <v>0</v>
      </c>
      <c r="AD887" s="199">
        <v>0</v>
      </c>
      <c r="AE887" s="199">
        <v>43.67</v>
      </c>
      <c r="AF887" s="199">
        <v>-5.47</v>
      </c>
      <c r="AG887" s="196" t="s">
        <v>279</v>
      </c>
      <c r="AH887" s="199">
        <v>0</v>
      </c>
      <c r="AI887" s="196" t="s">
        <v>279</v>
      </c>
      <c r="AJ887" s="199">
        <v>0</v>
      </c>
      <c r="AK887" s="196" t="s">
        <v>279</v>
      </c>
      <c r="AL887" s="199">
        <v>0</v>
      </c>
      <c r="AM887" s="196" t="s">
        <v>279</v>
      </c>
      <c r="AN887" s="199">
        <v>0</v>
      </c>
      <c r="AO887" s="196" t="s">
        <v>279</v>
      </c>
      <c r="AP887" s="199">
        <v>0</v>
      </c>
      <c r="AQ887" s="199">
        <v>48.3</v>
      </c>
      <c r="AR887" s="199">
        <v>0</v>
      </c>
      <c r="AS887" s="196" t="str">
        <f t="shared" si="28"/>
        <v>1.00000000</v>
      </c>
      <c r="AT887" s="196" t="str">
        <f>"13.1"</f>
        <v>13.1</v>
      </c>
      <c r="AU887" s="199">
        <v>0</v>
      </c>
    </row>
    <row r="888" spans="1:47" s="196" customFormat="1" x14ac:dyDescent="0.2">
      <c r="A888" s="196" t="str">
        <f t="shared" si="30"/>
        <v>0496002599173</v>
      </c>
      <c r="B888" s="196">
        <v>2</v>
      </c>
      <c r="C888" s="196" t="s">
        <v>585</v>
      </c>
      <c r="D888" s="196" t="s">
        <v>594</v>
      </c>
      <c r="E888" s="196" t="s">
        <v>594</v>
      </c>
      <c r="F888" s="196" t="s">
        <v>243</v>
      </c>
      <c r="G888" s="196">
        <v>5647</v>
      </c>
      <c r="H888" s="196" t="s">
        <v>270</v>
      </c>
      <c r="I888" s="196">
        <v>115420</v>
      </c>
      <c r="J888" s="197">
        <v>42779</v>
      </c>
      <c r="K888" s="198">
        <v>0.34375</v>
      </c>
      <c r="L888" s="197">
        <v>42781</v>
      </c>
      <c r="M888" s="196" t="s">
        <v>285</v>
      </c>
      <c r="N888" s="196" t="s">
        <v>399</v>
      </c>
      <c r="O888" s="196" t="s">
        <v>400</v>
      </c>
      <c r="P888" s="196" t="s">
        <v>274</v>
      </c>
      <c r="Q888" s="196" t="s">
        <v>275</v>
      </c>
      <c r="R888" s="196" t="s">
        <v>401</v>
      </c>
      <c r="S888" s="196" t="s">
        <v>436</v>
      </c>
      <c r="T888" s="196" t="s">
        <v>595</v>
      </c>
      <c r="U888" s="196">
        <v>5647</v>
      </c>
      <c r="V888" s="196" t="s">
        <v>585</v>
      </c>
      <c r="W888" s="196" t="s">
        <v>280</v>
      </c>
      <c r="X888" s="196">
        <v>23.472000000000001</v>
      </c>
      <c r="Y888" s="199">
        <v>0</v>
      </c>
      <c r="Z888" s="199">
        <v>2.2400000000000002</v>
      </c>
      <c r="AA888" s="199">
        <v>52.55</v>
      </c>
      <c r="AB888" s="199">
        <v>-4.3</v>
      </c>
      <c r="AC888" s="199">
        <v>0</v>
      </c>
      <c r="AD888" s="199">
        <v>0</v>
      </c>
      <c r="AE888" s="199">
        <v>48.25</v>
      </c>
      <c r="AF888" s="199">
        <v>-5.63</v>
      </c>
      <c r="AG888" s="196" t="s">
        <v>279</v>
      </c>
      <c r="AH888" s="199">
        <v>0</v>
      </c>
      <c r="AI888" s="196" t="s">
        <v>279</v>
      </c>
      <c r="AJ888" s="199">
        <v>0</v>
      </c>
      <c r="AK888" s="196" t="s">
        <v>279</v>
      </c>
      <c r="AL888" s="199">
        <v>0</v>
      </c>
      <c r="AM888" s="196" t="s">
        <v>279</v>
      </c>
      <c r="AN888" s="199">
        <v>0</v>
      </c>
      <c r="AO888" s="196" t="s">
        <v>279</v>
      </c>
      <c r="AP888" s="199">
        <v>0</v>
      </c>
      <c r="AQ888" s="199">
        <v>52.55</v>
      </c>
      <c r="AR888" s="199">
        <v>0</v>
      </c>
      <c r="AS888" s="196" t="str">
        <f t="shared" si="28"/>
        <v>1.00000000</v>
      </c>
      <c r="AT888" s="196" t="str">
        <f>"11.3"</f>
        <v>11.3</v>
      </c>
      <c r="AU888" s="199">
        <v>0</v>
      </c>
    </row>
    <row r="889" spans="1:47" s="196" customFormat="1" x14ac:dyDescent="0.2">
      <c r="A889" s="196" t="str">
        <f t="shared" si="30"/>
        <v>0496002599173</v>
      </c>
      <c r="B889" s="196">
        <v>2</v>
      </c>
      <c r="C889" s="196" t="s">
        <v>585</v>
      </c>
      <c r="D889" s="196" t="s">
        <v>594</v>
      </c>
      <c r="E889" s="196" t="s">
        <v>594</v>
      </c>
      <c r="F889" s="196" t="s">
        <v>243</v>
      </c>
      <c r="G889" s="196">
        <v>5647</v>
      </c>
      <c r="H889" s="196" t="s">
        <v>270</v>
      </c>
      <c r="I889" s="196">
        <v>115567</v>
      </c>
      <c r="J889" s="197">
        <v>42787</v>
      </c>
      <c r="K889" s="198">
        <v>0.62638888888888888</v>
      </c>
      <c r="L889" s="197">
        <v>42789</v>
      </c>
      <c r="M889" s="196" t="s">
        <v>271</v>
      </c>
      <c r="N889" s="196" t="s">
        <v>454</v>
      </c>
      <c r="O889" s="196" t="s">
        <v>455</v>
      </c>
      <c r="P889" s="196" t="s">
        <v>456</v>
      </c>
      <c r="Q889" s="196" t="s">
        <v>275</v>
      </c>
      <c r="R889" s="196">
        <v>1060</v>
      </c>
      <c r="S889" s="196" t="s">
        <v>436</v>
      </c>
      <c r="T889" s="196" t="s">
        <v>595</v>
      </c>
      <c r="U889" s="196">
        <v>5647</v>
      </c>
      <c r="V889" s="196" t="s">
        <v>585</v>
      </c>
      <c r="W889" s="196" t="s">
        <v>280</v>
      </c>
      <c r="X889" s="196">
        <v>23.206</v>
      </c>
      <c r="Y889" s="199">
        <v>-0.46</v>
      </c>
      <c r="Z889" s="199">
        <v>2.19</v>
      </c>
      <c r="AA889" s="199">
        <v>50.8</v>
      </c>
      <c r="AB889" s="199">
        <v>-4.25</v>
      </c>
      <c r="AC889" s="199">
        <v>0</v>
      </c>
      <c r="AD889" s="199">
        <v>0</v>
      </c>
      <c r="AE889" s="199">
        <v>46.09</v>
      </c>
      <c r="AF889" s="199">
        <v>-5.57</v>
      </c>
      <c r="AG889" s="196" t="s">
        <v>279</v>
      </c>
      <c r="AH889" s="199">
        <v>0</v>
      </c>
      <c r="AI889" s="196" t="s">
        <v>279</v>
      </c>
      <c r="AJ889" s="199">
        <v>0</v>
      </c>
      <c r="AK889" s="196" t="s">
        <v>279</v>
      </c>
      <c r="AL889" s="199">
        <v>0</v>
      </c>
      <c r="AM889" s="196" t="s">
        <v>279</v>
      </c>
      <c r="AN889" s="199">
        <v>0</v>
      </c>
      <c r="AO889" s="196" t="s">
        <v>279</v>
      </c>
      <c r="AP889" s="199">
        <v>0</v>
      </c>
      <c r="AQ889" s="199">
        <v>50.8</v>
      </c>
      <c r="AR889" s="199">
        <v>0</v>
      </c>
      <c r="AS889" s="196" t="str">
        <f t="shared" si="28"/>
        <v>1.00000000</v>
      </c>
      <c r="AT889" s="196" t="str">
        <f>"11.7"</f>
        <v>11.7</v>
      </c>
      <c r="AU889" s="199">
        <v>0</v>
      </c>
    </row>
    <row r="890" spans="1:47" s="196" customFormat="1" x14ac:dyDescent="0.2">
      <c r="A890" s="196" t="str">
        <f t="shared" si="30"/>
        <v>0496002599173</v>
      </c>
      <c r="B890" s="196">
        <v>2</v>
      </c>
      <c r="C890" s="196" t="s">
        <v>585</v>
      </c>
      <c r="D890" s="196" t="s">
        <v>594</v>
      </c>
      <c r="E890" s="196" t="s">
        <v>594</v>
      </c>
      <c r="F890" s="196" t="s">
        <v>243</v>
      </c>
      <c r="G890" s="196">
        <v>5647</v>
      </c>
      <c r="H890" s="196" t="s">
        <v>270</v>
      </c>
      <c r="I890" s="196">
        <v>116009</v>
      </c>
      <c r="J890" s="197">
        <v>42794</v>
      </c>
      <c r="K890" s="198">
        <v>0.47638888888888892</v>
      </c>
      <c r="L890" s="197">
        <v>42796</v>
      </c>
      <c r="M890" s="196" t="s">
        <v>271</v>
      </c>
      <c r="N890" s="196" t="s">
        <v>454</v>
      </c>
      <c r="O890" s="196" t="s">
        <v>455</v>
      </c>
      <c r="P890" s="196" t="s">
        <v>456</v>
      </c>
      <c r="Q890" s="196" t="s">
        <v>275</v>
      </c>
      <c r="R890" s="196">
        <v>1060</v>
      </c>
      <c r="S890" s="196" t="s">
        <v>436</v>
      </c>
      <c r="T890" s="196" t="s">
        <v>595</v>
      </c>
      <c r="U890" s="196">
        <v>5647</v>
      </c>
      <c r="V890" s="196" t="s">
        <v>585</v>
      </c>
      <c r="W890" s="196" t="s">
        <v>280</v>
      </c>
      <c r="X890" s="196">
        <v>24.074000000000002</v>
      </c>
      <c r="Y890" s="199">
        <v>-0.48</v>
      </c>
      <c r="Z890" s="199">
        <v>2.19</v>
      </c>
      <c r="AA890" s="199">
        <v>52.7</v>
      </c>
      <c r="AB890" s="199">
        <v>-4.41</v>
      </c>
      <c r="AC890" s="199">
        <v>0</v>
      </c>
      <c r="AD890" s="199">
        <v>0</v>
      </c>
      <c r="AE890" s="199">
        <v>47.81</v>
      </c>
      <c r="AF890" s="199">
        <v>-5.78</v>
      </c>
      <c r="AG890" s="196" t="s">
        <v>279</v>
      </c>
      <c r="AH890" s="199">
        <v>0</v>
      </c>
      <c r="AI890" s="196" t="s">
        <v>279</v>
      </c>
      <c r="AJ890" s="199">
        <v>0</v>
      </c>
      <c r="AK890" s="196" t="s">
        <v>279</v>
      </c>
      <c r="AL890" s="199">
        <v>0</v>
      </c>
      <c r="AM890" s="196" t="s">
        <v>279</v>
      </c>
      <c r="AN890" s="199">
        <v>0</v>
      </c>
      <c r="AO890" s="196" t="s">
        <v>279</v>
      </c>
      <c r="AP890" s="199">
        <v>0</v>
      </c>
      <c r="AQ890" s="199">
        <v>52.7</v>
      </c>
      <c r="AR890" s="199">
        <v>0</v>
      </c>
      <c r="AS890" s="196" t="str">
        <f t="shared" si="28"/>
        <v>1.00000000</v>
      </c>
      <c r="AT890" s="196" t="str">
        <f>"13.2"</f>
        <v>13.2</v>
      </c>
      <c r="AU890" s="199">
        <v>0</v>
      </c>
    </row>
    <row r="891" spans="1:47" s="196" customFormat="1" x14ac:dyDescent="0.2">
      <c r="A891" s="196" t="str">
        <f t="shared" si="30"/>
        <v>0496002599173</v>
      </c>
      <c r="B891" s="196">
        <v>2</v>
      </c>
      <c r="C891" s="196" t="s">
        <v>585</v>
      </c>
      <c r="D891" s="196" t="s">
        <v>594</v>
      </c>
      <c r="E891" s="196" t="s">
        <v>594</v>
      </c>
      <c r="F891" s="196" t="s">
        <v>243</v>
      </c>
      <c r="G891" s="196">
        <v>5647</v>
      </c>
      <c r="H891" s="196" t="s">
        <v>270</v>
      </c>
      <c r="I891" s="196">
        <v>116271</v>
      </c>
      <c r="J891" s="197">
        <v>42801</v>
      </c>
      <c r="K891" s="198">
        <v>0.64861111111111114</v>
      </c>
      <c r="L891" s="197">
        <v>42803</v>
      </c>
      <c r="M891" s="196" t="s">
        <v>271</v>
      </c>
      <c r="N891" s="196" t="s">
        <v>352</v>
      </c>
      <c r="O891" s="196" t="s">
        <v>353</v>
      </c>
      <c r="P891" s="196" t="s">
        <v>343</v>
      </c>
      <c r="Q891" s="196" t="s">
        <v>275</v>
      </c>
      <c r="R891" s="196">
        <v>1035</v>
      </c>
      <c r="S891" s="196" t="s">
        <v>436</v>
      </c>
      <c r="T891" s="196" t="s">
        <v>595</v>
      </c>
      <c r="U891" s="196">
        <v>5647</v>
      </c>
      <c r="V891" s="196" t="s">
        <v>585</v>
      </c>
      <c r="W891" s="196" t="s">
        <v>280</v>
      </c>
      <c r="X891" s="196">
        <v>21.675999999999998</v>
      </c>
      <c r="Y891" s="199">
        <v>-0.43</v>
      </c>
      <c r="Z891" s="199">
        <v>2.16</v>
      </c>
      <c r="AA891" s="199">
        <v>46.8</v>
      </c>
      <c r="AB891" s="199">
        <v>-3.97</v>
      </c>
      <c r="AC891" s="199">
        <v>0</v>
      </c>
      <c r="AD891" s="199">
        <v>0</v>
      </c>
      <c r="AE891" s="199">
        <v>42.4</v>
      </c>
      <c r="AF891" s="199">
        <v>-5.2</v>
      </c>
      <c r="AG891" s="196" t="s">
        <v>279</v>
      </c>
      <c r="AH891" s="199">
        <v>0</v>
      </c>
      <c r="AI891" s="196" t="s">
        <v>279</v>
      </c>
      <c r="AJ891" s="199">
        <v>0</v>
      </c>
      <c r="AK891" s="196" t="s">
        <v>279</v>
      </c>
      <c r="AL891" s="199">
        <v>0</v>
      </c>
      <c r="AM891" s="196" t="s">
        <v>279</v>
      </c>
      <c r="AN891" s="199">
        <v>0</v>
      </c>
      <c r="AO891" s="196" t="s">
        <v>279</v>
      </c>
      <c r="AP891" s="199">
        <v>0</v>
      </c>
      <c r="AQ891" s="199">
        <v>46.8</v>
      </c>
      <c r="AR891" s="199">
        <v>0</v>
      </c>
      <c r="AS891" s="196" t="str">
        <f t="shared" si="28"/>
        <v>1.00000000</v>
      </c>
      <c r="AT891" s="196" t="str">
        <f>"18.4"</f>
        <v>18.4</v>
      </c>
      <c r="AU891" s="199">
        <v>0</v>
      </c>
    </row>
    <row r="892" spans="1:47" s="196" customFormat="1" x14ac:dyDescent="0.2">
      <c r="A892" s="196" t="str">
        <f t="shared" si="30"/>
        <v>0496002599173</v>
      </c>
      <c r="B892" s="196">
        <v>2</v>
      </c>
      <c r="C892" s="196" t="s">
        <v>585</v>
      </c>
      <c r="D892" s="196" t="s">
        <v>594</v>
      </c>
      <c r="E892" s="196" t="s">
        <v>594</v>
      </c>
      <c r="F892" s="196" t="s">
        <v>243</v>
      </c>
      <c r="G892" s="196">
        <v>5647</v>
      </c>
      <c r="H892" s="196" t="s">
        <v>270</v>
      </c>
      <c r="I892" s="196">
        <v>116560</v>
      </c>
      <c r="J892" s="197">
        <v>42807</v>
      </c>
      <c r="K892" s="198">
        <v>0.40486111111111112</v>
      </c>
      <c r="L892" s="197">
        <v>42809</v>
      </c>
      <c r="M892" s="196" t="s">
        <v>271</v>
      </c>
      <c r="N892" s="196" t="s">
        <v>454</v>
      </c>
      <c r="O892" s="196" t="s">
        <v>455</v>
      </c>
      <c r="P892" s="196" t="s">
        <v>456</v>
      </c>
      <c r="Q892" s="196" t="s">
        <v>275</v>
      </c>
      <c r="R892" s="196">
        <v>1060</v>
      </c>
      <c r="S892" s="196" t="s">
        <v>436</v>
      </c>
      <c r="T892" s="196" t="s">
        <v>595</v>
      </c>
      <c r="U892" s="196">
        <v>5647</v>
      </c>
      <c r="V892" s="196" t="s">
        <v>585</v>
      </c>
      <c r="W892" s="196" t="s">
        <v>280</v>
      </c>
      <c r="X892" s="196">
        <v>21.919</v>
      </c>
      <c r="Y892" s="199">
        <v>-0.44</v>
      </c>
      <c r="Z892" s="199">
        <v>2.2000000000000002</v>
      </c>
      <c r="AA892" s="199">
        <v>48.2</v>
      </c>
      <c r="AB892" s="199">
        <v>-4.01</v>
      </c>
      <c r="AC892" s="199">
        <v>0</v>
      </c>
      <c r="AD892" s="199">
        <v>0</v>
      </c>
      <c r="AE892" s="199">
        <v>43.75</v>
      </c>
      <c r="AF892" s="199">
        <v>-5.26</v>
      </c>
      <c r="AG892" s="196" t="s">
        <v>279</v>
      </c>
      <c r="AH892" s="199">
        <v>0</v>
      </c>
      <c r="AI892" s="196" t="s">
        <v>279</v>
      </c>
      <c r="AJ892" s="199">
        <v>0</v>
      </c>
      <c r="AK892" s="196" t="s">
        <v>279</v>
      </c>
      <c r="AL892" s="199">
        <v>0</v>
      </c>
      <c r="AM892" s="196" t="s">
        <v>279</v>
      </c>
      <c r="AN892" s="199">
        <v>0</v>
      </c>
      <c r="AO892" s="196" t="s">
        <v>279</v>
      </c>
      <c r="AP892" s="199">
        <v>0</v>
      </c>
      <c r="AQ892" s="199">
        <v>48.2</v>
      </c>
      <c r="AR892" s="199">
        <v>0</v>
      </c>
      <c r="AS892" s="196" t="str">
        <f t="shared" si="28"/>
        <v>1.00000000</v>
      </c>
      <c r="AT892" s="196" t="str">
        <f>"13.2"</f>
        <v>13.2</v>
      </c>
      <c r="AU892" s="199">
        <v>0</v>
      </c>
    </row>
    <row r="893" spans="1:47" s="196" customFormat="1" x14ac:dyDescent="0.2">
      <c r="A893" s="196" t="str">
        <f t="shared" si="30"/>
        <v>0496002599173</v>
      </c>
      <c r="B893" s="196">
        <v>2</v>
      </c>
      <c r="C893" s="196" t="s">
        <v>585</v>
      </c>
      <c r="D893" s="196" t="s">
        <v>594</v>
      </c>
      <c r="E893" s="196" t="s">
        <v>594</v>
      </c>
      <c r="F893" s="196" t="s">
        <v>243</v>
      </c>
      <c r="G893" s="196">
        <v>5647</v>
      </c>
      <c r="H893" s="196" t="s">
        <v>270</v>
      </c>
      <c r="I893" s="196">
        <v>116589</v>
      </c>
      <c r="J893" s="197">
        <v>42809</v>
      </c>
      <c r="K893" s="198">
        <v>0.4201388888888889</v>
      </c>
      <c r="L893" s="197">
        <v>42811</v>
      </c>
      <c r="M893" s="196" t="s">
        <v>285</v>
      </c>
      <c r="N893" s="196" t="s">
        <v>399</v>
      </c>
      <c r="O893" s="196" t="s">
        <v>400</v>
      </c>
      <c r="P893" s="196" t="s">
        <v>274</v>
      </c>
      <c r="Q893" s="196" t="s">
        <v>275</v>
      </c>
      <c r="R893" s="196" t="s">
        <v>401</v>
      </c>
      <c r="S893" s="196" t="s">
        <v>436</v>
      </c>
      <c r="T893" s="196" t="s">
        <v>595</v>
      </c>
      <c r="U893" s="196">
        <v>5647</v>
      </c>
      <c r="V893" s="196" t="s">
        <v>585</v>
      </c>
      <c r="W893" s="196" t="s">
        <v>280</v>
      </c>
      <c r="X893" s="196">
        <v>1.6220000000000001</v>
      </c>
      <c r="Y893" s="199">
        <v>0</v>
      </c>
      <c r="Z893" s="199">
        <v>2.2400000000000002</v>
      </c>
      <c r="AA893" s="199">
        <v>3.63</v>
      </c>
      <c r="AB893" s="199">
        <v>-0.3</v>
      </c>
      <c r="AC893" s="199">
        <v>0</v>
      </c>
      <c r="AD893" s="199">
        <v>0</v>
      </c>
      <c r="AE893" s="199">
        <v>3.33</v>
      </c>
      <c r="AF893" s="199">
        <v>-0.39</v>
      </c>
      <c r="AG893" s="196" t="s">
        <v>279</v>
      </c>
      <c r="AH893" s="199">
        <v>0</v>
      </c>
      <c r="AI893" s="196" t="s">
        <v>279</v>
      </c>
      <c r="AJ893" s="199">
        <v>0</v>
      </c>
      <c r="AK893" s="196" t="s">
        <v>279</v>
      </c>
      <c r="AL893" s="199">
        <v>0</v>
      </c>
      <c r="AM893" s="196" t="s">
        <v>279</v>
      </c>
      <c r="AN893" s="199">
        <v>0</v>
      </c>
      <c r="AO893" s="196" t="s">
        <v>279</v>
      </c>
      <c r="AP893" s="199">
        <v>0</v>
      </c>
      <c r="AQ893" s="199">
        <v>3.63</v>
      </c>
      <c r="AR893" s="199">
        <v>0</v>
      </c>
      <c r="AS893" s="196" t="str">
        <f t="shared" si="28"/>
        <v>1.00000000</v>
      </c>
      <c r="AT893" s="196" t="str">
        <f>"12.3"</f>
        <v>12.3</v>
      </c>
      <c r="AU893" s="199">
        <v>0</v>
      </c>
    </row>
    <row r="894" spans="1:47" s="196" customFormat="1" x14ac:dyDescent="0.2">
      <c r="A894" s="196" t="str">
        <f t="shared" si="30"/>
        <v>0496002599173</v>
      </c>
      <c r="B894" s="196">
        <v>2</v>
      </c>
      <c r="C894" s="196" t="s">
        <v>585</v>
      </c>
      <c r="D894" s="196" t="s">
        <v>594</v>
      </c>
      <c r="E894" s="196" t="s">
        <v>594</v>
      </c>
      <c r="F894" s="196" t="s">
        <v>243</v>
      </c>
      <c r="G894" s="196">
        <v>5647</v>
      </c>
      <c r="H894" s="196" t="s">
        <v>270</v>
      </c>
      <c r="I894" s="196">
        <v>116855</v>
      </c>
      <c r="J894" s="197">
        <v>42816</v>
      </c>
      <c r="K894" s="198">
        <v>0.3743055555555555</v>
      </c>
      <c r="L894" s="197">
        <v>42818</v>
      </c>
      <c r="M894" s="196" t="s">
        <v>271</v>
      </c>
      <c r="N894" s="196" t="s">
        <v>272</v>
      </c>
      <c r="O894" s="196" t="s">
        <v>273</v>
      </c>
      <c r="P894" s="196" t="s">
        <v>274</v>
      </c>
      <c r="Q894" s="196" t="s">
        <v>275</v>
      </c>
      <c r="R894" s="196" t="s">
        <v>276</v>
      </c>
      <c r="S894" s="196" t="s">
        <v>436</v>
      </c>
      <c r="T894" s="196" t="s">
        <v>595</v>
      </c>
      <c r="U894" s="196">
        <v>5647</v>
      </c>
      <c r="V894" s="196" t="s">
        <v>585</v>
      </c>
      <c r="W894" s="196" t="s">
        <v>280</v>
      </c>
      <c r="X894" s="196">
        <v>23.806000000000001</v>
      </c>
      <c r="Y894" s="199">
        <v>-0.48</v>
      </c>
      <c r="Z894" s="199">
        <v>2.2000000000000002</v>
      </c>
      <c r="AA894" s="199">
        <v>52.35</v>
      </c>
      <c r="AB894" s="199">
        <v>-4.3600000000000003</v>
      </c>
      <c r="AC894" s="199">
        <v>0</v>
      </c>
      <c r="AD894" s="199">
        <v>0</v>
      </c>
      <c r="AE894" s="199">
        <v>47.51</v>
      </c>
      <c r="AF894" s="199">
        <v>-5.71</v>
      </c>
      <c r="AG894" s="196" t="s">
        <v>279</v>
      </c>
      <c r="AH894" s="199">
        <v>0</v>
      </c>
      <c r="AI894" s="196" t="s">
        <v>279</v>
      </c>
      <c r="AJ894" s="199">
        <v>0</v>
      </c>
      <c r="AK894" s="196" t="s">
        <v>279</v>
      </c>
      <c r="AL894" s="199">
        <v>0</v>
      </c>
      <c r="AM894" s="196" t="s">
        <v>279</v>
      </c>
      <c r="AN894" s="199">
        <v>0</v>
      </c>
      <c r="AO894" s="196" t="s">
        <v>279</v>
      </c>
      <c r="AP894" s="199">
        <v>0</v>
      </c>
      <c r="AQ894" s="199">
        <v>52.35</v>
      </c>
      <c r="AR894" s="199">
        <v>0</v>
      </c>
      <c r="AS894" s="196" t="str">
        <f t="shared" si="28"/>
        <v>1.00000000</v>
      </c>
      <c r="AT894" s="196" t="str">
        <f>"17.9"</f>
        <v>17.9</v>
      </c>
      <c r="AU894" s="199">
        <v>0</v>
      </c>
    </row>
    <row r="895" spans="1:47" s="196" customFormat="1" x14ac:dyDescent="0.2">
      <c r="A895" s="196" t="str">
        <f t="shared" si="30"/>
        <v>0496002599173</v>
      </c>
      <c r="B895" s="196">
        <v>2</v>
      </c>
      <c r="C895" s="196" t="s">
        <v>585</v>
      </c>
      <c r="D895" s="196" t="s">
        <v>594</v>
      </c>
      <c r="E895" s="196" t="s">
        <v>594</v>
      </c>
      <c r="F895" s="196" t="s">
        <v>243</v>
      </c>
      <c r="G895" s="196">
        <v>5647</v>
      </c>
      <c r="H895" s="196" t="s">
        <v>270</v>
      </c>
      <c r="I895" s="196">
        <v>117146</v>
      </c>
      <c r="J895" s="197">
        <v>42829</v>
      </c>
      <c r="K895" s="198">
        <v>0.56527777777777777</v>
      </c>
      <c r="L895" s="197">
        <v>42831</v>
      </c>
      <c r="M895" s="196" t="s">
        <v>271</v>
      </c>
      <c r="N895" s="196" t="s">
        <v>588</v>
      </c>
      <c r="O895" s="196" t="s">
        <v>589</v>
      </c>
      <c r="P895" s="196" t="s">
        <v>590</v>
      </c>
      <c r="Q895" s="196" t="s">
        <v>275</v>
      </c>
      <c r="R895" s="196">
        <v>1075</v>
      </c>
      <c r="S895" s="196" t="s">
        <v>436</v>
      </c>
      <c r="T895" s="196" t="s">
        <v>595</v>
      </c>
      <c r="U895" s="196">
        <v>5647</v>
      </c>
      <c r="V895" s="196" t="s">
        <v>585</v>
      </c>
      <c r="W895" s="196" t="s">
        <v>280</v>
      </c>
      <c r="X895" s="196">
        <v>23.274000000000001</v>
      </c>
      <c r="Y895" s="199">
        <v>-0.47</v>
      </c>
      <c r="Z895" s="199">
        <v>2.16</v>
      </c>
      <c r="AA895" s="199">
        <v>50.25</v>
      </c>
      <c r="AB895" s="199">
        <v>-4.26</v>
      </c>
      <c r="AC895" s="199">
        <v>0</v>
      </c>
      <c r="AD895" s="199">
        <v>0</v>
      </c>
      <c r="AE895" s="199">
        <v>45.52</v>
      </c>
      <c r="AF895" s="199">
        <v>-5.59</v>
      </c>
      <c r="AG895" s="196" t="s">
        <v>279</v>
      </c>
      <c r="AH895" s="199">
        <v>0</v>
      </c>
      <c r="AI895" s="196" t="s">
        <v>279</v>
      </c>
      <c r="AJ895" s="199">
        <v>0</v>
      </c>
      <c r="AK895" s="196" t="s">
        <v>279</v>
      </c>
      <c r="AL895" s="199">
        <v>0</v>
      </c>
      <c r="AM895" s="196" t="s">
        <v>279</v>
      </c>
      <c r="AN895" s="199">
        <v>0</v>
      </c>
      <c r="AO895" s="196" t="s">
        <v>279</v>
      </c>
      <c r="AP895" s="199">
        <v>0</v>
      </c>
      <c r="AQ895" s="199">
        <v>50.25</v>
      </c>
      <c r="AR895" s="199">
        <v>0</v>
      </c>
      <c r="AS895" s="196" t="str">
        <f t="shared" si="28"/>
        <v>1.00000000</v>
      </c>
      <c r="AT895" s="196" t="str">
        <f>"12.5"</f>
        <v>12.5</v>
      </c>
      <c r="AU895" s="199">
        <v>0</v>
      </c>
    </row>
    <row r="896" spans="1:47" s="196" customFormat="1" x14ac:dyDescent="0.2">
      <c r="A896" s="196" t="str">
        <f t="shared" si="30"/>
        <v>0496002599173</v>
      </c>
      <c r="B896" s="196">
        <v>2</v>
      </c>
      <c r="C896" s="196" t="s">
        <v>585</v>
      </c>
      <c r="D896" s="196" t="s">
        <v>594</v>
      </c>
      <c r="E896" s="196" t="s">
        <v>594</v>
      </c>
      <c r="F896" s="196" t="s">
        <v>243</v>
      </c>
      <c r="G896" s="196">
        <v>5647</v>
      </c>
      <c r="H896" s="196" t="s">
        <v>270</v>
      </c>
      <c r="I896" s="196">
        <v>117537</v>
      </c>
      <c r="J896" s="197">
        <v>42835</v>
      </c>
      <c r="K896" s="198">
        <v>0.58750000000000002</v>
      </c>
      <c r="L896" s="197">
        <v>42837</v>
      </c>
      <c r="M896" s="196" t="s">
        <v>271</v>
      </c>
      <c r="N896" s="196" t="s">
        <v>272</v>
      </c>
      <c r="O896" s="196" t="s">
        <v>273</v>
      </c>
      <c r="P896" s="196" t="s">
        <v>274</v>
      </c>
      <c r="Q896" s="196" t="s">
        <v>275</v>
      </c>
      <c r="R896" s="196" t="s">
        <v>276</v>
      </c>
      <c r="S896" s="196" t="s">
        <v>436</v>
      </c>
      <c r="T896" s="196" t="s">
        <v>595</v>
      </c>
      <c r="U896" s="196">
        <v>5647</v>
      </c>
      <c r="V896" s="196" t="s">
        <v>585</v>
      </c>
      <c r="W896" s="196" t="s">
        <v>280</v>
      </c>
      <c r="X896" s="196">
        <v>26.843</v>
      </c>
      <c r="Y896" s="199">
        <v>-0.54</v>
      </c>
      <c r="Z896" s="199">
        <v>2.3199999999999998</v>
      </c>
      <c r="AA896" s="199">
        <v>62.25</v>
      </c>
      <c r="AB896" s="199">
        <v>-4.91</v>
      </c>
      <c r="AC896" s="199">
        <v>0</v>
      </c>
      <c r="AD896" s="199">
        <v>0</v>
      </c>
      <c r="AE896" s="199">
        <v>56.8</v>
      </c>
      <c r="AF896" s="199">
        <v>-6.44</v>
      </c>
      <c r="AG896" s="196" t="s">
        <v>279</v>
      </c>
      <c r="AH896" s="199">
        <v>0</v>
      </c>
      <c r="AI896" s="196" t="s">
        <v>279</v>
      </c>
      <c r="AJ896" s="199">
        <v>0</v>
      </c>
      <c r="AK896" s="196" t="s">
        <v>279</v>
      </c>
      <c r="AL896" s="199">
        <v>0</v>
      </c>
      <c r="AM896" s="196" t="s">
        <v>279</v>
      </c>
      <c r="AN896" s="199">
        <v>0</v>
      </c>
      <c r="AO896" s="196" t="s">
        <v>279</v>
      </c>
      <c r="AP896" s="199">
        <v>0</v>
      </c>
      <c r="AQ896" s="199">
        <v>62.25</v>
      </c>
      <c r="AR896" s="199">
        <v>0</v>
      </c>
      <c r="AS896" s="196" t="str">
        <f t="shared" si="28"/>
        <v>1.00000000</v>
      </c>
      <c r="AT896" s="196" t="str">
        <f>"11.2"</f>
        <v>11.2</v>
      </c>
      <c r="AU896" s="199">
        <v>0</v>
      </c>
    </row>
    <row r="897" spans="1:47" s="196" customFormat="1" x14ac:dyDescent="0.2">
      <c r="A897" s="196" t="str">
        <f t="shared" si="30"/>
        <v>0496002599173</v>
      </c>
      <c r="B897" s="196">
        <v>2</v>
      </c>
      <c r="C897" s="196" t="s">
        <v>585</v>
      </c>
      <c r="D897" s="196" t="s">
        <v>594</v>
      </c>
      <c r="E897" s="196" t="s">
        <v>594</v>
      </c>
      <c r="F897" s="196" t="s">
        <v>243</v>
      </c>
      <c r="G897" s="196">
        <v>5647</v>
      </c>
      <c r="H897" s="196" t="s">
        <v>270</v>
      </c>
      <c r="I897" s="196">
        <v>117750</v>
      </c>
      <c r="J897" s="197">
        <v>42845</v>
      </c>
      <c r="K897" s="198">
        <v>0.31736111111111115</v>
      </c>
      <c r="L897" s="197">
        <v>42849</v>
      </c>
      <c r="M897" s="196" t="s">
        <v>285</v>
      </c>
      <c r="N897" s="196" t="s">
        <v>399</v>
      </c>
      <c r="O897" s="196" t="s">
        <v>400</v>
      </c>
      <c r="P897" s="196" t="s">
        <v>274</v>
      </c>
      <c r="Q897" s="196" t="s">
        <v>275</v>
      </c>
      <c r="R897" s="196" t="s">
        <v>401</v>
      </c>
      <c r="S897" s="196" t="s">
        <v>436</v>
      </c>
      <c r="T897" s="196" t="s">
        <v>595</v>
      </c>
      <c r="U897" s="196">
        <v>5647</v>
      </c>
      <c r="V897" s="196" t="s">
        <v>585</v>
      </c>
      <c r="W897" s="196" t="s">
        <v>280</v>
      </c>
      <c r="X897" s="196">
        <v>18.875</v>
      </c>
      <c r="Y897" s="199">
        <v>0</v>
      </c>
      <c r="Z897" s="199">
        <v>2.34</v>
      </c>
      <c r="AA897" s="199">
        <v>44.15</v>
      </c>
      <c r="AB897" s="199">
        <v>-3.45</v>
      </c>
      <c r="AC897" s="199">
        <v>0</v>
      </c>
      <c r="AD897" s="199">
        <v>0</v>
      </c>
      <c r="AE897" s="199">
        <v>40.700000000000003</v>
      </c>
      <c r="AF897" s="199">
        <v>-4.53</v>
      </c>
      <c r="AG897" s="196" t="s">
        <v>279</v>
      </c>
      <c r="AH897" s="199">
        <v>0</v>
      </c>
      <c r="AI897" s="196" t="s">
        <v>279</v>
      </c>
      <c r="AJ897" s="199">
        <v>0</v>
      </c>
      <c r="AK897" s="196" t="s">
        <v>279</v>
      </c>
      <c r="AL897" s="199">
        <v>0</v>
      </c>
      <c r="AM897" s="196" t="s">
        <v>279</v>
      </c>
      <c r="AN897" s="199">
        <v>0</v>
      </c>
      <c r="AO897" s="196" t="s">
        <v>279</v>
      </c>
      <c r="AP897" s="199">
        <v>0</v>
      </c>
      <c r="AQ897" s="199">
        <v>44.15</v>
      </c>
      <c r="AR897" s="199">
        <v>0</v>
      </c>
      <c r="AS897" s="196" t="str">
        <f t="shared" si="28"/>
        <v>1.00000000</v>
      </c>
      <c r="AT897" s="196" t="str">
        <f>"16.1"</f>
        <v>16.1</v>
      </c>
      <c r="AU897" s="199">
        <v>0</v>
      </c>
    </row>
    <row r="898" spans="1:47" s="196" customFormat="1" x14ac:dyDescent="0.2">
      <c r="A898" s="196" t="str">
        <f t="shared" si="30"/>
        <v>0496002599173</v>
      </c>
      <c r="B898" s="196">
        <v>2</v>
      </c>
      <c r="C898" s="196" t="s">
        <v>585</v>
      </c>
      <c r="D898" s="196" t="s">
        <v>594</v>
      </c>
      <c r="E898" s="196" t="s">
        <v>594</v>
      </c>
      <c r="F898" s="196" t="s">
        <v>243</v>
      </c>
      <c r="G898" s="196">
        <v>5647</v>
      </c>
      <c r="H898" s="196" t="s">
        <v>270</v>
      </c>
      <c r="I898" s="196">
        <v>115177</v>
      </c>
      <c r="J898" s="197">
        <v>42853</v>
      </c>
      <c r="K898" s="198">
        <v>0.55208333333333337</v>
      </c>
      <c r="L898" s="197">
        <v>42857</v>
      </c>
      <c r="M898" s="196" t="s">
        <v>285</v>
      </c>
      <c r="N898" s="196" t="s">
        <v>399</v>
      </c>
      <c r="O898" s="196" t="s">
        <v>400</v>
      </c>
      <c r="P898" s="196" t="s">
        <v>274</v>
      </c>
      <c r="Q898" s="196" t="s">
        <v>275</v>
      </c>
      <c r="R898" s="196" t="s">
        <v>401</v>
      </c>
      <c r="S898" s="196" t="s">
        <v>436</v>
      </c>
      <c r="T898" s="196" t="s">
        <v>595</v>
      </c>
      <c r="U898" s="196">
        <v>5647</v>
      </c>
      <c r="V898" s="196" t="s">
        <v>585</v>
      </c>
      <c r="W898" s="196" t="s">
        <v>280</v>
      </c>
      <c r="X898" s="196">
        <v>23.738</v>
      </c>
      <c r="Y898" s="199">
        <v>0</v>
      </c>
      <c r="Z898" s="199">
        <v>2.36</v>
      </c>
      <c r="AA898" s="199">
        <v>56</v>
      </c>
      <c r="AB898" s="199">
        <v>-4.34</v>
      </c>
      <c r="AC898" s="199">
        <v>0</v>
      </c>
      <c r="AD898" s="199">
        <v>0</v>
      </c>
      <c r="AE898" s="199">
        <v>51.66</v>
      </c>
      <c r="AF898" s="199">
        <v>-5.7</v>
      </c>
      <c r="AG898" s="196" t="s">
        <v>279</v>
      </c>
      <c r="AH898" s="199">
        <v>0</v>
      </c>
      <c r="AI898" s="196" t="s">
        <v>279</v>
      </c>
      <c r="AJ898" s="199">
        <v>0</v>
      </c>
      <c r="AK898" s="196" t="s">
        <v>279</v>
      </c>
      <c r="AL898" s="199">
        <v>0</v>
      </c>
      <c r="AM898" s="196" t="s">
        <v>279</v>
      </c>
      <c r="AN898" s="199">
        <v>0</v>
      </c>
      <c r="AO898" s="196" t="s">
        <v>279</v>
      </c>
      <c r="AP898" s="199">
        <v>0</v>
      </c>
      <c r="AQ898" s="199">
        <v>56</v>
      </c>
      <c r="AR898" s="199">
        <v>0</v>
      </c>
      <c r="AS898" s="196" t="str">
        <f t="shared" ref="AS898:AS913" si="31">"1.00000000"</f>
        <v>1.00000000</v>
      </c>
      <c r="AT898" s="196" t="str">
        <f>"14.6"</f>
        <v>14.6</v>
      </c>
      <c r="AU898" s="199">
        <v>0</v>
      </c>
    </row>
    <row r="899" spans="1:47" s="196" customFormat="1" x14ac:dyDescent="0.2">
      <c r="A899" s="196" t="str">
        <f t="shared" si="30"/>
        <v>0496002599173</v>
      </c>
      <c r="B899" s="196">
        <v>2</v>
      </c>
      <c r="C899" s="196" t="s">
        <v>585</v>
      </c>
      <c r="D899" s="196" t="s">
        <v>594</v>
      </c>
      <c r="E899" s="196" t="s">
        <v>594</v>
      </c>
      <c r="F899" s="196" t="s">
        <v>243</v>
      </c>
      <c r="G899" s="196">
        <v>5647</v>
      </c>
      <c r="H899" s="196" t="s">
        <v>270</v>
      </c>
      <c r="I899" s="196">
        <v>118075</v>
      </c>
      <c r="J899" s="197">
        <v>42857</v>
      </c>
      <c r="K899" s="198">
        <v>0.6743055555555556</v>
      </c>
      <c r="L899" s="197">
        <v>42859</v>
      </c>
      <c r="M899" s="196" t="s">
        <v>271</v>
      </c>
      <c r="N899" s="196" t="s">
        <v>272</v>
      </c>
      <c r="O899" s="196" t="s">
        <v>273</v>
      </c>
      <c r="P899" s="196" t="s">
        <v>274</v>
      </c>
      <c r="Q899" s="196" t="s">
        <v>275</v>
      </c>
      <c r="R899" s="196" t="s">
        <v>276</v>
      </c>
      <c r="S899" s="196" t="s">
        <v>436</v>
      </c>
      <c r="T899" s="196" t="s">
        <v>595</v>
      </c>
      <c r="U899" s="196">
        <v>5647</v>
      </c>
      <c r="V899" s="196" t="s">
        <v>585</v>
      </c>
      <c r="W899" s="196" t="s">
        <v>280</v>
      </c>
      <c r="X899" s="196">
        <v>25.593</v>
      </c>
      <c r="Y899" s="199">
        <v>-0.51</v>
      </c>
      <c r="Z899" s="199">
        <v>2.4</v>
      </c>
      <c r="AA899" s="199">
        <v>61.4</v>
      </c>
      <c r="AB899" s="199">
        <v>-4.68</v>
      </c>
      <c r="AC899" s="199">
        <v>0</v>
      </c>
      <c r="AD899" s="199">
        <v>0</v>
      </c>
      <c r="AE899" s="199">
        <v>56.21</v>
      </c>
      <c r="AF899" s="199">
        <v>-6.14</v>
      </c>
      <c r="AG899" s="196" t="s">
        <v>279</v>
      </c>
      <c r="AH899" s="199">
        <v>0</v>
      </c>
      <c r="AI899" s="196" t="s">
        <v>279</v>
      </c>
      <c r="AJ899" s="199">
        <v>0</v>
      </c>
      <c r="AK899" s="196" t="s">
        <v>279</v>
      </c>
      <c r="AL899" s="199">
        <v>0</v>
      </c>
      <c r="AM899" s="196" t="s">
        <v>279</v>
      </c>
      <c r="AN899" s="199">
        <v>0</v>
      </c>
      <c r="AO899" s="196" t="s">
        <v>279</v>
      </c>
      <c r="AP899" s="199">
        <v>0</v>
      </c>
      <c r="AQ899" s="199">
        <v>61.4</v>
      </c>
      <c r="AR899" s="199">
        <v>0</v>
      </c>
      <c r="AS899" s="196" t="str">
        <f t="shared" si="31"/>
        <v>1.00000000</v>
      </c>
      <c r="AT899" s="196" t="str">
        <f>"14.6"</f>
        <v>14.6</v>
      </c>
      <c r="AU899" s="199">
        <v>0</v>
      </c>
    </row>
    <row r="900" spans="1:47" s="196" customFormat="1" x14ac:dyDescent="0.2">
      <c r="A900" s="196" t="str">
        <f t="shared" si="30"/>
        <v>0496002599173</v>
      </c>
      <c r="B900" s="196">
        <v>2</v>
      </c>
      <c r="C900" s="196" t="s">
        <v>585</v>
      </c>
      <c r="D900" s="196" t="s">
        <v>594</v>
      </c>
      <c r="E900" s="196" t="s">
        <v>594</v>
      </c>
      <c r="F900" s="196" t="s">
        <v>243</v>
      </c>
      <c r="G900" s="196">
        <v>5647</v>
      </c>
      <c r="H900" s="196" t="s">
        <v>270</v>
      </c>
      <c r="I900" s="196">
        <v>118343</v>
      </c>
      <c r="J900" s="197">
        <v>42865</v>
      </c>
      <c r="K900" s="198">
        <v>0.39861111111111108</v>
      </c>
      <c r="L900" s="197">
        <v>42867</v>
      </c>
      <c r="M900" s="196" t="s">
        <v>271</v>
      </c>
      <c r="N900" s="196" t="s">
        <v>272</v>
      </c>
      <c r="O900" s="196" t="s">
        <v>273</v>
      </c>
      <c r="P900" s="196" t="s">
        <v>274</v>
      </c>
      <c r="Q900" s="196" t="s">
        <v>275</v>
      </c>
      <c r="R900" s="196" t="s">
        <v>276</v>
      </c>
      <c r="S900" s="196" t="s">
        <v>436</v>
      </c>
      <c r="T900" s="196" t="s">
        <v>595</v>
      </c>
      <c r="U900" s="196">
        <v>5647</v>
      </c>
      <c r="V900" s="196" t="s">
        <v>585</v>
      </c>
      <c r="W900" s="196" t="s">
        <v>280</v>
      </c>
      <c r="X900" s="196">
        <v>24.481999999999999</v>
      </c>
      <c r="Y900" s="199">
        <v>-0.49</v>
      </c>
      <c r="Z900" s="199">
        <v>2.37</v>
      </c>
      <c r="AA900" s="199">
        <v>58</v>
      </c>
      <c r="AB900" s="199">
        <v>-4.4800000000000004</v>
      </c>
      <c r="AC900" s="199">
        <v>0</v>
      </c>
      <c r="AD900" s="199">
        <v>0</v>
      </c>
      <c r="AE900" s="199">
        <v>53.03</v>
      </c>
      <c r="AF900" s="199">
        <v>-5.88</v>
      </c>
      <c r="AG900" s="196" t="s">
        <v>279</v>
      </c>
      <c r="AH900" s="199">
        <v>0</v>
      </c>
      <c r="AI900" s="196" t="s">
        <v>279</v>
      </c>
      <c r="AJ900" s="199">
        <v>0</v>
      </c>
      <c r="AK900" s="196" t="s">
        <v>279</v>
      </c>
      <c r="AL900" s="199">
        <v>0</v>
      </c>
      <c r="AM900" s="196" t="s">
        <v>279</v>
      </c>
      <c r="AN900" s="199">
        <v>0</v>
      </c>
      <c r="AO900" s="196" t="s">
        <v>279</v>
      </c>
      <c r="AP900" s="199">
        <v>0</v>
      </c>
      <c r="AQ900" s="199">
        <v>58</v>
      </c>
      <c r="AR900" s="199">
        <v>0</v>
      </c>
      <c r="AS900" s="196" t="str">
        <f t="shared" si="31"/>
        <v>1.00000000</v>
      </c>
      <c r="AT900" s="196" t="str">
        <f>"14.6"</f>
        <v>14.6</v>
      </c>
      <c r="AU900" s="199">
        <v>0</v>
      </c>
    </row>
    <row r="901" spans="1:47" s="196" customFormat="1" x14ac:dyDescent="0.2">
      <c r="A901" s="196" t="str">
        <f t="shared" si="30"/>
        <v>0496002599173</v>
      </c>
      <c r="B901" s="196">
        <v>2</v>
      </c>
      <c r="C901" s="196" t="s">
        <v>585</v>
      </c>
      <c r="D901" s="196" t="s">
        <v>594</v>
      </c>
      <c r="E901" s="196" t="s">
        <v>594</v>
      </c>
      <c r="F901" s="196" t="s">
        <v>243</v>
      </c>
      <c r="G901" s="196">
        <v>5647</v>
      </c>
      <c r="H901" s="196" t="s">
        <v>270</v>
      </c>
      <c r="I901" s="196">
        <v>118762</v>
      </c>
      <c r="J901" s="197">
        <v>42873</v>
      </c>
      <c r="K901" s="198">
        <v>0.28958333333333336</v>
      </c>
      <c r="L901" s="197">
        <v>42877</v>
      </c>
      <c r="M901" s="196" t="s">
        <v>271</v>
      </c>
      <c r="N901" s="196" t="s">
        <v>272</v>
      </c>
      <c r="O901" s="196" t="s">
        <v>273</v>
      </c>
      <c r="P901" s="196" t="s">
        <v>274</v>
      </c>
      <c r="Q901" s="196" t="s">
        <v>275</v>
      </c>
      <c r="R901" s="196" t="s">
        <v>276</v>
      </c>
      <c r="S901" s="196" t="s">
        <v>436</v>
      </c>
      <c r="T901" s="196" t="s">
        <v>595</v>
      </c>
      <c r="U901" s="196">
        <v>5647</v>
      </c>
      <c r="V901" s="196" t="s">
        <v>585</v>
      </c>
      <c r="W901" s="196" t="s">
        <v>280</v>
      </c>
      <c r="X901" s="196">
        <v>22.946999999999999</v>
      </c>
      <c r="Y901" s="199">
        <v>-0.46</v>
      </c>
      <c r="Z901" s="199">
        <v>2.4</v>
      </c>
      <c r="AA901" s="199">
        <v>55.05</v>
      </c>
      <c r="AB901" s="199">
        <v>-4.2</v>
      </c>
      <c r="AC901" s="199">
        <v>0</v>
      </c>
      <c r="AD901" s="199">
        <v>0</v>
      </c>
      <c r="AE901" s="199">
        <v>50.39</v>
      </c>
      <c r="AF901" s="199">
        <v>-5.51</v>
      </c>
      <c r="AG901" s="196" t="s">
        <v>279</v>
      </c>
      <c r="AH901" s="199">
        <v>0</v>
      </c>
      <c r="AI901" s="196" t="s">
        <v>279</v>
      </c>
      <c r="AJ901" s="199">
        <v>0</v>
      </c>
      <c r="AK901" s="196" t="s">
        <v>279</v>
      </c>
      <c r="AL901" s="199">
        <v>0</v>
      </c>
      <c r="AM901" s="196" t="s">
        <v>279</v>
      </c>
      <c r="AN901" s="199">
        <v>0</v>
      </c>
      <c r="AO901" s="196" t="s">
        <v>279</v>
      </c>
      <c r="AP901" s="199">
        <v>0</v>
      </c>
      <c r="AQ901" s="199">
        <v>55.05</v>
      </c>
      <c r="AR901" s="199">
        <v>0</v>
      </c>
      <c r="AS901" s="196" t="str">
        <f t="shared" si="31"/>
        <v>1.00000000</v>
      </c>
      <c r="AT901" s="196" t="str">
        <f>"10.9"</f>
        <v>10.9</v>
      </c>
      <c r="AU901" s="199">
        <v>0</v>
      </c>
    </row>
    <row r="902" spans="1:47" s="196" customFormat="1" x14ac:dyDescent="0.2">
      <c r="A902" s="196" t="str">
        <f t="shared" si="30"/>
        <v>0496002599173</v>
      </c>
      <c r="B902" s="196">
        <v>2</v>
      </c>
      <c r="C902" s="196" t="s">
        <v>585</v>
      </c>
      <c r="D902" s="196" t="s">
        <v>594</v>
      </c>
      <c r="E902" s="196" t="s">
        <v>594</v>
      </c>
      <c r="F902" s="196" t="s">
        <v>243</v>
      </c>
      <c r="G902" s="196">
        <v>5647</v>
      </c>
      <c r="H902" s="196" t="s">
        <v>270</v>
      </c>
      <c r="I902" s="196">
        <v>119082</v>
      </c>
      <c r="J902" s="197">
        <v>42884</v>
      </c>
      <c r="K902" s="198">
        <v>0.33124999999999999</v>
      </c>
      <c r="L902" s="197">
        <v>42886</v>
      </c>
      <c r="M902" s="196" t="s">
        <v>285</v>
      </c>
      <c r="N902" s="196" t="s">
        <v>399</v>
      </c>
      <c r="O902" s="196" t="s">
        <v>400</v>
      </c>
      <c r="P902" s="196" t="s">
        <v>274</v>
      </c>
      <c r="Q902" s="196" t="s">
        <v>275</v>
      </c>
      <c r="R902" s="196" t="s">
        <v>401</v>
      </c>
      <c r="S902" s="196" t="s">
        <v>436</v>
      </c>
      <c r="T902" s="196" t="s">
        <v>595</v>
      </c>
      <c r="U902" s="196">
        <v>5647</v>
      </c>
      <c r="V902" s="196" t="s">
        <v>585</v>
      </c>
      <c r="W902" s="196" t="s">
        <v>280</v>
      </c>
      <c r="X902" s="196">
        <v>22.183</v>
      </c>
      <c r="Y902" s="199">
        <v>0</v>
      </c>
      <c r="Z902" s="199">
        <v>2.2999999999999998</v>
      </c>
      <c r="AA902" s="199">
        <v>51</v>
      </c>
      <c r="AB902" s="199">
        <v>-4.0599999999999996</v>
      </c>
      <c r="AC902" s="199">
        <v>0</v>
      </c>
      <c r="AD902" s="199">
        <v>0</v>
      </c>
      <c r="AE902" s="199">
        <v>46.94</v>
      </c>
      <c r="AF902" s="199">
        <v>-5.32</v>
      </c>
      <c r="AG902" s="196" t="s">
        <v>279</v>
      </c>
      <c r="AH902" s="199">
        <v>0</v>
      </c>
      <c r="AI902" s="196" t="s">
        <v>279</v>
      </c>
      <c r="AJ902" s="199">
        <v>0</v>
      </c>
      <c r="AK902" s="196" t="s">
        <v>279</v>
      </c>
      <c r="AL902" s="199">
        <v>0</v>
      </c>
      <c r="AM902" s="196" t="s">
        <v>279</v>
      </c>
      <c r="AN902" s="199">
        <v>0</v>
      </c>
      <c r="AO902" s="196" t="s">
        <v>279</v>
      </c>
      <c r="AP902" s="199">
        <v>0</v>
      </c>
      <c r="AQ902" s="199">
        <v>51</v>
      </c>
      <c r="AR902" s="199">
        <v>0</v>
      </c>
      <c r="AS902" s="196" t="str">
        <f t="shared" si="31"/>
        <v>1.00000000</v>
      </c>
      <c r="AT902" s="196" t="str">
        <f>"18.3"</f>
        <v>18.3</v>
      </c>
      <c r="AU902" s="199">
        <v>0</v>
      </c>
    </row>
    <row r="903" spans="1:47" s="196" customFormat="1" x14ac:dyDescent="0.2">
      <c r="A903" s="196" t="str">
        <f t="shared" si="30"/>
        <v>0496002599173</v>
      </c>
      <c r="B903" s="196">
        <v>2</v>
      </c>
      <c r="C903" s="196" t="s">
        <v>585</v>
      </c>
      <c r="D903" s="196" t="s">
        <v>594</v>
      </c>
      <c r="E903" s="196" t="s">
        <v>594</v>
      </c>
      <c r="F903" s="196" t="s">
        <v>243</v>
      </c>
      <c r="G903" s="196">
        <v>5647</v>
      </c>
      <c r="H903" s="196" t="s">
        <v>270</v>
      </c>
      <c r="I903" s="196">
        <v>115441</v>
      </c>
      <c r="J903" s="197">
        <v>42887</v>
      </c>
      <c r="K903" s="198">
        <v>0.31805555555555554</v>
      </c>
      <c r="L903" s="197">
        <v>42891</v>
      </c>
      <c r="M903" s="196" t="s">
        <v>285</v>
      </c>
      <c r="N903" s="196" t="s">
        <v>399</v>
      </c>
      <c r="O903" s="196" t="s">
        <v>400</v>
      </c>
      <c r="P903" s="196" t="s">
        <v>274</v>
      </c>
      <c r="Q903" s="196" t="s">
        <v>275</v>
      </c>
      <c r="R903" s="196" t="s">
        <v>401</v>
      </c>
      <c r="S903" s="196" t="s">
        <v>436</v>
      </c>
      <c r="T903" s="196" t="s">
        <v>595</v>
      </c>
      <c r="U903" s="196">
        <v>5647</v>
      </c>
      <c r="V903" s="196" t="s">
        <v>585</v>
      </c>
      <c r="W903" s="196" t="s">
        <v>280</v>
      </c>
      <c r="X903" s="196">
        <v>23.402000000000001</v>
      </c>
      <c r="Y903" s="199">
        <v>0</v>
      </c>
      <c r="Z903" s="199">
        <v>2.2999999999999998</v>
      </c>
      <c r="AA903" s="199">
        <v>53.8</v>
      </c>
      <c r="AB903" s="199">
        <v>-4.28</v>
      </c>
      <c r="AC903" s="199">
        <v>0</v>
      </c>
      <c r="AD903" s="199">
        <v>0</v>
      </c>
      <c r="AE903" s="199">
        <v>49.52</v>
      </c>
      <c r="AF903" s="199">
        <v>-5.62</v>
      </c>
      <c r="AG903" s="196" t="s">
        <v>279</v>
      </c>
      <c r="AH903" s="199">
        <v>0</v>
      </c>
      <c r="AI903" s="196" t="s">
        <v>279</v>
      </c>
      <c r="AJ903" s="199">
        <v>0</v>
      </c>
      <c r="AK903" s="196" t="s">
        <v>279</v>
      </c>
      <c r="AL903" s="199">
        <v>0</v>
      </c>
      <c r="AM903" s="196" t="s">
        <v>279</v>
      </c>
      <c r="AN903" s="199">
        <v>0</v>
      </c>
      <c r="AO903" s="196" t="s">
        <v>279</v>
      </c>
      <c r="AP903" s="199">
        <v>0</v>
      </c>
      <c r="AQ903" s="199">
        <v>53.8</v>
      </c>
      <c r="AR903" s="199">
        <v>0</v>
      </c>
      <c r="AS903" s="196" t="str">
        <f t="shared" si="31"/>
        <v>1.00000000</v>
      </c>
      <c r="AT903" s="196" t="str">
        <f>"14.4"</f>
        <v>14.4</v>
      </c>
      <c r="AU903" s="199">
        <v>0</v>
      </c>
    </row>
    <row r="904" spans="1:47" s="196" customFormat="1" x14ac:dyDescent="0.2">
      <c r="A904" s="196" t="str">
        <f t="shared" si="30"/>
        <v>0496002599173</v>
      </c>
      <c r="B904" s="196">
        <v>2</v>
      </c>
      <c r="C904" s="196" t="s">
        <v>585</v>
      </c>
      <c r="D904" s="196" t="s">
        <v>594</v>
      </c>
      <c r="E904" s="196" t="s">
        <v>594</v>
      </c>
      <c r="F904" s="196" t="s">
        <v>243</v>
      </c>
      <c r="G904" s="196">
        <v>5647</v>
      </c>
      <c r="H904" s="196" t="s">
        <v>270</v>
      </c>
      <c r="I904" s="196">
        <v>119339</v>
      </c>
      <c r="J904" s="197">
        <v>42887</v>
      </c>
      <c r="K904" s="198">
        <v>0.82847222222222217</v>
      </c>
      <c r="L904" s="197">
        <v>42891</v>
      </c>
      <c r="M904" s="196" t="s">
        <v>271</v>
      </c>
      <c r="N904" s="196" t="s">
        <v>588</v>
      </c>
      <c r="O904" s="196" t="s">
        <v>589</v>
      </c>
      <c r="P904" s="196" t="s">
        <v>590</v>
      </c>
      <c r="Q904" s="196" t="s">
        <v>275</v>
      </c>
      <c r="R904" s="196">
        <v>1075</v>
      </c>
      <c r="S904" s="196" t="s">
        <v>436</v>
      </c>
      <c r="T904" s="196" t="s">
        <v>595</v>
      </c>
      <c r="U904" s="196">
        <v>5647</v>
      </c>
      <c r="V904" s="196" t="s">
        <v>585</v>
      </c>
      <c r="W904" s="196" t="s">
        <v>280</v>
      </c>
      <c r="X904" s="196">
        <v>21.1</v>
      </c>
      <c r="Y904" s="199">
        <v>-0.42</v>
      </c>
      <c r="Z904" s="199">
        <v>2.29</v>
      </c>
      <c r="AA904" s="199">
        <v>48.3</v>
      </c>
      <c r="AB904" s="199">
        <v>-3.86</v>
      </c>
      <c r="AC904" s="199">
        <v>0</v>
      </c>
      <c r="AD904" s="199">
        <v>0</v>
      </c>
      <c r="AE904" s="199">
        <v>44.02</v>
      </c>
      <c r="AF904" s="199">
        <v>-5.0599999999999996</v>
      </c>
      <c r="AG904" s="196" t="s">
        <v>279</v>
      </c>
      <c r="AH904" s="199">
        <v>0</v>
      </c>
      <c r="AI904" s="196" t="s">
        <v>279</v>
      </c>
      <c r="AJ904" s="199">
        <v>0</v>
      </c>
      <c r="AK904" s="196" t="s">
        <v>279</v>
      </c>
      <c r="AL904" s="199">
        <v>0</v>
      </c>
      <c r="AM904" s="196" t="s">
        <v>279</v>
      </c>
      <c r="AN904" s="199">
        <v>0</v>
      </c>
      <c r="AO904" s="196" t="s">
        <v>279</v>
      </c>
      <c r="AP904" s="199">
        <v>0</v>
      </c>
      <c r="AQ904" s="199">
        <v>48.3</v>
      </c>
      <c r="AR904" s="199">
        <v>0</v>
      </c>
      <c r="AS904" s="196" t="str">
        <f t="shared" si="31"/>
        <v>1.00000000</v>
      </c>
      <c r="AT904" s="196" t="str">
        <f>"14.4"</f>
        <v>14.4</v>
      </c>
      <c r="AU904" s="199">
        <v>0</v>
      </c>
    </row>
    <row r="905" spans="1:47" s="196" customFormat="1" x14ac:dyDescent="0.2">
      <c r="A905" s="196" t="str">
        <f t="shared" si="30"/>
        <v>0496002599173</v>
      </c>
      <c r="B905" s="196">
        <v>2</v>
      </c>
      <c r="C905" s="196" t="s">
        <v>585</v>
      </c>
      <c r="D905" s="196" t="s">
        <v>594</v>
      </c>
      <c r="E905" s="196" t="s">
        <v>594</v>
      </c>
      <c r="F905" s="196" t="s">
        <v>243</v>
      </c>
      <c r="G905" s="196">
        <v>5647</v>
      </c>
      <c r="H905" s="196" t="s">
        <v>270</v>
      </c>
      <c r="I905" s="196">
        <v>119749</v>
      </c>
      <c r="J905" s="197">
        <v>42899</v>
      </c>
      <c r="K905" s="198">
        <v>0.40763888888888888</v>
      </c>
      <c r="L905" s="197">
        <v>42901</v>
      </c>
      <c r="M905" s="196" t="s">
        <v>271</v>
      </c>
      <c r="N905" s="196" t="s">
        <v>513</v>
      </c>
      <c r="O905" s="196" t="s">
        <v>596</v>
      </c>
      <c r="P905" s="196" t="s">
        <v>597</v>
      </c>
      <c r="Q905" s="196" t="s">
        <v>275</v>
      </c>
      <c r="R905" s="196" t="s">
        <v>598</v>
      </c>
      <c r="S905" s="196" t="s">
        <v>436</v>
      </c>
      <c r="T905" s="196" t="s">
        <v>595</v>
      </c>
      <c r="U905" s="196">
        <v>5647</v>
      </c>
      <c r="V905" s="196" t="s">
        <v>585</v>
      </c>
      <c r="W905" s="196" t="s">
        <v>280</v>
      </c>
      <c r="X905" s="196">
        <v>23.3</v>
      </c>
      <c r="Y905" s="199">
        <v>-0.47</v>
      </c>
      <c r="Z905" s="199">
        <v>2.34</v>
      </c>
      <c r="AA905" s="199">
        <v>54.5</v>
      </c>
      <c r="AB905" s="199">
        <v>-4.26</v>
      </c>
      <c r="AC905" s="199">
        <v>0</v>
      </c>
      <c r="AD905" s="199">
        <v>0</v>
      </c>
      <c r="AE905" s="199">
        <v>49.77</v>
      </c>
      <c r="AF905" s="199">
        <v>-5.59</v>
      </c>
      <c r="AG905" s="196" t="s">
        <v>279</v>
      </c>
      <c r="AH905" s="199">
        <v>0</v>
      </c>
      <c r="AI905" s="196" t="s">
        <v>279</v>
      </c>
      <c r="AJ905" s="199">
        <v>0</v>
      </c>
      <c r="AK905" s="196" t="s">
        <v>279</v>
      </c>
      <c r="AL905" s="199">
        <v>0</v>
      </c>
      <c r="AM905" s="196" t="s">
        <v>279</v>
      </c>
      <c r="AN905" s="199">
        <v>0</v>
      </c>
      <c r="AO905" s="196" t="s">
        <v>279</v>
      </c>
      <c r="AP905" s="199">
        <v>0</v>
      </c>
      <c r="AQ905" s="199">
        <v>54.5</v>
      </c>
      <c r="AR905" s="199">
        <v>0</v>
      </c>
      <c r="AS905" s="196" t="str">
        <f t="shared" si="31"/>
        <v>1.00000000</v>
      </c>
      <c r="AT905" s="196" t="str">
        <f>"14.4"</f>
        <v>14.4</v>
      </c>
      <c r="AU905" s="199">
        <v>0</v>
      </c>
    </row>
    <row r="906" spans="1:47" s="196" customFormat="1" x14ac:dyDescent="0.2">
      <c r="A906" s="196" t="str">
        <f t="shared" si="30"/>
        <v>0496002599173</v>
      </c>
      <c r="B906" s="196">
        <v>2</v>
      </c>
      <c r="C906" s="196" t="s">
        <v>585</v>
      </c>
      <c r="D906" s="196" t="s">
        <v>594</v>
      </c>
      <c r="E906" s="196" t="s">
        <v>594</v>
      </c>
      <c r="F906" s="196" t="s">
        <v>243</v>
      </c>
      <c r="G906" s="196">
        <v>5647</v>
      </c>
      <c r="H906" s="196" t="s">
        <v>270</v>
      </c>
      <c r="I906" s="196">
        <v>120061</v>
      </c>
      <c r="J906" s="197">
        <v>42912</v>
      </c>
      <c r="K906" s="198">
        <v>0.64583333333333337</v>
      </c>
      <c r="L906" s="197">
        <v>42914</v>
      </c>
      <c r="M906" s="196" t="s">
        <v>271</v>
      </c>
      <c r="N906" s="196" t="s">
        <v>352</v>
      </c>
      <c r="O906" s="196" t="s">
        <v>353</v>
      </c>
      <c r="P906" s="196" t="s">
        <v>343</v>
      </c>
      <c r="Q906" s="196" t="s">
        <v>275</v>
      </c>
      <c r="R906" s="196">
        <v>1035</v>
      </c>
      <c r="S906" s="196" t="s">
        <v>436</v>
      </c>
      <c r="T906" s="196" t="s">
        <v>595</v>
      </c>
      <c r="U906" s="196">
        <v>5647</v>
      </c>
      <c r="V906" s="196" t="s">
        <v>585</v>
      </c>
      <c r="W906" s="196" t="s">
        <v>280</v>
      </c>
      <c r="X906" s="196">
        <v>22.622</v>
      </c>
      <c r="Y906" s="199">
        <v>-0.45</v>
      </c>
      <c r="Z906" s="199">
        <v>2.2200000000000002</v>
      </c>
      <c r="AA906" s="199">
        <v>50.2</v>
      </c>
      <c r="AB906" s="199">
        <v>-4.1399999999999997</v>
      </c>
      <c r="AC906" s="199">
        <v>0</v>
      </c>
      <c r="AD906" s="199">
        <v>0</v>
      </c>
      <c r="AE906" s="199">
        <v>45.61</v>
      </c>
      <c r="AF906" s="199">
        <v>-5.43</v>
      </c>
      <c r="AG906" s="196" t="s">
        <v>279</v>
      </c>
      <c r="AH906" s="199">
        <v>0</v>
      </c>
      <c r="AI906" s="196" t="s">
        <v>279</v>
      </c>
      <c r="AJ906" s="199">
        <v>0</v>
      </c>
      <c r="AK906" s="196" t="s">
        <v>279</v>
      </c>
      <c r="AL906" s="199">
        <v>0</v>
      </c>
      <c r="AM906" s="196" t="s">
        <v>279</v>
      </c>
      <c r="AN906" s="199">
        <v>0</v>
      </c>
      <c r="AO906" s="196" t="s">
        <v>279</v>
      </c>
      <c r="AP906" s="199">
        <v>0</v>
      </c>
      <c r="AQ906" s="199">
        <v>50.2</v>
      </c>
      <c r="AR906" s="199">
        <v>0</v>
      </c>
      <c r="AS906" s="196" t="str">
        <f t="shared" si="31"/>
        <v>1.00000000</v>
      </c>
      <c r="AT906" s="196" t="str">
        <f>"13.8"</f>
        <v>13.8</v>
      </c>
      <c r="AU906" s="199">
        <v>0</v>
      </c>
    </row>
    <row r="907" spans="1:47" s="196" customFormat="1" x14ac:dyDescent="0.2">
      <c r="A907" s="196" t="str">
        <f t="shared" si="30"/>
        <v>0496002599173</v>
      </c>
      <c r="B907" s="196">
        <v>5</v>
      </c>
      <c r="C907" s="196" t="s">
        <v>585</v>
      </c>
      <c r="E907" s="196" t="s">
        <v>594</v>
      </c>
      <c r="F907" s="196" t="s">
        <v>243</v>
      </c>
      <c r="G907" s="196">
        <v>5647</v>
      </c>
      <c r="H907" s="196" t="s">
        <v>270</v>
      </c>
      <c r="I907" s="196">
        <v>120381</v>
      </c>
      <c r="J907" s="197">
        <v>42916</v>
      </c>
      <c r="K907" s="198">
        <v>0.53333333333333333</v>
      </c>
      <c r="L907" s="197">
        <v>42920</v>
      </c>
      <c r="M907" s="196" t="s">
        <v>271</v>
      </c>
      <c r="N907" s="196" t="s">
        <v>272</v>
      </c>
      <c r="O907" s="196" t="s">
        <v>273</v>
      </c>
      <c r="P907" s="196" t="s">
        <v>274</v>
      </c>
      <c r="Q907" s="196" t="s">
        <v>275</v>
      </c>
      <c r="R907" s="196" t="s">
        <v>276</v>
      </c>
      <c r="S907" s="196" t="s">
        <v>436</v>
      </c>
      <c r="T907" s="196" t="s">
        <v>595</v>
      </c>
      <c r="U907" s="196">
        <v>5647</v>
      </c>
      <c r="V907" s="196" t="s">
        <v>585</v>
      </c>
      <c r="W907" s="196" t="s">
        <v>280</v>
      </c>
      <c r="X907" s="196">
        <v>20.963999999999999</v>
      </c>
      <c r="Y907" s="199">
        <v>-0.42</v>
      </c>
      <c r="Z907" s="199">
        <v>2.2000000000000002</v>
      </c>
      <c r="AA907" s="199">
        <v>46.1</v>
      </c>
      <c r="AB907" s="199">
        <v>-3.84</v>
      </c>
      <c r="AC907" s="199">
        <v>0</v>
      </c>
      <c r="AD907" s="199">
        <v>0</v>
      </c>
      <c r="AE907" s="199">
        <v>41.84</v>
      </c>
      <c r="AF907" s="199">
        <v>-5.03</v>
      </c>
      <c r="AG907" s="196" t="s">
        <v>279</v>
      </c>
      <c r="AH907" s="199">
        <v>0</v>
      </c>
      <c r="AI907" s="196" t="s">
        <v>279</v>
      </c>
      <c r="AJ907" s="199">
        <v>0</v>
      </c>
      <c r="AK907" s="196" t="s">
        <v>279</v>
      </c>
      <c r="AL907" s="199">
        <v>0</v>
      </c>
      <c r="AM907" s="196" t="s">
        <v>279</v>
      </c>
      <c r="AN907" s="199">
        <v>0</v>
      </c>
      <c r="AO907" s="196" t="s">
        <v>279</v>
      </c>
      <c r="AP907" s="199">
        <v>0</v>
      </c>
      <c r="AQ907" s="199">
        <v>46.1</v>
      </c>
      <c r="AR907" s="199">
        <v>0</v>
      </c>
      <c r="AS907" s="196" t="str">
        <f t="shared" si="31"/>
        <v>1.00000000</v>
      </c>
      <c r="AT907" s="196" t="str">
        <f>"5742.3"</f>
        <v>5742.3</v>
      </c>
      <c r="AU907" s="199">
        <v>0</v>
      </c>
    </row>
    <row r="908" spans="1:47" s="196" customFormat="1" x14ac:dyDescent="0.2">
      <c r="A908" s="196" t="str">
        <f>"0496002756187"</f>
        <v>0496002756187</v>
      </c>
      <c r="B908" s="196">
        <v>1</v>
      </c>
      <c r="C908" s="196" t="s">
        <v>599</v>
      </c>
      <c r="D908" s="196">
        <v>48</v>
      </c>
      <c r="E908" s="196">
        <v>48</v>
      </c>
      <c r="F908" s="196" t="s">
        <v>243</v>
      </c>
      <c r="G908" s="196">
        <v>8317</v>
      </c>
      <c r="H908" s="196" t="s">
        <v>270</v>
      </c>
      <c r="I908" s="196">
        <v>14812</v>
      </c>
      <c r="J908" s="197">
        <v>42752</v>
      </c>
      <c r="K908" s="198">
        <v>0.92291666666666661</v>
      </c>
      <c r="L908" s="197">
        <v>42754</v>
      </c>
      <c r="M908" s="196" t="s">
        <v>271</v>
      </c>
      <c r="N908" s="196" t="s">
        <v>272</v>
      </c>
      <c r="O908" s="196" t="s">
        <v>273</v>
      </c>
      <c r="P908" s="196" t="s">
        <v>274</v>
      </c>
      <c r="Q908" s="196" t="s">
        <v>275</v>
      </c>
      <c r="R908" s="196" t="s">
        <v>276</v>
      </c>
      <c r="S908" s="196" t="s">
        <v>600</v>
      </c>
      <c r="T908" s="196" t="s">
        <v>436</v>
      </c>
      <c r="U908" s="196">
        <v>8317</v>
      </c>
      <c r="V908" s="196" t="s">
        <v>599</v>
      </c>
      <c r="W908" s="196" t="s">
        <v>280</v>
      </c>
      <c r="X908" s="196">
        <v>18.747</v>
      </c>
      <c r="Y908" s="199">
        <v>-0.37</v>
      </c>
      <c r="Z908" s="199">
        <v>2.2200000000000002</v>
      </c>
      <c r="AA908" s="199">
        <v>41.6</v>
      </c>
      <c r="AB908" s="199">
        <v>-3.43</v>
      </c>
      <c r="AC908" s="199">
        <v>0</v>
      </c>
      <c r="AD908" s="199">
        <v>0</v>
      </c>
      <c r="AE908" s="199">
        <v>37.799999999999997</v>
      </c>
      <c r="AF908" s="199">
        <v>-4.5</v>
      </c>
      <c r="AG908" s="196" t="s">
        <v>279</v>
      </c>
      <c r="AH908" s="199">
        <v>0</v>
      </c>
      <c r="AI908" s="196" t="s">
        <v>279</v>
      </c>
      <c r="AJ908" s="199">
        <v>0</v>
      </c>
      <c r="AK908" s="196" t="s">
        <v>279</v>
      </c>
      <c r="AL908" s="199">
        <v>0</v>
      </c>
      <c r="AM908" s="196" t="s">
        <v>279</v>
      </c>
      <c r="AN908" s="199">
        <v>0</v>
      </c>
      <c r="AO908" s="196" t="s">
        <v>279</v>
      </c>
      <c r="AP908" s="199">
        <v>0</v>
      </c>
      <c r="AQ908" s="199">
        <v>41.6</v>
      </c>
      <c r="AR908" s="199">
        <v>0</v>
      </c>
      <c r="AS908" s="196" t="str">
        <f t="shared" si="31"/>
        <v>1.00000000</v>
      </c>
      <c r="AT908" s="196" t="str">
        <f>"14.1"</f>
        <v>14.1</v>
      </c>
      <c r="AU908" s="199">
        <v>0</v>
      </c>
    </row>
    <row r="909" spans="1:47" s="196" customFormat="1" x14ac:dyDescent="0.2">
      <c r="A909" s="196" t="str">
        <f>"0496002756187"</f>
        <v>0496002756187</v>
      </c>
      <c r="B909" s="196">
        <v>1</v>
      </c>
      <c r="C909" s="196" t="s">
        <v>599</v>
      </c>
      <c r="D909" s="196">
        <v>48</v>
      </c>
      <c r="E909" s="196">
        <v>48</v>
      </c>
      <c r="F909" s="196" t="s">
        <v>243</v>
      </c>
      <c r="G909" s="196">
        <v>8317</v>
      </c>
      <c r="H909" s="196" t="s">
        <v>270</v>
      </c>
      <c r="I909" s="196">
        <v>15115</v>
      </c>
      <c r="J909" s="197">
        <v>42803</v>
      </c>
      <c r="K909" s="198">
        <v>0.59444444444444444</v>
      </c>
      <c r="L909" s="197">
        <v>42807</v>
      </c>
      <c r="M909" s="196" t="s">
        <v>271</v>
      </c>
      <c r="N909" s="196" t="s">
        <v>272</v>
      </c>
      <c r="O909" s="196" t="s">
        <v>273</v>
      </c>
      <c r="P909" s="196" t="s">
        <v>274</v>
      </c>
      <c r="Q909" s="196" t="s">
        <v>275</v>
      </c>
      <c r="R909" s="196" t="s">
        <v>276</v>
      </c>
      <c r="S909" s="196" t="s">
        <v>600</v>
      </c>
      <c r="T909" s="196" t="s">
        <v>436</v>
      </c>
      <c r="U909" s="196">
        <v>8317</v>
      </c>
      <c r="V909" s="196" t="s">
        <v>599</v>
      </c>
      <c r="W909" s="196" t="s">
        <v>280</v>
      </c>
      <c r="X909" s="196">
        <v>18.227</v>
      </c>
      <c r="Y909" s="199">
        <v>-0.36</v>
      </c>
      <c r="Z909" s="199">
        <v>2.19</v>
      </c>
      <c r="AA909" s="199">
        <v>39.9</v>
      </c>
      <c r="AB909" s="199">
        <v>-3.34</v>
      </c>
      <c r="AC909" s="199">
        <v>0</v>
      </c>
      <c r="AD909" s="199">
        <v>0</v>
      </c>
      <c r="AE909" s="199">
        <v>36.200000000000003</v>
      </c>
      <c r="AF909" s="199">
        <v>-4.37</v>
      </c>
      <c r="AG909" s="196" t="s">
        <v>279</v>
      </c>
      <c r="AH909" s="199">
        <v>0</v>
      </c>
      <c r="AI909" s="196" t="s">
        <v>279</v>
      </c>
      <c r="AJ909" s="199">
        <v>0</v>
      </c>
      <c r="AK909" s="196" t="s">
        <v>279</v>
      </c>
      <c r="AL909" s="199">
        <v>0</v>
      </c>
      <c r="AM909" s="196" t="s">
        <v>279</v>
      </c>
      <c r="AN909" s="199">
        <v>0</v>
      </c>
      <c r="AO909" s="196" t="s">
        <v>279</v>
      </c>
      <c r="AP909" s="199">
        <v>0</v>
      </c>
      <c r="AQ909" s="199">
        <v>39.9</v>
      </c>
      <c r="AR909" s="199">
        <v>0</v>
      </c>
      <c r="AS909" s="196" t="str">
        <f t="shared" si="31"/>
        <v>1.00000000</v>
      </c>
      <c r="AT909" s="196" t="str">
        <f>"16.6"</f>
        <v>16.6</v>
      </c>
      <c r="AU909" s="199">
        <v>0</v>
      </c>
    </row>
    <row r="910" spans="1:47" s="196" customFormat="1" x14ac:dyDescent="0.2">
      <c r="A910" s="196" t="str">
        <f>"0496002756187"</f>
        <v>0496002756187</v>
      </c>
      <c r="B910" s="196">
        <v>1</v>
      </c>
      <c r="C910" s="196" t="s">
        <v>599</v>
      </c>
      <c r="D910" s="196">
        <v>48</v>
      </c>
      <c r="E910" s="196">
        <v>48</v>
      </c>
      <c r="F910" s="196" t="s">
        <v>243</v>
      </c>
      <c r="G910" s="196">
        <v>8317</v>
      </c>
      <c r="H910" s="196" t="s">
        <v>270</v>
      </c>
      <c r="I910" s="196">
        <v>15308</v>
      </c>
      <c r="J910" s="197">
        <v>42832</v>
      </c>
      <c r="K910" s="198">
        <v>0.7631944444444444</v>
      </c>
      <c r="L910" s="197">
        <v>42836</v>
      </c>
      <c r="M910" s="196" t="s">
        <v>271</v>
      </c>
      <c r="N910" s="196" t="s">
        <v>272</v>
      </c>
      <c r="O910" s="196" t="s">
        <v>273</v>
      </c>
      <c r="P910" s="196" t="s">
        <v>274</v>
      </c>
      <c r="Q910" s="196" t="s">
        <v>275</v>
      </c>
      <c r="R910" s="196" t="s">
        <v>276</v>
      </c>
      <c r="S910" s="196" t="s">
        <v>600</v>
      </c>
      <c r="T910" s="196" t="s">
        <v>436</v>
      </c>
      <c r="U910" s="196">
        <v>8317</v>
      </c>
      <c r="V910" s="196" t="s">
        <v>599</v>
      </c>
      <c r="W910" s="196" t="s">
        <v>280</v>
      </c>
      <c r="X910" s="196">
        <v>14.209</v>
      </c>
      <c r="Y910" s="199">
        <v>-0.28000000000000003</v>
      </c>
      <c r="Z910" s="199">
        <v>2.31</v>
      </c>
      <c r="AA910" s="199">
        <v>32.81</v>
      </c>
      <c r="AB910" s="199">
        <v>-2.6</v>
      </c>
      <c r="AC910" s="199">
        <v>0</v>
      </c>
      <c r="AD910" s="199">
        <v>0</v>
      </c>
      <c r="AE910" s="199">
        <v>29.93</v>
      </c>
      <c r="AF910" s="199">
        <v>-3.41</v>
      </c>
      <c r="AG910" s="196" t="s">
        <v>279</v>
      </c>
      <c r="AH910" s="199">
        <v>0</v>
      </c>
      <c r="AI910" s="196" t="s">
        <v>279</v>
      </c>
      <c r="AJ910" s="199">
        <v>0</v>
      </c>
      <c r="AK910" s="196" t="s">
        <v>279</v>
      </c>
      <c r="AL910" s="199">
        <v>0</v>
      </c>
      <c r="AM910" s="196" t="s">
        <v>279</v>
      </c>
      <c r="AN910" s="199">
        <v>0</v>
      </c>
      <c r="AO910" s="196" t="s">
        <v>279</v>
      </c>
      <c r="AP910" s="199">
        <v>0</v>
      </c>
      <c r="AQ910" s="199">
        <v>32.81</v>
      </c>
      <c r="AR910" s="199">
        <v>0</v>
      </c>
      <c r="AS910" s="196" t="str">
        <f t="shared" si="31"/>
        <v>1.00000000</v>
      </c>
      <c r="AT910" s="196" t="str">
        <f>"13.6"</f>
        <v>13.6</v>
      </c>
      <c r="AU910" s="199">
        <v>0</v>
      </c>
    </row>
    <row r="911" spans="1:47" s="196" customFormat="1" x14ac:dyDescent="0.2">
      <c r="A911" s="196" t="str">
        <f>"0496002756187"</f>
        <v>0496002756187</v>
      </c>
      <c r="B911" s="196">
        <v>1</v>
      </c>
      <c r="C911" s="196" t="s">
        <v>599</v>
      </c>
      <c r="D911" s="196">
        <v>48</v>
      </c>
      <c r="E911" s="196">
        <v>48</v>
      </c>
      <c r="F911" s="196" t="s">
        <v>243</v>
      </c>
      <c r="G911" s="196">
        <v>8317</v>
      </c>
      <c r="H911" s="196" t="s">
        <v>270</v>
      </c>
      <c r="I911" s="196">
        <v>15616</v>
      </c>
      <c r="J911" s="197">
        <v>42840</v>
      </c>
      <c r="K911" s="198">
        <v>0.50277777777777777</v>
      </c>
      <c r="L911" s="197">
        <v>42843</v>
      </c>
      <c r="M911" s="196" t="s">
        <v>271</v>
      </c>
      <c r="N911" s="196" t="s">
        <v>272</v>
      </c>
      <c r="O911" s="196" t="s">
        <v>273</v>
      </c>
      <c r="P911" s="196" t="s">
        <v>274</v>
      </c>
      <c r="Q911" s="196" t="s">
        <v>275</v>
      </c>
      <c r="R911" s="196" t="s">
        <v>276</v>
      </c>
      <c r="S911" s="196" t="s">
        <v>600</v>
      </c>
      <c r="T911" s="196" t="s">
        <v>436</v>
      </c>
      <c r="U911" s="196">
        <v>8317</v>
      </c>
      <c r="V911" s="196" t="s">
        <v>599</v>
      </c>
      <c r="W911" s="196" t="s">
        <v>280</v>
      </c>
      <c r="X911" s="196">
        <v>15.666</v>
      </c>
      <c r="Y911" s="199">
        <v>-0.31</v>
      </c>
      <c r="Z911" s="199">
        <v>2.35</v>
      </c>
      <c r="AA911" s="199">
        <v>36.799999999999997</v>
      </c>
      <c r="AB911" s="199">
        <v>-2.87</v>
      </c>
      <c r="AC911" s="199">
        <v>0</v>
      </c>
      <c r="AD911" s="199">
        <v>0</v>
      </c>
      <c r="AE911" s="199">
        <v>33.619999999999997</v>
      </c>
      <c r="AF911" s="199">
        <v>-3.76</v>
      </c>
      <c r="AG911" s="196" t="s">
        <v>279</v>
      </c>
      <c r="AH911" s="199">
        <v>0</v>
      </c>
      <c r="AI911" s="196" t="s">
        <v>279</v>
      </c>
      <c r="AJ911" s="199">
        <v>0</v>
      </c>
      <c r="AK911" s="196" t="s">
        <v>279</v>
      </c>
      <c r="AL911" s="199">
        <v>0</v>
      </c>
      <c r="AM911" s="196" t="s">
        <v>279</v>
      </c>
      <c r="AN911" s="199">
        <v>0</v>
      </c>
      <c r="AO911" s="196" t="s">
        <v>279</v>
      </c>
      <c r="AP911" s="199">
        <v>0</v>
      </c>
      <c r="AQ911" s="199">
        <v>36.799999999999997</v>
      </c>
      <c r="AR911" s="199">
        <v>0</v>
      </c>
      <c r="AS911" s="196" t="str">
        <f t="shared" si="31"/>
        <v>1.00000000</v>
      </c>
      <c r="AT911" s="196" t="str">
        <f>"19.7"</f>
        <v>19.7</v>
      </c>
      <c r="AU911" s="199">
        <v>0</v>
      </c>
    </row>
    <row r="912" spans="1:47" s="196" customFormat="1" x14ac:dyDescent="0.2">
      <c r="A912" s="196" t="str">
        <f>"0496002756187"</f>
        <v>0496002756187</v>
      </c>
      <c r="B912" s="196">
        <v>1</v>
      </c>
      <c r="C912" s="196" t="s">
        <v>599</v>
      </c>
      <c r="D912" s="196">
        <v>48</v>
      </c>
      <c r="E912" s="196">
        <v>48</v>
      </c>
      <c r="F912" s="196" t="s">
        <v>243</v>
      </c>
      <c r="G912" s="196">
        <v>8317</v>
      </c>
      <c r="H912" s="196" t="s">
        <v>270</v>
      </c>
      <c r="I912" s="196">
        <v>15873</v>
      </c>
      <c r="J912" s="197">
        <v>42881</v>
      </c>
      <c r="K912" s="198">
        <v>0.33263888888888887</v>
      </c>
      <c r="L912" s="197">
        <v>42885</v>
      </c>
      <c r="M912" s="196" t="s">
        <v>271</v>
      </c>
      <c r="N912" s="196" t="s">
        <v>272</v>
      </c>
      <c r="O912" s="196" t="s">
        <v>273</v>
      </c>
      <c r="P912" s="196" t="s">
        <v>274</v>
      </c>
      <c r="Q912" s="196" t="s">
        <v>275</v>
      </c>
      <c r="R912" s="196" t="s">
        <v>276</v>
      </c>
      <c r="S912" s="196" t="s">
        <v>600</v>
      </c>
      <c r="T912" s="196" t="s">
        <v>436</v>
      </c>
      <c r="U912" s="196">
        <v>8317</v>
      </c>
      <c r="V912" s="196" t="s">
        <v>599</v>
      </c>
      <c r="W912" s="196" t="s">
        <v>280</v>
      </c>
      <c r="X912" s="196">
        <v>15.372</v>
      </c>
      <c r="Y912" s="199">
        <v>-0.31</v>
      </c>
      <c r="Z912" s="199">
        <v>2.4300000000000002</v>
      </c>
      <c r="AA912" s="199">
        <v>37.340000000000003</v>
      </c>
      <c r="AB912" s="199">
        <v>-2.81</v>
      </c>
      <c r="AC912" s="199">
        <v>0</v>
      </c>
      <c r="AD912" s="199">
        <v>0</v>
      </c>
      <c r="AE912" s="199">
        <v>34.22</v>
      </c>
      <c r="AF912" s="199">
        <v>-3.69</v>
      </c>
      <c r="AG912" s="196" t="s">
        <v>279</v>
      </c>
      <c r="AH912" s="199">
        <v>0</v>
      </c>
      <c r="AI912" s="196" t="s">
        <v>279</v>
      </c>
      <c r="AJ912" s="199">
        <v>0</v>
      </c>
      <c r="AK912" s="196" t="s">
        <v>279</v>
      </c>
      <c r="AL912" s="199">
        <v>0</v>
      </c>
      <c r="AM912" s="196" t="s">
        <v>279</v>
      </c>
      <c r="AN912" s="199">
        <v>0</v>
      </c>
      <c r="AO912" s="196" t="s">
        <v>279</v>
      </c>
      <c r="AP912" s="199">
        <v>0</v>
      </c>
      <c r="AQ912" s="199">
        <v>37.340000000000003</v>
      </c>
      <c r="AR912" s="199">
        <v>0</v>
      </c>
      <c r="AS912" s="196" t="str">
        <f t="shared" si="31"/>
        <v>1.00000000</v>
      </c>
      <c r="AT912" s="196" t="str">
        <f>"16.7"</f>
        <v>16.7</v>
      </c>
      <c r="AU912" s="199">
        <v>0</v>
      </c>
    </row>
    <row r="913" spans="1:47" s="196" customFormat="1" x14ac:dyDescent="0.2">
      <c r="A913" s="196" t="str">
        <f>"0496003058740"</f>
        <v>0496003058740</v>
      </c>
      <c r="B913" s="196">
        <v>1</v>
      </c>
      <c r="C913" s="196" t="s">
        <v>599</v>
      </c>
      <c r="F913" s="196" t="s">
        <v>243</v>
      </c>
      <c r="G913" s="196">
        <v>8102</v>
      </c>
      <c r="H913" s="196" t="s">
        <v>270</v>
      </c>
      <c r="I913" s="196">
        <v>6137</v>
      </c>
      <c r="J913" s="197">
        <v>42900</v>
      </c>
      <c r="K913" s="198">
        <v>0.68125000000000002</v>
      </c>
      <c r="L913" s="197">
        <v>42902</v>
      </c>
      <c r="M913" s="196" t="s">
        <v>271</v>
      </c>
      <c r="N913" s="196" t="s">
        <v>272</v>
      </c>
      <c r="O913" s="196" t="s">
        <v>273</v>
      </c>
      <c r="P913" s="196" t="s">
        <v>274</v>
      </c>
      <c r="Q913" s="196" t="s">
        <v>275</v>
      </c>
      <c r="R913" s="196" t="s">
        <v>276</v>
      </c>
      <c r="S913" s="196" t="s">
        <v>436</v>
      </c>
      <c r="T913" s="196" t="s">
        <v>601</v>
      </c>
      <c r="U913" s="196">
        <v>8102</v>
      </c>
      <c r="V913" s="196" t="s">
        <v>599</v>
      </c>
      <c r="W913" s="196" t="s">
        <v>280</v>
      </c>
      <c r="X913" s="196">
        <v>16.113</v>
      </c>
      <c r="Y913" s="199">
        <v>-0.32</v>
      </c>
      <c r="Z913" s="199">
        <v>2.2599999999999998</v>
      </c>
      <c r="AA913" s="199">
        <v>36.4</v>
      </c>
      <c r="AB913" s="199">
        <v>-2.95</v>
      </c>
      <c r="AC913" s="199">
        <v>0</v>
      </c>
      <c r="AD913" s="199">
        <v>0</v>
      </c>
      <c r="AE913" s="199">
        <v>33.130000000000003</v>
      </c>
      <c r="AF913" s="199">
        <v>-3.87</v>
      </c>
      <c r="AG913" s="196" t="s">
        <v>279</v>
      </c>
      <c r="AH913" s="199">
        <v>0</v>
      </c>
      <c r="AI913" s="196" t="s">
        <v>279</v>
      </c>
      <c r="AJ913" s="199">
        <v>0</v>
      </c>
      <c r="AK913" s="196" t="s">
        <v>279</v>
      </c>
      <c r="AL913" s="199">
        <v>0</v>
      </c>
      <c r="AM913" s="196" t="s">
        <v>279</v>
      </c>
      <c r="AN913" s="199">
        <v>0</v>
      </c>
      <c r="AO913" s="196" t="s">
        <v>279</v>
      </c>
      <c r="AP913" s="199">
        <v>0</v>
      </c>
      <c r="AQ913" s="199">
        <v>36.4</v>
      </c>
      <c r="AR913" s="199">
        <v>0</v>
      </c>
      <c r="AS913" s="196" t="str">
        <f t="shared" si="31"/>
        <v>1.00000000</v>
      </c>
      <c r="AT913" s="196" t="str">
        <f>"380.9"</f>
        <v>380.9</v>
      </c>
      <c r="AU913" s="199">
        <v>0</v>
      </c>
    </row>
    <row r="914" spans="1:47" x14ac:dyDescent="0.2">
      <c r="X914" s="200">
        <f>SUM(X2:X913)</f>
        <v>11487.694999999996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19</vt:i4>
      </vt:variant>
      <vt:variant>
        <vt:lpstr>Named Ranges</vt:lpstr>
      </vt:variant>
      <vt:variant>
        <vt:i4>21</vt:i4>
      </vt:variant>
    </vt:vector>
  </HeadingPairs>
  <TitlesOfParts>
    <vt:vector size="40" baseType="lpstr">
      <vt:lpstr>Updated</vt:lpstr>
      <vt:lpstr>T&amp;D &amp; ELC EF</vt:lpstr>
      <vt:lpstr>Degree day data</vt:lpstr>
      <vt:lpstr>T5</vt:lpstr>
      <vt:lpstr>Electricity Main</vt:lpstr>
      <vt:lpstr>Electricity Small</vt:lpstr>
      <vt:lpstr>Bulk Fuels</vt:lpstr>
      <vt:lpstr>Gasoline</vt:lpstr>
      <vt:lpstr>Wex FY17</vt:lpstr>
      <vt:lpstr>Wex FY16</vt:lpstr>
      <vt:lpstr>Oil Small</vt:lpstr>
      <vt:lpstr>CoGen Diesel #2</vt:lpstr>
      <vt:lpstr>NG Main</vt:lpstr>
      <vt:lpstr>NG Cogen</vt:lpstr>
      <vt:lpstr>NG Small</vt:lpstr>
      <vt:lpstr>Sheet1</vt:lpstr>
      <vt:lpstr>Propane Gas</vt:lpstr>
      <vt:lpstr>Heat Plant Oil #6</vt:lpstr>
      <vt:lpstr>Wood Pellets</vt:lpstr>
      <vt:lpstr>'Bulk Fuels'!Print_Area</vt:lpstr>
      <vt:lpstr>'CoGen Diesel #2'!Print_Area</vt:lpstr>
      <vt:lpstr>'Electricity Main'!Print_Area</vt:lpstr>
      <vt:lpstr>'Electricity Small'!Print_Area</vt:lpstr>
      <vt:lpstr>Gasoline!Print_Area</vt:lpstr>
      <vt:lpstr>'Heat Plant Oil #6'!Print_Area</vt:lpstr>
      <vt:lpstr>'NG Cogen'!Print_Area</vt:lpstr>
      <vt:lpstr>'NG Main'!Print_Area</vt:lpstr>
      <vt:lpstr>'NG Small'!Print_Area</vt:lpstr>
      <vt:lpstr>'Oil Small'!Print_Area</vt:lpstr>
      <vt:lpstr>'Propane Gas'!Print_Area</vt:lpstr>
      <vt:lpstr>'CoGen Diesel #2'!Print_Titles</vt:lpstr>
      <vt:lpstr>'Electricity Main'!Print_Titles</vt:lpstr>
      <vt:lpstr>'Electricity Small'!Print_Titles</vt:lpstr>
      <vt:lpstr>'Heat Plant Oil #6'!Print_Titles</vt:lpstr>
      <vt:lpstr>'NG Cogen'!Print_Titles</vt:lpstr>
      <vt:lpstr>'NG Main'!Print_Titles</vt:lpstr>
      <vt:lpstr>'NG Small'!Print_Titles</vt:lpstr>
      <vt:lpstr>'Oil Small'!Print_Titles</vt:lpstr>
      <vt:lpstr>'Propane Gas'!Print_Titles</vt:lpstr>
      <vt:lpstr>'Wood Pellets'!Print_Titles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2017-06-09T19:56:12Z</dcterms:created>
  <dcterms:modified xsi:type="dcterms:W3CDTF">2019-02-13T00:11:57Z</dcterms:modified>
</cp:coreProperties>
</file>